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printerSettings/printerSettings5.bin" ContentType="application/vnd.openxmlformats-officedocument.spreadsheetml.printerSettings"/>
  <Override PartName="/xl/printerSettings/printerSettings6.bin" ContentType="application/vnd.openxmlformats-officedocument.spreadsheetml.printerSettings"/>
  <Override PartName="/xl/printerSettings/printerSettings7.bin" ContentType="application/vnd.openxmlformats-officedocument.spreadsheetml.printerSettings"/>
  <Override PartName="/xl/printerSettings/printerSettings8.bin" ContentType="application/vnd.openxmlformats-officedocument.spreadsheetml.printerSettings"/>
  <Override PartName="/xl/printerSettings/printerSettings9.bin" ContentType="application/vnd.openxmlformats-officedocument.spreadsheetml.printerSettings"/>
  <Override PartName="/xl/printerSettings/printerSettings10.bin" ContentType="application/vnd.openxmlformats-officedocument.spreadsheetml.printerSettings"/>
  <Override PartName="/xl/printerSettings/printerSettings11.bin" ContentType="application/vnd.openxmlformats-officedocument.spreadsheetml.printerSettings"/>
  <Override PartName="/xl/printerSettings/printerSettings12.bin" ContentType="application/vnd.openxmlformats-officedocument.spreadsheetml.printerSettings"/>
  <Override PartName="/xl/printerSettings/printerSettings13.bin" ContentType="application/vnd.openxmlformats-officedocument.spreadsheetml.printerSettings"/>
  <Override PartName="/xl/printerSettings/printerSettings14.bin" ContentType="application/vnd.openxmlformats-officedocument.spreadsheetml.printerSettings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inciholding.sharepoint.com/sites/nciHoldingFileServer-BteveRaporlamaFileServer/Shared Documents/Bütçe ve Raporlama File Server/BUTCE VE RAPORLAMA/Konsolidasyon/2025/"/>
    </mc:Choice>
  </mc:AlternateContent>
  <xr:revisionPtr revIDLastSave="50" documentId="8_{E399EFE0-7F82-4B12-8405-8A5E082BCBEF}" xr6:coauthVersionLast="47" xr6:coauthVersionMax="47" xr10:uidLastSave="{36EB987C-3A3E-4985-8847-839CC1427E32}"/>
  <bookViews>
    <workbookView xWindow="-110" yWindow="-110" windowWidth="19420" windowHeight="10300" tabRatio="795" firstSheet="3" activeTab="17" xr2:uid="{753A6F55-7DEC-4601-9CC0-62E48FB5346D}"/>
  </bookViews>
  <sheets>
    <sheet name="_com.sap.ip.bi.xl.hiddensheet" sheetId="26" state="veryHidden" r:id="rId1"/>
    <sheet name="Finansal Raporlama AY" sheetId="46" r:id="rId2"/>
    <sheet name="Finansal Raporlama KÜM" sheetId="52" r:id="rId3"/>
    <sheet name="Finansal Raporlama Tahmin" sheetId="53" r:id="rId4"/>
    <sheet name="A -Döviz" sheetId="3" r:id="rId5"/>
    <sheet name="C-Döviz" sheetId="4" r:id="rId6"/>
    <sheet name="A-TRY" sheetId="1" r:id="rId7"/>
    <sheet name="C-TRY" sheetId="2" r:id="rId8"/>
    <sheet name="Özet Rapor" sheetId="38" state="hidden" r:id="rId9"/>
    <sheet name="HS" sheetId="39" state="hidden" r:id="rId10"/>
    <sheet name="Tahmin-eur" sheetId="37" state="hidden" r:id="rId11"/>
    <sheet name="Tahmin-tl" sheetId="36" state="hidden" r:id="rId12"/>
    <sheet name="Tahmin - Bağış, İş Gel. Hrç" sheetId="43" state="hidden" r:id="rId13"/>
    <sheet name="EBIDA Bridge" sheetId="51" r:id="rId14"/>
    <sheet name="Tahmin" sheetId="5" r:id="rId15"/>
    <sheet name="Tahmin (3)" sheetId="54" state="hidden" r:id="rId16"/>
    <sheet name="Tahmin (4)" sheetId="55" state="hidden" r:id="rId17"/>
    <sheet name="Tahmin Data" sheetId="40" r:id="rId18"/>
    <sheet name="Tahmin (2)" sheetId="45" state="hidden" r:id="rId19"/>
    <sheet name="Bağış - İş Geliştirme Hariç" sheetId="42" state="hidden" r:id="rId20"/>
    <sheet name="gerç aylık-eur" sheetId="32" r:id="rId21"/>
    <sheet name="gerç aylık-tl" sheetId="30" r:id="rId22"/>
    <sheet name="değişim aylık eur" sheetId="34" r:id="rId23"/>
    <sheet name="değişim-tl" sheetId="31" r:id="rId24"/>
    <sheet name="Bütçe aylık-Eur" sheetId="33" r:id="rId25"/>
    <sheet name="Bütçe Değişim eur" sheetId="35" r:id="rId26"/>
    <sheet name="Bütçe aylık-TL" sheetId="28" r:id="rId27"/>
    <sheet name="Bütçe Değişim TL" sheetId="29" r:id="rId28"/>
  </sheets>
  <definedNames>
    <definedName name="\A" localSheetId="13">#REF!</definedName>
    <definedName name="\A" localSheetId="1">#REF!</definedName>
    <definedName name="\A" localSheetId="2">#REF!</definedName>
    <definedName name="\A" localSheetId="3">#REF!</definedName>
    <definedName name="\A">#REF!</definedName>
    <definedName name="\B" localSheetId="13">#REF!</definedName>
    <definedName name="\B" localSheetId="1">#REF!</definedName>
    <definedName name="\B" localSheetId="2">#REF!</definedName>
    <definedName name="\B" localSheetId="3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P">#REF!</definedName>
    <definedName name="\Q">#REF!</definedName>
    <definedName name="\R">#REF!</definedName>
    <definedName name="\S">#REF!</definedName>
    <definedName name="\X">#REF!</definedName>
    <definedName name="\Z">#REF!</definedName>
    <definedName name="_1___0Yazdırma_Al">#REF!</definedName>
    <definedName name="_1_0Yazdırma_Al">#REF!</definedName>
    <definedName name="_108CROMO">#REF!</definedName>
    <definedName name="_123Graph_ACHART" hidden="1">#REF!</definedName>
    <definedName name="_15___0Yazdırma_Al">#REF!</definedName>
    <definedName name="_16___0Yazdırma_Al">#REF!</definedName>
    <definedName name="_2____Yazdırma_Al">#REF!</definedName>
    <definedName name="_2Yazdırma_Al">#REF!</definedName>
    <definedName name="_4_0Yazdırma_Al">#REF!</definedName>
    <definedName name="_5_0Yazdırma_Al">#REF!</definedName>
    <definedName name="_6Yazdırma_Al">#REF!</definedName>
    <definedName name="_9._Analysis_of_net_debt">#REF!</definedName>
    <definedName name="_ANG1">#REF!</definedName>
    <definedName name="_ANG2">#REF!</definedName>
    <definedName name="_ANG3">#REF!</definedName>
    <definedName name="_ANG4">#REF!</definedName>
    <definedName name="_c">#REF!</definedName>
    <definedName name="_DAT1">#REF!</definedName>
    <definedName name="_DAT11">#REF!</definedName>
    <definedName name="_DAT3">#REF!</definedName>
    <definedName name="_DAT4">#REF!</definedName>
    <definedName name="_DAT5">#REF!</definedName>
    <definedName name="_DAT9">#REF!</definedName>
    <definedName name="_Fill" hidden="1">#REF!</definedName>
    <definedName name="_ısm2" localSheetId="13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_ısm2" localSheetId="1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_ısm2" localSheetId="2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_ısm2" localSheetId="3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_ısm2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_Order1" hidden="1">255</definedName>
    <definedName name="_Order2" hidden="1">255</definedName>
    <definedName name="_pan1">#REF!</definedName>
    <definedName name="_par1">#REF!</definedName>
    <definedName name="_PY1">#REF!</definedName>
    <definedName name="_PY2">#REF!</definedName>
    <definedName name="_tab3" localSheetId="19">#REF!</definedName>
    <definedName name="_tab3" localSheetId="12">#REF!</definedName>
    <definedName name="_tab3" localSheetId="18">#REF!</definedName>
    <definedName name="_tab3">#REF!</definedName>
    <definedName name="_Typ7">"Cost Centre"</definedName>
    <definedName name="_Typ8">"Expense/Income"</definedName>
    <definedName name="_xlnm._FilterDatabase" localSheetId="19" hidden="1">'Bağış - İş Geliştirme Hariç'!$A$2:$O$154</definedName>
    <definedName name="_xlnm._FilterDatabase" localSheetId="20" hidden="1">'gerç aylık-eur'!$A$1:$W$195</definedName>
    <definedName name="_xlnm._FilterDatabase" localSheetId="21" hidden="1">'gerç aylık-tl'!$A$1:$N$195</definedName>
    <definedName name="_xlnm._FilterDatabase" localSheetId="9" hidden="1">HS!$L$1:$L$157</definedName>
    <definedName name="_xlnm._FilterDatabase" localSheetId="8" hidden="1">'Özet Rapor'!$AF$1:$AF$114</definedName>
    <definedName name="_xlnm._FilterDatabase" localSheetId="17" hidden="1">'Tahmin Data'!$A$2:$AH$154</definedName>
    <definedName name="_xlnm._FilterDatabase" hidden="1">#REF!</definedName>
    <definedName name="a" localSheetId="13">{"Werkdp_excl",#N/A,FALSE,"WERKdp"}</definedName>
    <definedName name="a" localSheetId="1">{"Werkdp_excl",#N/A,FALSE,"WERKdp"}</definedName>
    <definedName name="a" localSheetId="2">{"Werkdp_excl",#N/A,FALSE,"WERKdp"}</definedName>
    <definedName name="a" localSheetId="3">{"Werkdp_excl",#N/A,FALSE,"WERKdp"}</definedName>
    <definedName name="a">{"Werkdp_excl",#N/A,FALSE,"WERKdp"}</definedName>
    <definedName name="aa" localSheetId="13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aa" localSheetId="1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aa" localSheetId="2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aa" localSheetId="3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aa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AAA">#REF!</definedName>
    <definedName name="AAAA" localSheetId="13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AAAA" localSheetId="1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AAAA" localSheetId="2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AAAA" localSheetId="3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AAAA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aaaaaa">#REF!</definedName>
    <definedName name="Abweichung">#REF!</definedName>
    <definedName name="ACCCODE">#REF!</definedName>
    <definedName name="ACCCODE2">#REF!</definedName>
    <definedName name="actual">#REF!</definedName>
    <definedName name="ak" hidden="1">#REF!</definedName>
    <definedName name="ali">#REF!</definedName>
    <definedName name="ALUMINUM">#REF!</definedName>
    <definedName name="AMG">#REF!</definedName>
    <definedName name="ANGKEM1">#REF!</definedName>
    <definedName name="ANGKEM11">#REF!</definedName>
    <definedName name="ANGKEM12">#REF!</definedName>
    <definedName name="ANGKEM13">#REF!</definedName>
    <definedName name="ANGKEM14">#REF!</definedName>
    <definedName name="ANGKEM2">#REF!</definedName>
    <definedName name="ANGKEM21">#REF!</definedName>
    <definedName name="ANGKEM22">#REF!</definedName>
    <definedName name="ANGKEM23">#REF!</definedName>
    <definedName name="ANGKEM24">#REF!</definedName>
    <definedName name="ANGKEM3">#REF!</definedName>
    <definedName name="ANGKEM31">#REF!</definedName>
    <definedName name="ANGKEM32">#REF!</definedName>
    <definedName name="ANGKEM33">#REF!</definedName>
    <definedName name="ANGKEM34">#REF!</definedName>
    <definedName name="ANGKEM4">#REF!</definedName>
    <definedName name="ANGKEM41">#REF!</definedName>
    <definedName name="ANGKEM42">#REF!</definedName>
    <definedName name="ANGKEM43">#REF!</definedName>
    <definedName name="ANGKEM44">#REF!</definedName>
    <definedName name="ANGTH1">#REF!</definedName>
    <definedName name="ANGTH11">#REF!</definedName>
    <definedName name="ANGTH12">#REF!</definedName>
    <definedName name="ANGTH13">#REF!</definedName>
    <definedName name="ANGTH14">#REF!</definedName>
    <definedName name="ANGTH2">#REF!</definedName>
    <definedName name="ANGTH21">#REF!</definedName>
    <definedName name="ANGTH22">#REF!</definedName>
    <definedName name="ANGTH23">#REF!</definedName>
    <definedName name="ANGTH24">#REF!</definedName>
    <definedName name="ANGTH25">#REF!</definedName>
    <definedName name="ANGTH3">#REF!</definedName>
    <definedName name="ANGTH31">#REF!</definedName>
    <definedName name="ANGTH32">#REF!</definedName>
    <definedName name="ANGTH33">#REF!</definedName>
    <definedName name="ANGTH34">#REF!</definedName>
    <definedName name="ANGTH4">#REF!</definedName>
    <definedName name="ANGTH41">#REF!</definedName>
    <definedName name="ANGTH42">#REF!</definedName>
    <definedName name="ANGTH43">#REF!</definedName>
    <definedName name="ANGTH44">#REF!</definedName>
    <definedName name="ANGWI1">#REF!</definedName>
    <definedName name="ANGWI11">#REF!</definedName>
    <definedName name="ANGWI12">#REF!</definedName>
    <definedName name="ANGWI13">#REF!</definedName>
    <definedName name="ANGWI14">#REF!</definedName>
    <definedName name="ANGWI2">#REF!</definedName>
    <definedName name="ANGWI21">#REF!</definedName>
    <definedName name="ANGWI22">#REF!</definedName>
    <definedName name="ANGWI23">#REF!</definedName>
    <definedName name="ANGWI24">#REF!</definedName>
    <definedName name="ANGWI3">#REF!</definedName>
    <definedName name="ANGWI31">#REF!</definedName>
    <definedName name="ANGWI32">#REF!</definedName>
    <definedName name="ANGWI33">#REF!</definedName>
    <definedName name="ANGWI34">#REF!</definedName>
    <definedName name="ANGWI4">#REF!</definedName>
    <definedName name="ANGWI41">#REF!</definedName>
    <definedName name="ANGWI42">#REF!</definedName>
    <definedName name="ANGWI43">#REF!</definedName>
    <definedName name="ANGWI44">#REF!</definedName>
    <definedName name="APGPAB">#REF!</definedName>
    <definedName name="APHYG">#REF!</definedName>
    <definedName name="APMONDI">#REF!</definedName>
    <definedName name="APP3old" hidden="1">#REF!</definedName>
    <definedName name="app8A" hidden="1">#REF!</definedName>
    <definedName name="APPACK">#REF!</definedName>
    <definedName name="APRECY">#REF!</definedName>
    <definedName name="APSCARESAB">#REF!</definedName>
    <definedName name="APTRANSF">#REF!</definedName>
    <definedName name="Aquery">#REF!</definedName>
    <definedName name="AREA1">#REF!</definedName>
    <definedName name="AREA2">#REF!</definedName>
    <definedName name="ARFINE">#REF!</definedName>
    <definedName name="árfolyam">#REF!</definedName>
    <definedName name="ARMONDI">#REF!</definedName>
    <definedName name="ARPACK">#REF!</definedName>
    <definedName name="ARRECY">#REF!</definedName>
    <definedName name="ARSCAFIN">#REF!</definedName>
    <definedName name="ARSCARESAB">#REF!</definedName>
    <definedName name="ARTRANSF">#REF!</definedName>
    <definedName name="as">#REF!</definedName>
    <definedName name="AS2DocOpenMode" hidden="1">"AS2DocumentEdit"</definedName>
    <definedName name="AS2HasNoAutoHeaderFooter">"OFF"</definedName>
    <definedName name="asa">#REF!</definedName>
    <definedName name="asd" hidden="1">#REF!</definedName>
    <definedName name="asdf" hidden="1">#REF!</definedName>
    <definedName name="asdfg" hidden="1">#REF!</definedName>
    <definedName name="asdfgh" hidden="1">#REF!</definedName>
    <definedName name="asdfghj" hidden="1">#REF!</definedName>
    <definedName name="asdfghjkl" hidden="1">#REF!</definedName>
    <definedName name="b" localSheetId="13">{"Werkdp_incl",#N/A,FALSE,"WERKdp"}</definedName>
    <definedName name="b" localSheetId="1">{"Werkdp_incl",#N/A,FALSE,"WERKdp"}</definedName>
    <definedName name="b" localSheetId="2">{"Werkdp_incl",#N/A,FALSE,"WERKdp"}</definedName>
    <definedName name="b" localSheetId="3">{"Werkdp_incl",#N/A,FALSE,"WERKdp"}</definedName>
    <definedName name="b">{"Werkdp_incl",#N/A,FALSE,"WERKdp"}</definedName>
    <definedName name="Balham">#REF!</definedName>
    <definedName name="BAMKA">#REF!</definedName>
    <definedName name="banana">#REF!</definedName>
    <definedName name="BANKA">#REF!</definedName>
    <definedName name="Bankalar">#REF!</definedName>
    <definedName name="bb" localSheetId="13" hidden="1">{"Werkdp_excl",#N/A,FALSE,"WERKdp"}</definedName>
    <definedName name="bb" localSheetId="1" hidden="1">{"Werkdp_excl",#N/A,FALSE,"WERKdp"}</definedName>
    <definedName name="bb" localSheetId="2" hidden="1">{"Werkdp_excl",#N/A,FALSE,"WERKdp"}</definedName>
    <definedName name="bb" localSheetId="3" hidden="1">{"Werkdp_excl",#N/A,FALSE,"WERKdp"}</definedName>
    <definedName name="bb" hidden="1">{"Werkdp_excl",#N/A,FALSE,"WERKdp"}</definedName>
    <definedName name="bc" localSheetId="13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bc" localSheetId="1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bc" localSheetId="2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bc" localSheetId="3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bc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bd" localSheetId="13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bd" localSheetId="1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bd" localSheetId="2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bd" localSheetId="3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bd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BGA2druckbereich" localSheetId="13">#REF!,#REF!,#REF!</definedName>
    <definedName name="BGA2druckbereich" localSheetId="1">#REF!,#REF!,#REF!</definedName>
    <definedName name="BGA2druckbereich" localSheetId="2">#REF!,#REF!,#REF!</definedName>
    <definedName name="BGA2druckbereich" localSheetId="3">#REF!,#REF!,#REF!</definedName>
    <definedName name="BGA2druckbereich">#REF!,#REF!,#REF!</definedName>
    <definedName name="blabal">#REF!</definedName>
    <definedName name="Borlem_Blank_Column">#REF!</definedName>
    <definedName name="BOTTOM">#REF!</definedName>
    <definedName name="BUD">#REF!</definedName>
    <definedName name="BUD_BU34">#REF!</definedName>
    <definedName name="BUD_BU56">#REF!</definedName>
    <definedName name="budget">#REF!</definedName>
    <definedName name="BuiltIn_Print_Area">#REF!</definedName>
    <definedName name="BuiltIn_Print_Area___0">#REF!</definedName>
    <definedName name="BuiltIn_Recorder">#REF!</definedName>
    <definedName name="BusinessUnits">#REF!</definedName>
    <definedName name="CAdf">#REF!</definedName>
    <definedName name="cah">#REF!</definedName>
    <definedName name="CASHFLOW">#REF!</definedName>
    <definedName name="cat">OFFSET(#REF!,0,0,COUNTA(#REF!),1)</definedName>
    <definedName name="CC" localSheetId="13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CC" localSheetId="1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CC" localSheetId="2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CC" localSheetId="3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CC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CH_Blank_Column">#REF!</definedName>
    <definedName name="CHF_EUR">#REF!</definedName>
    <definedName name="CN">#REF!</definedName>
    <definedName name="consumer">#REF!</definedName>
    <definedName name="Cost_data">#REF!</definedName>
    <definedName name="COSTOFSALES">#REF!</definedName>
    <definedName name="cum" localSheetId="13">OFFSET([0]!cat,0,2,,)</definedName>
    <definedName name="cum" localSheetId="1">OFFSET(cat,0,2,,)</definedName>
    <definedName name="cum" localSheetId="2">OFFSET([0]!cat,0,2,,)</definedName>
    <definedName name="cum" localSheetId="3">OFFSET([0]!cat,0,2,,)</definedName>
    <definedName name="cum">OFFSET(cat,0,2,,)</definedName>
    <definedName name="CY" localSheetId="13">#REF!</definedName>
    <definedName name="CY" localSheetId="1">#REF!</definedName>
    <definedName name="CY" localSheetId="2">#REF!</definedName>
    <definedName name="CY" localSheetId="3">#REF!</definedName>
    <definedName name="CY">#REF!</definedName>
    <definedName name="cye">#REF!</definedName>
    <definedName name="CYT">#REF!</definedName>
    <definedName name="cyx">#REF!</definedName>
    <definedName name="CYYEAR">#REF!</definedName>
    <definedName name="d">#REF!</definedName>
    <definedName name="Dat">#REF!</definedName>
    <definedName name="Data_input">#REF!</definedName>
    <definedName name="DATA5">#REF!</definedName>
    <definedName name="DateAct">#REF!</definedName>
    <definedName name="DateBud">#REF!</definedName>
    <definedName name="DatePY">#REF!</definedName>
    <definedName name="dd" hidden="1">#REF!</definedName>
    <definedName name="DELETE">#REF!</definedName>
    <definedName name="Departments">#REF!</definedName>
    <definedName name="DFWLKJERGFOJW">#REF!</definedName>
    <definedName name="DIST">#REF!</definedName>
    <definedName name="DiscYield">#REF!</definedName>
    <definedName name="DKK_EUR">#REF!</definedName>
    <definedName name="DKSIJVOIWDJFIOR">#REF!</definedName>
    <definedName name="dlasşdkasşd">#REF!</definedName>
    <definedName name="DÖNEM">#REF!</definedName>
    <definedName name="DSO">#REF!</definedName>
    <definedName name="dşasdl">#REF!</definedName>
    <definedName name="dşiadlasi">#REF!</definedName>
    <definedName name="E">#REF!</definedName>
    <definedName name="eafjdıshgdıohgıohqoıshg">#REF!</definedName>
    <definedName name="EARN">#REF!</definedName>
    <definedName name="Earn_CF">#REF!</definedName>
    <definedName name="EARNINGS">#REF!</definedName>
    <definedName name="EffToNom">#REF!</definedName>
    <definedName name="Eingeben" localSheetId="19">#REF!</definedName>
    <definedName name="Eingeben" localSheetId="12">#REF!</definedName>
    <definedName name="Eingeben" localSheetId="18">#REF!</definedName>
    <definedName name="Eingeben">#REF!</definedName>
    <definedName name="EingebenB" localSheetId="19">#REF!</definedName>
    <definedName name="EingebenB" localSheetId="12">#REF!</definedName>
    <definedName name="EingebenB" localSheetId="18">#REF!</definedName>
    <definedName name="EingebenB">#REF!</definedName>
    <definedName name="EKFOPJ">#REF!</definedName>
    <definedName name="Elements">#REF!</definedName>
    <definedName name="ELSA" localSheetId="13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ELSA" localSheetId="1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ELSA" localSheetId="2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ELSA" localSheetId="3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ELSA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ERER" localSheetId="13" hidden="1">{"Werkdp_incl",#N/A,FALSE,"WERKdp"}</definedName>
    <definedName name="ERER" localSheetId="1" hidden="1">{"Werkdp_incl",#N/A,FALSE,"WERKdp"}</definedName>
    <definedName name="ERER" localSheetId="2" hidden="1">{"Werkdp_incl",#N/A,FALSE,"WERKdp"}</definedName>
    <definedName name="ERER" localSheetId="3" hidden="1">{"Werkdp_incl",#N/A,FALSE,"WERKdp"}</definedName>
    <definedName name="ERER" hidden="1">{"Werkdp_incl",#N/A,FALSE,"WERKdp"}</definedName>
    <definedName name="Erlöseeingabe">#REF!</definedName>
    <definedName name="EU" localSheetId="13" hidden="1">{"Werkdp_excl",#N/A,FALSE,"WERKdp"}</definedName>
    <definedName name="EU" localSheetId="1" hidden="1">{"Werkdp_excl",#N/A,FALSE,"WERKdp"}</definedName>
    <definedName name="EU" localSheetId="2" hidden="1">{"Werkdp_excl",#N/A,FALSE,"WERKdp"}</definedName>
    <definedName name="EU" localSheetId="3" hidden="1">{"Werkdp_excl",#N/A,FALSE,"WERKdp"}</definedName>
    <definedName name="EU" hidden="1">{"Werkdp_excl",#N/A,FALSE,"WERKdp"}</definedName>
    <definedName name="EUR" localSheetId="13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EUR" localSheetId="1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EUR" localSheetId="2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EUR" localSheetId="3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EUR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eurngr">#REF!</definedName>
    <definedName name="EURO" localSheetId="13" hidden="1">{"forecast1",#N/A,FALSE,"P&amp;Lfc7";"forecast2",#N/A,FALSE,"P&amp;Lfc7"}</definedName>
    <definedName name="EURO" localSheetId="1" hidden="1">{"forecast1",#N/A,FALSE,"P&amp;Lfc7";"forecast2",#N/A,FALSE,"P&amp;Lfc7"}</definedName>
    <definedName name="EURO" localSheetId="2" hidden="1">{"forecast1",#N/A,FALSE,"P&amp;Lfc7";"forecast2",#N/A,FALSE,"P&amp;Lfc7"}</definedName>
    <definedName name="EURO" localSheetId="3" hidden="1">{"forecast1",#N/A,FALSE,"P&amp;Lfc7";"forecast2",#N/A,FALSE,"P&amp;Lfc7"}</definedName>
    <definedName name="EURO" hidden="1">{"forecast1",#N/A,FALSE,"P&amp;Lfc7";"forecast2",#N/A,FALSE,"P&amp;Lfc7"}</definedName>
    <definedName name="EUROS" localSheetId="13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EUROS" localSheetId="1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EUROS" localSheetId="2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EUROS" localSheetId="3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EUROS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Exchange_rate">#REF!</definedName>
    <definedName name="Exchange_rate_average">#REF!</definedName>
    <definedName name="f" localSheetId="13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f" localSheetId="1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f" localSheetId="2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f" localSheetId="3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f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fdf">#REF!</definedName>
    <definedName name="FDJVGsoıvob">#REF!</definedName>
    <definedName name="fevzi">#REF!</definedName>
    <definedName name="fevziiiii">#REF!</definedName>
    <definedName name="ffffffffffffffffffffff" localSheetId="13" hidden="1">{"Werkdp_excl",#N/A,FALSE,"WERKdp"}</definedName>
    <definedName name="ffffffffffffffffffffff" localSheetId="1" hidden="1">{"Werkdp_excl",#N/A,FALSE,"WERKdp"}</definedName>
    <definedName name="ffffffffffffffffffffff" localSheetId="2" hidden="1">{"Werkdp_excl",#N/A,FALSE,"WERKdp"}</definedName>
    <definedName name="ffffffffffffffffffffff" localSheetId="3" hidden="1">{"Werkdp_excl",#N/A,FALSE,"WERKdp"}</definedName>
    <definedName name="ffffffffffffffffffffff" hidden="1">{"Werkdp_excl",#N/A,FALSE,"WERKdp"}</definedName>
    <definedName name="Firmaadı">#REF!</definedName>
    <definedName name="firmaadıo">#REF!</definedName>
    <definedName name="FMMWLJRGOEIJTHGĞOWQJ">#REF!</definedName>
    <definedName name="Ford_Autokola">#REF!</definedName>
    <definedName name="fore" localSheetId="13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fore" localSheetId="1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fore" localSheetId="2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fore" localSheetId="3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fore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FORECAST" localSheetId="13" hidden="1">{"Werkdp_excl",#N/A,FALSE,"WERKdp"}</definedName>
    <definedName name="FORECAST" localSheetId="1" hidden="1">{"Werkdp_excl",#N/A,FALSE,"WERKdp"}</definedName>
    <definedName name="FORECAST" localSheetId="2" hidden="1">{"Werkdp_excl",#N/A,FALSE,"WERKdp"}</definedName>
    <definedName name="FORECAST" localSheetId="3" hidden="1">{"Werkdp_excl",#N/A,FALSE,"WERKdp"}</definedName>
    <definedName name="FORECAST" hidden="1">{"Werkdp_excl",#N/A,FALSE,"WERKdp"}</definedName>
    <definedName name="forecastnuevo">#REF!</definedName>
    <definedName name="fre" localSheetId="13">OFFSET([0]!cat,0,1,,)</definedName>
    <definedName name="fre" localSheetId="1">OFFSET(cat,0,1,,)</definedName>
    <definedName name="fre" localSheetId="2">OFFSET([0]!cat,0,1,,)</definedName>
    <definedName name="fre" localSheetId="3">OFFSET([0]!cat,0,1,,)</definedName>
    <definedName name="fre">OFFSET(cat,0,1,,)</definedName>
    <definedName name="Fxtable" localSheetId="13">#REF!</definedName>
    <definedName name="Fxtable" localSheetId="1">#REF!</definedName>
    <definedName name="Fxtable" localSheetId="2">#REF!</definedName>
    <definedName name="Fxtable" localSheetId="3">#REF!</definedName>
    <definedName name="Fxtable">#REF!</definedName>
    <definedName name="g" hidden="1">#REF!</definedName>
    <definedName name="gfd" localSheetId="13" hidden="1">{"Werkdp_excl",#N/A,FALSE,"WERKdp"}</definedName>
    <definedName name="gfd" localSheetId="1" hidden="1">{"Werkdp_excl",#N/A,FALSE,"WERKdp"}</definedName>
    <definedName name="gfd" localSheetId="2" hidden="1">{"Werkdp_excl",#N/A,FALSE,"WERKdp"}</definedName>
    <definedName name="gfd" localSheetId="3" hidden="1">{"Werkdp_excl",#N/A,FALSE,"WERKdp"}</definedName>
    <definedName name="gfd" hidden="1">{"Werkdp_excl",#N/A,FALSE,"WERKdp"}</definedName>
    <definedName name="GG" localSheetId="13" hidden="1">{"Werkdp_excl",#N/A,FALSE,"WERKdp"}</definedName>
    <definedName name="GG" localSheetId="1" hidden="1">{"Werkdp_excl",#N/A,FALSE,"WERKdp"}</definedName>
    <definedName name="GG" localSheetId="2" hidden="1">{"Werkdp_excl",#N/A,FALSE,"WERKdp"}</definedName>
    <definedName name="GG" localSheetId="3" hidden="1">{"Werkdp_excl",#N/A,FALSE,"WERKdp"}</definedName>
    <definedName name="GG" hidden="1">{"Werkdp_excl",#N/A,FALSE,"WERKdp"}</definedName>
    <definedName name="Growth">#REF!</definedName>
    <definedName name="hava" localSheetId="13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hava" localSheetId="1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hava" localSheetId="2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hava" localSheetId="3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hava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HJBHGVUY">#REF!</definedName>
    <definedName name="HTML_CodePage" hidden="1">1252</definedName>
    <definedName name="HTML_Control" localSheetId="13" hidden="1">{"'Produktion'!$A$19:$J$28"}</definedName>
    <definedName name="HTML_Control" localSheetId="1" hidden="1">{"'Produktion'!$A$19:$J$28"}</definedName>
    <definedName name="HTML_Control" localSheetId="2" hidden="1">{"'Produktion'!$A$19:$J$28"}</definedName>
    <definedName name="HTML_Control" localSheetId="3" hidden="1">{"'Produktion'!$A$19:$J$28"}</definedName>
    <definedName name="HTML_Control" hidden="1">{"'Produktion'!$A$19:$J$28"}</definedName>
    <definedName name="HTML_Description" hidden="1">""</definedName>
    <definedName name="HTML_Email" hidden="1">""</definedName>
    <definedName name="HTML_Header" hidden="1">"Produktion"</definedName>
    <definedName name="HTML_LastUpdate" hidden="1">"01.06.99"</definedName>
    <definedName name="HTML_LineAfter" hidden="1">FALSE</definedName>
    <definedName name="HTML_LineBefore" hidden="1">FALSE</definedName>
    <definedName name="HTML_Name" hidden="1">"Fleissner Helmut"</definedName>
    <definedName name="HTML_OBDlg2" hidden="1">TRUE</definedName>
    <definedName name="HTML_OBDlg4" hidden="1">TRUE</definedName>
    <definedName name="HTML_OS" hidden="1">0</definedName>
    <definedName name="HTML_PathFile" hidden="1">"C:\Daten\Heli\NAG\Tagesbericht\Web\Produktion2.htm"</definedName>
    <definedName name="HTML_Title" hidden="1">"TB_Vorschlag"</definedName>
    <definedName name="HTML1_1" hidden="1">"[test.xls]SCA!$A$5:$E$52"</definedName>
    <definedName name="HTML1_10" hidden="1">""</definedName>
    <definedName name="HTML1_11" hidden="1">1</definedName>
    <definedName name="HTML1_12" hidden="1">"C:\WINDOWS\Personal\MyHTML.htm"</definedName>
    <definedName name="HTML1_2" hidden="1">1</definedName>
    <definedName name="HTML1_3" hidden="1">"Financial Plan"</definedName>
    <definedName name="HTML1_4" hidden="1">"SCA"</definedName>
    <definedName name="HTML1_5" hidden="1">""</definedName>
    <definedName name="HTML1_6" hidden="1">-4146</definedName>
    <definedName name="HTML1_7" hidden="1">-4146</definedName>
    <definedName name="HTML1_8" hidden="1">"1996-03-02"</definedName>
    <definedName name="HTML1_9" hidden="1">"SCA HQ"</definedName>
    <definedName name="HTMLCount" hidden="1">1</definedName>
    <definedName name="INV">#REF!</definedName>
    <definedName name="ısm" localSheetId="13" hidden="1">{"Werkdp_excl",#N/A,FALSE,"WERKdp"}</definedName>
    <definedName name="ısm" localSheetId="1" hidden="1">{"Werkdp_excl",#N/A,FALSE,"WERKdp"}</definedName>
    <definedName name="ısm" localSheetId="2" hidden="1">{"Werkdp_excl",#N/A,FALSE,"WERKdp"}</definedName>
    <definedName name="ısm" localSheetId="3" hidden="1">{"Werkdp_excl",#N/A,FALSE,"WERKdp"}</definedName>
    <definedName name="ısm" hidden="1">{"Werkdp_excl",#N/A,FALSE,"WERKdp"}</definedName>
    <definedName name="ısmmmm" localSheetId="13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ısmmmm" localSheetId="1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ısmmmm" localSheetId="2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ısmmmm" localSheetId="3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ısmmmm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IST_JAHR">#REF!</definedName>
    <definedName name="IST_JAHR_BU34">#REF!</definedName>
    <definedName name="IST_JAHR_BU56">#REF!</definedName>
    <definedName name="IST_MON">#REF!</definedName>
    <definedName name="i">#REF!</definedName>
    <definedName name="industrial">#REF!</definedName>
    <definedName name="jboix" localSheetId="13" hidden="1">{"Werkdp_excl",#N/A,FALSE,"WERKdp"}</definedName>
    <definedName name="jboix" localSheetId="1" hidden="1">{"Werkdp_excl",#N/A,FALSE,"WERKdp"}</definedName>
    <definedName name="jboix" localSheetId="2" hidden="1">{"Werkdp_excl",#N/A,FALSE,"WERKdp"}</definedName>
    <definedName name="jboix" localSheetId="3" hidden="1">{"Werkdp_excl",#N/A,FALSE,"WERKdp"}</definedName>
    <definedName name="jboix" hidden="1">{"Werkdp_excl",#N/A,FALSE,"WERKdp"}</definedName>
    <definedName name="jboixader" localSheetId="13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jboixader" localSheetId="1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jboixader" localSheetId="2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jboixader" localSheetId="3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jboixader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JIJIJIOGYFE5SWAW">#REF!</definedName>
    <definedName name="jjjjjjjşşşş" localSheetId="13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jjjjjjjşşşş" localSheetId="1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jjjjjjjşşşş" localSheetId="2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jjjjjjjşşşş" localSheetId="3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jjjjjjjşşşş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josep" localSheetId="13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josep" localSheetId="1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josep" localSheetId="2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josep" localSheetId="3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josep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k" localSheetId="19">#REF!</definedName>
    <definedName name="k" localSheetId="12">#REF!</definedName>
    <definedName name="k" localSheetId="18">#REF!</definedName>
    <definedName name="k">#REF!</definedName>
    <definedName name="Kämper_B">#REF!</definedName>
    <definedName name="Kämper_P">#REF!</definedName>
    <definedName name="_xlnm.Recorder">#REF!</definedName>
    <definedName name="klant">#REF!</definedName>
    <definedName name="klmklmşlm" localSheetId="13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klmklmşlm" localSheetId="1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klmklmşlm" localSheetId="2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klmklmşlm" localSheetId="3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klmklmşlm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konverz">"ONJUN98!R1C1"</definedName>
    <definedName name="ksrs" localSheetId="13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ksrs" localSheetId="1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ksrs" localSheetId="2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ksrs" localSheetId="3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ksrs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Life">#REF!</definedName>
    <definedName name="LJPİ" localSheetId="13" hidden="1">{"Werkdp_excl",#N/A,FALSE,"WERKdp"}</definedName>
    <definedName name="LJPİ" localSheetId="1" hidden="1">{"Werkdp_excl",#N/A,FALSE,"WERKdp"}</definedName>
    <definedName name="LJPİ" localSheetId="2" hidden="1">{"Werkdp_excl",#N/A,FALSE,"WERKdp"}</definedName>
    <definedName name="LJPİ" localSheetId="3" hidden="1">{"Werkdp_excl",#N/A,FALSE,"WERKdp"}</definedName>
    <definedName name="LJPİ" hidden="1">{"Werkdp_excl",#N/A,FALSE,"WERKdp"}</definedName>
    <definedName name="Makro2">#REF!</definedName>
    <definedName name="MES">#REF!</definedName>
    <definedName name="moft" localSheetId="13" hidden="1">{"Budinc",#N/A,FALSE,"EUROM";"Budinc",#N/A,FALSE,"HOLDM";"Budinc",#N/A,FALSE,"WERKM";"Budinc",#N/A,FALSE,"MANRM";"Budinc",#N/A,FALSE,"BORLM";"budinc",#N/A,FALSE,"AUKOM";"budinc",#N/A,FALSE,"KALYM";"budinc",#N/A,FALSE,"INCIM";"budinc",#N/A,FALSE,"SYSEM"}</definedName>
    <definedName name="moft" localSheetId="1" hidden="1">{"Budinc",#N/A,FALSE,"EUROM";"Budinc",#N/A,FALSE,"HOLDM";"Budinc",#N/A,FALSE,"WERKM";"Budinc",#N/A,FALSE,"MANRM";"Budinc",#N/A,FALSE,"BORLM";"budinc",#N/A,FALSE,"AUKOM";"budinc",#N/A,FALSE,"KALYM";"budinc",#N/A,FALSE,"INCIM";"budinc",#N/A,FALSE,"SYSEM"}</definedName>
    <definedName name="moft" localSheetId="2" hidden="1">{"Budinc",#N/A,FALSE,"EUROM";"Budinc",#N/A,FALSE,"HOLDM";"Budinc",#N/A,FALSE,"WERKM";"Budinc",#N/A,FALSE,"MANRM";"Budinc",#N/A,FALSE,"BORLM";"budinc",#N/A,FALSE,"AUKOM";"budinc",#N/A,FALSE,"KALYM";"budinc",#N/A,FALSE,"INCIM";"budinc",#N/A,FALSE,"SYSEM"}</definedName>
    <definedName name="moft" localSheetId="3" hidden="1">{"Budinc",#N/A,FALSE,"EUROM";"Budinc",#N/A,FALSE,"HOLDM";"Budinc",#N/A,FALSE,"WERKM";"Budinc",#N/A,FALSE,"MANRM";"Budinc",#N/A,FALSE,"BORLM";"budinc",#N/A,FALSE,"AUKOM";"budinc",#N/A,FALSE,"KALYM";"budinc",#N/A,FALSE,"INCIM";"budinc",#N/A,FALSE,"SYSEM"}</definedName>
    <definedName name="moft" hidden="1">{"Budinc",#N/A,FALSE,"EUROM";"Budinc",#N/A,FALSE,"HOLDM";"Budinc",#N/A,FALSE,"WERKM";"Budinc",#N/A,FALSE,"MANRM";"Budinc",#N/A,FALSE,"BORLM";"budinc",#N/A,FALSE,"AUKOM";"budinc",#N/A,FALSE,"KALYM";"budinc",#N/A,FALSE,"INCIM";"budinc",#N/A,FALSE,"SYSEM"}</definedName>
    <definedName name="MONAT">#REF!</definedName>
    <definedName name="month">#REF!</definedName>
    <definedName name="Multiple">#REF!</definedName>
    <definedName name="nakdi">#REF!</definedName>
    <definedName name="NAPGPAB">#REF!</definedName>
    <definedName name="NE_anal">#REF!</definedName>
    <definedName name="NOK_EUR">#REF!</definedName>
    <definedName name="NomEffInterest">#REF!</definedName>
    <definedName name="NomToEff">#REF!</definedName>
    <definedName name="Non__Production_costs_summary">#REF!</definedName>
    <definedName name="Non_Cash_costs_summary">#REF!</definedName>
    <definedName name="NUEV" localSheetId="13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NUEV" localSheetId="1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NUEV" localSheetId="2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NUEV" localSheetId="3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NUEV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OLA" localSheetId="13" hidden="1">{"Werkdp_incl",#N/A,FALSE,"WERKdp"}</definedName>
    <definedName name="OLA" localSheetId="1" hidden="1">{"Werkdp_incl",#N/A,FALSE,"WERKdp"}</definedName>
    <definedName name="OLA" localSheetId="2" hidden="1">{"Werkdp_incl",#N/A,FALSE,"WERKdp"}</definedName>
    <definedName name="OLA" localSheetId="3" hidden="1">{"Werkdp_incl",#N/A,FALSE,"WERKdp"}</definedName>
    <definedName name="OLA" hidden="1">{"Werkdp_incl",#N/A,FALSE,"WERKdp"}</definedName>
    <definedName name="old">#REF!</definedName>
    <definedName name="Operating_Costs_summary">#REF!</definedName>
    <definedName name="Org" localSheetId="13" hidden="1">{"Werkdp_excl",#N/A,FALSE,"WERKdp"}</definedName>
    <definedName name="Org" localSheetId="1" hidden="1">{"Werkdp_excl",#N/A,FALSE,"WERKdp"}</definedName>
    <definedName name="Org" localSheetId="2" hidden="1">{"Werkdp_excl",#N/A,FALSE,"WERKdp"}</definedName>
    <definedName name="Org" localSheetId="3" hidden="1">{"Werkdp_excl",#N/A,FALSE,"WERKdp"}</definedName>
    <definedName name="Org" hidden="1">{"Werkdp_excl",#N/A,FALSE,"WERKdp"}</definedName>
    <definedName name="ORIG">#REF!</definedName>
    <definedName name="Other_var_type">#REF!</definedName>
    <definedName name="Overall_Total_summary">#REF!</definedName>
    <definedName name="Period">#REF!</definedName>
    <definedName name="Periods">#REF!</definedName>
    <definedName name="planning">#REF!</definedName>
    <definedName name="poi" hidden="1">#REF!</definedName>
    <definedName name="Powertrain_Blank_Column">#REF!</definedName>
    <definedName name="PÖLS.TS">#REF!</definedName>
    <definedName name="PPAccum">0</definedName>
    <definedName name="PPEuro">0</definedName>
    <definedName name="ppp">#REF!</definedName>
    <definedName name="PPUpdate">0</definedName>
    <definedName name="PRINT_AREA_MI">#REF!</definedName>
    <definedName name="Print_this_area">#REF!</definedName>
    <definedName name="Production_variables">#REF!</definedName>
    <definedName name="Products">#REF!</definedName>
    <definedName name="PY">#REF!</definedName>
    <definedName name="py1e">#REF!</definedName>
    <definedName name="py2e">#REF!</definedName>
    <definedName name="pye">#REF!</definedName>
    <definedName name="PYYEAR">#REF!</definedName>
    <definedName name="q">#REF!</definedName>
    <definedName name="qewfwfd">#REF!</definedName>
    <definedName name="qq" localSheetId="13" hidden="1">{"Werkdp_incl",#N/A,FALSE,"WERKdp"}</definedName>
    <definedName name="qq" localSheetId="1" hidden="1">{"Werkdp_incl",#N/A,FALSE,"WERKdp"}</definedName>
    <definedName name="qq" localSheetId="2" hidden="1">{"Werkdp_incl",#N/A,FALSE,"WERKdp"}</definedName>
    <definedName name="qq" localSheetId="3" hidden="1">{"Werkdp_incl",#N/A,FALSE,"WERKdp"}</definedName>
    <definedName name="qq" hidden="1">{"Werkdp_incl",#N/A,FALSE,"WERKdp"}</definedName>
    <definedName name="qqq">#REF!</definedName>
    <definedName name="QQQQ" localSheetId="13" hidden="1">{"Werkdp_excl",#N/A,FALSE,"WERKdp"}</definedName>
    <definedName name="QQQQ" localSheetId="1" hidden="1">{"Werkdp_excl",#N/A,FALSE,"WERKdp"}</definedName>
    <definedName name="QQQQ" localSheetId="2" hidden="1">{"Werkdp_excl",#N/A,FALSE,"WERKdp"}</definedName>
    <definedName name="QQQQ" localSheetId="3" hidden="1">{"Werkdp_excl",#N/A,FALSE,"WERKdp"}</definedName>
    <definedName name="QQQQ" hidden="1">{"Werkdp_excl",#N/A,FALSE,"WERKdp"}</definedName>
    <definedName name="qqqqqqqqqq" localSheetId="13" hidden="1">{"Werkdp_excl",#N/A,FALSE,"WERKdp"}</definedName>
    <definedName name="qqqqqqqqqq" localSheetId="1" hidden="1">{"Werkdp_excl",#N/A,FALSE,"WERKdp"}</definedName>
    <definedName name="qqqqqqqqqq" localSheetId="2" hidden="1">{"Werkdp_excl",#N/A,FALSE,"WERKdp"}</definedName>
    <definedName name="qqqqqqqqqq" localSheetId="3" hidden="1">{"Werkdp_excl",#N/A,FALSE,"WERKdp"}</definedName>
    <definedName name="qqqqqqqqqq" hidden="1">{"Werkdp_excl",#N/A,FALSE,"WERKdp"}</definedName>
    <definedName name="ream">#REF!</definedName>
    <definedName name="RECON">#REF!</definedName>
    <definedName name="reel">#REF!</definedName>
    <definedName name="Rev_var_type">#REF!</definedName>
    <definedName name="Rev_var_type2">#REF!</definedName>
    <definedName name="Rev_Variances">#REF!</definedName>
    <definedName name="Revenue_results_other">#REF!</definedName>
    <definedName name="Revenue_summary">#REF!</definedName>
    <definedName name="Revenue_variables">#REF!</definedName>
    <definedName name="Revenue_Variance_data">#REF!</definedName>
    <definedName name="s">#REF!</definedName>
    <definedName name="sacks">#REF!</definedName>
    <definedName name="sad" localSheetId="13" hidden="1">{"'Produktion'!$A$19:$J$28"}</definedName>
    <definedName name="sad" localSheetId="1" hidden="1">{"'Produktion'!$A$19:$J$28"}</definedName>
    <definedName name="sad" localSheetId="2" hidden="1">{"'Produktion'!$A$19:$J$28"}</definedName>
    <definedName name="sad" localSheetId="3" hidden="1">{"'Produktion'!$A$19:$J$28"}</definedName>
    <definedName name="sad" hidden="1">{"'Produktion'!$A$19:$J$28"}</definedName>
    <definedName name="SALES">#REF!</definedName>
    <definedName name="SALESCOST">#REF!</definedName>
    <definedName name="SALESDOLLARS">#REF!</definedName>
    <definedName name="SALESUNITS">#REF!</definedName>
    <definedName name="SAPCrosstab1">'Bütçe aylık-TL'!$A$1:$N$196</definedName>
    <definedName name="SAPCrosstab10">'Tahmin-eur'!$A$1:$N$155</definedName>
    <definedName name="SAPCrosstab11">#REF!</definedName>
    <definedName name="SAPCrosstab12">#REF!</definedName>
    <definedName name="SAPCrosstab13">#REF!</definedName>
    <definedName name="SAPCrosstab14">#REF!</definedName>
    <definedName name="SAPCrosstab15">#REF!</definedName>
    <definedName name="SAPCrosstab16">#REF!</definedName>
    <definedName name="SAPCrosstab17">#REF!</definedName>
    <definedName name="SAPCrosstab2">'Bütçe Değişim TL'!$A$1:$M$81</definedName>
    <definedName name="SAPCrosstab3">'gerç aylık-tl'!$A$1:$N$195</definedName>
    <definedName name="SAPCrosstab4">'değişim-tl'!$A$1:$M$63</definedName>
    <definedName name="SAPCrosstab5">'gerç aylık-eur'!$A$1:$M$195</definedName>
    <definedName name="SAPCrosstab6">'Bütçe aylık-Eur'!$A$1:$N$196</definedName>
    <definedName name="SAPCrosstab7">'değişim aylık eur'!$A$1:$M$19</definedName>
    <definedName name="SAPCrosstab8">'Bütçe Değişim eur'!$A$1:$M$37</definedName>
    <definedName name="SAPCrosstab9">'Tahmin-tl'!$A$1:$G$155</definedName>
    <definedName name="sasasss" hidden="1">#REF!</definedName>
    <definedName name="SAVE">#REF!</definedName>
    <definedName name="sbE_Autokola">#REF!</definedName>
    <definedName name="sdf" localSheetId="13" hidden="1">{"'Produktion'!$A$19:$J$28"}</definedName>
    <definedName name="sdf" localSheetId="1" hidden="1">{"'Produktion'!$A$19:$J$28"}</definedName>
    <definedName name="sdf" localSheetId="2" hidden="1">{"'Produktion'!$A$19:$J$28"}</definedName>
    <definedName name="sdf" localSheetId="3" hidden="1">{"'Produktion'!$A$19:$J$28"}</definedName>
    <definedName name="sdf" hidden="1">{"'Produktion'!$A$19:$J$28"}</definedName>
    <definedName name="sdsds">#REF!</definedName>
    <definedName name="sdsdsds" localSheetId="13" hidden="1">{"'Produktion'!$A$19:$J$28"}</definedName>
    <definedName name="sdsdsds" localSheetId="1" hidden="1">{"'Produktion'!$A$19:$J$28"}</definedName>
    <definedName name="sdsdsds" localSheetId="2" hidden="1">{"'Produktion'!$A$19:$J$28"}</definedName>
    <definedName name="sdsdsds" localSheetId="3" hidden="1">{"'Produktion'!$A$19:$J$28"}</definedName>
    <definedName name="sdsdsds" hidden="1">{"'Produktion'!$A$19:$J$28"}</definedName>
    <definedName name="se">#REF!</definedName>
    <definedName name="SEK_EUR">#REF!</definedName>
    <definedName name="sfasdf" localSheetId="13" hidden="1">{"'Produktion'!$A$19:$J$28"}</definedName>
    <definedName name="sfasdf" localSheetId="1" hidden="1">{"'Produktion'!$A$19:$J$28"}</definedName>
    <definedName name="sfasdf" localSheetId="2" hidden="1">{"'Produktion'!$A$19:$J$28"}</definedName>
    <definedName name="sfasdf" localSheetId="3" hidden="1">{"'Produktion'!$A$19:$J$28"}</definedName>
    <definedName name="sfasdf" hidden="1">{"'Produktion'!$A$19:$J$28"}</definedName>
    <definedName name="SHBLastRowA">#REF!</definedName>
    <definedName name="SOLL.Bestandsv.">#REF!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onuç" localSheetId="13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sonuç" localSheetId="1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sonuç" localSheetId="2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sonuç" localSheetId="3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sonuç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sonuç1" localSheetId="13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sonuç1" localSheetId="1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sonuç1" localSheetId="2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sonuç1" localSheetId="3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sonuç1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soper">#REF!</definedName>
    <definedName name="SSS" localSheetId="13" hidden="1">{"Werkdp_excl",#N/A,FALSE,"WERKdp"}</definedName>
    <definedName name="SSS" localSheetId="1" hidden="1">{"Werkdp_excl",#N/A,FALSE,"WERKdp"}</definedName>
    <definedName name="SSS" localSheetId="2" hidden="1">{"Werkdp_excl",#N/A,FALSE,"WERKdp"}</definedName>
    <definedName name="SSS" localSheetId="3" hidden="1">{"Werkdp_excl",#N/A,FALSE,"WERKdp"}</definedName>
    <definedName name="SSS" hidden="1">{"Werkdp_excl",#N/A,FALSE,"WERKdp"}</definedName>
    <definedName name="STOCK">#REF!</definedName>
    <definedName name="Stock_Fin_B">#REF!</definedName>
    <definedName name="SubjectCompany">#REF!</definedName>
    <definedName name="SusLife">#REF!</definedName>
    <definedName name="Suspension_Blank_Column">#REF!</definedName>
    <definedName name="SwapEffInterest">#REF!</definedName>
    <definedName name="szo_dun" localSheetId="19">#REF!</definedName>
    <definedName name="szo_dun" localSheetId="12">#REF!</definedName>
    <definedName name="szo_dun" localSheetId="18">#REF!</definedName>
    <definedName name="szo_dun">#REF!</definedName>
    <definedName name="Şirket">#REF!</definedName>
    <definedName name="t" localSheetId="13" hidden="1">{"forecast1",#N/A,FALSE,"P&amp;Lfc7";"forecast2",#N/A,FALSE,"P&amp;Lfc7"}</definedName>
    <definedName name="t" localSheetId="1" hidden="1">{"forecast1",#N/A,FALSE,"P&amp;Lfc7";"forecast2",#N/A,FALSE,"P&amp;Lfc7"}</definedName>
    <definedName name="t" localSheetId="2" hidden="1">{"forecast1",#N/A,FALSE,"P&amp;Lfc7";"forecast2",#N/A,FALSE,"P&amp;Lfc7"}</definedName>
    <definedName name="t" localSheetId="3" hidden="1">{"forecast1",#N/A,FALSE,"P&amp;Lfc7";"forecast2",#N/A,FALSE,"P&amp;Lfc7"}</definedName>
    <definedName name="t" hidden="1">{"forecast1",#N/A,FALSE,"P&amp;Lfc7";"forecast2",#N/A,FALSE,"P&amp;Lfc7"}</definedName>
    <definedName name="tabelle" localSheetId="19">#REF!</definedName>
    <definedName name="tabelle" localSheetId="12">#REF!</definedName>
    <definedName name="tabelle" localSheetId="18">#REF!</definedName>
    <definedName name="tabelle">#REF!</definedName>
    <definedName name="tabelle2" localSheetId="19">#REF!</definedName>
    <definedName name="tabelle2" localSheetId="12">#REF!</definedName>
    <definedName name="tabelle2" localSheetId="18">#REF!</definedName>
    <definedName name="tabelle2">#REF!</definedName>
    <definedName name="tabelle3" localSheetId="19">#REF!</definedName>
    <definedName name="tabelle3" localSheetId="12">#REF!</definedName>
    <definedName name="tabelle3" localSheetId="18">#REF!</definedName>
    <definedName name="tabelle3">#REF!</definedName>
    <definedName name="Tax">#REF!</definedName>
    <definedName name="Tax_kämp_P">#REF!</definedName>
    <definedName name="Tdate">#REF!</definedName>
    <definedName name="test" localSheetId="13">#REF!,#REF!</definedName>
    <definedName name="test" localSheetId="1">#REF!,#REF!</definedName>
    <definedName name="test" localSheetId="2">#REF!,#REF!</definedName>
    <definedName name="test" localSheetId="3">#REF!,#REF!</definedName>
    <definedName name="test">#REF!,#REF!</definedName>
    <definedName name="TextRefCopy8">#REF!</definedName>
    <definedName name="TextRefCopy9">#REF!</definedName>
    <definedName name="TextRefCopyRangeCount" hidden="1">9</definedName>
    <definedName name="tip">#REF!</definedName>
    <definedName name="Tmonth">#REF!</definedName>
    <definedName name="TOTAL">#REF!</definedName>
    <definedName name="TotalDruckbereich">#REF!,#REF!,#REF!,#REF!,#REF!,#REF!,#REF!,#REF!,#REF!</definedName>
    <definedName name="transport">#REF!</definedName>
    <definedName name="tt">#REF!</definedName>
    <definedName name="Umglied_1C_B">#REF!</definedName>
    <definedName name="Umglied_1D_B">#REF!</definedName>
    <definedName name="Umlage_P">#REF!</definedName>
    <definedName name="USD_EUR">#REF!</definedName>
    <definedName name="Var_type">#REF!</definedName>
    <definedName name="VARANAL">#REF!</definedName>
    <definedName name="Variables">#REF!</definedName>
    <definedName name="Variance_data">#REF!</definedName>
    <definedName name="Variance_names">#REF!</definedName>
    <definedName name="Variances">#REF!</definedName>
    <definedName name="_xlnm.Database">#REF!</definedName>
    <definedName name="vv">#REF!</definedName>
    <definedName name="W">#REF!</definedName>
    <definedName name="Wacc">#REF!</definedName>
    <definedName name="Wheels_Blank_Column">#REF!</definedName>
    <definedName name="WORK1">#REF!</definedName>
    <definedName name="wrn.ACCTSPRINT." localSheetId="13" hidden="1">{"DEPTS",#N/A,FALSE,"A";"ACCTSPRINT",#N/A,FALSE,"A";"DISTRIB",#N/A,FALSE,"A"}</definedName>
    <definedName name="wrn.ACCTSPRINT." localSheetId="1" hidden="1">{"DEPTS",#N/A,FALSE,"A";"ACCTSPRINT",#N/A,FALSE,"A";"DISTRIB",#N/A,FALSE,"A"}</definedName>
    <definedName name="wrn.ACCTSPRINT." localSheetId="2" hidden="1">{"DEPTS",#N/A,FALSE,"A";"ACCTSPRINT",#N/A,FALSE,"A";"DISTRIB",#N/A,FALSE,"A"}</definedName>
    <definedName name="wrn.ACCTSPRINT." localSheetId="3" hidden="1">{"DEPTS",#N/A,FALSE,"A";"ACCTSPRINT",#N/A,FALSE,"A";"DISTRIB",#N/A,FALSE,"A"}</definedName>
    <definedName name="wrn.ACCTSPRINT." hidden="1">{"DEPTS",#N/A,FALSE,"A";"ACCTSPRINT",#N/A,FALSE,"A";"DISTRIB",#N/A,FALSE,"A"}</definedName>
    <definedName name="wrn.Bud_detail_excl." localSheetId="13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wrn.Bud_detail_excl." localSheetId="1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wrn.Bud_detail_excl." localSheetId="2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wrn.Bud_detail_excl." localSheetId="3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wrn.Bud_detail_excl.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wrn.Bud_detail_incl." localSheetId="13" hidden="1">{"Budinc",#N/A,FALSE,"EUROM";"Budinc",#N/A,FALSE,"HOLDM";"Budinc",#N/A,FALSE,"WERKM";"Budinc",#N/A,FALSE,"MANRM";"Budinc",#N/A,FALSE,"BORLM";"budinc",#N/A,FALSE,"AUKOM";"budinc",#N/A,FALSE,"KALYM";"budinc",#N/A,FALSE,"INCIM";"budinc",#N/A,FALSE,"SYSEM"}</definedName>
    <definedName name="wrn.Bud_detail_incl." localSheetId="1" hidden="1">{"Budinc",#N/A,FALSE,"EUROM";"Budinc",#N/A,FALSE,"HOLDM";"Budinc",#N/A,FALSE,"WERKM";"Budinc",#N/A,FALSE,"MANRM";"Budinc",#N/A,FALSE,"BORLM";"budinc",#N/A,FALSE,"AUKOM";"budinc",#N/A,FALSE,"KALYM";"budinc",#N/A,FALSE,"INCIM";"budinc",#N/A,FALSE,"SYSEM"}</definedName>
    <definedName name="wrn.Bud_detail_incl." localSheetId="2" hidden="1">{"Budinc",#N/A,FALSE,"EUROM";"Budinc",#N/A,FALSE,"HOLDM";"Budinc",#N/A,FALSE,"WERKM";"Budinc",#N/A,FALSE,"MANRM";"Budinc",#N/A,FALSE,"BORLM";"budinc",#N/A,FALSE,"AUKOM";"budinc",#N/A,FALSE,"KALYM";"budinc",#N/A,FALSE,"INCIM";"budinc",#N/A,FALSE,"SYSEM"}</definedName>
    <definedName name="wrn.Bud_detail_incl." localSheetId="3" hidden="1">{"Budinc",#N/A,FALSE,"EUROM";"Budinc",#N/A,FALSE,"HOLDM";"Budinc",#N/A,FALSE,"WERKM";"Budinc",#N/A,FALSE,"MANRM";"Budinc",#N/A,FALSE,"BORLM";"budinc",#N/A,FALSE,"AUKOM";"budinc",#N/A,FALSE,"KALYM";"budinc",#N/A,FALSE,"INCIM";"budinc",#N/A,FALSE,"SYSEM"}</definedName>
    <definedName name="wrn.Bud_detail_incl." hidden="1">{"Budinc",#N/A,FALSE,"EUROM";"Budinc",#N/A,FALSE,"HOLDM";"Budinc",#N/A,FALSE,"WERKM";"Budinc",#N/A,FALSE,"MANRM";"Budinc",#N/A,FALSE,"BORLM";"budinc",#N/A,FALSE,"AUKOM";"budinc",#N/A,FALSE,"KALYM";"budinc",#N/A,FALSE,"INCIM";"budinc",#N/A,FALSE,"SYSEM"}</definedName>
    <definedName name="wrn.Bud_präs_excl." localSheetId="13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wrn.Bud_präs_excl." localSheetId="1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wrn.Bud_präs_excl." localSheetId="2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wrn.Bud_präs_excl." localSheetId="3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wrn.Bud_präs_excl.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wrn.Bud_präs_incl." localSheetId="13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wrn.Bud_präs_incl." localSheetId="1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wrn.Bud_präs_incl." localSheetId="2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wrn.Bud_präs_incl." localSheetId="3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wrn.Bud_präs_incl.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wrn.Details_excl." localSheetId="13" hidden="1">{"Werkdp_excl",#N/A,FALSE,"WERKdp"}</definedName>
    <definedName name="wrn.Details_excl." localSheetId="1" hidden="1">{"Werkdp_excl",#N/A,FALSE,"WERKdp"}</definedName>
    <definedName name="wrn.Details_excl." localSheetId="2" hidden="1">{"Werkdp_excl",#N/A,FALSE,"WERKdp"}</definedName>
    <definedName name="wrn.Details_excl." localSheetId="3" hidden="1">{"Werkdp_excl",#N/A,FALSE,"WERKdp"}</definedName>
    <definedName name="wrn.Details_excl." hidden="1">{"Werkdp_excl",#N/A,FALSE,"WERKdp"}</definedName>
    <definedName name="wrn.Details_incl." localSheetId="13" hidden="1">{"Werkdp_incl",#N/A,FALSE,"WERKdp"}</definedName>
    <definedName name="wrn.Details_incl." localSheetId="1" hidden="1">{"Werkdp_incl",#N/A,FALSE,"WERKdp"}</definedName>
    <definedName name="wrn.Details_incl." localSheetId="2" hidden="1">{"Werkdp_incl",#N/A,FALSE,"WERKdp"}</definedName>
    <definedName name="wrn.Details_incl." localSheetId="3" hidden="1">{"Werkdp_incl",#N/A,FALSE,"WERKdp"}</definedName>
    <definedName name="wrn.Details_incl." hidden="1">{"Werkdp_incl",#N/A,FALSE,"WERKdp"}</definedName>
    <definedName name="wrn.FAX." localSheetId="13" hidden="1">{"FAX",#N/A,FALSE,"JVLOAN94"}</definedName>
    <definedName name="wrn.FAX." localSheetId="1" hidden="1">{"FAX",#N/A,FALSE,"JVLOAN94"}</definedName>
    <definedName name="wrn.FAX." localSheetId="2" hidden="1">{"FAX",#N/A,FALSE,"JVLOAN94"}</definedName>
    <definedName name="wrn.FAX." localSheetId="3" hidden="1">{"FAX",#N/A,FALSE,"JVLOAN94"}</definedName>
    <definedName name="wrn.FAX." hidden="1">{"FAX",#N/A,FALSE,"JVLOAN94"}</definedName>
    <definedName name="wrn.forecast." localSheetId="13" hidden="1">{"forecast1",#N/A,FALSE,"P&amp;Lfc7";"forecast2",#N/A,FALSE,"P&amp;Lfc7"}</definedName>
    <definedName name="wrn.forecast." localSheetId="1" hidden="1">{"forecast1",#N/A,FALSE,"P&amp;Lfc7";"forecast2",#N/A,FALSE,"P&amp;Lfc7"}</definedName>
    <definedName name="wrn.forecast." localSheetId="2" hidden="1">{"forecast1",#N/A,FALSE,"P&amp;Lfc7";"forecast2",#N/A,FALSE,"P&amp;Lfc7"}</definedName>
    <definedName name="wrn.forecast." localSheetId="3" hidden="1">{"forecast1",#N/A,FALSE,"P&amp;Lfc7";"forecast2",#N/A,FALSE,"P&amp;Lfc7"}</definedName>
    <definedName name="wrn.forecast." hidden="1">{"forecast1",#N/A,FALSE,"P&amp;Lfc7";"forecast2",#N/A,FALSE,"P&amp;Lfc7"}</definedName>
    <definedName name="wrn.GENRLPRINT." localSheetId="13" hidden="1">{"DEPTS",#N/A,FALSE,"A";"STAFFPRINT",#N/A,FALSE,"A";"DISTRIB",#N/A,FALSE,"A"}</definedName>
    <definedName name="wrn.GENRLPRINT." localSheetId="1" hidden="1">{"DEPTS",#N/A,FALSE,"A";"STAFFPRINT",#N/A,FALSE,"A";"DISTRIB",#N/A,FALSE,"A"}</definedName>
    <definedName name="wrn.GENRLPRINT." localSheetId="2" hidden="1">{"DEPTS",#N/A,FALSE,"A";"STAFFPRINT",#N/A,FALSE,"A";"DISTRIB",#N/A,FALSE,"A"}</definedName>
    <definedName name="wrn.GENRLPRINT." localSheetId="3" hidden="1">{"DEPTS",#N/A,FALSE,"A";"STAFFPRINT",#N/A,FALSE,"A";"DISTRIB",#N/A,FALSE,"A"}</definedName>
    <definedName name="wrn.GENRLPRINT." hidden="1">{"DEPTS",#N/A,FALSE,"A";"STAFFPRINT",#N/A,FALSE,"A";"DISTRIB",#N/A,FALSE,"A"}</definedName>
    <definedName name="wrn.MONITOR." localSheetId="13" hidden="1">{"MONITOR",#N/A,FALSE,"A"}</definedName>
    <definedName name="wrn.MONITOR." localSheetId="1" hidden="1">{"MONITOR",#N/A,FALSE,"A"}</definedName>
    <definedName name="wrn.MONITOR." localSheetId="2" hidden="1">{"MONITOR",#N/A,FALSE,"A"}</definedName>
    <definedName name="wrn.MONITOR." localSheetId="3" hidden="1">{"MONITOR",#N/A,FALSE,"A"}</definedName>
    <definedName name="wrn.MONITOR." hidden="1">{"MONITOR",#N/A,FALSE,"A"}</definedName>
    <definedName name="wrn.VATACCOUNT." localSheetId="13" hidden="1">{"VATACCOUNT",#N/A,FALSE,"A"}</definedName>
    <definedName name="wrn.VATACCOUNT." localSheetId="1" hidden="1">{"VATACCOUNT",#N/A,FALSE,"A"}</definedName>
    <definedName name="wrn.VATACCOUNT." localSheetId="2" hidden="1">{"VATACCOUNT",#N/A,FALSE,"A"}</definedName>
    <definedName name="wrn.VATACCOUNT." localSheetId="3" hidden="1">{"VATACCOUNT",#N/A,FALSE,"A"}</definedName>
    <definedName name="wrn.VATACCOUNT." hidden="1">{"VATACCOUNT",#N/A,FALSE,"A"}</definedName>
    <definedName name="www">#REF!</definedName>
    <definedName name="wwwwjnhkjnhjkw">#REF!</definedName>
    <definedName name="X">#REF!</definedName>
    <definedName name="XTRACT_FILE1">#REF!</definedName>
    <definedName name="XTRACT_FILES">#REF!</definedName>
    <definedName name="xxxxxxxxxxx">#REF!</definedName>
    <definedName name="y">#REF!</definedName>
    <definedName name="_xlnm.Print_Area">#REF!</definedName>
    <definedName name="_xlnm.Print_Titles">#N/A</definedName>
    <definedName name="Z_DAFFF321_AEBC_11D6_8F81_0000B44363AC_.wvu.PrintArea" hidden="1">#REF!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31" i="40" l="1"/>
  <c r="U138" i="40"/>
  <c r="U137" i="40"/>
  <c r="U136" i="40"/>
  <c r="U135" i="40"/>
  <c r="U134" i="40"/>
  <c r="U133" i="40"/>
  <c r="U132" i="40"/>
  <c r="U131" i="40"/>
  <c r="V139" i="40"/>
  <c r="U146" i="40"/>
  <c r="U145" i="40"/>
  <c r="U144" i="40"/>
  <c r="U143" i="40"/>
  <c r="U142" i="40"/>
  <c r="U141" i="40"/>
  <c r="U140" i="40"/>
  <c r="U139" i="40"/>
  <c r="S157" i="40"/>
  <c r="M27" i="52"/>
  <c r="M26" i="52"/>
  <c r="M25" i="52"/>
  <c r="M24" i="52"/>
  <c r="M23" i="52"/>
  <c r="M22" i="52"/>
  <c r="M21" i="52"/>
  <c r="M20" i="52"/>
  <c r="M19" i="52" s="1"/>
  <c r="L23" i="46"/>
  <c r="L20" i="46"/>
  <c r="O10" i="46"/>
  <c r="P27" i="53"/>
  <c r="P26" i="53"/>
  <c r="P25" i="53"/>
  <c r="P24" i="53"/>
  <c r="P23" i="53"/>
  <c r="P22" i="53"/>
  <c r="P21" i="53"/>
  <c r="P20" i="53"/>
  <c r="K27" i="53"/>
  <c r="K26" i="53"/>
  <c r="K25" i="53"/>
  <c r="K24" i="53"/>
  <c r="K23" i="53"/>
  <c r="K22" i="53"/>
  <c r="K21" i="53"/>
  <c r="K20" i="53"/>
  <c r="K19" i="53"/>
  <c r="F27" i="53"/>
  <c r="F26" i="53"/>
  <c r="G26" i="53" s="1"/>
  <c r="H26" i="53" s="1"/>
  <c r="F25" i="53"/>
  <c r="F24" i="53"/>
  <c r="F23" i="53"/>
  <c r="G23" i="53" s="1"/>
  <c r="F22" i="53"/>
  <c r="F21" i="53"/>
  <c r="F20" i="53"/>
  <c r="F19" i="53"/>
  <c r="U14" i="53"/>
  <c r="U13" i="53"/>
  <c r="U12" i="53"/>
  <c r="U11" i="53"/>
  <c r="U10" i="53"/>
  <c r="U9" i="53"/>
  <c r="U8" i="53"/>
  <c r="U7" i="53"/>
  <c r="P14" i="53"/>
  <c r="P13" i="53"/>
  <c r="P12" i="53"/>
  <c r="P11" i="53"/>
  <c r="P10" i="53"/>
  <c r="P9" i="53"/>
  <c r="P8" i="53"/>
  <c r="P7" i="53"/>
  <c r="P6" i="53"/>
  <c r="K14" i="53"/>
  <c r="K13" i="53"/>
  <c r="K12" i="53"/>
  <c r="K11" i="53"/>
  <c r="K10" i="53"/>
  <c r="K9" i="53"/>
  <c r="K8" i="53"/>
  <c r="K7" i="53"/>
  <c r="K6" i="53" s="1"/>
  <c r="F14" i="53"/>
  <c r="F13" i="53"/>
  <c r="F12" i="53"/>
  <c r="F11" i="53"/>
  <c r="F10" i="53"/>
  <c r="F9" i="53"/>
  <c r="F8" i="53"/>
  <c r="F7" i="53"/>
  <c r="F6" i="53"/>
  <c r="I23" i="5"/>
  <c r="I22" i="5"/>
  <c r="I19" i="5"/>
  <c r="I17" i="5"/>
  <c r="I16" i="5"/>
  <c r="I13" i="5"/>
  <c r="I12" i="5"/>
  <c r="I9" i="5"/>
  <c r="I8" i="5"/>
  <c r="I5" i="5"/>
  <c r="I4" i="5"/>
  <c r="I3" i="5"/>
  <c r="C23" i="5"/>
  <c r="C22" i="5"/>
  <c r="C19" i="5"/>
  <c r="C17" i="5"/>
  <c r="C16" i="5"/>
  <c r="C13" i="5"/>
  <c r="C12" i="5"/>
  <c r="C9" i="5"/>
  <c r="C8" i="5"/>
  <c r="C5" i="5"/>
  <c r="C4" i="5"/>
  <c r="C3" i="5"/>
  <c r="A1" i="1"/>
  <c r="G210" i="32"/>
  <c r="G211" i="32"/>
  <c r="G209" i="32"/>
  <c r="G208" i="32"/>
  <c r="G207" i="32"/>
  <c r="G206" i="32"/>
  <c r="G205" i="32"/>
  <c r="Q44" i="40"/>
  <c r="R44" i="40"/>
  <c r="O27" i="53"/>
  <c r="O26" i="53"/>
  <c r="O25" i="53"/>
  <c r="O24" i="53"/>
  <c r="O23" i="53"/>
  <c r="O22" i="53"/>
  <c r="O21" i="53"/>
  <c r="O20" i="53"/>
  <c r="O19" i="53" s="1"/>
  <c r="J27" i="53"/>
  <c r="J26" i="53"/>
  <c r="J25" i="53"/>
  <c r="J24" i="53"/>
  <c r="J23" i="53"/>
  <c r="J22" i="53"/>
  <c r="J21" i="53"/>
  <c r="J20" i="53"/>
  <c r="E27" i="53"/>
  <c r="E26" i="53"/>
  <c r="E25" i="53"/>
  <c r="E24" i="53"/>
  <c r="E23" i="53"/>
  <c r="E22" i="53"/>
  <c r="E19" i="53" s="1"/>
  <c r="E21" i="53"/>
  <c r="E20" i="53"/>
  <c r="T14" i="53"/>
  <c r="T13" i="53"/>
  <c r="T12" i="53"/>
  <c r="T11" i="53"/>
  <c r="T10" i="53"/>
  <c r="T9" i="53"/>
  <c r="T8" i="53"/>
  <c r="O14" i="53"/>
  <c r="O13" i="53"/>
  <c r="O12" i="53"/>
  <c r="O11" i="53"/>
  <c r="O10" i="53"/>
  <c r="O9" i="53"/>
  <c r="O8" i="53"/>
  <c r="J14" i="53"/>
  <c r="J13" i="53"/>
  <c r="J12" i="53"/>
  <c r="J11" i="53"/>
  <c r="J10" i="53"/>
  <c r="J9" i="53"/>
  <c r="J8" i="53"/>
  <c r="J7" i="53"/>
  <c r="E14" i="53"/>
  <c r="E13" i="53"/>
  <c r="E12" i="53"/>
  <c r="E11" i="53"/>
  <c r="E10" i="53"/>
  <c r="E9" i="53"/>
  <c r="E8" i="53"/>
  <c r="E7" i="53"/>
  <c r="R11" i="51"/>
  <c r="R5" i="51"/>
  <c r="R6" i="51"/>
  <c r="R7" i="51"/>
  <c r="R10" i="51"/>
  <c r="T5" i="51"/>
  <c r="T6" i="51"/>
  <c r="T7" i="51"/>
  <c r="T8" i="51"/>
  <c r="T9" i="51"/>
  <c r="T10" i="51"/>
  <c r="T11" i="51"/>
  <c r="E17" i="51"/>
  <c r="R8" i="51" s="1"/>
  <c r="F20" i="51"/>
  <c r="G20" i="51"/>
  <c r="E20" i="51"/>
  <c r="F17" i="51"/>
  <c r="S8" i="51" s="1"/>
  <c r="V7" i="51"/>
  <c r="U8" i="51"/>
  <c r="V8" i="51"/>
  <c r="W8" i="51"/>
  <c r="X8" i="51"/>
  <c r="U9" i="51"/>
  <c r="V9" i="51"/>
  <c r="W9" i="51"/>
  <c r="X9" i="51"/>
  <c r="U10" i="51"/>
  <c r="V10" i="51"/>
  <c r="W10" i="51"/>
  <c r="X10" i="51"/>
  <c r="U11" i="51"/>
  <c r="V11" i="51"/>
  <c r="W11" i="51"/>
  <c r="X11" i="51"/>
  <c r="S5" i="51"/>
  <c r="S6" i="51"/>
  <c r="S7" i="51"/>
  <c r="S10" i="51"/>
  <c r="S11" i="51"/>
  <c r="H39" i="51"/>
  <c r="I39" i="51"/>
  <c r="J39" i="51"/>
  <c r="K39" i="51"/>
  <c r="E39" i="51"/>
  <c r="F39" i="51"/>
  <c r="G39" i="51"/>
  <c r="G56" i="51" s="1"/>
  <c r="U6" i="53" l="1"/>
  <c r="P19" i="53"/>
  <c r="J19" i="53"/>
  <c r="G27" i="53"/>
  <c r="H27" i="53"/>
  <c r="Q27" i="53"/>
  <c r="R27" i="53" s="1"/>
  <c r="N54" i="53"/>
  <c r="O54" i="53" s="1"/>
  <c r="N53" i="53"/>
  <c r="O53" i="53" s="1"/>
  <c r="Q26" i="53"/>
  <c r="R26" i="53" s="1"/>
  <c r="Q25" i="53"/>
  <c r="R25" i="53" s="1"/>
  <c r="N52" i="53"/>
  <c r="O52" i="53" s="1"/>
  <c r="Q24" i="53"/>
  <c r="R24" i="53" s="1"/>
  <c r="N51" i="53"/>
  <c r="O51" i="53" s="1"/>
  <c r="N50" i="53"/>
  <c r="O50" i="53" s="1"/>
  <c r="Q23" i="53"/>
  <c r="R23" i="53" s="1"/>
  <c r="N49" i="53"/>
  <c r="O49" i="53" s="1"/>
  <c r="Q22" i="53"/>
  <c r="R22" i="53" s="1"/>
  <c r="N48" i="53"/>
  <c r="O48" i="53" s="1"/>
  <c r="Q21" i="53"/>
  <c r="R21" i="53" s="1"/>
  <c r="Q20" i="53"/>
  <c r="R20" i="53" s="1"/>
  <c r="N47" i="53"/>
  <c r="O47" i="53" s="1"/>
  <c r="L27" i="53"/>
  <c r="M27" i="53" s="1"/>
  <c r="J54" i="53"/>
  <c r="K54" i="53" s="1"/>
  <c r="J53" i="53"/>
  <c r="K53" i="53" s="1"/>
  <c r="L26" i="53"/>
  <c r="M26" i="53" s="1"/>
  <c r="J52" i="53"/>
  <c r="K52" i="53" s="1"/>
  <c r="L25" i="53"/>
  <c r="M25" i="53" s="1"/>
  <c r="J51" i="53"/>
  <c r="K51" i="53" s="1"/>
  <c r="L24" i="53"/>
  <c r="M24" i="53" s="1"/>
  <c r="J50" i="53"/>
  <c r="K50" i="53" s="1"/>
  <c r="L23" i="53"/>
  <c r="M23" i="53" s="1"/>
  <c r="J49" i="53"/>
  <c r="K49" i="53" s="1"/>
  <c r="L22" i="53"/>
  <c r="M22" i="53" s="1"/>
  <c r="L21" i="53"/>
  <c r="M21" i="53" s="1"/>
  <c r="J48" i="53"/>
  <c r="K48" i="53" s="1"/>
  <c r="L20" i="53"/>
  <c r="M20" i="53" s="1"/>
  <c r="J47" i="53"/>
  <c r="K47" i="53" s="1"/>
  <c r="G25" i="53"/>
  <c r="H25" i="53" s="1"/>
  <c r="G24" i="53"/>
  <c r="H24" i="53" s="1"/>
  <c r="G22" i="53"/>
  <c r="H22" i="53" s="1"/>
  <c r="G21" i="53"/>
  <c r="H21" i="53" s="1"/>
  <c r="G20" i="53"/>
  <c r="H20" i="53" s="1"/>
  <c r="V14" i="53"/>
  <c r="W14" i="53" s="1"/>
  <c r="F54" i="53"/>
  <c r="G54" i="53" s="1"/>
  <c r="V13" i="53"/>
  <c r="W13" i="53" s="1"/>
  <c r="F53" i="53"/>
  <c r="G53" i="53" s="1"/>
  <c r="V12" i="53"/>
  <c r="W12" i="53" s="1"/>
  <c r="F52" i="53"/>
  <c r="G52" i="53" s="1"/>
  <c r="F51" i="53"/>
  <c r="G51" i="53" s="1"/>
  <c r="V11" i="53"/>
  <c r="W11" i="53" s="1"/>
  <c r="F50" i="53"/>
  <c r="G50" i="53" s="1"/>
  <c r="V10" i="53"/>
  <c r="W10" i="53" s="1"/>
  <c r="F49" i="53"/>
  <c r="G49" i="53" s="1"/>
  <c r="V9" i="53"/>
  <c r="W9" i="53" s="1"/>
  <c r="F48" i="53"/>
  <c r="G48" i="53" s="1"/>
  <c r="V8" i="53"/>
  <c r="W8" i="53" s="1"/>
  <c r="F47" i="53"/>
  <c r="G47" i="53" s="1"/>
  <c r="V7" i="53"/>
  <c r="W7" i="53" s="1"/>
  <c r="N41" i="53"/>
  <c r="O41" i="53" s="1"/>
  <c r="Q14" i="53"/>
  <c r="R14" i="53" s="1"/>
  <c r="N40" i="53"/>
  <c r="O40" i="53" s="1"/>
  <c r="Q13" i="53"/>
  <c r="R13" i="53" s="1"/>
  <c r="N39" i="53"/>
  <c r="O39" i="53" s="1"/>
  <c r="Q12" i="53"/>
  <c r="R12" i="53" s="1"/>
  <c r="N38" i="53"/>
  <c r="O38" i="53" s="1"/>
  <c r="Q11" i="53"/>
  <c r="R11" i="53" s="1"/>
  <c r="Q10" i="53"/>
  <c r="R10" i="53" s="1"/>
  <c r="N37" i="53"/>
  <c r="O37" i="53" s="1"/>
  <c r="Q9" i="53"/>
  <c r="R9" i="53" s="1"/>
  <c r="N36" i="53"/>
  <c r="O36" i="53" s="1"/>
  <c r="Q8" i="53"/>
  <c r="R8" i="53" s="1"/>
  <c r="N35" i="53"/>
  <c r="O35" i="53" s="1"/>
  <c r="Q7" i="53"/>
  <c r="R7" i="53" s="1"/>
  <c r="N34" i="53"/>
  <c r="O34" i="53" s="1"/>
  <c r="J41" i="53"/>
  <c r="K41" i="53" s="1"/>
  <c r="L14" i="53"/>
  <c r="M14" i="53" s="1"/>
  <c r="L13" i="53"/>
  <c r="M13" i="53" s="1"/>
  <c r="J40" i="53"/>
  <c r="K40" i="53" s="1"/>
  <c r="L12" i="53"/>
  <c r="M12" i="53" s="1"/>
  <c r="J39" i="53"/>
  <c r="K39" i="53" s="1"/>
  <c r="J38" i="53"/>
  <c r="K38" i="53" s="1"/>
  <c r="L11" i="53"/>
  <c r="M11" i="53" s="1"/>
  <c r="J37" i="53"/>
  <c r="K37" i="53" s="1"/>
  <c r="L10" i="53"/>
  <c r="M10" i="53" s="1"/>
  <c r="J36" i="53"/>
  <c r="K36" i="53" s="1"/>
  <c r="L9" i="53"/>
  <c r="M9" i="53" s="1"/>
  <c r="J35" i="53"/>
  <c r="K35" i="53" s="1"/>
  <c r="L8" i="53"/>
  <c r="M8" i="53" s="1"/>
  <c r="L7" i="53"/>
  <c r="M7" i="53" s="1"/>
  <c r="J34" i="53"/>
  <c r="K34" i="53" s="1"/>
  <c r="F41" i="53"/>
  <c r="G41" i="53" s="1"/>
  <c r="G14" i="53"/>
  <c r="H14" i="53" s="1"/>
  <c r="F40" i="53"/>
  <c r="G40" i="53" s="1"/>
  <c r="G13" i="53"/>
  <c r="H13" i="53" s="1"/>
  <c r="F39" i="53"/>
  <c r="G39" i="53" s="1"/>
  <c r="G12" i="53"/>
  <c r="H12" i="53" s="1"/>
  <c r="F38" i="53"/>
  <c r="G38" i="53" s="1"/>
  <c r="G11" i="53"/>
  <c r="H11" i="53" s="1"/>
  <c r="F37" i="53"/>
  <c r="G37" i="53" s="1"/>
  <c r="G10" i="53"/>
  <c r="H10" i="53" s="1"/>
  <c r="F36" i="53"/>
  <c r="G36" i="53" s="1"/>
  <c r="G9" i="53"/>
  <c r="H9" i="53" s="1"/>
  <c r="F35" i="53"/>
  <c r="G35" i="53" s="1"/>
  <c r="G8" i="53"/>
  <c r="H8" i="53" s="1"/>
  <c r="F34" i="53"/>
  <c r="G34" i="53" s="1"/>
  <c r="G7" i="53"/>
  <c r="H7" i="53" s="1"/>
  <c r="Q84" i="40"/>
  <c r="Q60" i="40"/>
  <c r="R84" i="40"/>
  <c r="R60" i="40"/>
  <c r="E53" i="53"/>
  <c r="E48" i="53"/>
  <c r="E52" i="53"/>
  <c r="E49" i="53"/>
  <c r="E54" i="53"/>
  <c r="E50" i="53"/>
  <c r="E51" i="53"/>
  <c r="M54" i="53"/>
  <c r="M53" i="53"/>
  <c r="M52" i="53"/>
  <c r="M51" i="53"/>
  <c r="M49" i="53"/>
  <c r="M48" i="53"/>
  <c r="M47" i="53"/>
  <c r="I54" i="53"/>
  <c r="I53" i="53"/>
  <c r="I52" i="53"/>
  <c r="I51" i="53"/>
  <c r="I50" i="53"/>
  <c r="I49" i="53"/>
  <c r="I48" i="53"/>
  <c r="I47" i="53"/>
  <c r="M41" i="53"/>
  <c r="M40" i="53"/>
  <c r="M39" i="53"/>
  <c r="M38" i="53"/>
  <c r="M37" i="53"/>
  <c r="M36" i="53"/>
  <c r="M35" i="53"/>
  <c r="I41" i="53"/>
  <c r="I40" i="53"/>
  <c r="I39" i="53"/>
  <c r="I38" i="53"/>
  <c r="I37" i="53"/>
  <c r="I36" i="53"/>
  <c r="I35" i="53"/>
  <c r="J6" i="53"/>
  <c r="I34" i="53"/>
  <c r="E41" i="53"/>
  <c r="E40" i="53"/>
  <c r="E39" i="53"/>
  <c r="E38" i="53"/>
  <c r="E37" i="53"/>
  <c r="M50" i="53"/>
  <c r="E36" i="53"/>
  <c r="E35" i="53"/>
  <c r="E6" i="53"/>
  <c r="E34" i="53"/>
  <c r="N27" i="53"/>
  <c r="N26" i="53"/>
  <c r="N25" i="53"/>
  <c r="N24" i="53"/>
  <c r="N23" i="53"/>
  <c r="N22" i="53"/>
  <c r="N21" i="53"/>
  <c r="N20" i="53"/>
  <c r="I27" i="53"/>
  <c r="I26" i="53"/>
  <c r="I25" i="53"/>
  <c r="I24" i="53"/>
  <c r="I23" i="53"/>
  <c r="I22" i="53"/>
  <c r="I21" i="53"/>
  <c r="I20" i="53"/>
  <c r="D27" i="53"/>
  <c r="D26" i="53"/>
  <c r="D25" i="53"/>
  <c r="D24" i="53"/>
  <c r="D23" i="53"/>
  <c r="D22" i="53"/>
  <c r="D21" i="53"/>
  <c r="D20" i="53"/>
  <c r="S14" i="53"/>
  <c r="S13" i="53"/>
  <c r="S12" i="53"/>
  <c r="S11" i="53"/>
  <c r="S10" i="53"/>
  <c r="S9" i="53"/>
  <c r="S8" i="53"/>
  <c r="S7" i="53"/>
  <c r="N14" i="53"/>
  <c r="N13" i="53"/>
  <c r="N12" i="53"/>
  <c r="N11" i="53"/>
  <c r="N10" i="53"/>
  <c r="N9" i="53"/>
  <c r="N8" i="53"/>
  <c r="I14" i="53"/>
  <c r="I13" i="53"/>
  <c r="I12" i="53"/>
  <c r="I11" i="53"/>
  <c r="I10" i="53"/>
  <c r="I9" i="53"/>
  <c r="I8" i="53"/>
  <c r="I7" i="53"/>
  <c r="D14" i="53"/>
  <c r="D41" i="53" s="1"/>
  <c r="D13" i="53"/>
  <c r="D40" i="53" s="1"/>
  <c r="D12" i="53"/>
  <c r="D39" i="53" s="1"/>
  <c r="D11" i="53"/>
  <c r="D38" i="53" s="1"/>
  <c r="D10" i="53"/>
  <c r="D37" i="53" s="1"/>
  <c r="D9" i="53"/>
  <c r="D36" i="53" s="1"/>
  <c r="D8" i="53"/>
  <c r="D35" i="53" s="1"/>
  <c r="D7" i="53"/>
  <c r="D34" i="53" s="1"/>
  <c r="I23" i="55"/>
  <c r="I22" i="55"/>
  <c r="I19" i="55"/>
  <c r="I17" i="55"/>
  <c r="I16" i="55"/>
  <c r="I13" i="55"/>
  <c r="I12" i="55"/>
  <c r="I8" i="55"/>
  <c r="I4" i="55"/>
  <c r="E4" i="55"/>
  <c r="D4" i="55"/>
  <c r="O3" i="55"/>
  <c r="I3" i="55"/>
  <c r="O2" i="55"/>
  <c r="I23" i="54"/>
  <c r="I22" i="54"/>
  <c r="I19" i="54"/>
  <c r="I17" i="54"/>
  <c r="I16" i="54"/>
  <c r="I13" i="54"/>
  <c r="I12" i="54"/>
  <c r="I8" i="54"/>
  <c r="I4" i="54"/>
  <c r="I3" i="54"/>
  <c r="M130" i="33"/>
  <c r="L130" i="33"/>
  <c r="K130" i="33"/>
  <c r="J130" i="33"/>
  <c r="I130" i="33"/>
  <c r="H130" i="33"/>
  <c r="G130" i="33"/>
  <c r="F130" i="33"/>
  <c r="E130" i="33"/>
  <c r="M141" i="33"/>
  <c r="L141" i="33"/>
  <c r="K141" i="33"/>
  <c r="J141" i="33"/>
  <c r="I141" i="33"/>
  <c r="H141" i="33"/>
  <c r="G141" i="33"/>
  <c r="F141" i="33"/>
  <c r="E141" i="33"/>
  <c r="M119" i="33"/>
  <c r="L119" i="33"/>
  <c r="K119" i="33"/>
  <c r="J119" i="33"/>
  <c r="I119" i="33"/>
  <c r="H119" i="33"/>
  <c r="G119" i="33"/>
  <c r="F119" i="33"/>
  <c r="E119" i="33"/>
  <c r="M108" i="33"/>
  <c r="L108" i="33"/>
  <c r="K108" i="33"/>
  <c r="J108" i="33"/>
  <c r="I108" i="33"/>
  <c r="H108" i="33"/>
  <c r="G108" i="33"/>
  <c r="F108" i="33"/>
  <c r="E108" i="33"/>
  <c r="M97" i="33"/>
  <c r="L97" i="33"/>
  <c r="K97" i="33"/>
  <c r="J97" i="33"/>
  <c r="I97" i="33"/>
  <c r="H97" i="33"/>
  <c r="G97" i="33"/>
  <c r="F97" i="33"/>
  <c r="E97" i="33"/>
  <c r="M75" i="33"/>
  <c r="L75" i="33"/>
  <c r="K75" i="33"/>
  <c r="J75" i="33"/>
  <c r="I75" i="33"/>
  <c r="H75" i="33"/>
  <c r="G75" i="33"/>
  <c r="F75" i="33"/>
  <c r="E75" i="33"/>
  <c r="M86" i="33"/>
  <c r="L86" i="33"/>
  <c r="K86" i="33"/>
  <c r="J86" i="33"/>
  <c r="I86" i="33"/>
  <c r="H86" i="33"/>
  <c r="G86" i="33"/>
  <c r="F86" i="33"/>
  <c r="E86" i="33"/>
  <c r="M64" i="33"/>
  <c r="L64" i="33"/>
  <c r="K64" i="33"/>
  <c r="J64" i="33"/>
  <c r="I64" i="33"/>
  <c r="H64" i="33"/>
  <c r="G64" i="33"/>
  <c r="F64" i="33"/>
  <c r="E64" i="33"/>
  <c r="M42" i="33"/>
  <c r="L42" i="33"/>
  <c r="K42" i="33"/>
  <c r="J42" i="33"/>
  <c r="I42" i="33"/>
  <c r="H42" i="33"/>
  <c r="G42" i="33"/>
  <c r="F42" i="33"/>
  <c r="E42" i="33"/>
  <c r="M31" i="33"/>
  <c r="L31" i="33"/>
  <c r="K31" i="33"/>
  <c r="J31" i="33"/>
  <c r="I31" i="33"/>
  <c r="H31" i="33"/>
  <c r="G31" i="33"/>
  <c r="F31" i="33"/>
  <c r="E31" i="33"/>
  <c r="M20" i="33"/>
  <c r="L20" i="33"/>
  <c r="K20" i="33"/>
  <c r="J20" i="33"/>
  <c r="I20" i="33"/>
  <c r="H20" i="33"/>
  <c r="G20" i="33"/>
  <c r="F20" i="33"/>
  <c r="E20" i="33"/>
  <c r="O3" i="54"/>
  <c r="O2" i="54"/>
  <c r="N7" i="53"/>
  <c r="L136" i="40"/>
  <c r="O8" i="35"/>
  <c r="A1" i="3"/>
  <c r="M141" i="28"/>
  <c r="L141" i="28"/>
  <c r="K141" i="28"/>
  <c r="J141" i="28"/>
  <c r="I141" i="28"/>
  <c r="H141" i="28"/>
  <c r="G141" i="28"/>
  <c r="F141" i="28"/>
  <c r="E141" i="28"/>
  <c r="N130" i="28"/>
  <c r="B11" i="31"/>
  <c r="C11" i="31"/>
  <c r="D11" i="31"/>
  <c r="E11" i="31"/>
  <c r="F11" i="31"/>
  <c r="N119" i="28"/>
  <c r="B11" i="1"/>
  <c r="Q100" i="40" l="1"/>
  <c r="O7" i="53"/>
  <c r="D53" i="53"/>
  <c r="D48" i="53"/>
  <c r="L40" i="53"/>
  <c r="L37" i="53"/>
  <c r="H40" i="53"/>
  <c r="H37" i="53"/>
  <c r="L53" i="53"/>
  <c r="L51" i="53"/>
  <c r="L49" i="53"/>
  <c r="L47" i="53"/>
  <c r="H53" i="53"/>
  <c r="H50" i="53"/>
  <c r="H48" i="53"/>
  <c r="D54" i="53"/>
  <c r="D49" i="53"/>
  <c r="L39" i="53"/>
  <c r="L36" i="53"/>
  <c r="H39" i="53"/>
  <c r="H36" i="53"/>
  <c r="H52" i="53"/>
  <c r="D51" i="53"/>
  <c r="D47" i="53"/>
  <c r="L38" i="53"/>
  <c r="H41" i="53"/>
  <c r="H35" i="53"/>
  <c r="L54" i="53"/>
  <c r="L52" i="53"/>
  <c r="L50" i="53"/>
  <c r="L48" i="53"/>
  <c r="H54" i="53"/>
  <c r="H51" i="53"/>
  <c r="H49" i="53"/>
  <c r="H47" i="53"/>
  <c r="D52" i="53"/>
  <c r="D50" i="53"/>
  <c r="L41" i="53"/>
  <c r="L35" i="53"/>
  <c r="H38" i="53"/>
  <c r="H34" i="53"/>
  <c r="L34" i="53"/>
  <c r="I5" i="54"/>
  <c r="N19" i="53"/>
  <c r="S6" i="53"/>
  <c r="N6" i="53"/>
  <c r="I6" i="53"/>
  <c r="D6" i="53"/>
  <c r="D19" i="53"/>
  <c r="I19" i="53"/>
  <c r="I24" i="55"/>
  <c r="I20" i="55"/>
  <c r="I14" i="55"/>
  <c r="M8" i="55"/>
  <c r="K4" i="55"/>
  <c r="J4" i="55"/>
  <c r="I5" i="55"/>
  <c r="I24" i="54"/>
  <c r="I20" i="54"/>
  <c r="I14" i="54"/>
  <c r="M8" i="54"/>
  <c r="M15" i="35"/>
  <c r="L15" i="35"/>
  <c r="K15" i="35"/>
  <c r="J15" i="35"/>
  <c r="I15" i="35"/>
  <c r="H15" i="35"/>
  <c r="G15" i="35"/>
  <c r="F15" i="35"/>
  <c r="E15" i="35"/>
  <c r="D15" i="35"/>
  <c r="C15" i="35"/>
  <c r="B15" i="35"/>
  <c r="T7" i="53" l="1"/>
  <c r="M34" i="53"/>
  <c r="O6" i="53"/>
  <c r="R100" i="40"/>
  <c r="I9" i="54"/>
  <c r="I10" i="54" s="1"/>
  <c r="I6" i="54"/>
  <c r="M9" i="54"/>
  <c r="I6" i="55"/>
  <c r="I9" i="55"/>
  <c r="M9" i="55"/>
  <c r="T6" i="53" l="1"/>
  <c r="E47" i="53"/>
  <c r="I10" i="55"/>
  <c r="V6" i="53" l="1"/>
  <c r="W6" i="53" s="1"/>
  <c r="O74" i="53"/>
  <c r="I74" i="53"/>
  <c r="E74" i="53"/>
  <c r="O73" i="53"/>
  <c r="I73" i="53"/>
  <c r="E73" i="53"/>
  <c r="O72" i="53"/>
  <c r="I72" i="53"/>
  <c r="E72" i="53"/>
  <c r="O71" i="53"/>
  <c r="I71" i="53"/>
  <c r="E71" i="53"/>
  <c r="O70" i="53"/>
  <c r="I70" i="53"/>
  <c r="E70" i="53"/>
  <c r="O69" i="53"/>
  <c r="I69" i="53"/>
  <c r="E69" i="53"/>
  <c r="O68" i="53"/>
  <c r="I68" i="53"/>
  <c r="E68" i="53"/>
  <c r="C296" i="1" l="1"/>
  <c r="B33" i="35" l="1"/>
  <c r="C33" i="35" s="1"/>
  <c r="D33" i="35" s="1"/>
  <c r="E33" i="35" s="1"/>
  <c r="F33" i="35" s="1"/>
  <c r="G33" i="35" s="1"/>
  <c r="H33" i="35" s="1"/>
  <c r="I33" i="35" s="1"/>
  <c r="J33" i="35" s="1"/>
  <c r="K33" i="35" s="1"/>
  <c r="L33" i="35" s="1"/>
  <c r="M33" i="35" s="1"/>
  <c r="B30" i="35"/>
  <c r="C30" i="35" s="1"/>
  <c r="D30" i="35" s="1"/>
  <c r="E30" i="35" s="1"/>
  <c r="F30" i="35" s="1"/>
  <c r="G30" i="35" s="1"/>
  <c r="H30" i="35" s="1"/>
  <c r="I30" i="35" s="1"/>
  <c r="J30" i="35" s="1"/>
  <c r="K30" i="35" s="1"/>
  <c r="L30" i="35" s="1"/>
  <c r="M30" i="35" s="1"/>
  <c r="B31" i="35"/>
  <c r="C31" i="35" s="1"/>
  <c r="D31" i="35" s="1"/>
  <c r="E31" i="35" s="1"/>
  <c r="F31" i="35" s="1"/>
  <c r="G31" i="35" s="1"/>
  <c r="H31" i="35" s="1"/>
  <c r="I31" i="35" s="1"/>
  <c r="J31" i="35" s="1"/>
  <c r="K31" i="35" s="1"/>
  <c r="L31" i="35" s="1"/>
  <c r="M31" i="35" s="1"/>
  <c r="B32" i="35"/>
  <c r="C32" i="35" s="1"/>
  <c r="D32" i="35" s="1"/>
  <c r="E32" i="35" s="1"/>
  <c r="F32" i="35" s="1"/>
  <c r="G32" i="35" s="1"/>
  <c r="H32" i="35" s="1"/>
  <c r="I32" i="35" s="1"/>
  <c r="J32" i="35" s="1"/>
  <c r="K32" i="35" s="1"/>
  <c r="L32" i="35" s="1"/>
  <c r="M32" i="35" s="1"/>
  <c r="B34" i="35"/>
  <c r="C34" i="35" s="1"/>
  <c r="D34" i="35" s="1"/>
  <c r="E34" i="35" s="1"/>
  <c r="F34" i="35" s="1"/>
  <c r="G34" i="35" s="1"/>
  <c r="H34" i="35" s="1"/>
  <c r="I34" i="35" s="1"/>
  <c r="J34" i="35" s="1"/>
  <c r="K34" i="35" s="1"/>
  <c r="L34" i="35" s="1"/>
  <c r="M34" i="35" s="1"/>
  <c r="B35" i="35"/>
  <c r="C35" i="35" s="1"/>
  <c r="D35" i="35" s="1"/>
  <c r="E35" i="35" s="1"/>
  <c r="F35" i="35" s="1"/>
  <c r="G35" i="35" s="1"/>
  <c r="H35" i="35" s="1"/>
  <c r="I35" i="35" s="1"/>
  <c r="J35" i="35" s="1"/>
  <c r="K35" i="35" s="1"/>
  <c r="L35" i="35" s="1"/>
  <c r="M35" i="35" s="1"/>
  <c r="B36" i="35"/>
  <c r="C36" i="35" s="1"/>
  <c r="D36" i="35" s="1"/>
  <c r="E36" i="35" s="1"/>
  <c r="F36" i="35" s="1"/>
  <c r="G36" i="35" s="1"/>
  <c r="H36" i="35" s="1"/>
  <c r="I36" i="35" s="1"/>
  <c r="J36" i="35" s="1"/>
  <c r="K36" i="35" s="1"/>
  <c r="L36" i="35" s="1"/>
  <c r="M36" i="35" s="1"/>
  <c r="B37" i="35"/>
  <c r="C37" i="35" s="1"/>
  <c r="D37" i="35" s="1"/>
  <c r="E37" i="35" s="1"/>
  <c r="F37" i="35" s="1"/>
  <c r="G37" i="35" s="1"/>
  <c r="H37" i="35" s="1"/>
  <c r="I37" i="35" s="1"/>
  <c r="J37" i="35" s="1"/>
  <c r="K37" i="35" s="1"/>
  <c r="L37" i="35" s="1"/>
  <c r="M37" i="35" s="1"/>
  <c r="B306" i="3" l="1"/>
  <c r="G30" i="51" l="1"/>
  <c r="K54" i="51" l="1"/>
  <c r="J54" i="51"/>
  <c r="I54" i="51"/>
  <c r="H54" i="51"/>
  <c r="G54" i="51"/>
  <c r="F54" i="51"/>
  <c r="E54" i="51"/>
  <c r="K10" i="51" l="1"/>
  <c r="X7" i="51" s="1"/>
  <c r="K8" i="51"/>
  <c r="X6" i="51" s="1"/>
  <c r="K7" i="51"/>
  <c r="J10" i="51"/>
  <c r="W7" i="51" s="1"/>
  <c r="J8" i="51"/>
  <c r="W6" i="51" s="1"/>
  <c r="J7" i="51"/>
  <c r="I8" i="51"/>
  <c r="V6" i="51" s="1"/>
  <c r="I7" i="51"/>
  <c r="H10" i="51"/>
  <c r="H8" i="51"/>
  <c r="H7" i="51"/>
  <c r="L7" i="51" s="1"/>
  <c r="M29" i="29"/>
  <c r="L29" i="29"/>
  <c r="K29" i="29"/>
  <c r="J29" i="29"/>
  <c r="I29" i="29"/>
  <c r="H29" i="29"/>
  <c r="G29" i="29"/>
  <c r="F29" i="29"/>
  <c r="E29" i="29"/>
  <c r="D29" i="29"/>
  <c r="C29" i="29"/>
  <c r="B29" i="29"/>
  <c r="B28" i="29"/>
  <c r="C28" i="29" s="1"/>
  <c r="D28" i="29" s="1"/>
  <c r="E28" i="29" s="1"/>
  <c r="F28" i="29" s="1"/>
  <c r="G28" i="29" s="1"/>
  <c r="H28" i="29" s="1"/>
  <c r="I28" i="29" s="1"/>
  <c r="J28" i="29" s="1"/>
  <c r="K28" i="29" s="1"/>
  <c r="L28" i="29" s="1"/>
  <c r="M28" i="29" s="1"/>
  <c r="B27" i="29"/>
  <c r="C27" i="29" s="1"/>
  <c r="D27" i="29" s="1"/>
  <c r="E27" i="29" s="1"/>
  <c r="F27" i="29" s="1"/>
  <c r="G27" i="29" s="1"/>
  <c r="H27" i="29" s="1"/>
  <c r="I27" i="29" s="1"/>
  <c r="J27" i="29" s="1"/>
  <c r="K27" i="29" s="1"/>
  <c r="L27" i="29" s="1"/>
  <c r="M27" i="29" s="1"/>
  <c r="B26" i="29"/>
  <c r="C26" i="29" s="1"/>
  <c r="D26" i="29" s="1"/>
  <c r="E26" i="29" s="1"/>
  <c r="F26" i="29" s="1"/>
  <c r="G26" i="29" s="1"/>
  <c r="H26" i="29" s="1"/>
  <c r="I26" i="29" s="1"/>
  <c r="J26" i="29" s="1"/>
  <c r="K26" i="29" s="1"/>
  <c r="L26" i="29" s="1"/>
  <c r="M26" i="29" s="1"/>
  <c r="B25" i="29"/>
  <c r="C25" i="29" s="1"/>
  <c r="D25" i="29" s="1"/>
  <c r="E25" i="29" s="1"/>
  <c r="F25" i="29" s="1"/>
  <c r="G25" i="29" s="1"/>
  <c r="H25" i="29" s="1"/>
  <c r="B24" i="29"/>
  <c r="C24" i="29" s="1"/>
  <c r="D24" i="29" s="1"/>
  <c r="E24" i="29" s="1"/>
  <c r="F24" i="29" s="1"/>
  <c r="G24" i="29" s="1"/>
  <c r="H24" i="29" s="1"/>
  <c r="I24" i="29" s="1"/>
  <c r="J24" i="29" s="1"/>
  <c r="K24" i="29" s="1"/>
  <c r="L24" i="29" s="1"/>
  <c r="M24" i="29" s="1"/>
  <c r="B23" i="29"/>
  <c r="C23" i="29" s="1"/>
  <c r="B22" i="29"/>
  <c r="B21" i="29"/>
  <c r="C21" i="29" s="1"/>
  <c r="D21" i="29" s="1"/>
  <c r="E21" i="29" s="1"/>
  <c r="F21" i="29" s="1"/>
  <c r="G21" i="29" s="1"/>
  <c r="H21" i="29" s="1"/>
  <c r="I21" i="29" s="1"/>
  <c r="J21" i="29" s="1"/>
  <c r="K21" i="29" s="1"/>
  <c r="L21" i="29" s="1"/>
  <c r="M21" i="29" s="1"/>
  <c r="M11" i="29"/>
  <c r="AI300" i="1" s="1"/>
  <c r="L11" i="29"/>
  <c r="AF300" i="1" s="1"/>
  <c r="K11" i="29"/>
  <c r="AC300" i="1" s="1"/>
  <c r="J11" i="29"/>
  <c r="Z300" i="1" s="1"/>
  <c r="I11" i="29"/>
  <c r="W300" i="1" s="1"/>
  <c r="H11" i="29"/>
  <c r="T300" i="1" s="1"/>
  <c r="G11" i="29"/>
  <c r="Q300" i="1" s="1"/>
  <c r="AO300" i="1" s="1"/>
  <c r="F11" i="29"/>
  <c r="N300" i="1" s="1"/>
  <c r="E11" i="29"/>
  <c r="K300" i="1" s="1"/>
  <c r="D11" i="29"/>
  <c r="H300" i="1" s="1"/>
  <c r="C11" i="29"/>
  <c r="E300" i="1" s="1"/>
  <c r="B11" i="29"/>
  <c r="B300" i="1" s="1"/>
  <c r="B301" i="2" s="1"/>
  <c r="E301" i="2" s="1"/>
  <c r="H301" i="2" s="1"/>
  <c r="K301" i="2" s="1"/>
  <c r="N3" i="29"/>
  <c r="O3" i="29" s="1"/>
  <c r="M2" i="29"/>
  <c r="AI287" i="1" s="1"/>
  <c r="L2" i="29"/>
  <c r="AF287" i="1" s="1"/>
  <c r="K2" i="29"/>
  <c r="AC287" i="1" s="1"/>
  <c r="J2" i="29"/>
  <c r="Z287" i="1" s="1"/>
  <c r="H2" i="29"/>
  <c r="T287" i="1" s="1"/>
  <c r="G2" i="29"/>
  <c r="Q287" i="1" s="1"/>
  <c r="F2" i="29"/>
  <c r="N287" i="1" s="1"/>
  <c r="E2" i="29"/>
  <c r="K287" i="1" s="1"/>
  <c r="AO287" i="1" s="1"/>
  <c r="D2" i="29"/>
  <c r="H287" i="1" s="1"/>
  <c r="C2" i="29"/>
  <c r="E287" i="1" s="1"/>
  <c r="B2" i="29"/>
  <c r="B287" i="1" s="1"/>
  <c r="B288" i="2" s="1"/>
  <c r="E288" i="2" s="1"/>
  <c r="H288" i="2" s="1"/>
  <c r="N194" i="28"/>
  <c r="N193" i="28"/>
  <c r="N192" i="28"/>
  <c r="N191" i="28"/>
  <c r="N190" i="28"/>
  <c r="N189" i="28"/>
  <c r="N188" i="28"/>
  <c r="N187" i="28"/>
  <c r="N186" i="28"/>
  <c r="M186" i="28"/>
  <c r="L186" i="28"/>
  <c r="K186" i="28"/>
  <c r="J186" i="28"/>
  <c r="I186" i="28"/>
  <c r="H186" i="28"/>
  <c r="G186" i="28"/>
  <c r="F186" i="28"/>
  <c r="E186" i="28"/>
  <c r="D186" i="28"/>
  <c r="C186" i="28"/>
  <c r="B186" i="28"/>
  <c r="N181" i="28"/>
  <c r="N180" i="28"/>
  <c r="N179" i="28"/>
  <c r="N178" i="28"/>
  <c r="N177" i="28"/>
  <c r="N176" i="28"/>
  <c r="N175" i="28"/>
  <c r="N175" i="33" s="1"/>
  <c r="N174" i="28"/>
  <c r="M173" i="28"/>
  <c r="N173" i="28" s="1"/>
  <c r="L173" i="28"/>
  <c r="K173" i="28"/>
  <c r="J173" i="28"/>
  <c r="I173" i="28"/>
  <c r="H173" i="28"/>
  <c r="G173" i="28"/>
  <c r="F173" i="28"/>
  <c r="E173" i="28"/>
  <c r="D173" i="28"/>
  <c r="C173" i="28"/>
  <c r="B173" i="28"/>
  <c r="N170" i="28"/>
  <c r="N169" i="28"/>
  <c r="N168" i="28"/>
  <c r="N167" i="28"/>
  <c r="N166" i="28"/>
  <c r="N165" i="28"/>
  <c r="N164" i="28"/>
  <c r="N163" i="28"/>
  <c r="N162" i="28"/>
  <c r="N161" i="28"/>
  <c r="N160" i="28"/>
  <c r="M160" i="28"/>
  <c r="L160" i="28"/>
  <c r="AF249" i="2" s="1"/>
  <c r="K160" i="28"/>
  <c r="J160" i="28"/>
  <c r="I160" i="28"/>
  <c r="W249" i="2" s="1"/>
  <c r="H160" i="28"/>
  <c r="G160" i="28"/>
  <c r="F160" i="28"/>
  <c r="N249" i="2" s="1"/>
  <c r="E160" i="28"/>
  <c r="D160" i="28"/>
  <c r="C160" i="28"/>
  <c r="B160" i="28"/>
  <c r="N157" i="28"/>
  <c r="N156" i="28"/>
  <c r="N155" i="28"/>
  <c r="N154" i="28"/>
  <c r="N153" i="28"/>
  <c r="N152" i="28"/>
  <c r="N151" i="28"/>
  <c r="N150" i="28"/>
  <c r="N149" i="28"/>
  <c r="N148" i="28"/>
  <c r="N147" i="28"/>
  <c r="M147" i="28"/>
  <c r="L147" i="28"/>
  <c r="K147" i="28"/>
  <c r="J147" i="28"/>
  <c r="I147" i="28"/>
  <c r="H147" i="28"/>
  <c r="G147" i="28"/>
  <c r="F147" i="28"/>
  <c r="E147" i="28"/>
  <c r="D147" i="28"/>
  <c r="C147" i="28"/>
  <c r="B147" i="28"/>
  <c r="N144" i="28"/>
  <c r="N143" i="28"/>
  <c r="N142" i="28"/>
  <c r="N141" i="28"/>
  <c r="N140" i="28"/>
  <c r="N139" i="28"/>
  <c r="N138" i="28"/>
  <c r="N137" i="28"/>
  <c r="N136" i="28"/>
  <c r="M136" i="28"/>
  <c r="L136" i="28"/>
  <c r="K136" i="28"/>
  <c r="J136" i="28"/>
  <c r="I136" i="28"/>
  <c r="W212" i="1" s="1"/>
  <c r="H136" i="28"/>
  <c r="T212" i="1" s="1"/>
  <c r="G136" i="28"/>
  <c r="Q212" i="1" s="1"/>
  <c r="F136" i="28"/>
  <c r="N212" i="1" s="1"/>
  <c r="E136" i="28"/>
  <c r="K212" i="1" s="1"/>
  <c r="D136" i="28"/>
  <c r="C136" i="28"/>
  <c r="B136" i="28"/>
  <c r="N133" i="28"/>
  <c r="N132" i="28"/>
  <c r="N131" i="28"/>
  <c r="N129" i="28"/>
  <c r="N128" i="28"/>
  <c r="N127" i="28"/>
  <c r="N126" i="28"/>
  <c r="M125" i="28"/>
  <c r="AI199" i="1" s="1"/>
  <c r="L125" i="28"/>
  <c r="AF199" i="1" s="1"/>
  <c r="K125" i="28"/>
  <c r="AC199" i="1" s="1"/>
  <c r="J125" i="28"/>
  <c r="Z199" i="1" s="1"/>
  <c r="I125" i="28"/>
  <c r="W199" i="1" s="1"/>
  <c r="H125" i="28"/>
  <c r="T199" i="1" s="1"/>
  <c r="G125" i="28"/>
  <c r="Q199" i="1" s="1"/>
  <c r="F125" i="28"/>
  <c r="N199" i="1" s="1"/>
  <c r="E125" i="28"/>
  <c r="K199" i="1" s="1"/>
  <c r="AO199" i="1" s="1"/>
  <c r="D125" i="28"/>
  <c r="H199" i="1" s="1"/>
  <c r="C125" i="28"/>
  <c r="E199" i="1" s="1"/>
  <c r="B125" i="28"/>
  <c r="B199" i="1" s="1"/>
  <c r="B199" i="2" s="1"/>
  <c r="E199" i="2" s="1"/>
  <c r="H199" i="2" s="1"/>
  <c r="N122" i="28"/>
  <c r="N121" i="28"/>
  <c r="N120" i="28"/>
  <c r="N118" i="28"/>
  <c r="N117" i="28"/>
  <c r="N116" i="28"/>
  <c r="N115" i="28"/>
  <c r="N114" i="28"/>
  <c r="M114" i="28"/>
  <c r="AI186" i="1" s="1"/>
  <c r="L114" i="28"/>
  <c r="AF186" i="1" s="1"/>
  <c r="K114" i="28"/>
  <c r="AC186" i="1" s="1"/>
  <c r="J114" i="28"/>
  <c r="Z186" i="1" s="1"/>
  <c r="I114" i="28"/>
  <c r="W186" i="1" s="1"/>
  <c r="H114" i="28"/>
  <c r="T186" i="1" s="1"/>
  <c r="G114" i="28"/>
  <c r="Q186" i="1" s="1"/>
  <c r="AO186" i="1" s="1"/>
  <c r="F114" i="28"/>
  <c r="N186" i="1" s="1"/>
  <c r="E114" i="28"/>
  <c r="K186" i="1" s="1"/>
  <c r="D114" i="28"/>
  <c r="H186" i="1" s="1"/>
  <c r="C114" i="28"/>
  <c r="E186" i="1" s="1"/>
  <c r="B114" i="28"/>
  <c r="B186" i="1" s="1"/>
  <c r="B186" i="2" s="1"/>
  <c r="E186" i="2" s="1"/>
  <c r="H186" i="2" s="1"/>
  <c r="N111" i="28"/>
  <c r="N110" i="28"/>
  <c r="N109" i="28"/>
  <c r="N108" i="28"/>
  <c r="N107" i="28"/>
  <c r="N106" i="28"/>
  <c r="N105" i="28"/>
  <c r="N104" i="28"/>
  <c r="M103" i="28"/>
  <c r="AI173" i="1" s="1"/>
  <c r="L103" i="28"/>
  <c r="K103" i="28"/>
  <c r="J103" i="28"/>
  <c r="I103" i="28"/>
  <c r="W173" i="1" s="1"/>
  <c r="H103" i="28"/>
  <c r="T173" i="1" s="1"/>
  <c r="G103" i="28"/>
  <c r="F103" i="28"/>
  <c r="E103" i="28"/>
  <c r="D103" i="28"/>
  <c r="C103" i="28"/>
  <c r="B103" i="28"/>
  <c r="N100" i="28"/>
  <c r="N99" i="28"/>
  <c r="N98" i="28"/>
  <c r="N97" i="28"/>
  <c r="N96" i="28"/>
  <c r="N95" i="28"/>
  <c r="N94" i="28"/>
  <c r="N93" i="28"/>
  <c r="N92" i="28"/>
  <c r="P92" i="28" s="1"/>
  <c r="M92" i="28"/>
  <c r="AI160" i="1" s="1"/>
  <c r="L92" i="28"/>
  <c r="AF160" i="1" s="1"/>
  <c r="K92" i="28"/>
  <c r="AC160" i="1" s="1"/>
  <c r="J92" i="28"/>
  <c r="Z160" i="1" s="1"/>
  <c r="I92" i="28"/>
  <c r="W160" i="1" s="1"/>
  <c r="H92" i="28"/>
  <c r="T160" i="1" s="1"/>
  <c r="G92" i="28"/>
  <c r="Q160" i="1" s="1"/>
  <c r="AO160" i="1" s="1"/>
  <c r="F92" i="28"/>
  <c r="N160" i="1" s="1"/>
  <c r="E92" i="28"/>
  <c r="K160" i="1" s="1"/>
  <c r="D92" i="28"/>
  <c r="C92" i="28"/>
  <c r="B92" i="28"/>
  <c r="N89" i="28"/>
  <c r="N88" i="28"/>
  <c r="N87" i="28"/>
  <c r="N86" i="28"/>
  <c r="N85" i="28"/>
  <c r="N84" i="28"/>
  <c r="N83" i="28"/>
  <c r="N82" i="28"/>
  <c r="N81" i="28"/>
  <c r="M81" i="28"/>
  <c r="L81" i="28"/>
  <c r="K81" i="28"/>
  <c r="J81" i="28"/>
  <c r="I81" i="28"/>
  <c r="H81" i="28"/>
  <c r="G81" i="28"/>
  <c r="F81" i="28"/>
  <c r="E81" i="28"/>
  <c r="D81" i="28"/>
  <c r="C81" i="28"/>
  <c r="B81" i="28"/>
  <c r="N78" i="28"/>
  <c r="N77" i="28"/>
  <c r="N76" i="28"/>
  <c r="N75" i="28"/>
  <c r="N74" i="28"/>
  <c r="N73" i="28"/>
  <c r="N72" i="28"/>
  <c r="N71" i="28"/>
  <c r="N70" i="28" s="1"/>
  <c r="M70" i="28"/>
  <c r="L70" i="28"/>
  <c r="K70" i="28"/>
  <c r="J70" i="28"/>
  <c r="I70" i="28"/>
  <c r="H70" i="28"/>
  <c r="G70" i="28"/>
  <c r="F70" i="28"/>
  <c r="E70" i="28"/>
  <c r="D70" i="28"/>
  <c r="C70" i="28"/>
  <c r="B70" i="28"/>
  <c r="N67" i="28"/>
  <c r="N66" i="28"/>
  <c r="N65" i="28"/>
  <c r="N64" i="28"/>
  <c r="N63" i="28"/>
  <c r="N62" i="28"/>
  <c r="N61" i="28"/>
  <c r="N60" i="28"/>
  <c r="M59" i="28"/>
  <c r="AI112" i="1" s="1"/>
  <c r="L59" i="28"/>
  <c r="AF112" i="1" s="1"/>
  <c r="K59" i="28"/>
  <c r="AC112" i="1" s="1"/>
  <c r="J59" i="28"/>
  <c r="Z112" i="1" s="1"/>
  <c r="I59" i="28"/>
  <c r="W112" i="1" s="1"/>
  <c r="H59" i="28"/>
  <c r="T112" i="1" s="1"/>
  <c r="G59" i="28"/>
  <c r="Q112" i="1" s="1"/>
  <c r="F59" i="28"/>
  <c r="N112" i="1" s="1"/>
  <c r="E59" i="28"/>
  <c r="K112" i="1" s="1"/>
  <c r="AO112" i="1" s="1"/>
  <c r="D59" i="28"/>
  <c r="H112" i="1" s="1"/>
  <c r="C59" i="28"/>
  <c r="E112" i="1" s="1"/>
  <c r="B59" i="28"/>
  <c r="B112" i="1" s="1"/>
  <c r="B112" i="2" s="1"/>
  <c r="E112" i="2" s="1"/>
  <c r="H112" i="2" s="1"/>
  <c r="K112" i="2" s="1"/>
  <c r="N112" i="2" s="1"/>
  <c r="Q112" i="2" s="1"/>
  <c r="T112" i="2" s="1"/>
  <c r="W112" i="2" s="1"/>
  <c r="Z112" i="2" s="1"/>
  <c r="AC112" i="2" s="1"/>
  <c r="AF112" i="2" s="1"/>
  <c r="AI112" i="2" s="1"/>
  <c r="N56" i="28"/>
  <c r="N55" i="28"/>
  <c r="N54" i="28"/>
  <c r="N53" i="28"/>
  <c r="N52" i="28"/>
  <c r="N51" i="28"/>
  <c r="N50" i="28"/>
  <c r="N49" i="28"/>
  <c r="N48" i="28"/>
  <c r="M48" i="28"/>
  <c r="L48" i="28"/>
  <c r="K48" i="28"/>
  <c r="J48" i="28"/>
  <c r="I48" i="28"/>
  <c r="H48" i="28"/>
  <c r="G48" i="28"/>
  <c r="F48" i="28"/>
  <c r="E48" i="28"/>
  <c r="D48" i="28"/>
  <c r="C48" i="28"/>
  <c r="B48" i="28"/>
  <c r="N45" i="28"/>
  <c r="N44" i="28"/>
  <c r="N43" i="28"/>
  <c r="N42" i="28"/>
  <c r="N41" i="28"/>
  <c r="N40" i="28"/>
  <c r="N39" i="28"/>
  <c r="N38" i="28"/>
  <c r="M37" i="28"/>
  <c r="AI88" i="1" s="1"/>
  <c r="L37" i="28"/>
  <c r="AF88" i="1" s="1"/>
  <c r="K37" i="28"/>
  <c r="AC88" i="1" s="1"/>
  <c r="J37" i="28"/>
  <c r="Z88" i="1" s="1"/>
  <c r="I37" i="28"/>
  <c r="W88" i="1" s="1"/>
  <c r="H37" i="28"/>
  <c r="T88" i="1" s="1"/>
  <c r="G37" i="28"/>
  <c r="Q88" i="1" s="1"/>
  <c r="AO88" i="1" s="1"/>
  <c r="F37" i="28"/>
  <c r="N88" i="1" s="1"/>
  <c r="E37" i="28"/>
  <c r="K88" i="1" s="1"/>
  <c r="D37" i="28"/>
  <c r="H88" i="1" s="1"/>
  <c r="C37" i="28"/>
  <c r="E88" i="1" s="1"/>
  <c r="B37" i="28"/>
  <c r="B88" i="1" s="1"/>
  <c r="B88" i="2" s="1"/>
  <c r="E88" i="2" s="1"/>
  <c r="H88" i="2" s="1"/>
  <c r="N34" i="28"/>
  <c r="N33" i="28"/>
  <c r="N32" i="28"/>
  <c r="N31" i="28"/>
  <c r="N30" i="28"/>
  <c r="N29" i="28"/>
  <c r="N28" i="28"/>
  <c r="N27" i="28"/>
  <c r="M26" i="28"/>
  <c r="AI32" i="1" s="1"/>
  <c r="L26" i="28"/>
  <c r="AF32" i="1" s="1"/>
  <c r="K26" i="28"/>
  <c r="AC32" i="1" s="1"/>
  <c r="J26" i="28"/>
  <c r="Z32" i="1" s="1"/>
  <c r="I26" i="28"/>
  <c r="W32" i="1" s="1"/>
  <c r="H26" i="28"/>
  <c r="T32" i="1" s="1"/>
  <c r="G26" i="28"/>
  <c r="Q32" i="1" s="1"/>
  <c r="F26" i="28"/>
  <c r="N32" i="1" s="1"/>
  <c r="E26" i="28"/>
  <c r="K32" i="1" s="1"/>
  <c r="AO32" i="1" s="1"/>
  <c r="D26" i="28"/>
  <c r="H32" i="1" s="1"/>
  <c r="C26" i="28"/>
  <c r="E32" i="1" s="1"/>
  <c r="B26" i="28"/>
  <c r="B32" i="1" s="1"/>
  <c r="B32" i="2" s="1"/>
  <c r="E32" i="2" s="1"/>
  <c r="H32" i="2" s="1"/>
  <c r="N23" i="28"/>
  <c r="W22" i="28"/>
  <c r="V22" i="28"/>
  <c r="U22" i="28"/>
  <c r="T22" i="28"/>
  <c r="S22" i="28"/>
  <c r="R22" i="28"/>
  <c r="Q22" i="28"/>
  <c r="P22" i="28"/>
  <c r="N22" i="28"/>
  <c r="W21" i="28"/>
  <c r="V21" i="28"/>
  <c r="U21" i="28"/>
  <c r="T21" i="28"/>
  <c r="S21" i="28"/>
  <c r="R21" i="28"/>
  <c r="Q21" i="28"/>
  <c r="P21" i="28"/>
  <c r="N21" i="28"/>
  <c r="W20" i="28"/>
  <c r="V20" i="28"/>
  <c r="U20" i="28"/>
  <c r="T20" i="28"/>
  <c r="S20" i="28"/>
  <c r="R20" i="28"/>
  <c r="Q20" i="28"/>
  <c r="P20" i="28"/>
  <c r="N20" i="28"/>
  <c r="W19" i="28"/>
  <c r="V19" i="28"/>
  <c r="U19" i="28"/>
  <c r="T19" i="28"/>
  <c r="S19" i="28"/>
  <c r="R19" i="28"/>
  <c r="Q19" i="28"/>
  <c r="P19" i="28"/>
  <c r="N19" i="28"/>
  <c r="W18" i="28"/>
  <c r="V18" i="28"/>
  <c r="U18" i="28"/>
  <c r="T18" i="28"/>
  <c r="S18" i="28"/>
  <c r="R18" i="28"/>
  <c r="Q18" i="28"/>
  <c r="P18" i="28"/>
  <c r="N18" i="28"/>
  <c r="W17" i="28"/>
  <c r="V17" i="28"/>
  <c r="U17" i="28"/>
  <c r="T17" i="28"/>
  <c r="S17" i="28"/>
  <c r="R17" i="28"/>
  <c r="Q17" i="28"/>
  <c r="P17" i="28"/>
  <c r="N17" i="28"/>
  <c r="W16" i="28"/>
  <c r="V16" i="28"/>
  <c r="U16" i="28"/>
  <c r="T16" i="28"/>
  <c r="S16" i="28"/>
  <c r="R16" i="28"/>
  <c r="Q16" i="28"/>
  <c r="P16" i="28"/>
  <c r="N16" i="28"/>
  <c r="M15" i="28"/>
  <c r="AI31" i="1" s="1"/>
  <c r="L15" i="28"/>
  <c r="AF31" i="1" s="1"/>
  <c r="K15" i="28"/>
  <c r="AC31" i="1" s="1"/>
  <c r="J15" i="28"/>
  <c r="Z31" i="1" s="1"/>
  <c r="I15" i="28"/>
  <c r="W31" i="1" s="1"/>
  <c r="H15" i="28"/>
  <c r="T31" i="1" s="1"/>
  <c r="G15" i="28"/>
  <c r="Q31" i="1" s="1"/>
  <c r="F15" i="28"/>
  <c r="N31" i="1" s="1"/>
  <c r="E15" i="28"/>
  <c r="K31" i="1" s="1"/>
  <c r="D15" i="28"/>
  <c r="H31" i="1" s="1"/>
  <c r="C15" i="28"/>
  <c r="E31" i="1" s="1"/>
  <c r="B15" i="28"/>
  <c r="B31" i="1" s="1"/>
  <c r="AM12" i="28"/>
  <c r="AL12" i="28"/>
  <c r="N12" i="28"/>
  <c r="AM11" i="28"/>
  <c r="AL11" i="28"/>
  <c r="W11" i="28"/>
  <c r="V11" i="28"/>
  <c r="U11" i="28"/>
  <c r="T11" i="28"/>
  <c r="S11" i="28"/>
  <c r="R11" i="28"/>
  <c r="Q11" i="28"/>
  <c r="P11" i="28"/>
  <c r="N11" i="28"/>
  <c r="AM10" i="28"/>
  <c r="AL10" i="28"/>
  <c r="W10" i="28"/>
  <c r="V10" i="28"/>
  <c r="U10" i="28"/>
  <c r="T10" i="28"/>
  <c r="S10" i="28"/>
  <c r="R10" i="28"/>
  <c r="Q10" i="28"/>
  <c r="P10" i="28"/>
  <c r="N10" i="28"/>
  <c r="AM9" i="28"/>
  <c r="AL9" i="28"/>
  <c r="W9" i="28"/>
  <c r="V9" i="28"/>
  <c r="U9" i="28"/>
  <c r="T9" i="28"/>
  <c r="S9" i="28"/>
  <c r="R9" i="28"/>
  <c r="Q9" i="28"/>
  <c r="P9" i="28"/>
  <c r="N9" i="28"/>
  <c r="AM8" i="28"/>
  <c r="AL8" i="28"/>
  <c r="W8" i="28"/>
  <c r="V8" i="28"/>
  <c r="U8" i="28"/>
  <c r="T8" i="28"/>
  <c r="S8" i="28"/>
  <c r="R8" i="28"/>
  <c r="Q8" i="28"/>
  <c r="P8" i="28"/>
  <c r="N8" i="28"/>
  <c r="AM7" i="28"/>
  <c r="AL7" i="28"/>
  <c r="W7" i="28"/>
  <c r="V7" i="28"/>
  <c r="U7" i="28"/>
  <c r="T7" i="28"/>
  <c r="S7" i="28"/>
  <c r="R7" i="28"/>
  <c r="Q7" i="28"/>
  <c r="P7" i="28"/>
  <c r="O7" i="28"/>
  <c r="N7" i="28"/>
  <c r="AM6" i="28"/>
  <c r="AL6" i="28"/>
  <c r="W6" i="28"/>
  <c r="V6" i="28"/>
  <c r="U6" i="28"/>
  <c r="T6" i="28"/>
  <c r="S6" i="28"/>
  <c r="R6" i="28"/>
  <c r="Q6" i="28"/>
  <c r="P6" i="28"/>
  <c r="O6" i="28"/>
  <c r="N6" i="28"/>
  <c r="AM5" i="28"/>
  <c r="AL5" i="28"/>
  <c r="W5" i="28"/>
  <c r="V5" i="28"/>
  <c r="U5" i="28"/>
  <c r="T5" i="28"/>
  <c r="S5" i="28"/>
  <c r="R5" i="28"/>
  <c r="Q5" i="28"/>
  <c r="P5" i="28"/>
  <c r="N5" i="28"/>
  <c r="N4" i="28" s="1"/>
  <c r="M4" i="28"/>
  <c r="L4" i="28"/>
  <c r="K4" i="28"/>
  <c r="J4" i="28"/>
  <c r="I4" i="28"/>
  <c r="W6" i="1" s="1"/>
  <c r="H4" i="28"/>
  <c r="G4" i="28"/>
  <c r="F4" i="28"/>
  <c r="E4" i="28"/>
  <c r="D4" i="28"/>
  <c r="C4" i="28"/>
  <c r="B4" i="28"/>
  <c r="B28" i="35"/>
  <c r="C28" i="35" s="1"/>
  <c r="D28" i="35" s="1"/>
  <c r="E28" i="35" s="1"/>
  <c r="F28" i="35" s="1"/>
  <c r="G28" i="35" s="1"/>
  <c r="H28" i="35" s="1"/>
  <c r="I28" i="35" s="1"/>
  <c r="J28" i="35" s="1"/>
  <c r="K28" i="35" s="1"/>
  <c r="L28" i="35" s="1"/>
  <c r="M28" i="35" s="1"/>
  <c r="V180" i="38" s="1"/>
  <c r="B27" i="35"/>
  <c r="C27" i="35" s="1"/>
  <c r="D27" i="35" s="1"/>
  <c r="E27" i="35" s="1"/>
  <c r="F27" i="35" s="1"/>
  <c r="G27" i="35" s="1"/>
  <c r="H27" i="35" s="1"/>
  <c r="I27" i="35" s="1"/>
  <c r="J27" i="35" s="1"/>
  <c r="K27" i="35" s="1"/>
  <c r="L27" i="35" s="1"/>
  <c r="M27" i="35" s="1"/>
  <c r="V179" i="38" s="1"/>
  <c r="B26" i="35"/>
  <c r="C26" i="35" s="1"/>
  <c r="D26" i="35" s="1"/>
  <c r="E26" i="35" s="1"/>
  <c r="F26" i="35" s="1"/>
  <c r="G26" i="35" s="1"/>
  <c r="H26" i="35" s="1"/>
  <c r="I26" i="35" s="1"/>
  <c r="J26" i="35" s="1"/>
  <c r="K26" i="35" s="1"/>
  <c r="L26" i="35" s="1"/>
  <c r="M26" i="35" s="1"/>
  <c r="V178" i="38" s="1"/>
  <c r="B25" i="35"/>
  <c r="C25" i="35" s="1"/>
  <c r="D25" i="35" s="1"/>
  <c r="E25" i="35" s="1"/>
  <c r="F25" i="35" s="1"/>
  <c r="G25" i="35" s="1"/>
  <c r="H25" i="35" s="1"/>
  <c r="I25" i="35" s="1"/>
  <c r="J25" i="35" s="1"/>
  <c r="K25" i="35" s="1"/>
  <c r="L25" i="35" s="1"/>
  <c r="M25" i="35" s="1"/>
  <c r="V177" i="38" s="1"/>
  <c r="B24" i="35"/>
  <c r="C24" i="35" s="1"/>
  <c r="D24" i="35" s="1"/>
  <c r="E24" i="35" s="1"/>
  <c r="F24" i="35" s="1"/>
  <c r="G24" i="35" s="1"/>
  <c r="H24" i="35" s="1"/>
  <c r="I24" i="35" s="1"/>
  <c r="J24" i="35" s="1"/>
  <c r="K24" i="35" s="1"/>
  <c r="L24" i="35" s="1"/>
  <c r="M24" i="35" s="1"/>
  <c r="V176" i="38" s="1"/>
  <c r="B23" i="35"/>
  <c r="C23" i="35" s="1"/>
  <c r="B22" i="35"/>
  <c r="C22" i="35" s="1"/>
  <c r="D22" i="35" s="1"/>
  <c r="E22" i="35" s="1"/>
  <c r="F22" i="35" s="1"/>
  <c r="G22" i="35" s="1"/>
  <c r="H22" i="35" s="1"/>
  <c r="I22" i="35" s="1"/>
  <c r="J22" i="35" s="1"/>
  <c r="K22" i="35" s="1"/>
  <c r="L22" i="35" s="1"/>
  <c r="M22" i="35" s="1"/>
  <c r="V174" i="38" s="1"/>
  <c r="B21" i="35"/>
  <c r="C21" i="35" s="1"/>
  <c r="D21" i="35" s="1"/>
  <c r="E21" i="35" s="1"/>
  <c r="F21" i="35" s="1"/>
  <c r="G21" i="35" s="1"/>
  <c r="H21" i="35" s="1"/>
  <c r="I21" i="35" s="1"/>
  <c r="J21" i="35" s="1"/>
  <c r="K21" i="35" s="1"/>
  <c r="L21" i="35" s="1"/>
  <c r="M21" i="35" s="1"/>
  <c r="V173" i="38" s="1"/>
  <c r="M11" i="35"/>
  <c r="AI301" i="3" s="1"/>
  <c r="L11" i="35"/>
  <c r="AF301" i="3" s="1"/>
  <c r="K11" i="35"/>
  <c r="AC301" i="3" s="1"/>
  <c r="J11" i="35"/>
  <c r="Z301" i="3" s="1"/>
  <c r="I11" i="35"/>
  <c r="W301" i="3" s="1"/>
  <c r="H11" i="35"/>
  <c r="T301" i="3" s="1"/>
  <c r="G11" i="35"/>
  <c r="Q301" i="3" s="1"/>
  <c r="F11" i="35"/>
  <c r="N301" i="3" s="1"/>
  <c r="E11" i="35"/>
  <c r="K301" i="3" s="1"/>
  <c r="D11" i="35"/>
  <c r="H301" i="3" s="1"/>
  <c r="C11" i="35"/>
  <c r="E301" i="3" s="1"/>
  <c r="B11" i="35"/>
  <c r="B301" i="3" s="1"/>
  <c r="D207" i="38" s="1"/>
  <c r="M2" i="35"/>
  <c r="AI288" i="3" s="1"/>
  <c r="L2" i="35"/>
  <c r="AF288" i="3" s="1"/>
  <c r="K2" i="35"/>
  <c r="AC288" i="3" s="1"/>
  <c r="J2" i="35"/>
  <c r="Z288" i="3" s="1"/>
  <c r="I2" i="35"/>
  <c r="W288" i="3" s="1"/>
  <c r="H2" i="35"/>
  <c r="T288" i="3" s="1"/>
  <c r="G2" i="35"/>
  <c r="Q288" i="3" s="1"/>
  <c r="F2" i="35"/>
  <c r="N288" i="3" s="1"/>
  <c r="E2" i="35"/>
  <c r="K288" i="3" s="1"/>
  <c r="D2" i="35"/>
  <c r="H288" i="3" s="1"/>
  <c r="C2" i="35"/>
  <c r="B2" i="35"/>
  <c r="B288" i="3" s="1"/>
  <c r="D181" i="38" s="1"/>
  <c r="N194" i="33"/>
  <c r="V193" i="38" s="1"/>
  <c r="N193" i="33"/>
  <c r="V192" i="38" s="1"/>
  <c r="N192" i="33"/>
  <c r="V191" i="38" s="1"/>
  <c r="N191" i="33"/>
  <c r="V190" i="38" s="1"/>
  <c r="N190" i="33"/>
  <c r="V189" i="38" s="1"/>
  <c r="N189" i="33"/>
  <c r="V188" i="38" s="1"/>
  <c r="N188" i="33"/>
  <c r="V187" i="38" s="1"/>
  <c r="N187" i="33"/>
  <c r="V186" i="38" s="1"/>
  <c r="M186" i="33"/>
  <c r="AI275" i="3" s="1"/>
  <c r="L186" i="33"/>
  <c r="AF275" i="3" s="1"/>
  <c r="K186" i="33"/>
  <c r="AC275" i="3" s="1"/>
  <c r="J186" i="33"/>
  <c r="Z275" i="3" s="1"/>
  <c r="I186" i="33"/>
  <c r="W275" i="3" s="1"/>
  <c r="H186" i="33"/>
  <c r="T275" i="3" s="1"/>
  <c r="G186" i="33"/>
  <c r="Q275" i="3" s="1"/>
  <c r="F186" i="33"/>
  <c r="N275" i="3" s="1"/>
  <c r="E186" i="33"/>
  <c r="K275" i="3" s="1"/>
  <c r="AO275" i="3" s="1"/>
  <c r="D186" i="33"/>
  <c r="H275" i="3" s="1"/>
  <c r="C186" i="33"/>
  <c r="E275" i="3" s="1"/>
  <c r="B186" i="33"/>
  <c r="B275" i="3" s="1"/>
  <c r="N181" i="33"/>
  <c r="N180" i="33"/>
  <c r="N179" i="33"/>
  <c r="N178" i="33"/>
  <c r="N177" i="33"/>
  <c r="N176" i="33"/>
  <c r="N174" i="33"/>
  <c r="M173" i="33"/>
  <c r="L173" i="33"/>
  <c r="K173" i="33"/>
  <c r="J173" i="33"/>
  <c r="I173" i="33"/>
  <c r="H173" i="33"/>
  <c r="G173" i="33"/>
  <c r="F173" i="33"/>
  <c r="E173" i="33"/>
  <c r="D173" i="33"/>
  <c r="C173" i="33"/>
  <c r="B173" i="33"/>
  <c r="N168" i="33"/>
  <c r="N167" i="33"/>
  <c r="N166" i="33"/>
  <c r="N165" i="33"/>
  <c r="N164" i="33"/>
  <c r="N163" i="33"/>
  <c r="N162" i="33"/>
  <c r="N161" i="33"/>
  <c r="M160" i="33"/>
  <c r="L160" i="33"/>
  <c r="K160" i="33"/>
  <c r="J160" i="33"/>
  <c r="I160" i="33"/>
  <c r="H160" i="33"/>
  <c r="G160" i="33"/>
  <c r="F160" i="33"/>
  <c r="E160" i="33"/>
  <c r="D160" i="33"/>
  <c r="C160" i="33"/>
  <c r="B160" i="33"/>
  <c r="N157" i="33"/>
  <c r="N156" i="33"/>
  <c r="N155" i="33"/>
  <c r="N154" i="33"/>
  <c r="N153" i="33"/>
  <c r="N152" i="33"/>
  <c r="N151" i="33"/>
  <c r="N150" i="33"/>
  <c r="N149" i="33"/>
  <c r="N148" i="33"/>
  <c r="M147" i="33"/>
  <c r="L147" i="33"/>
  <c r="K147" i="33"/>
  <c r="J147" i="33"/>
  <c r="I147" i="33"/>
  <c r="H147" i="33"/>
  <c r="G147" i="33"/>
  <c r="F147" i="33"/>
  <c r="E147" i="33"/>
  <c r="D147" i="33"/>
  <c r="C147" i="33"/>
  <c r="B147" i="33"/>
  <c r="N144" i="33"/>
  <c r="V167" i="38" s="1"/>
  <c r="N143" i="33"/>
  <c r="V166" i="38" s="1"/>
  <c r="N142" i="33"/>
  <c r="V165" i="38" s="1"/>
  <c r="N141" i="33"/>
  <c r="N140" i="33"/>
  <c r="V163" i="38" s="1"/>
  <c r="N139" i="33"/>
  <c r="V162" i="38" s="1"/>
  <c r="N138" i="33"/>
  <c r="V161" i="38" s="1"/>
  <c r="N137" i="33"/>
  <c r="V160" i="38" s="1"/>
  <c r="M136" i="33"/>
  <c r="AI212" i="3" s="1"/>
  <c r="L136" i="33"/>
  <c r="AF212" i="3" s="1"/>
  <c r="K136" i="33"/>
  <c r="AC212" i="3" s="1"/>
  <c r="J136" i="33"/>
  <c r="Z212" i="3" s="1"/>
  <c r="I136" i="33"/>
  <c r="W212" i="3" s="1"/>
  <c r="H136" i="33"/>
  <c r="T212" i="3" s="1"/>
  <c r="G136" i="33"/>
  <c r="Q212" i="3" s="1"/>
  <c r="F136" i="33"/>
  <c r="N212" i="3" s="1"/>
  <c r="E136" i="33"/>
  <c r="K212" i="3" s="1"/>
  <c r="AO212" i="3" s="1"/>
  <c r="D136" i="33"/>
  <c r="H212" i="3" s="1"/>
  <c r="C136" i="33"/>
  <c r="E212" i="3" s="1"/>
  <c r="B136" i="33"/>
  <c r="B212" i="3" s="1"/>
  <c r="N133" i="33"/>
  <c r="V154" i="38" s="1"/>
  <c r="N132" i="33"/>
  <c r="V153" i="38" s="1"/>
  <c r="N131" i="33"/>
  <c r="V152" i="38" s="1"/>
  <c r="N130" i="33"/>
  <c r="N129" i="33"/>
  <c r="V150" i="38" s="1"/>
  <c r="N128" i="33"/>
  <c r="V149" i="38" s="1"/>
  <c r="N127" i="33"/>
  <c r="V148" i="38" s="1"/>
  <c r="N126" i="33"/>
  <c r="V147" i="38" s="1"/>
  <c r="M125" i="33"/>
  <c r="AI199" i="3" s="1"/>
  <c r="L125" i="33"/>
  <c r="AF199" i="3" s="1"/>
  <c r="K125" i="33"/>
  <c r="AC199" i="3" s="1"/>
  <c r="J125" i="33"/>
  <c r="Z199" i="3" s="1"/>
  <c r="I125" i="33"/>
  <c r="W199" i="3" s="1"/>
  <c r="H125" i="33"/>
  <c r="T199" i="3" s="1"/>
  <c r="G125" i="33"/>
  <c r="Q199" i="3" s="1"/>
  <c r="F125" i="33"/>
  <c r="N199" i="3" s="1"/>
  <c r="E125" i="33"/>
  <c r="K199" i="3" s="1"/>
  <c r="AO199" i="3" s="1"/>
  <c r="D125" i="33"/>
  <c r="H199" i="3" s="1"/>
  <c r="C125" i="33"/>
  <c r="E199" i="3" s="1"/>
  <c r="B125" i="33"/>
  <c r="B199" i="3" s="1"/>
  <c r="N122" i="33"/>
  <c r="V141" i="38" s="1"/>
  <c r="N121" i="33"/>
  <c r="V140" i="38" s="1"/>
  <c r="N120" i="33"/>
  <c r="V139" i="38" s="1"/>
  <c r="N119" i="33"/>
  <c r="V138" i="38" s="1"/>
  <c r="N118" i="33"/>
  <c r="V137" i="38" s="1"/>
  <c r="N117" i="33"/>
  <c r="V136" i="38" s="1"/>
  <c r="N116" i="33"/>
  <c r="V135" i="38" s="1"/>
  <c r="N115" i="33"/>
  <c r="V134" i="38" s="1"/>
  <c r="N114" i="33"/>
  <c r="V142" i="38" s="1"/>
  <c r="M114" i="33"/>
  <c r="AI186" i="3" s="1"/>
  <c r="L114" i="33"/>
  <c r="AF186" i="3" s="1"/>
  <c r="K114" i="33"/>
  <c r="AC186" i="3" s="1"/>
  <c r="J114" i="33"/>
  <c r="Z186" i="3" s="1"/>
  <c r="I114" i="33"/>
  <c r="W186" i="3" s="1"/>
  <c r="H114" i="33"/>
  <c r="T186" i="3" s="1"/>
  <c r="G114" i="33"/>
  <c r="Q186" i="3" s="1"/>
  <c r="F114" i="33"/>
  <c r="N186" i="3" s="1"/>
  <c r="E114" i="33"/>
  <c r="K186" i="3" s="1"/>
  <c r="AO186" i="3" s="1"/>
  <c r="D114" i="33"/>
  <c r="H186" i="3" s="1"/>
  <c r="C114" i="33"/>
  <c r="E186" i="3" s="1"/>
  <c r="B114" i="33"/>
  <c r="B186" i="3" s="1"/>
  <c r="N111" i="33"/>
  <c r="V128" i="38" s="1"/>
  <c r="N110" i="33"/>
  <c r="V127" i="38" s="1"/>
  <c r="N109" i="33"/>
  <c r="V126" i="38" s="1"/>
  <c r="N108" i="33"/>
  <c r="V125" i="38" s="1"/>
  <c r="N107" i="33"/>
  <c r="V124" i="38" s="1"/>
  <c r="N106" i="33"/>
  <c r="V123" i="38" s="1"/>
  <c r="N105" i="33"/>
  <c r="V122" i="38" s="1"/>
  <c r="N104" i="33"/>
  <c r="M103" i="33"/>
  <c r="AI173" i="3" s="1"/>
  <c r="L103" i="33"/>
  <c r="AF173" i="3" s="1"/>
  <c r="K103" i="33"/>
  <c r="AC173" i="3" s="1"/>
  <c r="J103" i="33"/>
  <c r="Z173" i="3" s="1"/>
  <c r="I103" i="33"/>
  <c r="W173" i="3" s="1"/>
  <c r="H103" i="33"/>
  <c r="T173" i="3" s="1"/>
  <c r="G103" i="33"/>
  <c r="Q173" i="3" s="1"/>
  <c r="F103" i="33"/>
  <c r="N173" i="3" s="1"/>
  <c r="E103" i="33"/>
  <c r="K173" i="3" s="1"/>
  <c r="AO173" i="3" s="1"/>
  <c r="D103" i="33"/>
  <c r="H173" i="3" s="1"/>
  <c r="C103" i="33"/>
  <c r="E173" i="3" s="1"/>
  <c r="B103" i="33"/>
  <c r="B173" i="3" s="1"/>
  <c r="N100" i="33"/>
  <c r="V115" i="38" s="1"/>
  <c r="N99" i="33"/>
  <c r="V114" i="38" s="1"/>
  <c r="N98" i="33"/>
  <c r="V113" i="38" s="1"/>
  <c r="N97" i="33"/>
  <c r="N96" i="33"/>
  <c r="V111" i="38" s="1"/>
  <c r="N95" i="33"/>
  <c r="V110" i="38" s="1"/>
  <c r="N94" i="33"/>
  <c r="V109" i="38" s="1"/>
  <c r="N93" i="33"/>
  <c r="M92" i="33"/>
  <c r="AI160" i="3" s="1"/>
  <c r="L92" i="33"/>
  <c r="AF160" i="3" s="1"/>
  <c r="K92" i="33"/>
  <c r="AC160" i="3" s="1"/>
  <c r="J92" i="33"/>
  <c r="Z160" i="3" s="1"/>
  <c r="I92" i="33"/>
  <c r="W160" i="3" s="1"/>
  <c r="H92" i="33"/>
  <c r="T160" i="3" s="1"/>
  <c r="G92" i="33"/>
  <c r="Q160" i="3" s="1"/>
  <c r="F92" i="33"/>
  <c r="N160" i="3" s="1"/>
  <c r="E92" i="33"/>
  <c r="K160" i="3" s="1"/>
  <c r="AO160" i="3" s="1"/>
  <c r="D92" i="33"/>
  <c r="H160" i="3" s="1"/>
  <c r="C92" i="33"/>
  <c r="E160" i="3" s="1"/>
  <c r="B92" i="33"/>
  <c r="B160" i="3" s="1"/>
  <c r="N89" i="33"/>
  <c r="V89" i="38" s="1"/>
  <c r="N88" i="33"/>
  <c r="V88" i="38" s="1"/>
  <c r="N87" i="33"/>
  <c r="V87" i="38" s="1"/>
  <c r="N86" i="33"/>
  <c r="N85" i="33"/>
  <c r="V85" i="38" s="1"/>
  <c r="N84" i="33"/>
  <c r="V84" i="38" s="1"/>
  <c r="N83" i="33"/>
  <c r="V83" i="38" s="1"/>
  <c r="N82" i="33"/>
  <c r="V82" i="38" s="1"/>
  <c r="M81" i="33"/>
  <c r="AI136" i="3" s="1"/>
  <c r="L81" i="33"/>
  <c r="AF136" i="3" s="1"/>
  <c r="K81" i="33"/>
  <c r="AC136" i="3" s="1"/>
  <c r="J81" i="33"/>
  <c r="Z136" i="3" s="1"/>
  <c r="I81" i="33"/>
  <c r="W136" i="3" s="1"/>
  <c r="H81" i="33"/>
  <c r="T136" i="3" s="1"/>
  <c r="G81" i="33"/>
  <c r="Q136" i="3" s="1"/>
  <c r="F81" i="33"/>
  <c r="N136" i="3" s="1"/>
  <c r="E81" i="33"/>
  <c r="D81" i="33"/>
  <c r="H136" i="3" s="1"/>
  <c r="C81" i="33"/>
  <c r="E136" i="3" s="1"/>
  <c r="B81" i="33"/>
  <c r="B136" i="3" s="1"/>
  <c r="N78" i="33"/>
  <c r="N77" i="33"/>
  <c r="N76" i="33"/>
  <c r="N75" i="33"/>
  <c r="N74" i="33"/>
  <c r="N73" i="33"/>
  <c r="N72" i="33"/>
  <c r="N71" i="33"/>
  <c r="M70" i="33"/>
  <c r="L70" i="33"/>
  <c r="K70" i="33"/>
  <c r="J70" i="33"/>
  <c r="I70" i="33"/>
  <c r="H70" i="33"/>
  <c r="G70" i="33"/>
  <c r="F70" i="33"/>
  <c r="E70" i="33"/>
  <c r="D70" i="33"/>
  <c r="C70" i="33"/>
  <c r="B70" i="33"/>
  <c r="N67" i="33"/>
  <c r="V63" i="38" s="1"/>
  <c r="N66" i="33"/>
  <c r="V62" i="38" s="1"/>
  <c r="N65" i="33"/>
  <c r="V61" i="38" s="1"/>
  <c r="N64" i="33"/>
  <c r="N63" i="33"/>
  <c r="V59" i="38" s="1"/>
  <c r="N62" i="33"/>
  <c r="V58" i="38" s="1"/>
  <c r="N61" i="33"/>
  <c r="V57" i="38" s="1"/>
  <c r="N60" i="33"/>
  <c r="V56" i="38" s="1"/>
  <c r="N59" i="33"/>
  <c r="V64" i="38" s="1"/>
  <c r="M59" i="33"/>
  <c r="AI112" i="3" s="1"/>
  <c r="L59" i="33"/>
  <c r="AF112" i="3" s="1"/>
  <c r="K59" i="33"/>
  <c r="AC112" i="3" s="1"/>
  <c r="J59" i="33"/>
  <c r="Z112" i="3" s="1"/>
  <c r="I59" i="33"/>
  <c r="W112" i="3" s="1"/>
  <c r="H59" i="33"/>
  <c r="T112" i="3" s="1"/>
  <c r="G59" i="33"/>
  <c r="Q112" i="3" s="1"/>
  <c r="F59" i="33"/>
  <c r="N112" i="3" s="1"/>
  <c r="E59" i="33"/>
  <c r="K112" i="3" s="1"/>
  <c r="AO112" i="3" s="1"/>
  <c r="D59" i="33"/>
  <c r="H112" i="3" s="1"/>
  <c r="C59" i="33"/>
  <c r="E112" i="3" s="1"/>
  <c r="B59" i="33"/>
  <c r="B112" i="3" s="1"/>
  <c r="N56" i="33"/>
  <c r="N55" i="33"/>
  <c r="N54" i="33"/>
  <c r="N53" i="33"/>
  <c r="N52" i="33"/>
  <c r="N51" i="33"/>
  <c r="N50" i="33"/>
  <c r="N49" i="33"/>
  <c r="N48" i="33"/>
  <c r="M48" i="33"/>
  <c r="L48" i="33"/>
  <c r="K48" i="33"/>
  <c r="J48" i="33"/>
  <c r="I48" i="33"/>
  <c r="H48" i="33"/>
  <c r="G48" i="33"/>
  <c r="F48" i="33"/>
  <c r="E48" i="33"/>
  <c r="D48" i="33"/>
  <c r="C48" i="33"/>
  <c r="B48" i="33"/>
  <c r="N45" i="33"/>
  <c r="V50" i="38" s="1"/>
  <c r="N44" i="33"/>
  <c r="V49" i="38" s="1"/>
  <c r="N43" i="33"/>
  <c r="V48" i="38" s="1"/>
  <c r="N42" i="33"/>
  <c r="V47" i="38" s="1"/>
  <c r="N41" i="33"/>
  <c r="V46" i="38" s="1"/>
  <c r="N40" i="33"/>
  <c r="V45" i="38" s="1"/>
  <c r="N39" i="33"/>
  <c r="V44" i="38" s="1"/>
  <c r="N38" i="33"/>
  <c r="N37" i="33" s="1"/>
  <c r="V51" i="38" s="1"/>
  <c r="M37" i="33"/>
  <c r="AI88" i="3" s="1"/>
  <c r="L37" i="33"/>
  <c r="AF88" i="3" s="1"/>
  <c r="K37" i="33"/>
  <c r="AC88" i="3" s="1"/>
  <c r="J37" i="33"/>
  <c r="Z88" i="3" s="1"/>
  <c r="I37" i="33"/>
  <c r="W88" i="3" s="1"/>
  <c r="H37" i="33"/>
  <c r="T88" i="3" s="1"/>
  <c r="G37" i="33"/>
  <c r="Q88" i="3" s="1"/>
  <c r="F37" i="33"/>
  <c r="N88" i="3" s="1"/>
  <c r="E37" i="33"/>
  <c r="K88" i="3" s="1"/>
  <c r="D37" i="33"/>
  <c r="H88" i="3" s="1"/>
  <c r="C37" i="33"/>
  <c r="E88" i="3" s="1"/>
  <c r="B37" i="33"/>
  <c r="B88" i="3" s="1"/>
  <c r="N34" i="33"/>
  <c r="V24" i="38" s="1"/>
  <c r="N33" i="33"/>
  <c r="V23" i="38" s="1"/>
  <c r="N32" i="33"/>
  <c r="V22" i="38" s="1"/>
  <c r="N31" i="33"/>
  <c r="N30" i="33"/>
  <c r="V20" i="38" s="1"/>
  <c r="N29" i="33"/>
  <c r="V19" i="38" s="1"/>
  <c r="N28" i="33"/>
  <c r="V18" i="38" s="1"/>
  <c r="N27" i="33"/>
  <c r="V17" i="38" s="1"/>
  <c r="M26" i="33"/>
  <c r="AI32" i="3" s="1"/>
  <c r="L26" i="33"/>
  <c r="AF32" i="3" s="1"/>
  <c r="K26" i="33"/>
  <c r="AC32" i="3" s="1"/>
  <c r="J26" i="33"/>
  <c r="Z32" i="3" s="1"/>
  <c r="I26" i="33"/>
  <c r="W32" i="3" s="1"/>
  <c r="H26" i="33"/>
  <c r="T32" i="3" s="1"/>
  <c r="G26" i="33"/>
  <c r="Q32" i="3" s="1"/>
  <c r="F26" i="33"/>
  <c r="N32" i="3" s="1"/>
  <c r="E26" i="33"/>
  <c r="K32" i="3" s="1"/>
  <c r="AO32" i="3" s="1"/>
  <c r="D26" i="33"/>
  <c r="H32" i="3" s="1"/>
  <c r="C26" i="33"/>
  <c r="E32" i="3" s="1"/>
  <c r="B26" i="33"/>
  <c r="B32" i="3" s="1"/>
  <c r="N23" i="33"/>
  <c r="N22" i="33"/>
  <c r="N21" i="33"/>
  <c r="N20" i="33"/>
  <c r="N19" i="33"/>
  <c r="N18" i="33"/>
  <c r="N17" i="33"/>
  <c r="N16" i="33"/>
  <c r="M15" i="33"/>
  <c r="AI31" i="3" s="1"/>
  <c r="L15" i="33"/>
  <c r="AF31" i="3" s="1"/>
  <c r="K15" i="33"/>
  <c r="AC31" i="3" s="1"/>
  <c r="J15" i="33"/>
  <c r="Z31" i="3" s="1"/>
  <c r="I15" i="33"/>
  <c r="W31" i="3" s="1"/>
  <c r="H15" i="33"/>
  <c r="T31" i="3" s="1"/>
  <c r="G15" i="33"/>
  <c r="Q31" i="3" s="1"/>
  <c r="F15" i="33"/>
  <c r="N31" i="3" s="1"/>
  <c r="E15" i="33"/>
  <c r="K31" i="3" s="1"/>
  <c r="AO31" i="3" s="1"/>
  <c r="D15" i="33"/>
  <c r="H31" i="3" s="1"/>
  <c r="C15" i="33"/>
  <c r="E31" i="3" s="1"/>
  <c r="B15" i="33"/>
  <c r="B31" i="3" s="1"/>
  <c r="B31" i="4" s="1"/>
  <c r="E31" i="4" s="1"/>
  <c r="H31" i="4" s="1"/>
  <c r="N12" i="33"/>
  <c r="V11" i="38" s="1"/>
  <c r="N11" i="33"/>
  <c r="V10" i="38" s="1"/>
  <c r="N10" i="33"/>
  <c r="V9" i="38" s="1"/>
  <c r="N9" i="33"/>
  <c r="S8" i="33"/>
  <c r="R8" i="33"/>
  <c r="Q8" i="33"/>
  <c r="N8" i="33"/>
  <c r="V7" i="38" s="1"/>
  <c r="S7" i="33"/>
  <c r="R7" i="33"/>
  <c r="Q7" i="33"/>
  <c r="N7" i="33"/>
  <c r="V6" i="38" s="1"/>
  <c r="S6" i="33"/>
  <c r="R6" i="33"/>
  <c r="Q6" i="33"/>
  <c r="N6" i="33"/>
  <c r="V5" i="38" s="1"/>
  <c r="S5" i="33"/>
  <c r="R5" i="33"/>
  <c r="Q5" i="33"/>
  <c r="N5" i="33"/>
  <c r="O5" i="33" s="1"/>
  <c r="M4" i="33"/>
  <c r="L4" i="33"/>
  <c r="K4" i="33"/>
  <c r="J4" i="33"/>
  <c r="I4" i="33"/>
  <c r="H4" i="33"/>
  <c r="G4" i="33"/>
  <c r="F4" i="33"/>
  <c r="E4" i="33"/>
  <c r="D4" i="33"/>
  <c r="C4" i="33"/>
  <c r="B4" i="33"/>
  <c r="N19" i="31"/>
  <c r="N18" i="31"/>
  <c r="N17" i="31"/>
  <c r="Q16" i="31"/>
  <c r="R16" i="31" s="1"/>
  <c r="S16" i="31" s="1"/>
  <c r="T16" i="31" s="1"/>
  <c r="U16" i="31" s="1"/>
  <c r="V16" i="31" s="1"/>
  <c r="W16" i="31" s="1"/>
  <c r="X16" i="31" s="1"/>
  <c r="Y16" i="31" s="1"/>
  <c r="Z16" i="31" s="1"/>
  <c r="AA16" i="31" s="1"/>
  <c r="N16" i="31"/>
  <c r="Q15" i="31"/>
  <c r="R15" i="31" s="1"/>
  <c r="S15" i="31" s="1"/>
  <c r="T15" i="31" s="1"/>
  <c r="U15" i="31" s="1"/>
  <c r="V15" i="31" s="1"/>
  <c r="W15" i="31" s="1"/>
  <c r="X15" i="31" s="1"/>
  <c r="Y15" i="31" s="1"/>
  <c r="Z15" i="31" s="1"/>
  <c r="AA15" i="31" s="1"/>
  <c r="N15" i="31"/>
  <c r="Q14" i="31"/>
  <c r="R14" i="31" s="1"/>
  <c r="S14" i="31" s="1"/>
  <c r="T14" i="31" s="1"/>
  <c r="U14" i="31" s="1"/>
  <c r="V14" i="31" s="1"/>
  <c r="W14" i="31" s="1"/>
  <c r="X14" i="31" s="1"/>
  <c r="Y14" i="31" s="1"/>
  <c r="Z14" i="31" s="1"/>
  <c r="AA14" i="31" s="1"/>
  <c r="N14" i="31"/>
  <c r="Q13" i="31"/>
  <c r="R13" i="31" s="1"/>
  <c r="S13" i="31" s="1"/>
  <c r="T13" i="31" s="1"/>
  <c r="U13" i="31" s="1"/>
  <c r="V13" i="31" s="1"/>
  <c r="W13" i="31" s="1"/>
  <c r="X13" i="31" s="1"/>
  <c r="Y13" i="31" s="1"/>
  <c r="Z13" i="31" s="1"/>
  <c r="AA13" i="31" s="1"/>
  <c r="N13" i="31"/>
  <c r="Q12" i="31"/>
  <c r="R12" i="31" s="1"/>
  <c r="S12" i="31" s="1"/>
  <c r="T12" i="31" s="1"/>
  <c r="U12" i="31" s="1"/>
  <c r="V12" i="31" s="1"/>
  <c r="W12" i="31" s="1"/>
  <c r="X12" i="31" s="1"/>
  <c r="Y12" i="31" s="1"/>
  <c r="Z12" i="31" s="1"/>
  <c r="AA12" i="31" s="1"/>
  <c r="N12" i="31"/>
  <c r="M11" i="31"/>
  <c r="AJ300" i="1" s="1"/>
  <c r="L11" i="31"/>
  <c r="AG300" i="1" s="1"/>
  <c r="K11" i="31"/>
  <c r="AD300" i="1" s="1"/>
  <c r="J11" i="31"/>
  <c r="AA300" i="1" s="1"/>
  <c r="I11" i="31"/>
  <c r="X300" i="1" s="1"/>
  <c r="H11" i="31"/>
  <c r="U300" i="1" s="1"/>
  <c r="G11" i="31"/>
  <c r="R300" i="1" s="1"/>
  <c r="AP300" i="1" s="1"/>
  <c r="I300" i="1"/>
  <c r="C300" i="1"/>
  <c r="C301" i="2" s="1"/>
  <c r="N10" i="31"/>
  <c r="N9" i="31"/>
  <c r="Q8" i="31"/>
  <c r="R8" i="31" s="1"/>
  <c r="S8" i="31" s="1"/>
  <c r="T8" i="31" s="1"/>
  <c r="U8" i="31" s="1"/>
  <c r="V8" i="31" s="1"/>
  <c r="W8" i="31" s="1"/>
  <c r="X8" i="31" s="1"/>
  <c r="Y8" i="31" s="1"/>
  <c r="Z8" i="31" s="1"/>
  <c r="AA8" i="31" s="1"/>
  <c r="N8" i="31"/>
  <c r="AD7" i="31"/>
  <c r="Q7" i="31"/>
  <c r="R7" i="31" s="1"/>
  <c r="S7" i="31" s="1"/>
  <c r="T7" i="31" s="1"/>
  <c r="U7" i="31" s="1"/>
  <c r="V7" i="31" s="1"/>
  <c r="W7" i="31" s="1"/>
  <c r="X7" i="31" s="1"/>
  <c r="Y7" i="31" s="1"/>
  <c r="Z7" i="31" s="1"/>
  <c r="AA7" i="31" s="1"/>
  <c r="N7" i="31"/>
  <c r="Q6" i="31"/>
  <c r="R6" i="31" s="1"/>
  <c r="S6" i="31" s="1"/>
  <c r="T6" i="31" s="1"/>
  <c r="U6" i="31" s="1"/>
  <c r="V6" i="31" s="1"/>
  <c r="W6" i="31" s="1"/>
  <c r="X6" i="31" s="1"/>
  <c r="Y6" i="31" s="1"/>
  <c r="Z6" i="31" s="1"/>
  <c r="AA6" i="31" s="1"/>
  <c r="N6" i="31"/>
  <c r="P6" i="31" s="1"/>
  <c r="Q5" i="31"/>
  <c r="R5" i="31" s="1"/>
  <c r="S5" i="31" s="1"/>
  <c r="T5" i="31" s="1"/>
  <c r="U5" i="31" s="1"/>
  <c r="V5" i="31" s="1"/>
  <c r="W5" i="31" s="1"/>
  <c r="X5" i="31" s="1"/>
  <c r="Y5" i="31" s="1"/>
  <c r="Z5" i="31" s="1"/>
  <c r="AA5" i="31" s="1"/>
  <c r="N5" i="31"/>
  <c r="Q4" i="31"/>
  <c r="R4" i="31" s="1"/>
  <c r="S4" i="31" s="1"/>
  <c r="T4" i="31" s="1"/>
  <c r="U4" i="31" s="1"/>
  <c r="V4" i="31" s="1"/>
  <c r="W4" i="31" s="1"/>
  <c r="X4" i="31" s="1"/>
  <c r="Y4" i="31" s="1"/>
  <c r="Z4" i="31" s="1"/>
  <c r="AA4" i="31" s="1"/>
  <c r="N4" i="31"/>
  <c r="P4" i="31" s="1"/>
  <c r="Q3" i="31"/>
  <c r="R3" i="31" s="1"/>
  <c r="S3" i="31" s="1"/>
  <c r="T3" i="31" s="1"/>
  <c r="U3" i="31" s="1"/>
  <c r="V3" i="31" s="1"/>
  <c r="W3" i="31" s="1"/>
  <c r="X3" i="31" s="1"/>
  <c r="Y3" i="31" s="1"/>
  <c r="Z3" i="31" s="1"/>
  <c r="AA3" i="31" s="1"/>
  <c r="N3" i="31"/>
  <c r="M2" i="31"/>
  <c r="AJ287" i="1" s="1"/>
  <c r="L2" i="31"/>
  <c r="AG287" i="1" s="1"/>
  <c r="K2" i="31"/>
  <c r="AD287" i="1" s="1"/>
  <c r="J2" i="31"/>
  <c r="AA287" i="1" s="1"/>
  <c r="I2" i="31"/>
  <c r="X287" i="1" s="1"/>
  <c r="H2" i="31"/>
  <c r="U287" i="1" s="1"/>
  <c r="G2" i="31"/>
  <c r="R287" i="1" s="1"/>
  <c r="F2" i="31"/>
  <c r="O287" i="1" s="1"/>
  <c r="E2" i="31"/>
  <c r="L287" i="1" s="1"/>
  <c r="D2" i="31"/>
  <c r="I287" i="1" s="1"/>
  <c r="C2" i="31"/>
  <c r="B2" i="31"/>
  <c r="C287" i="1" s="1"/>
  <c r="C288" i="2" s="1"/>
  <c r="Q19" i="34"/>
  <c r="R19" i="34" s="1"/>
  <c r="S19" i="34" s="1"/>
  <c r="T19" i="34" s="1"/>
  <c r="U19" i="34" s="1"/>
  <c r="V19" i="34" s="1"/>
  <c r="W19" i="34" s="1"/>
  <c r="X19" i="34" s="1"/>
  <c r="Y19" i="34" s="1"/>
  <c r="Z19" i="34" s="1"/>
  <c r="AA19" i="34" s="1"/>
  <c r="N19" i="34"/>
  <c r="Q18" i="34"/>
  <c r="R18" i="34" s="1"/>
  <c r="S18" i="34" s="1"/>
  <c r="T18" i="34" s="1"/>
  <c r="U18" i="34" s="1"/>
  <c r="V18" i="34" s="1"/>
  <c r="W18" i="34" s="1"/>
  <c r="X18" i="34" s="1"/>
  <c r="Y18" i="34" s="1"/>
  <c r="Z18" i="34" s="1"/>
  <c r="AA18" i="34" s="1"/>
  <c r="N18" i="34"/>
  <c r="Q17" i="34"/>
  <c r="R17" i="34" s="1"/>
  <c r="S17" i="34" s="1"/>
  <c r="T17" i="34" s="1"/>
  <c r="U17" i="34" s="1"/>
  <c r="V17" i="34" s="1"/>
  <c r="W17" i="34" s="1"/>
  <c r="X17" i="34" s="1"/>
  <c r="Y17" i="34" s="1"/>
  <c r="Z17" i="34" s="1"/>
  <c r="AA17" i="34" s="1"/>
  <c r="N17" i="34"/>
  <c r="N16" i="34"/>
  <c r="N15" i="34"/>
  <c r="N14" i="34"/>
  <c r="N13" i="34"/>
  <c r="N12" i="34"/>
  <c r="M11" i="34"/>
  <c r="AJ301" i="3" s="1"/>
  <c r="L11" i="34"/>
  <c r="AG301" i="3" s="1"/>
  <c r="K11" i="34"/>
  <c r="AD301" i="3" s="1"/>
  <c r="J11" i="34"/>
  <c r="AA301" i="3" s="1"/>
  <c r="I11" i="34"/>
  <c r="X301" i="3" s="1"/>
  <c r="H11" i="34"/>
  <c r="U301" i="3" s="1"/>
  <c r="G11" i="34"/>
  <c r="R301" i="3" s="1"/>
  <c r="F11" i="34"/>
  <c r="O301" i="3" s="1"/>
  <c r="E11" i="34"/>
  <c r="L301" i="3" s="1"/>
  <c r="D11" i="34"/>
  <c r="I301" i="3" s="1"/>
  <c r="C11" i="34"/>
  <c r="F301" i="3" s="1"/>
  <c r="B11" i="34"/>
  <c r="Q10" i="34"/>
  <c r="R10" i="34" s="1"/>
  <c r="S10" i="34" s="1"/>
  <c r="T10" i="34" s="1"/>
  <c r="U10" i="34" s="1"/>
  <c r="V10" i="34" s="1"/>
  <c r="W10" i="34" s="1"/>
  <c r="X10" i="34" s="1"/>
  <c r="Y10" i="34" s="1"/>
  <c r="Z10" i="34" s="1"/>
  <c r="AA10" i="34" s="1"/>
  <c r="N10" i="34"/>
  <c r="Q9" i="34"/>
  <c r="R9" i="34" s="1"/>
  <c r="S9" i="34" s="1"/>
  <c r="T9" i="34" s="1"/>
  <c r="U9" i="34" s="1"/>
  <c r="V9" i="34" s="1"/>
  <c r="W9" i="34" s="1"/>
  <c r="X9" i="34" s="1"/>
  <c r="Y9" i="34" s="1"/>
  <c r="Z9" i="34" s="1"/>
  <c r="AA9" i="34" s="1"/>
  <c r="N9" i="34"/>
  <c r="Q8" i="34"/>
  <c r="R8" i="34" s="1"/>
  <c r="S8" i="34" s="1"/>
  <c r="T8" i="34" s="1"/>
  <c r="U8" i="34" s="1"/>
  <c r="V8" i="34" s="1"/>
  <c r="W8" i="34" s="1"/>
  <c r="X8" i="34" s="1"/>
  <c r="Y8" i="34" s="1"/>
  <c r="Z8" i="34" s="1"/>
  <c r="AA8" i="34" s="1"/>
  <c r="O8" i="34"/>
  <c r="N8" i="34"/>
  <c r="N7" i="34"/>
  <c r="N6" i="34"/>
  <c r="N5" i="34"/>
  <c r="P5" i="34" s="1"/>
  <c r="N4" i="34"/>
  <c r="P4" i="34" s="1"/>
  <c r="N3" i="34"/>
  <c r="P3" i="34" s="1"/>
  <c r="M2" i="34"/>
  <c r="AJ288" i="3" s="1"/>
  <c r="L2" i="34"/>
  <c r="AG288" i="3" s="1"/>
  <c r="K2" i="34"/>
  <c r="AD288" i="3" s="1"/>
  <c r="J2" i="34"/>
  <c r="AA288" i="3" s="1"/>
  <c r="I2" i="34"/>
  <c r="X288" i="3" s="1"/>
  <c r="H2" i="34"/>
  <c r="U288" i="3" s="1"/>
  <c r="G2" i="34"/>
  <c r="R288" i="3" s="1"/>
  <c r="F2" i="34"/>
  <c r="O288" i="3" s="1"/>
  <c r="E2" i="34"/>
  <c r="L288" i="3" s="1"/>
  <c r="D2" i="34"/>
  <c r="I288" i="3" s="1"/>
  <c r="C2" i="34"/>
  <c r="F288" i="3" s="1"/>
  <c r="B2" i="34"/>
  <c r="C288" i="3" s="1"/>
  <c r="C181" i="38" s="1"/>
  <c r="Z98" i="38" s="1"/>
  <c r="N193" i="30"/>
  <c r="N192" i="30"/>
  <c r="N191" i="30"/>
  <c r="N190" i="30"/>
  <c r="N189" i="30"/>
  <c r="N188" i="30"/>
  <c r="N187" i="30"/>
  <c r="N186" i="30"/>
  <c r="M185" i="30"/>
  <c r="AJ275" i="1" s="1"/>
  <c r="L185" i="30"/>
  <c r="AG275" i="1" s="1"/>
  <c r="K185" i="30"/>
  <c r="AD275" i="1" s="1"/>
  <c r="J185" i="30"/>
  <c r="AA275" i="1" s="1"/>
  <c r="I185" i="30"/>
  <c r="X275" i="1" s="1"/>
  <c r="H185" i="30"/>
  <c r="U275" i="1" s="1"/>
  <c r="G185" i="30"/>
  <c r="R275" i="1" s="1"/>
  <c r="F185" i="30"/>
  <c r="O275" i="1" s="1"/>
  <c r="E185" i="30"/>
  <c r="L275" i="1" s="1"/>
  <c r="D185" i="30"/>
  <c r="I275" i="1" s="1"/>
  <c r="C185" i="30"/>
  <c r="F275" i="1" s="1"/>
  <c r="B185" i="30"/>
  <c r="C275" i="1" s="1"/>
  <c r="P180" i="30"/>
  <c r="N180" i="30"/>
  <c r="P179" i="30"/>
  <c r="N179" i="30"/>
  <c r="P178" i="30"/>
  <c r="N178" i="30"/>
  <c r="P177" i="30"/>
  <c r="N177" i="30"/>
  <c r="P176" i="30"/>
  <c r="N176" i="30"/>
  <c r="P175" i="30"/>
  <c r="N175" i="30"/>
  <c r="P174" i="30"/>
  <c r="N174" i="30"/>
  <c r="P173" i="30"/>
  <c r="N173" i="30"/>
  <c r="M172" i="30"/>
  <c r="L172" i="30"/>
  <c r="K172" i="30"/>
  <c r="J172" i="30"/>
  <c r="I172" i="30"/>
  <c r="H172" i="30"/>
  <c r="G172" i="30"/>
  <c r="F172" i="30"/>
  <c r="E172" i="30"/>
  <c r="D172" i="30"/>
  <c r="C172" i="30"/>
  <c r="B172" i="30"/>
  <c r="N167" i="30"/>
  <c r="N166" i="30"/>
  <c r="N165" i="30"/>
  <c r="N164" i="30"/>
  <c r="N163" i="30"/>
  <c r="N162" i="30"/>
  <c r="N161" i="30"/>
  <c r="N160" i="30"/>
  <c r="M159" i="30"/>
  <c r="L159" i="30"/>
  <c r="K159" i="30"/>
  <c r="J159" i="30"/>
  <c r="I159" i="30"/>
  <c r="H159" i="30"/>
  <c r="G159" i="30"/>
  <c r="F159" i="30"/>
  <c r="E159" i="30"/>
  <c r="D159" i="30"/>
  <c r="C159" i="30"/>
  <c r="B159" i="30"/>
  <c r="N154" i="30"/>
  <c r="N153" i="30"/>
  <c r="N152" i="30"/>
  <c r="N151" i="30"/>
  <c r="N150" i="30"/>
  <c r="N149" i="30"/>
  <c r="N148" i="30"/>
  <c r="N147" i="30"/>
  <c r="M146" i="30"/>
  <c r="L146" i="30"/>
  <c r="K146" i="30"/>
  <c r="J146" i="30"/>
  <c r="I146" i="30"/>
  <c r="H146" i="30"/>
  <c r="G146" i="30"/>
  <c r="F146" i="30"/>
  <c r="E146" i="30"/>
  <c r="D146" i="30"/>
  <c r="C146" i="30"/>
  <c r="B146" i="30"/>
  <c r="N146" i="30" s="1"/>
  <c r="N143" i="30"/>
  <c r="N142" i="30"/>
  <c r="N141" i="30"/>
  <c r="N140" i="30"/>
  <c r="N139" i="30"/>
  <c r="N138" i="30"/>
  <c r="N137" i="30"/>
  <c r="N136" i="30"/>
  <c r="M135" i="30"/>
  <c r="L135" i="30"/>
  <c r="K135" i="30"/>
  <c r="J135" i="30"/>
  <c r="I135" i="30"/>
  <c r="H135" i="30"/>
  <c r="G135" i="30"/>
  <c r="F135" i="30"/>
  <c r="E135" i="30"/>
  <c r="L212" i="1" s="1"/>
  <c r="D135" i="30"/>
  <c r="I212" i="1" s="1"/>
  <c r="C135" i="30"/>
  <c r="F212" i="1" s="1"/>
  <c r="B135" i="30"/>
  <c r="N132" i="30"/>
  <c r="N131" i="30"/>
  <c r="N130" i="30"/>
  <c r="N129" i="30"/>
  <c r="N128" i="30"/>
  <c r="N127" i="30"/>
  <c r="N126" i="30"/>
  <c r="N125" i="30"/>
  <c r="M124" i="30"/>
  <c r="AJ199" i="1" s="1"/>
  <c r="L124" i="30"/>
  <c r="AG199" i="1" s="1"/>
  <c r="K124" i="30"/>
  <c r="AD199" i="1" s="1"/>
  <c r="J124" i="30"/>
  <c r="AA199" i="1" s="1"/>
  <c r="I124" i="30"/>
  <c r="X199" i="1" s="1"/>
  <c r="H124" i="30"/>
  <c r="U199" i="1" s="1"/>
  <c r="G124" i="30"/>
  <c r="R199" i="1" s="1"/>
  <c r="F124" i="30"/>
  <c r="O199" i="1" s="1"/>
  <c r="E124" i="30"/>
  <c r="L199" i="1" s="1"/>
  <c r="D124" i="30"/>
  <c r="I199" i="1" s="1"/>
  <c r="C124" i="30"/>
  <c r="F199" i="1" s="1"/>
  <c r="B124" i="30"/>
  <c r="C199" i="1" s="1"/>
  <c r="C199" i="2" s="1"/>
  <c r="N121" i="30"/>
  <c r="N120" i="30"/>
  <c r="N119" i="30"/>
  <c r="N118" i="30"/>
  <c r="N117" i="30"/>
  <c r="N116" i="30"/>
  <c r="N115" i="30"/>
  <c r="N114" i="30"/>
  <c r="M113" i="30"/>
  <c r="L113" i="30"/>
  <c r="K113" i="30"/>
  <c r="J113" i="30"/>
  <c r="I113" i="30"/>
  <c r="H113" i="30"/>
  <c r="G113" i="30"/>
  <c r="F113" i="30"/>
  <c r="O186" i="1" s="1"/>
  <c r="E113" i="30"/>
  <c r="D113" i="30"/>
  <c r="C113" i="30"/>
  <c r="F186" i="1" s="1"/>
  <c r="B113" i="30"/>
  <c r="N110" i="30"/>
  <c r="N109" i="30"/>
  <c r="N108" i="30"/>
  <c r="N107" i="30"/>
  <c r="N106" i="30"/>
  <c r="N105" i="30"/>
  <c r="N104" i="30"/>
  <c r="N103" i="30"/>
  <c r="M102" i="30"/>
  <c r="L102" i="30"/>
  <c r="K102" i="30"/>
  <c r="J102" i="30"/>
  <c r="I102" i="30"/>
  <c r="H102" i="30"/>
  <c r="G102" i="30"/>
  <c r="F102" i="30"/>
  <c r="O173" i="1" s="1"/>
  <c r="E102" i="30"/>
  <c r="L173" i="1" s="1"/>
  <c r="D102" i="30"/>
  <c r="I173" i="1" s="1"/>
  <c r="C102" i="30"/>
  <c r="F173" i="1" s="1"/>
  <c r="B102" i="30"/>
  <c r="C173" i="1" s="1"/>
  <c r="C173" i="2" s="1"/>
  <c r="N99" i="30"/>
  <c r="N98" i="30"/>
  <c r="N97" i="30"/>
  <c r="N96" i="30"/>
  <c r="N95" i="30"/>
  <c r="N94" i="30"/>
  <c r="S93" i="30"/>
  <c r="N93" i="30"/>
  <c r="N92" i="30"/>
  <c r="P91" i="30"/>
  <c r="P93" i="30" s="1"/>
  <c r="M91" i="30"/>
  <c r="L91" i="30"/>
  <c r="K91" i="30"/>
  <c r="J91" i="30"/>
  <c r="I91" i="30"/>
  <c r="H91" i="30"/>
  <c r="G91" i="30"/>
  <c r="F91" i="30"/>
  <c r="E91" i="30"/>
  <c r="D91" i="30"/>
  <c r="C91" i="30"/>
  <c r="F160" i="1" s="1"/>
  <c r="B91" i="30"/>
  <c r="N88" i="30"/>
  <c r="N87" i="30"/>
  <c r="N86" i="30"/>
  <c r="N85" i="30"/>
  <c r="N84" i="30"/>
  <c r="N83" i="30"/>
  <c r="N82" i="30"/>
  <c r="N81" i="30"/>
  <c r="M80" i="30"/>
  <c r="L80" i="30"/>
  <c r="K80" i="30"/>
  <c r="J80" i="30"/>
  <c r="AA136" i="1" s="1"/>
  <c r="I80" i="30"/>
  <c r="X136" i="1" s="1"/>
  <c r="H80" i="30"/>
  <c r="G80" i="30"/>
  <c r="F80" i="30"/>
  <c r="E80" i="30"/>
  <c r="L136" i="1" s="1"/>
  <c r="D80" i="30"/>
  <c r="I136" i="1" s="1"/>
  <c r="C80" i="30"/>
  <c r="F136" i="1" s="1"/>
  <c r="B80" i="30"/>
  <c r="C136" i="1" s="1"/>
  <c r="N78" i="30"/>
  <c r="N77" i="30"/>
  <c r="N76" i="30"/>
  <c r="N75" i="30"/>
  <c r="N74" i="30"/>
  <c r="N73" i="30"/>
  <c r="N72" i="30"/>
  <c r="N71" i="30"/>
  <c r="M70" i="30"/>
  <c r="L70" i="30"/>
  <c r="K70" i="30"/>
  <c r="J70" i="30"/>
  <c r="I70" i="30"/>
  <c r="H70" i="30"/>
  <c r="G70" i="30"/>
  <c r="F70" i="30"/>
  <c r="E70" i="30"/>
  <c r="D70" i="30"/>
  <c r="C70" i="30"/>
  <c r="B70" i="30"/>
  <c r="N67" i="30"/>
  <c r="N66" i="30"/>
  <c r="N65" i="30"/>
  <c r="N64" i="30"/>
  <c r="N63" i="30"/>
  <c r="N62" i="30"/>
  <c r="N61" i="30"/>
  <c r="N60" i="30"/>
  <c r="M59" i="30"/>
  <c r="AJ112" i="1" s="1"/>
  <c r="L59" i="30"/>
  <c r="AG112" i="1" s="1"/>
  <c r="K59" i="30"/>
  <c r="AD112" i="1" s="1"/>
  <c r="J59" i="30"/>
  <c r="AA112" i="1" s="1"/>
  <c r="I59" i="30"/>
  <c r="X112" i="1" s="1"/>
  <c r="H59" i="30"/>
  <c r="U112" i="1" s="1"/>
  <c r="G59" i="30"/>
  <c r="R112" i="1" s="1"/>
  <c r="F59" i="30"/>
  <c r="O112" i="1" s="1"/>
  <c r="E59" i="30"/>
  <c r="L112" i="1" s="1"/>
  <c r="D59" i="30"/>
  <c r="I112" i="1" s="1"/>
  <c r="C59" i="30"/>
  <c r="F112" i="1" s="1"/>
  <c r="B59" i="30"/>
  <c r="N56" i="30"/>
  <c r="N55" i="30"/>
  <c r="N54" i="30"/>
  <c r="N53" i="30"/>
  <c r="N52" i="30"/>
  <c r="N51" i="30"/>
  <c r="N50" i="30"/>
  <c r="N49" i="30"/>
  <c r="M48" i="30"/>
  <c r="L48" i="30"/>
  <c r="K48" i="30"/>
  <c r="J48" i="30"/>
  <c r="I48" i="30"/>
  <c r="H48" i="30"/>
  <c r="G48" i="30"/>
  <c r="F48" i="30"/>
  <c r="E48" i="30"/>
  <c r="D48" i="30"/>
  <c r="C48" i="30"/>
  <c r="B48" i="30"/>
  <c r="N45" i="30"/>
  <c r="N44" i="30"/>
  <c r="N43" i="30"/>
  <c r="N42" i="30"/>
  <c r="N41" i="30"/>
  <c r="N40" i="30"/>
  <c r="N39" i="30"/>
  <c r="N38" i="30"/>
  <c r="M37" i="30"/>
  <c r="AJ88" i="1" s="1"/>
  <c r="L37" i="30"/>
  <c r="AG88" i="1" s="1"/>
  <c r="K37" i="30"/>
  <c r="AD88" i="1" s="1"/>
  <c r="J37" i="30"/>
  <c r="AA88" i="1" s="1"/>
  <c r="I37" i="30"/>
  <c r="X88" i="1" s="1"/>
  <c r="H37" i="30"/>
  <c r="U88" i="1" s="1"/>
  <c r="G37" i="30"/>
  <c r="R88" i="1" s="1"/>
  <c r="F37" i="30"/>
  <c r="O88" i="1" s="1"/>
  <c r="E37" i="30"/>
  <c r="L88" i="1" s="1"/>
  <c r="D37" i="30"/>
  <c r="I88" i="1" s="1"/>
  <c r="C37" i="30"/>
  <c r="F88" i="1" s="1"/>
  <c r="B37" i="30"/>
  <c r="N34" i="30"/>
  <c r="N33" i="30"/>
  <c r="N32" i="30"/>
  <c r="N31" i="30"/>
  <c r="N30" i="30"/>
  <c r="N29" i="30"/>
  <c r="N28" i="30"/>
  <c r="N27" i="30"/>
  <c r="M26" i="30"/>
  <c r="L26" i="30"/>
  <c r="K26" i="30"/>
  <c r="J26" i="30"/>
  <c r="I26" i="30"/>
  <c r="X32" i="1" s="1"/>
  <c r="H26" i="30"/>
  <c r="G26" i="30"/>
  <c r="F26" i="30"/>
  <c r="E26" i="30"/>
  <c r="L32" i="1" s="1"/>
  <c r="D26" i="30"/>
  <c r="I32" i="1" s="1"/>
  <c r="C26" i="30"/>
  <c r="F32" i="1" s="1"/>
  <c r="B26" i="30"/>
  <c r="C32" i="1" s="1"/>
  <c r="N23" i="30"/>
  <c r="N22" i="30"/>
  <c r="N21" i="30"/>
  <c r="N20" i="30"/>
  <c r="N19" i="30"/>
  <c r="N18" i="30"/>
  <c r="N17" i="30"/>
  <c r="N16" i="30"/>
  <c r="M15" i="30"/>
  <c r="L15" i="30"/>
  <c r="K15" i="30"/>
  <c r="J15" i="30"/>
  <c r="AA31" i="1" s="1"/>
  <c r="I15" i="30"/>
  <c r="X31" i="1" s="1"/>
  <c r="H15" i="30"/>
  <c r="U31" i="1" s="1"/>
  <c r="G15" i="30"/>
  <c r="R31" i="1" s="1"/>
  <c r="F15" i="30"/>
  <c r="O31" i="1" s="1"/>
  <c r="E15" i="30"/>
  <c r="L31" i="1" s="1"/>
  <c r="D15" i="30"/>
  <c r="I31" i="1" s="1"/>
  <c r="C15" i="30"/>
  <c r="F31" i="1" s="1"/>
  <c r="B15" i="30"/>
  <c r="C31" i="1" s="1"/>
  <c r="C31" i="2" s="1"/>
  <c r="N12" i="30"/>
  <c r="N11" i="30"/>
  <c r="N10" i="30"/>
  <c r="N9" i="30"/>
  <c r="N8" i="30"/>
  <c r="N7" i="30"/>
  <c r="N6" i="30"/>
  <c r="N5" i="30"/>
  <c r="M4" i="30"/>
  <c r="L4" i="30"/>
  <c r="K4" i="30"/>
  <c r="J4" i="30"/>
  <c r="AA30" i="1" s="1"/>
  <c r="I4" i="30"/>
  <c r="X30" i="1" s="1"/>
  <c r="H4" i="30"/>
  <c r="U30" i="1" s="1"/>
  <c r="G4" i="30"/>
  <c r="R30" i="1" s="1"/>
  <c r="F4" i="30"/>
  <c r="O30" i="1" s="1"/>
  <c r="E4" i="30"/>
  <c r="D4" i="30"/>
  <c r="C4" i="30"/>
  <c r="B4" i="30"/>
  <c r="K201" i="32"/>
  <c r="M199" i="32"/>
  <c r="L199" i="32"/>
  <c r="K199" i="32"/>
  <c r="N193" i="32"/>
  <c r="O193" i="32" s="1"/>
  <c r="N192" i="32"/>
  <c r="O192" i="32" s="1"/>
  <c r="N191" i="32"/>
  <c r="O191" i="32" s="1"/>
  <c r="N190" i="32"/>
  <c r="O190" i="32" s="1"/>
  <c r="N189" i="32"/>
  <c r="O189" i="32" s="1"/>
  <c r="N188" i="32"/>
  <c r="O188" i="32" s="1"/>
  <c r="N187" i="32"/>
  <c r="O187" i="32" s="1"/>
  <c r="N186" i="32"/>
  <c r="O186" i="32" s="1"/>
  <c r="M185" i="32"/>
  <c r="AJ275" i="3" s="1"/>
  <c r="L185" i="32"/>
  <c r="AG275" i="3" s="1"/>
  <c r="K185" i="32"/>
  <c r="AD275" i="3" s="1"/>
  <c r="J185" i="32"/>
  <c r="AA275" i="3" s="1"/>
  <c r="I185" i="32"/>
  <c r="X275" i="3" s="1"/>
  <c r="H185" i="32"/>
  <c r="U275" i="3" s="1"/>
  <c r="G185" i="32"/>
  <c r="R275" i="3" s="1"/>
  <c r="F185" i="32"/>
  <c r="O275" i="3" s="1"/>
  <c r="E185" i="32"/>
  <c r="L275" i="3" s="1"/>
  <c r="D185" i="32"/>
  <c r="I275" i="3" s="1"/>
  <c r="C185" i="32"/>
  <c r="F275" i="3" s="1"/>
  <c r="B185" i="32"/>
  <c r="P180" i="32"/>
  <c r="N180" i="32"/>
  <c r="P179" i="32"/>
  <c r="N179" i="32"/>
  <c r="P178" i="32"/>
  <c r="N178" i="32"/>
  <c r="P177" i="32"/>
  <c r="N177" i="32"/>
  <c r="P176" i="32"/>
  <c r="N176" i="32"/>
  <c r="P175" i="32"/>
  <c r="N175" i="32"/>
  <c r="P174" i="32"/>
  <c r="N174" i="32"/>
  <c r="P173" i="32"/>
  <c r="N173" i="32"/>
  <c r="M172" i="32"/>
  <c r="L172" i="32"/>
  <c r="K172" i="32"/>
  <c r="J172" i="32"/>
  <c r="I172" i="32"/>
  <c r="H172" i="32"/>
  <c r="G172" i="32"/>
  <c r="F172" i="32"/>
  <c r="E172" i="32"/>
  <c r="D172" i="32"/>
  <c r="C172" i="32"/>
  <c r="B172" i="32"/>
  <c r="N167" i="32"/>
  <c r="N166" i="32"/>
  <c r="N165" i="32"/>
  <c r="N164" i="32"/>
  <c r="N163" i="32"/>
  <c r="N162" i="32"/>
  <c r="N161" i="32"/>
  <c r="N160" i="32"/>
  <c r="M159" i="32"/>
  <c r="AJ249" i="3" s="1"/>
  <c r="L159" i="32"/>
  <c r="AG249" i="3" s="1"/>
  <c r="K159" i="32"/>
  <c r="AD249" i="3" s="1"/>
  <c r="J159" i="32"/>
  <c r="AA249" i="3" s="1"/>
  <c r="I159" i="32"/>
  <c r="H159" i="32"/>
  <c r="U249" i="3" s="1"/>
  <c r="G159" i="32"/>
  <c r="F159" i="32"/>
  <c r="E159" i="32"/>
  <c r="D159" i="32"/>
  <c r="C159" i="32"/>
  <c r="B159" i="32"/>
  <c r="N154" i="32"/>
  <c r="N153" i="32"/>
  <c r="N152" i="32"/>
  <c r="N151" i="32"/>
  <c r="N150" i="32"/>
  <c r="N149" i="32"/>
  <c r="N148" i="32"/>
  <c r="N147" i="32"/>
  <c r="M146" i="32"/>
  <c r="L146" i="32"/>
  <c r="AG236" i="3" s="1"/>
  <c r="K146" i="32"/>
  <c r="J146" i="32"/>
  <c r="I146" i="32"/>
  <c r="H146" i="32"/>
  <c r="G146" i="32"/>
  <c r="F146" i="32"/>
  <c r="O236" i="3" s="1"/>
  <c r="E146" i="32"/>
  <c r="D146" i="32"/>
  <c r="I236" i="4" s="1"/>
  <c r="C146" i="32"/>
  <c r="F236" i="4" s="1"/>
  <c r="B146" i="32"/>
  <c r="C236" i="4" s="1"/>
  <c r="N143" i="32"/>
  <c r="O143" i="32" s="1"/>
  <c r="N142" i="32"/>
  <c r="O142" i="32" s="1"/>
  <c r="N141" i="32"/>
  <c r="O141" i="32" s="1"/>
  <c r="N140" i="32"/>
  <c r="O140" i="32" s="1"/>
  <c r="N139" i="32"/>
  <c r="O139" i="32" s="1"/>
  <c r="N138" i="32"/>
  <c r="O138" i="32" s="1"/>
  <c r="N137" i="32"/>
  <c r="O137" i="32" s="1"/>
  <c r="N136" i="32"/>
  <c r="O136" i="32" s="1"/>
  <c r="M135" i="32"/>
  <c r="L135" i="32"/>
  <c r="AG212" i="3" s="1"/>
  <c r="K135" i="32"/>
  <c r="AD212" i="3" s="1"/>
  <c r="J135" i="32"/>
  <c r="AA212" i="3" s="1"/>
  <c r="I135" i="32"/>
  <c r="X212" i="3" s="1"/>
  <c r="H135" i="32"/>
  <c r="U212" i="3" s="1"/>
  <c r="G135" i="32"/>
  <c r="R212" i="3" s="1"/>
  <c r="F135" i="32"/>
  <c r="O212" i="3" s="1"/>
  <c r="E135" i="32"/>
  <c r="L212" i="3" s="1"/>
  <c r="D135" i="32"/>
  <c r="I212" i="3" s="1"/>
  <c r="C135" i="32"/>
  <c r="F212" i="3" s="1"/>
  <c r="B135" i="32"/>
  <c r="C212" i="3" s="1"/>
  <c r="N132" i="32"/>
  <c r="O132" i="32" s="1"/>
  <c r="N131" i="32"/>
  <c r="O131" i="32" s="1"/>
  <c r="N130" i="32"/>
  <c r="O130" i="32" s="1"/>
  <c r="N129" i="32"/>
  <c r="O129" i="32" s="1"/>
  <c r="N128" i="32"/>
  <c r="O128" i="32" s="1"/>
  <c r="N127" i="32"/>
  <c r="O127" i="32" s="1"/>
  <c r="N126" i="32"/>
  <c r="O126" i="32" s="1"/>
  <c r="N125" i="32"/>
  <c r="O125" i="32" s="1"/>
  <c r="M124" i="32"/>
  <c r="AJ199" i="3" s="1"/>
  <c r="L124" i="32"/>
  <c r="AG199" i="3" s="1"/>
  <c r="K124" i="32"/>
  <c r="J124" i="32"/>
  <c r="I124" i="32"/>
  <c r="H124" i="32"/>
  <c r="U199" i="3" s="1"/>
  <c r="G124" i="32"/>
  <c r="R199" i="3" s="1"/>
  <c r="F124" i="32"/>
  <c r="O199" i="3" s="1"/>
  <c r="E124" i="32"/>
  <c r="L199" i="3" s="1"/>
  <c r="D124" i="32"/>
  <c r="I199" i="3" s="1"/>
  <c r="C124" i="32"/>
  <c r="F199" i="3" s="1"/>
  <c r="B124" i="32"/>
  <c r="C199" i="3" s="1"/>
  <c r="N121" i="32"/>
  <c r="O121" i="32" s="1"/>
  <c r="N120" i="32"/>
  <c r="O120" i="32" s="1"/>
  <c r="N119" i="32"/>
  <c r="O119" i="32" s="1"/>
  <c r="N118" i="32"/>
  <c r="O118" i="32" s="1"/>
  <c r="N117" i="32"/>
  <c r="O117" i="32" s="1"/>
  <c r="N116" i="32"/>
  <c r="O116" i="32" s="1"/>
  <c r="N115" i="32"/>
  <c r="O115" i="32" s="1"/>
  <c r="N114" i="32"/>
  <c r="O114" i="32" s="1"/>
  <c r="M113" i="32"/>
  <c r="L113" i="32"/>
  <c r="AG186" i="3" s="1"/>
  <c r="K113" i="32"/>
  <c r="AD186" i="3" s="1"/>
  <c r="J113" i="32"/>
  <c r="AA186" i="3" s="1"/>
  <c r="I113" i="32"/>
  <c r="X186" i="3" s="1"/>
  <c r="H113" i="32"/>
  <c r="U186" i="3" s="1"/>
  <c r="G113" i="32"/>
  <c r="R186" i="3" s="1"/>
  <c r="F113" i="32"/>
  <c r="O186" i="3" s="1"/>
  <c r="E113" i="32"/>
  <c r="L186" i="3" s="1"/>
  <c r="D113" i="32"/>
  <c r="I186" i="3" s="1"/>
  <c r="C113" i="32"/>
  <c r="F186" i="3" s="1"/>
  <c r="B113" i="32"/>
  <c r="C186" i="3" s="1"/>
  <c r="C186" i="4" s="1"/>
  <c r="N110" i="32"/>
  <c r="O110" i="32" s="1"/>
  <c r="N109" i="32"/>
  <c r="O109" i="32" s="1"/>
  <c r="N108" i="32"/>
  <c r="O108" i="32" s="1"/>
  <c r="N107" i="32"/>
  <c r="O107" i="32" s="1"/>
  <c r="N106" i="32"/>
  <c r="O106" i="32" s="1"/>
  <c r="N105" i="32"/>
  <c r="O105" i="32" s="1"/>
  <c r="N104" i="32"/>
  <c r="O104" i="32" s="1"/>
  <c r="N103" i="32"/>
  <c r="O103" i="32" s="1"/>
  <c r="M102" i="32"/>
  <c r="AJ173" i="3" s="1"/>
  <c r="L102" i="32"/>
  <c r="K102" i="32"/>
  <c r="J102" i="32"/>
  <c r="I102" i="32"/>
  <c r="H102" i="32"/>
  <c r="U173" i="3" s="1"/>
  <c r="G102" i="32"/>
  <c r="R173" i="3" s="1"/>
  <c r="F102" i="32"/>
  <c r="O173" i="3" s="1"/>
  <c r="E102" i="32"/>
  <c r="L173" i="3" s="1"/>
  <c r="D102" i="32"/>
  <c r="I173" i="3" s="1"/>
  <c r="C102" i="32"/>
  <c r="F173" i="3" s="1"/>
  <c r="B102" i="32"/>
  <c r="C173" i="3" s="1"/>
  <c r="C173" i="4" s="1"/>
  <c r="G129" i="38" s="1"/>
  <c r="N99" i="32"/>
  <c r="O99" i="32" s="1"/>
  <c r="N98" i="32"/>
  <c r="O98" i="32" s="1"/>
  <c r="N97" i="32"/>
  <c r="O97" i="32" s="1"/>
  <c r="N96" i="32"/>
  <c r="O96" i="32" s="1"/>
  <c r="N95" i="32"/>
  <c r="O95" i="32" s="1"/>
  <c r="N94" i="32"/>
  <c r="O94" i="32" s="1"/>
  <c r="Q93" i="32"/>
  <c r="N93" i="32"/>
  <c r="O93" i="32" s="1"/>
  <c r="N92" i="32"/>
  <c r="O92" i="32" s="1"/>
  <c r="M91" i="32"/>
  <c r="AJ160" i="3" s="1"/>
  <c r="L91" i="32"/>
  <c r="AG160" i="3" s="1"/>
  <c r="K91" i="32"/>
  <c r="AD160" i="3" s="1"/>
  <c r="J91" i="32"/>
  <c r="AA160" i="3" s="1"/>
  <c r="I91" i="32"/>
  <c r="X160" i="3" s="1"/>
  <c r="H91" i="32"/>
  <c r="U160" i="3" s="1"/>
  <c r="G91" i="32"/>
  <c r="R160" i="3" s="1"/>
  <c r="F91" i="32"/>
  <c r="O160" i="3" s="1"/>
  <c r="E91" i="32"/>
  <c r="L160" i="3" s="1"/>
  <c r="D91" i="32"/>
  <c r="I160" i="3" s="1"/>
  <c r="C91" i="32"/>
  <c r="F160" i="3" s="1"/>
  <c r="B91" i="32"/>
  <c r="N88" i="32"/>
  <c r="O88" i="32" s="1"/>
  <c r="N87" i="32"/>
  <c r="O87" i="32" s="1"/>
  <c r="N86" i="32"/>
  <c r="O86" i="32" s="1"/>
  <c r="N85" i="32"/>
  <c r="O85" i="32" s="1"/>
  <c r="N84" i="32"/>
  <c r="O84" i="32" s="1"/>
  <c r="N83" i="32"/>
  <c r="O83" i="32" s="1"/>
  <c r="N82" i="32"/>
  <c r="O82" i="32" s="1"/>
  <c r="N81" i="32"/>
  <c r="O81" i="32" s="1"/>
  <c r="M80" i="32"/>
  <c r="AJ136" i="3" s="1"/>
  <c r="L80" i="32"/>
  <c r="AG136" i="3" s="1"/>
  <c r="K80" i="32"/>
  <c r="AD136" i="3" s="1"/>
  <c r="J80" i="32"/>
  <c r="AA136" i="3" s="1"/>
  <c r="I80" i="32"/>
  <c r="X136" i="3" s="1"/>
  <c r="H80" i="32"/>
  <c r="U136" i="3" s="1"/>
  <c r="G80" i="32"/>
  <c r="R136" i="3" s="1"/>
  <c r="F80" i="32"/>
  <c r="O136" i="3" s="1"/>
  <c r="E80" i="32"/>
  <c r="L136" i="3" s="1"/>
  <c r="D80" i="32"/>
  <c r="I136" i="3" s="1"/>
  <c r="C80" i="32"/>
  <c r="F136" i="3" s="1"/>
  <c r="B80" i="32"/>
  <c r="N78" i="32"/>
  <c r="O78" i="32" s="1"/>
  <c r="N77" i="32"/>
  <c r="O77" i="32" s="1"/>
  <c r="N76" i="32"/>
  <c r="O76" i="32" s="1"/>
  <c r="N75" i="32"/>
  <c r="O75" i="32" s="1"/>
  <c r="N74" i="32"/>
  <c r="O74" i="32" s="1"/>
  <c r="N73" i="32"/>
  <c r="O73" i="32" s="1"/>
  <c r="N72" i="32"/>
  <c r="O72" i="32" s="1"/>
  <c r="N71" i="32"/>
  <c r="O71" i="32" s="1"/>
  <c r="M70" i="32"/>
  <c r="L70" i="32"/>
  <c r="K70" i="32"/>
  <c r="J70" i="32"/>
  <c r="I70" i="32"/>
  <c r="H70" i="32"/>
  <c r="G70" i="32"/>
  <c r="F70" i="32"/>
  <c r="E70" i="32"/>
  <c r="D70" i="32"/>
  <c r="C70" i="32"/>
  <c r="B70" i="32"/>
  <c r="N67" i="32"/>
  <c r="O67" i="32" s="1"/>
  <c r="N66" i="32"/>
  <c r="O66" i="32" s="1"/>
  <c r="N65" i="32"/>
  <c r="O65" i="32" s="1"/>
  <c r="N64" i="32"/>
  <c r="O64" i="32" s="1"/>
  <c r="N63" i="32"/>
  <c r="O63" i="32" s="1"/>
  <c r="N62" i="32"/>
  <c r="O62" i="32" s="1"/>
  <c r="N61" i="32"/>
  <c r="O61" i="32" s="1"/>
  <c r="N60" i="32"/>
  <c r="O60" i="32" s="1"/>
  <c r="M59" i="32"/>
  <c r="AJ112" i="3" s="1"/>
  <c r="L59" i="32"/>
  <c r="AG112" i="3" s="1"/>
  <c r="K59" i="32"/>
  <c r="AD112" i="3" s="1"/>
  <c r="J59" i="32"/>
  <c r="AA112" i="3" s="1"/>
  <c r="I59" i="32"/>
  <c r="X112" i="3" s="1"/>
  <c r="H59" i="32"/>
  <c r="U112" i="3" s="1"/>
  <c r="G59" i="32"/>
  <c r="R112" i="3" s="1"/>
  <c r="F59" i="32"/>
  <c r="O112" i="3" s="1"/>
  <c r="E59" i="32"/>
  <c r="L112" i="3" s="1"/>
  <c r="D59" i="32"/>
  <c r="I112" i="3" s="1"/>
  <c r="C59" i="32"/>
  <c r="F112" i="3" s="1"/>
  <c r="B59" i="32"/>
  <c r="C112" i="3" s="1"/>
  <c r="C64" i="38" s="1"/>
  <c r="N56" i="32"/>
  <c r="N55" i="32"/>
  <c r="N54" i="32"/>
  <c r="N53" i="32"/>
  <c r="N52" i="32"/>
  <c r="N51" i="32"/>
  <c r="N50" i="32"/>
  <c r="N49" i="32"/>
  <c r="M48" i="32"/>
  <c r="L48" i="32"/>
  <c r="K48" i="32"/>
  <c r="J48" i="32"/>
  <c r="I48" i="32"/>
  <c r="H48" i="32"/>
  <c r="G48" i="32"/>
  <c r="F48" i="32"/>
  <c r="E48" i="32"/>
  <c r="D48" i="32"/>
  <c r="C48" i="32"/>
  <c r="B48" i="32"/>
  <c r="N45" i="32"/>
  <c r="O45" i="32" s="1"/>
  <c r="N44" i="32"/>
  <c r="O44" i="32" s="1"/>
  <c r="N43" i="32"/>
  <c r="O43" i="32" s="1"/>
  <c r="N42" i="32"/>
  <c r="O42" i="32" s="1"/>
  <c r="N41" i="32"/>
  <c r="O41" i="32" s="1"/>
  <c r="N40" i="32"/>
  <c r="O40" i="32" s="1"/>
  <c r="N39" i="32"/>
  <c r="O39" i="32" s="1"/>
  <c r="N38" i="32"/>
  <c r="O38" i="32" s="1"/>
  <c r="M37" i="32"/>
  <c r="AJ88" i="3" s="1"/>
  <c r="L37" i="32"/>
  <c r="AG88" i="3" s="1"/>
  <c r="K37" i="32"/>
  <c r="AD88" i="3" s="1"/>
  <c r="J37" i="32"/>
  <c r="AA88" i="3" s="1"/>
  <c r="I37" i="32"/>
  <c r="X88" i="3" s="1"/>
  <c r="H37" i="32"/>
  <c r="U88" i="3" s="1"/>
  <c r="G37" i="32"/>
  <c r="R88" i="3" s="1"/>
  <c r="F37" i="32"/>
  <c r="O88" i="3" s="1"/>
  <c r="E37" i="32"/>
  <c r="L88" i="3" s="1"/>
  <c r="D37" i="32"/>
  <c r="I88" i="3" s="1"/>
  <c r="C37" i="32"/>
  <c r="F88" i="3" s="1"/>
  <c r="B37" i="32"/>
  <c r="C88" i="3" s="1"/>
  <c r="C88" i="4" s="1"/>
  <c r="N34" i="32"/>
  <c r="O34" i="32" s="1"/>
  <c r="N33" i="32"/>
  <c r="O33" i="32" s="1"/>
  <c r="N32" i="32"/>
  <c r="O32" i="32" s="1"/>
  <c r="N31" i="32"/>
  <c r="O31" i="32" s="1"/>
  <c r="N30" i="32"/>
  <c r="O30" i="32" s="1"/>
  <c r="N29" i="32"/>
  <c r="O29" i="32" s="1"/>
  <c r="N28" i="32"/>
  <c r="O28" i="32" s="1"/>
  <c r="N27" i="32"/>
  <c r="O27" i="32" s="1"/>
  <c r="M26" i="32"/>
  <c r="AJ32" i="3" s="1"/>
  <c r="L26" i="32"/>
  <c r="AG32" i="3" s="1"/>
  <c r="K26" i="32"/>
  <c r="J26" i="32"/>
  <c r="I26" i="32"/>
  <c r="X32" i="3" s="1"/>
  <c r="H26" i="32"/>
  <c r="U32" i="3" s="1"/>
  <c r="G26" i="32"/>
  <c r="R32" i="3" s="1"/>
  <c r="F26" i="32"/>
  <c r="E26" i="32"/>
  <c r="L32" i="3" s="1"/>
  <c r="D26" i="32"/>
  <c r="I32" i="3" s="1"/>
  <c r="C26" i="32"/>
  <c r="F32" i="3" s="1"/>
  <c r="B26" i="32"/>
  <c r="N23" i="32"/>
  <c r="O23" i="32" s="1"/>
  <c r="N22" i="32"/>
  <c r="O22" i="32" s="1"/>
  <c r="N21" i="32"/>
  <c r="O21" i="32" s="1"/>
  <c r="N20" i="32"/>
  <c r="O20" i="32" s="1"/>
  <c r="N19" i="32"/>
  <c r="O19" i="32" s="1"/>
  <c r="N18" i="32"/>
  <c r="O18" i="32" s="1"/>
  <c r="N17" i="32"/>
  <c r="O17" i="32" s="1"/>
  <c r="N16" i="32"/>
  <c r="O16" i="32" s="1"/>
  <c r="M15" i="32"/>
  <c r="L15" i="32"/>
  <c r="K15" i="32"/>
  <c r="J15" i="32"/>
  <c r="AA31" i="3" s="1"/>
  <c r="I15" i="32"/>
  <c r="X31" i="3" s="1"/>
  <c r="H15" i="32"/>
  <c r="U31" i="3" s="1"/>
  <c r="G15" i="32"/>
  <c r="R31" i="3" s="1"/>
  <c r="F15" i="32"/>
  <c r="O31" i="3" s="1"/>
  <c r="E15" i="32"/>
  <c r="L31" i="3" s="1"/>
  <c r="D15" i="32"/>
  <c r="I31" i="3" s="1"/>
  <c r="C15" i="32"/>
  <c r="F31" i="3" s="1"/>
  <c r="B15" i="32"/>
  <c r="C31" i="3" s="1"/>
  <c r="C31" i="4" s="1"/>
  <c r="N12" i="32"/>
  <c r="O12" i="32" s="1"/>
  <c r="N11" i="32"/>
  <c r="O11" i="32" s="1"/>
  <c r="N10" i="32"/>
  <c r="O10" i="32" s="1"/>
  <c r="N9" i="32"/>
  <c r="O9" i="32" s="1"/>
  <c r="N8" i="32"/>
  <c r="O8" i="32" s="1"/>
  <c r="N7" i="32"/>
  <c r="O7" i="32" s="1"/>
  <c r="N6" i="32"/>
  <c r="O6" i="32" s="1"/>
  <c r="N5" i="32"/>
  <c r="O5" i="32" s="1"/>
  <c r="M4" i="32"/>
  <c r="AJ30" i="3" s="1"/>
  <c r="L4" i="32"/>
  <c r="AG6" i="3" s="1"/>
  <c r="K4" i="32"/>
  <c r="J4" i="32"/>
  <c r="I4" i="32"/>
  <c r="H4" i="32"/>
  <c r="G4" i="32"/>
  <c r="F4" i="32"/>
  <c r="E4" i="32"/>
  <c r="D4" i="32"/>
  <c r="I6" i="3" s="1"/>
  <c r="C4" i="32"/>
  <c r="B4" i="32"/>
  <c r="M3" i="32"/>
  <c r="M3" i="30" s="1"/>
  <c r="AJ4" i="1" s="1"/>
  <c r="L3" i="32"/>
  <c r="L3" i="30" s="1"/>
  <c r="AG4" i="1" s="1"/>
  <c r="K3" i="32"/>
  <c r="K3" i="30" s="1"/>
  <c r="AD4" i="1" s="1"/>
  <c r="J3" i="32"/>
  <c r="J3" i="30" s="1"/>
  <c r="I3" i="32"/>
  <c r="I3" i="30" s="1"/>
  <c r="X4" i="1" s="1"/>
  <c r="H3" i="32"/>
  <c r="H3" i="30" s="1"/>
  <c r="G3" i="32"/>
  <c r="G3" i="30" s="1"/>
  <c r="F3" i="32"/>
  <c r="F199" i="32" s="1"/>
  <c r="E3" i="32"/>
  <c r="E199" i="32" s="1"/>
  <c r="D3" i="32"/>
  <c r="D3" i="30" s="1"/>
  <c r="C3" i="32"/>
  <c r="C3" i="30" s="1"/>
  <c r="F4" i="1" s="1"/>
  <c r="B3" i="32"/>
  <c r="B3" i="30" s="1"/>
  <c r="C4" i="3" s="1"/>
  <c r="M2" i="32"/>
  <c r="M2" i="30" s="1"/>
  <c r="L2" i="32"/>
  <c r="L2" i="30" s="1"/>
  <c r="AG3" i="1" s="1"/>
  <c r="K2" i="32"/>
  <c r="K2" i="30" s="1"/>
  <c r="J2" i="32"/>
  <c r="J2" i="30" s="1"/>
  <c r="AA3" i="1" s="1"/>
  <c r="I2" i="32"/>
  <c r="I2" i="30" s="1"/>
  <c r="H2" i="32"/>
  <c r="H2" i="30" s="1"/>
  <c r="G2" i="32"/>
  <c r="G2" i="30" s="1"/>
  <c r="R3" i="1" s="1"/>
  <c r="F2" i="32"/>
  <c r="F2" i="30" s="1"/>
  <c r="E2" i="32"/>
  <c r="E2" i="30" s="1"/>
  <c r="D2" i="32"/>
  <c r="D2" i="30" s="1"/>
  <c r="C2" i="32"/>
  <c r="C2" i="30" s="1"/>
  <c r="B2" i="32"/>
  <c r="B2" i="30" s="1"/>
  <c r="O11" i="45"/>
  <c r="H11" i="45"/>
  <c r="E11" i="45"/>
  <c r="O10" i="45"/>
  <c r="H10" i="45"/>
  <c r="E10" i="45"/>
  <c r="O9" i="45"/>
  <c r="H9" i="45"/>
  <c r="E9" i="45"/>
  <c r="O8" i="45"/>
  <c r="H8" i="45"/>
  <c r="E8" i="45"/>
  <c r="O7" i="45"/>
  <c r="H7" i="45"/>
  <c r="E7" i="45"/>
  <c r="O6" i="45"/>
  <c r="H6" i="45"/>
  <c r="E6" i="45"/>
  <c r="O5" i="45"/>
  <c r="H5" i="45"/>
  <c r="E5" i="45"/>
  <c r="V168" i="40"/>
  <c r="Z138" i="40"/>
  <c r="Z137" i="40"/>
  <c r="Z136" i="40"/>
  <c r="Z135" i="40"/>
  <c r="Z131" i="40"/>
  <c r="Z106" i="40"/>
  <c r="Y75" i="40"/>
  <c r="Z67" i="40"/>
  <c r="Y67" i="40"/>
  <c r="Z66" i="40"/>
  <c r="Z50" i="40"/>
  <c r="Y50" i="40"/>
  <c r="Y49" i="40"/>
  <c r="Y48" i="40"/>
  <c r="Y47" i="40"/>
  <c r="Y46" i="40"/>
  <c r="Y45" i="40"/>
  <c r="Y44" i="40"/>
  <c r="Y43" i="40"/>
  <c r="Y26" i="40"/>
  <c r="Y10" i="40"/>
  <c r="Z3" i="40"/>
  <c r="I23" i="43"/>
  <c r="C23" i="43"/>
  <c r="I22" i="43"/>
  <c r="C22" i="43"/>
  <c r="I19" i="43"/>
  <c r="C19" i="43"/>
  <c r="I17" i="43"/>
  <c r="C17" i="43"/>
  <c r="I16" i="43"/>
  <c r="C16" i="43"/>
  <c r="I13" i="43"/>
  <c r="C13" i="43"/>
  <c r="I12" i="43"/>
  <c r="C12" i="43"/>
  <c r="I9" i="43"/>
  <c r="C9" i="43"/>
  <c r="I8" i="43"/>
  <c r="C8" i="43"/>
  <c r="I5" i="43"/>
  <c r="C5" i="43"/>
  <c r="I4" i="43"/>
  <c r="C4" i="43"/>
  <c r="O3" i="43"/>
  <c r="I3" i="43"/>
  <c r="C3" i="43"/>
  <c r="O2" i="43"/>
  <c r="O3" i="5"/>
  <c r="O2" i="5"/>
  <c r="W156" i="39"/>
  <c r="L156" i="39"/>
  <c r="W155" i="39"/>
  <c r="L155" i="39"/>
  <c r="W154" i="39"/>
  <c r="L154" i="39"/>
  <c r="W153" i="39"/>
  <c r="L153" i="39"/>
  <c r="W152" i="39"/>
  <c r="L152" i="39"/>
  <c r="W151" i="39"/>
  <c r="L151" i="39"/>
  <c r="W150" i="39"/>
  <c r="L150" i="39"/>
  <c r="W149" i="39"/>
  <c r="L149" i="39"/>
  <c r="W148" i="39"/>
  <c r="L148" i="39"/>
  <c r="W145" i="39"/>
  <c r="L145" i="39"/>
  <c r="W144" i="39"/>
  <c r="L144" i="39"/>
  <c r="W143" i="39"/>
  <c r="L143" i="39"/>
  <c r="W142" i="39"/>
  <c r="L142" i="39"/>
  <c r="W141" i="39"/>
  <c r="L141" i="39"/>
  <c r="W140" i="39"/>
  <c r="L140" i="39"/>
  <c r="W139" i="39"/>
  <c r="L139" i="39"/>
  <c r="W138" i="39"/>
  <c r="L138" i="39"/>
  <c r="W137" i="39"/>
  <c r="L137" i="39"/>
  <c r="W134" i="39"/>
  <c r="L134" i="39"/>
  <c r="W133" i="39"/>
  <c r="L133" i="39"/>
  <c r="W132" i="39"/>
  <c r="L132" i="39"/>
  <c r="W131" i="39"/>
  <c r="L131" i="39"/>
  <c r="W129" i="39"/>
  <c r="L129" i="39"/>
  <c r="W128" i="39"/>
  <c r="L128" i="39"/>
  <c r="W127" i="39"/>
  <c r="L127" i="39"/>
  <c r="W126" i="39"/>
  <c r="L126" i="39"/>
  <c r="W123" i="39"/>
  <c r="L123" i="39"/>
  <c r="W122" i="39"/>
  <c r="L122" i="39"/>
  <c r="W121" i="39"/>
  <c r="L121" i="39"/>
  <c r="W120" i="39"/>
  <c r="L120" i="39"/>
  <c r="W119" i="39"/>
  <c r="L119" i="39"/>
  <c r="W118" i="39"/>
  <c r="L118" i="39"/>
  <c r="W117" i="39"/>
  <c r="L117" i="39"/>
  <c r="W116" i="39"/>
  <c r="L116" i="39"/>
  <c r="W115" i="39"/>
  <c r="L115" i="39"/>
  <c r="W111" i="39"/>
  <c r="L111" i="39"/>
  <c r="W110" i="39"/>
  <c r="L110" i="39"/>
  <c r="W109" i="39"/>
  <c r="L109" i="39"/>
  <c r="W108" i="39"/>
  <c r="L108" i="39"/>
  <c r="W107" i="39"/>
  <c r="L107" i="39"/>
  <c r="W106" i="39"/>
  <c r="L106" i="39"/>
  <c r="W105" i="39"/>
  <c r="L105" i="39"/>
  <c r="W104" i="39"/>
  <c r="L104" i="39"/>
  <c r="W101" i="39"/>
  <c r="L101" i="39"/>
  <c r="W100" i="39"/>
  <c r="L100" i="39"/>
  <c r="W99" i="39"/>
  <c r="L99" i="39"/>
  <c r="W98" i="39"/>
  <c r="L98" i="39"/>
  <c r="W97" i="39"/>
  <c r="L97" i="39"/>
  <c r="W96" i="39"/>
  <c r="L96" i="39"/>
  <c r="W95" i="39"/>
  <c r="L95" i="39"/>
  <c r="W94" i="39"/>
  <c r="L94" i="39"/>
  <c r="W93" i="39"/>
  <c r="L93" i="39"/>
  <c r="W90" i="39"/>
  <c r="L90" i="39"/>
  <c r="W89" i="39"/>
  <c r="L89" i="39"/>
  <c r="W88" i="39"/>
  <c r="L88" i="39"/>
  <c r="W87" i="39"/>
  <c r="L87" i="39"/>
  <c r="W86" i="39"/>
  <c r="L86" i="39"/>
  <c r="W85" i="39"/>
  <c r="L85" i="39"/>
  <c r="W84" i="39"/>
  <c r="L84" i="39"/>
  <c r="W83" i="39"/>
  <c r="L83" i="39"/>
  <c r="W82" i="39"/>
  <c r="L82" i="39"/>
  <c r="W79" i="39"/>
  <c r="L79" i="39"/>
  <c r="W78" i="39"/>
  <c r="L78" i="39"/>
  <c r="W77" i="39"/>
  <c r="L77" i="39"/>
  <c r="W76" i="39"/>
  <c r="L76" i="39"/>
  <c r="W75" i="39"/>
  <c r="L75" i="39"/>
  <c r="W74" i="39"/>
  <c r="L74" i="39"/>
  <c r="W73" i="39"/>
  <c r="L73" i="39"/>
  <c r="W72" i="39"/>
  <c r="L72" i="39"/>
  <c r="W71" i="39"/>
  <c r="L71" i="39"/>
  <c r="W68" i="39"/>
  <c r="L68" i="39"/>
  <c r="W67" i="39"/>
  <c r="L67" i="39"/>
  <c r="W66" i="39"/>
  <c r="L66" i="39"/>
  <c r="W65" i="39"/>
  <c r="L65" i="39"/>
  <c r="W64" i="39"/>
  <c r="L64" i="39"/>
  <c r="W63" i="39"/>
  <c r="L63" i="39"/>
  <c r="W62" i="39"/>
  <c r="L62" i="39"/>
  <c r="W61" i="39"/>
  <c r="L61" i="39"/>
  <c r="W60" i="39"/>
  <c r="L60" i="39"/>
  <c r="W56" i="39"/>
  <c r="L56" i="39"/>
  <c r="W55" i="39"/>
  <c r="L55" i="39"/>
  <c r="W49" i="39"/>
  <c r="L49" i="39"/>
  <c r="W46" i="39"/>
  <c r="L46" i="39"/>
  <c r="W45" i="39"/>
  <c r="L45" i="39"/>
  <c r="W44" i="39"/>
  <c r="L44" i="39"/>
  <c r="W43" i="39"/>
  <c r="L43" i="39"/>
  <c r="W42" i="39"/>
  <c r="L42" i="39"/>
  <c r="W41" i="39"/>
  <c r="L41" i="39"/>
  <c r="W40" i="39"/>
  <c r="L40" i="39"/>
  <c r="W39" i="39"/>
  <c r="L39" i="39"/>
  <c r="W38" i="39"/>
  <c r="L38" i="39"/>
  <c r="W35" i="39"/>
  <c r="L35" i="39"/>
  <c r="W34" i="39"/>
  <c r="L34" i="39"/>
  <c r="W33" i="39"/>
  <c r="L33" i="39"/>
  <c r="W32" i="39"/>
  <c r="L32" i="39"/>
  <c r="W31" i="39"/>
  <c r="L31" i="39"/>
  <c r="W30" i="39"/>
  <c r="L30" i="39"/>
  <c r="W29" i="39"/>
  <c r="L29" i="39"/>
  <c r="W28" i="39"/>
  <c r="L28" i="39"/>
  <c r="W27" i="39"/>
  <c r="L27" i="39"/>
  <c r="W24" i="39"/>
  <c r="L24" i="39"/>
  <c r="W23" i="39"/>
  <c r="L23" i="39"/>
  <c r="W22" i="39"/>
  <c r="L22" i="39"/>
  <c r="W21" i="39"/>
  <c r="L21" i="39"/>
  <c r="W20" i="39"/>
  <c r="L20" i="39"/>
  <c r="W19" i="39"/>
  <c r="L19" i="39"/>
  <c r="W18" i="39"/>
  <c r="L18" i="39"/>
  <c r="W16" i="39"/>
  <c r="L16" i="39"/>
  <c r="W13" i="39"/>
  <c r="L13" i="39"/>
  <c r="W12" i="39"/>
  <c r="L12" i="39"/>
  <c r="W11" i="39"/>
  <c r="L11" i="39"/>
  <c r="W10" i="39"/>
  <c r="L10" i="39"/>
  <c r="W9" i="39"/>
  <c r="L9" i="39"/>
  <c r="W8" i="39"/>
  <c r="L8" i="39"/>
  <c r="W7" i="39"/>
  <c r="L7" i="39"/>
  <c r="W6" i="39"/>
  <c r="L6" i="39"/>
  <c r="W5" i="39"/>
  <c r="L5" i="39"/>
  <c r="G211" i="38"/>
  <c r="T207" i="38"/>
  <c r="S207" i="38"/>
  <c r="R207" i="38"/>
  <c r="Q207" i="38"/>
  <c r="P207" i="38"/>
  <c r="O207" i="38"/>
  <c r="N207" i="38"/>
  <c r="M207" i="38"/>
  <c r="L207" i="38"/>
  <c r="V206" i="38"/>
  <c r="T206" i="38"/>
  <c r="S206" i="38"/>
  <c r="R206" i="38"/>
  <c r="Q206" i="38"/>
  <c r="P206" i="38"/>
  <c r="O206" i="38"/>
  <c r="N206" i="38"/>
  <c r="M206" i="38"/>
  <c r="L206" i="38"/>
  <c r="K206" i="38"/>
  <c r="V205" i="38"/>
  <c r="T205" i="38"/>
  <c r="S205" i="38"/>
  <c r="R205" i="38"/>
  <c r="Q205" i="38"/>
  <c r="P205" i="38"/>
  <c r="O205" i="38"/>
  <c r="N205" i="38"/>
  <c r="M205" i="38"/>
  <c r="L205" i="38"/>
  <c r="K205" i="38"/>
  <c r="V204" i="38"/>
  <c r="T204" i="38"/>
  <c r="S204" i="38"/>
  <c r="R204" i="38"/>
  <c r="Q204" i="38"/>
  <c r="P204" i="38"/>
  <c r="O204" i="38"/>
  <c r="N204" i="38"/>
  <c r="M204" i="38"/>
  <c r="L204" i="38"/>
  <c r="K204" i="38"/>
  <c r="V203" i="38"/>
  <c r="T203" i="38"/>
  <c r="S203" i="38"/>
  <c r="R203" i="38"/>
  <c r="Q203" i="38"/>
  <c r="P203" i="38"/>
  <c r="O203" i="38"/>
  <c r="N203" i="38"/>
  <c r="M203" i="38"/>
  <c r="L203" i="38"/>
  <c r="K203" i="38"/>
  <c r="V202" i="38"/>
  <c r="T202" i="38"/>
  <c r="S202" i="38"/>
  <c r="R202" i="38"/>
  <c r="Q202" i="38"/>
  <c r="P202" i="38"/>
  <c r="O202" i="38"/>
  <c r="N202" i="38"/>
  <c r="M202" i="38"/>
  <c r="L202" i="38"/>
  <c r="K202" i="38"/>
  <c r="T201" i="38"/>
  <c r="S201" i="38"/>
  <c r="R201" i="38"/>
  <c r="Q201" i="38"/>
  <c r="P201" i="38"/>
  <c r="O201" i="38"/>
  <c r="N201" i="38"/>
  <c r="M201" i="38"/>
  <c r="L201" i="38"/>
  <c r="K201" i="38"/>
  <c r="D201" i="38"/>
  <c r="V200" i="38"/>
  <c r="T200" i="38"/>
  <c r="S200" i="38"/>
  <c r="R200" i="38"/>
  <c r="Q200" i="38"/>
  <c r="P200" i="38"/>
  <c r="O200" i="38"/>
  <c r="N200" i="38"/>
  <c r="M200" i="38"/>
  <c r="L200" i="38"/>
  <c r="K200" i="38"/>
  <c r="V199" i="38"/>
  <c r="T199" i="38"/>
  <c r="S199" i="38"/>
  <c r="R199" i="38"/>
  <c r="Q199" i="38"/>
  <c r="P199" i="38"/>
  <c r="O199" i="38"/>
  <c r="N199" i="38"/>
  <c r="M199" i="38"/>
  <c r="L199" i="38"/>
  <c r="K199" i="38"/>
  <c r="G198" i="38"/>
  <c r="T194" i="38"/>
  <c r="S194" i="38"/>
  <c r="R194" i="38"/>
  <c r="Q194" i="38"/>
  <c r="P194" i="38"/>
  <c r="O194" i="38"/>
  <c r="N194" i="38"/>
  <c r="M194" i="38"/>
  <c r="L194" i="38"/>
  <c r="T193" i="38"/>
  <c r="S193" i="38"/>
  <c r="R193" i="38"/>
  <c r="Q193" i="38"/>
  <c r="P193" i="38"/>
  <c r="O193" i="38"/>
  <c r="N193" i="38"/>
  <c r="M193" i="38"/>
  <c r="L193" i="38"/>
  <c r="K193" i="38"/>
  <c r="T192" i="38"/>
  <c r="S192" i="38"/>
  <c r="R192" i="38"/>
  <c r="Q192" i="38"/>
  <c r="P192" i="38"/>
  <c r="O192" i="38"/>
  <c r="N192" i="38"/>
  <c r="M192" i="38"/>
  <c r="L192" i="38"/>
  <c r="K192" i="38"/>
  <c r="T191" i="38"/>
  <c r="S191" i="38"/>
  <c r="R191" i="38"/>
  <c r="Q191" i="38"/>
  <c r="P191" i="38"/>
  <c r="O191" i="38"/>
  <c r="N191" i="38"/>
  <c r="M191" i="38"/>
  <c r="L191" i="38"/>
  <c r="K191" i="38"/>
  <c r="T190" i="38"/>
  <c r="S190" i="38"/>
  <c r="R190" i="38"/>
  <c r="Q190" i="38"/>
  <c r="P190" i="38"/>
  <c r="O190" i="38"/>
  <c r="N190" i="38"/>
  <c r="M190" i="38"/>
  <c r="L190" i="38"/>
  <c r="K190" i="38"/>
  <c r="T189" i="38"/>
  <c r="S189" i="38"/>
  <c r="R189" i="38"/>
  <c r="Q189" i="38"/>
  <c r="P189" i="38"/>
  <c r="O189" i="38"/>
  <c r="N189" i="38"/>
  <c r="M189" i="38"/>
  <c r="L189" i="38"/>
  <c r="K189" i="38"/>
  <c r="T188" i="38"/>
  <c r="S188" i="38"/>
  <c r="R188" i="38"/>
  <c r="Q188" i="38"/>
  <c r="P188" i="38"/>
  <c r="O188" i="38"/>
  <c r="N188" i="38"/>
  <c r="M188" i="38"/>
  <c r="L188" i="38"/>
  <c r="K188" i="38"/>
  <c r="T187" i="38"/>
  <c r="S187" i="38"/>
  <c r="R187" i="38"/>
  <c r="Q187" i="38"/>
  <c r="P187" i="38"/>
  <c r="O187" i="38"/>
  <c r="N187" i="38"/>
  <c r="M187" i="38"/>
  <c r="L187" i="38"/>
  <c r="K187" i="38"/>
  <c r="T186" i="38"/>
  <c r="S186" i="38"/>
  <c r="R186" i="38"/>
  <c r="Q186" i="38"/>
  <c r="P186" i="38"/>
  <c r="O186" i="38"/>
  <c r="N186" i="38"/>
  <c r="M186" i="38"/>
  <c r="L186" i="38"/>
  <c r="K186" i="38"/>
  <c r="G185" i="38"/>
  <c r="T181" i="38"/>
  <c r="S181" i="38"/>
  <c r="R181" i="38"/>
  <c r="Q181" i="38"/>
  <c r="P181" i="38"/>
  <c r="O181" i="38"/>
  <c r="N181" i="38"/>
  <c r="M181" i="38"/>
  <c r="L181" i="38"/>
  <c r="T180" i="38"/>
  <c r="S180" i="38"/>
  <c r="R180" i="38"/>
  <c r="Q180" i="38"/>
  <c r="P180" i="38"/>
  <c r="O180" i="38"/>
  <c r="N180" i="38"/>
  <c r="M180" i="38"/>
  <c r="L180" i="38"/>
  <c r="K180" i="38"/>
  <c r="T179" i="38"/>
  <c r="S179" i="38"/>
  <c r="R179" i="38"/>
  <c r="Q179" i="38"/>
  <c r="P179" i="38"/>
  <c r="O179" i="38"/>
  <c r="N179" i="38"/>
  <c r="M179" i="38"/>
  <c r="L179" i="38"/>
  <c r="K179" i="38"/>
  <c r="T178" i="38"/>
  <c r="S178" i="38"/>
  <c r="R178" i="38"/>
  <c r="Q178" i="38"/>
  <c r="P178" i="38"/>
  <c r="O178" i="38"/>
  <c r="N178" i="38"/>
  <c r="M178" i="38"/>
  <c r="L178" i="38"/>
  <c r="K178" i="38"/>
  <c r="T177" i="38"/>
  <c r="S177" i="38"/>
  <c r="R177" i="38"/>
  <c r="Q177" i="38"/>
  <c r="P177" i="38"/>
  <c r="O177" i="38"/>
  <c r="N177" i="38"/>
  <c r="M177" i="38"/>
  <c r="L177" i="38"/>
  <c r="K177" i="38"/>
  <c r="T176" i="38"/>
  <c r="S176" i="38"/>
  <c r="R176" i="38"/>
  <c r="Q176" i="38"/>
  <c r="P176" i="38"/>
  <c r="O176" i="38"/>
  <c r="N176" i="38"/>
  <c r="M176" i="38"/>
  <c r="L176" i="38"/>
  <c r="K176" i="38"/>
  <c r="T175" i="38"/>
  <c r="S175" i="38"/>
  <c r="R175" i="38"/>
  <c r="Q175" i="38"/>
  <c r="P175" i="38"/>
  <c r="O175" i="38"/>
  <c r="N175" i="38"/>
  <c r="M175" i="38"/>
  <c r="L175" i="38"/>
  <c r="K175" i="38"/>
  <c r="T174" i="38"/>
  <c r="S174" i="38"/>
  <c r="R174" i="38"/>
  <c r="Q174" i="38"/>
  <c r="P174" i="38"/>
  <c r="O174" i="38"/>
  <c r="N174" i="38"/>
  <c r="M174" i="38"/>
  <c r="L174" i="38"/>
  <c r="K174" i="38"/>
  <c r="T173" i="38"/>
  <c r="S173" i="38"/>
  <c r="R173" i="38"/>
  <c r="Q173" i="38"/>
  <c r="P173" i="38"/>
  <c r="O173" i="38"/>
  <c r="N173" i="38"/>
  <c r="M173" i="38"/>
  <c r="L173" i="38"/>
  <c r="K173" i="38"/>
  <c r="G172" i="38"/>
  <c r="T168" i="38"/>
  <c r="S168" i="38"/>
  <c r="R168" i="38"/>
  <c r="Q168" i="38"/>
  <c r="P168" i="38"/>
  <c r="O168" i="38"/>
  <c r="N168" i="38"/>
  <c r="M168" i="38"/>
  <c r="L168" i="38"/>
  <c r="T167" i="38"/>
  <c r="S167" i="38"/>
  <c r="R167" i="38"/>
  <c r="Q167" i="38"/>
  <c r="P167" i="38"/>
  <c r="O167" i="38"/>
  <c r="N167" i="38"/>
  <c r="M167" i="38"/>
  <c r="L167" i="38"/>
  <c r="K167" i="38"/>
  <c r="T166" i="38"/>
  <c r="S166" i="38"/>
  <c r="R166" i="38"/>
  <c r="Q166" i="38"/>
  <c r="P166" i="38"/>
  <c r="O166" i="38"/>
  <c r="N166" i="38"/>
  <c r="M166" i="38"/>
  <c r="L166" i="38"/>
  <c r="K166" i="38"/>
  <c r="T165" i="38"/>
  <c r="S165" i="38"/>
  <c r="R165" i="38"/>
  <c r="Q165" i="38"/>
  <c r="P165" i="38"/>
  <c r="O165" i="38"/>
  <c r="N165" i="38"/>
  <c r="M165" i="38"/>
  <c r="L165" i="38"/>
  <c r="K165" i="38"/>
  <c r="T164" i="38"/>
  <c r="S164" i="38"/>
  <c r="R164" i="38"/>
  <c r="Q164" i="38"/>
  <c r="P164" i="38"/>
  <c r="O164" i="38"/>
  <c r="N164" i="38"/>
  <c r="M164" i="38"/>
  <c r="L164" i="38"/>
  <c r="K164" i="38"/>
  <c r="T163" i="38"/>
  <c r="S163" i="38"/>
  <c r="R163" i="38"/>
  <c r="Q163" i="38"/>
  <c r="P163" i="38"/>
  <c r="O163" i="38"/>
  <c r="N163" i="38"/>
  <c r="M163" i="38"/>
  <c r="L163" i="38"/>
  <c r="K163" i="38"/>
  <c r="T162" i="38"/>
  <c r="S162" i="38"/>
  <c r="R162" i="38"/>
  <c r="Q162" i="38"/>
  <c r="P162" i="38"/>
  <c r="O162" i="38"/>
  <c r="N162" i="38"/>
  <c r="M162" i="38"/>
  <c r="L162" i="38"/>
  <c r="K162" i="38"/>
  <c r="T161" i="38"/>
  <c r="S161" i="38"/>
  <c r="R161" i="38"/>
  <c r="Q161" i="38"/>
  <c r="P161" i="38"/>
  <c r="O161" i="38"/>
  <c r="N161" i="38"/>
  <c r="M161" i="38"/>
  <c r="L161" i="38"/>
  <c r="K161" i="38"/>
  <c r="T160" i="38"/>
  <c r="S160" i="38"/>
  <c r="R160" i="38"/>
  <c r="Q160" i="38"/>
  <c r="P160" i="38"/>
  <c r="O160" i="38"/>
  <c r="N160" i="38"/>
  <c r="M160" i="38"/>
  <c r="L160" i="38"/>
  <c r="K160" i="38"/>
  <c r="G159" i="38"/>
  <c r="T155" i="38"/>
  <c r="S155" i="38"/>
  <c r="R155" i="38"/>
  <c r="Q155" i="38"/>
  <c r="P155" i="38"/>
  <c r="O155" i="38"/>
  <c r="N155" i="38"/>
  <c r="M155" i="38"/>
  <c r="L155" i="38"/>
  <c r="T154" i="38"/>
  <c r="S154" i="38"/>
  <c r="R154" i="38"/>
  <c r="Q154" i="38"/>
  <c r="P154" i="38"/>
  <c r="O154" i="38"/>
  <c r="N154" i="38"/>
  <c r="M154" i="38"/>
  <c r="L154" i="38"/>
  <c r="K154" i="38"/>
  <c r="T153" i="38"/>
  <c r="S153" i="38"/>
  <c r="R153" i="38"/>
  <c r="Q153" i="38"/>
  <c r="P153" i="38"/>
  <c r="O153" i="38"/>
  <c r="N153" i="38"/>
  <c r="M153" i="38"/>
  <c r="L153" i="38"/>
  <c r="K153" i="38"/>
  <c r="T152" i="38"/>
  <c r="S152" i="38"/>
  <c r="R152" i="38"/>
  <c r="Q152" i="38"/>
  <c r="P152" i="38"/>
  <c r="O152" i="38"/>
  <c r="N152" i="38"/>
  <c r="M152" i="38"/>
  <c r="L152" i="38"/>
  <c r="K152" i="38"/>
  <c r="T151" i="38"/>
  <c r="S151" i="38"/>
  <c r="R151" i="38"/>
  <c r="Q151" i="38"/>
  <c r="P151" i="38"/>
  <c r="O151" i="38"/>
  <c r="N151" i="38"/>
  <c r="M151" i="38"/>
  <c r="L151" i="38"/>
  <c r="K151" i="38"/>
  <c r="T150" i="38"/>
  <c r="S150" i="38"/>
  <c r="R150" i="38"/>
  <c r="Q150" i="38"/>
  <c r="P150" i="38"/>
  <c r="O150" i="38"/>
  <c r="N150" i="38"/>
  <c r="M150" i="38"/>
  <c r="L150" i="38"/>
  <c r="K150" i="38"/>
  <c r="T149" i="38"/>
  <c r="S149" i="38"/>
  <c r="R149" i="38"/>
  <c r="Q149" i="38"/>
  <c r="P149" i="38"/>
  <c r="O149" i="38"/>
  <c r="N149" i="38"/>
  <c r="M149" i="38"/>
  <c r="L149" i="38"/>
  <c r="K149" i="38"/>
  <c r="T148" i="38"/>
  <c r="S148" i="38"/>
  <c r="R148" i="38"/>
  <c r="Q148" i="38"/>
  <c r="P148" i="38"/>
  <c r="O148" i="38"/>
  <c r="N148" i="38"/>
  <c r="M148" i="38"/>
  <c r="L148" i="38"/>
  <c r="K148" i="38"/>
  <c r="T147" i="38"/>
  <c r="S147" i="38"/>
  <c r="R147" i="38"/>
  <c r="Q147" i="38"/>
  <c r="P147" i="38"/>
  <c r="O147" i="38"/>
  <c r="N147" i="38"/>
  <c r="M147" i="38"/>
  <c r="L147" i="38"/>
  <c r="K147" i="38"/>
  <c r="G146" i="38"/>
  <c r="T142" i="38"/>
  <c r="S142" i="38"/>
  <c r="R142" i="38"/>
  <c r="Q142" i="38"/>
  <c r="P142" i="38"/>
  <c r="O142" i="38"/>
  <c r="N142" i="38"/>
  <c r="M142" i="38"/>
  <c r="L142" i="38"/>
  <c r="T141" i="38"/>
  <c r="S141" i="38"/>
  <c r="R141" i="38"/>
  <c r="Q141" i="38"/>
  <c r="P141" i="38"/>
  <c r="O141" i="38"/>
  <c r="N141" i="38"/>
  <c r="M141" i="38"/>
  <c r="L141" i="38"/>
  <c r="K141" i="38"/>
  <c r="T140" i="38"/>
  <c r="S140" i="38"/>
  <c r="R140" i="38"/>
  <c r="Q140" i="38"/>
  <c r="P140" i="38"/>
  <c r="O140" i="38"/>
  <c r="N140" i="38"/>
  <c r="M140" i="38"/>
  <c r="L140" i="38"/>
  <c r="K140" i="38"/>
  <c r="T139" i="38"/>
  <c r="S139" i="38"/>
  <c r="R139" i="38"/>
  <c r="Q139" i="38"/>
  <c r="P139" i="38"/>
  <c r="O139" i="38"/>
  <c r="N139" i="38"/>
  <c r="M139" i="38"/>
  <c r="L139" i="38"/>
  <c r="K139" i="38"/>
  <c r="T138" i="38"/>
  <c r="S138" i="38"/>
  <c r="R138" i="38"/>
  <c r="Q138" i="38"/>
  <c r="P138" i="38"/>
  <c r="O138" i="38"/>
  <c r="N138" i="38"/>
  <c r="M138" i="38"/>
  <c r="L138" i="38"/>
  <c r="K138" i="38"/>
  <c r="T137" i="38"/>
  <c r="S137" i="38"/>
  <c r="R137" i="38"/>
  <c r="Q137" i="38"/>
  <c r="P137" i="38"/>
  <c r="O137" i="38"/>
  <c r="N137" i="38"/>
  <c r="M137" i="38"/>
  <c r="L137" i="38"/>
  <c r="K137" i="38"/>
  <c r="T136" i="38"/>
  <c r="S136" i="38"/>
  <c r="R136" i="38"/>
  <c r="Q136" i="38"/>
  <c r="P136" i="38"/>
  <c r="O136" i="38"/>
  <c r="N136" i="38"/>
  <c r="M136" i="38"/>
  <c r="L136" i="38"/>
  <c r="K136" i="38"/>
  <c r="T135" i="38"/>
  <c r="S135" i="38"/>
  <c r="R135" i="38"/>
  <c r="Q135" i="38"/>
  <c r="P135" i="38"/>
  <c r="O135" i="38"/>
  <c r="N135" i="38"/>
  <c r="M135" i="38"/>
  <c r="L135" i="38"/>
  <c r="K135" i="38"/>
  <c r="T134" i="38"/>
  <c r="S134" i="38"/>
  <c r="R134" i="38"/>
  <c r="Q134" i="38"/>
  <c r="P134" i="38"/>
  <c r="O134" i="38"/>
  <c r="N134" i="38"/>
  <c r="M134" i="38"/>
  <c r="L134" i="38"/>
  <c r="K134" i="38"/>
  <c r="G133" i="38"/>
  <c r="T129" i="38"/>
  <c r="S129" i="38"/>
  <c r="R129" i="38"/>
  <c r="Q129" i="38"/>
  <c r="P129" i="38"/>
  <c r="O129" i="38"/>
  <c r="N129" i="38"/>
  <c r="M129" i="38"/>
  <c r="L129" i="38"/>
  <c r="T128" i="38"/>
  <c r="S128" i="38"/>
  <c r="R128" i="38"/>
  <c r="Q128" i="38"/>
  <c r="P128" i="38"/>
  <c r="O128" i="38"/>
  <c r="N128" i="38"/>
  <c r="M128" i="38"/>
  <c r="L128" i="38"/>
  <c r="K128" i="38"/>
  <c r="T127" i="38"/>
  <c r="S127" i="38"/>
  <c r="R127" i="38"/>
  <c r="Q127" i="38"/>
  <c r="P127" i="38"/>
  <c r="O127" i="38"/>
  <c r="N127" i="38"/>
  <c r="M127" i="38"/>
  <c r="L127" i="38"/>
  <c r="K127" i="38"/>
  <c r="T126" i="38"/>
  <c r="S126" i="38"/>
  <c r="R126" i="38"/>
  <c r="Q126" i="38"/>
  <c r="P126" i="38"/>
  <c r="O126" i="38"/>
  <c r="N126" i="38"/>
  <c r="M126" i="38"/>
  <c r="L126" i="38"/>
  <c r="K126" i="38"/>
  <c r="T125" i="38"/>
  <c r="S125" i="38"/>
  <c r="R125" i="38"/>
  <c r="Q125" i="38"/>
  <c r="P125" i="38"/>
  <c r="O125" i="38"/>
  <c r="N125" i="38"/>
  <c r="M125" i="38"/>
  <c r="L125" i="38"/>
  <c r="K125" i="38"/>
  <c r="T124" i="38"/>
  <c r="S124" i="38"/>
  <c r="R124" i="38"/>
  <c r="Q124" i="38"/>
  <c r="P124" i="38"/>
  <c r="O124" i="38"/>
  <c r="N124" i="38"/>
  <c r="M124" i="38"/>
  <c r="L124" i="38"/>
  <c r="K124" i="38"/>
  <c r="T123" i="38"/>
  <c r="S123" i="38"/>
  <c r="R123" i="38"/>
  <c r="Q123" i="38"/>
  <c r="P123" i="38"/>
  <c r="O123" i="38"/>
  <c r="N123" i="38"/>
  <c r="M123" i="38"/>
  <c r="L123" i="38"/>
  <c r="K123" i="38"/>
  <c r="T122" i="38"/>
  <c r="S122" i="38"/>
  <c r="R122" i="38"/>
  <c r="Q122" i="38"/>
  <c r="P122" i="38"/>
  <c r="O122" i="38"/>
  <c r="N122" i="38"/>
  <c r="M122" i="38"/>
  <c r="L122" i="38"/>
  <c r="K122" i="38"/>
  <c r="T121" i="38"/>
  <c r="S121" i="38"/>
  <c r="R121" i="38"/>
  <c r="Q121" i="38"/>
  <c r="P121" i="38"/>
  <c r="O121" i="38"/>
  <c r="N121" i="38"/>
  <c r="M121" i="38"/>
  <c r="L121" i="38"/>
  <c r="K121" i="38"/>
  <c r="T116" i="38"/>
  <c r="S116" i="38"/>
  <c r="R116" i="38"/>
  <c r="Q116" i="38"/>
  <c r="P116" i="38"/>
  <c r="O116" i="38"/>
  <c r="N116" i="38"/>
  <c r="M116" i="38"/>
  <c r="L116" i="38"/>
  <c r="T115" i="38"/>
  <c r="S115" i="38"/>
  <c r="R115" i="38"/>
  <c r="Q115" i="38"/>
  <c r="P115" i="38"/>
  <c r="O115" i="38"/>
  <c r="N115" i="38"/>
  <c r="M115" i="38"/>
  <c r="L115" i="38"/>
  <c r="K115" i="38"/>
  <c r="T114" i="38"/>
  <c r="S114" i="38"/>
  <c r="R114" i="38"/>
  <c r="Q114" i="38"/>
  <c r="P114" i="38"/>
  <c r="O114" i="38"/>
  <c r="N114" i="38"/>
  <c r="M114" i="38"/>
  <c r="L114" i="38"/>
  <c r="K114" i="38"/>
  <c r="T113" i="38"/>
  <c r="S113" i="38"/>
  <c r="R113" i="38"/>
  <c r="Q113" i="38"/>
  <c r="P113" i="38"/>
  <c r="O113" i="38"/>
  <c r="N113" i="38"/>
  <c r="M113" i="38"/>
  <c r="L113" i="38"/>
  <c r="K113" i="38"/>
  <c r="T112" i="38"/>
  <c r="S112" i="38"/>
  <c r="R112" i="38"/>
  <c r="Q112" i="38"/>
  <c r="P112" i="38"/>
  <c r="O112" i="38"/>
  <c r="N112" i="38"/>
  <c r="M112" i="38"/>
  <c r="L112" i="38"/>
  <c r="K112" i="38"/>
  <c r="T111" i="38"/>
  <c r="S111" i="38"/>
  <c r="R111" i="38"/>
  <c r="Q111" i="38"/>
  <c r="P111" i="38"/>
  <c r="O111" i="38"/>
  <c r="N111" i="38"/>
  <c r="M111" i="38"/>
  <c r="L111" i="38"/>
  <c r="K111" i="38"/>
  <c r="T110" i="38"/>
  <c r="S110" i="38"/>
  <c r="R110" i="38"/>
  <c r="Q110" i="38"/>
  <c r="P110" i="38"/>
  <c r="O110" i="38"/>
  <c r="N110" i="38"/>
  <c r="M110" i="38"/>
  <c r="L110" i="38"/>
  <c r="K110" i="38"/>
  <c r="T109" i="38"/>
  <c r="S109" i="38"/>
  <c r="R109" i="38"/>
  <c r="Q109" i="38"/>
  <c r="P109" i="38"/>
  <c r="O109" i="38"/>
  <c r="N109" i="38"/>
  <c r="M109" i="38"/>
  <c r="L109" i="38"/>
  <c r="K109" i="38"/>
  <c r="T108" i="38"/>
  <c r="S108" i="38"/>
  <c r="R108" i="38"/>
  <c r="Q108" i="38"/>
  <c r="P108" i="38"/>
  <c r="O108" i="38"/>
  <c r="N108" i="38"/>
  <c r="M108" i="38"/>
  <c r="L108" i="38"/>
  <c r="K108" i="38"/>
  <c r="G107" i="38"/>
  <c r="K102" i="38"/>
  <c r="K101" i="38"/>
  <c r="K100" i="38"/>
  <c r="K99" i="38"/>
  <c r="K98" i="38"/>
  <c r="AJ97" i="38"/>
  <c r="AI97" i="38"/>
  <c r="K97" i="38"/>
  <c r="AJ96" i="38"/>
  <c r="AI96" i="38"/>
  <c r="K96" i="38"/>
  <c r="AJ95" i="38"/>
  <c r="AI95" i="38"/>
  <c r="K95" i="38"/>
  <c r="AJ94" i="38"/>
  <c r="AI94" i="38"/>
  <c r="G94" i="38"/>
  <c r="AJ93" i="38"/>
  <c r="AI93" i="38"/>
  <c r="T90" i="38"/>
  <c r="S90" i="38"/>
  <c r="R90" i="38"/>
  <c r="Q90" i="38"/>
  <c r="P90" i="38"/>
  <c r="O90" i="38"/>
  <c r="N90" i="38"/>
  <c r="M90" i="38"/>
  <c r="L90" i="38"/>
  <c r="T89" i="38"/>
  <c r="S89" i="38"/>
  <c r="R89" i="38"/>
  <c r="Q89" i="38"/>
  <c r="P89" i="38"/>
  <c r="O89" i="38"/>
  <c r="N89" i="38"/>
  <c r="M89" i="38"/>
  <c r="L89" i="38"/>
  <c r="K89" i="38"/>
  <c r="T88" i="38"/>
  <c r="S88" i="38"/>
  <c r="R88" i="38"/>
  <c r="Q88" i="38"/>
  <c r="P88" i="38"/>
  <c r="O88" i="38"/>
  <c r="N88" i="38"/>
  <c r="M88" i="38"/>
  <c r="L88" i="38"/>
  <c r="K88" i="38"/>
  <c r="T87" i="38"/>
  <c r="S87" i="38"/>
  <c r="R87" i="38"/>
  <c r="Q87" i="38"/>
  <c r="P87" i="38"/>
  <c r="O87" i="38"/>
  <c r="N87" i="38"/>
  <c r="M87" i="38"/>
  <c r="L87" i="38"/>
  <c r="K87" i="38"/>
  <c r="T86" i="38"/>
  <c r="S86" i="38"/>
  <c r="R86" i="38"/>
  <c r="Q86" i="38"/>
  <c r="P86" i="38"/>
  <c r="O86" i="38"/>
  <c r="N86" i="38"/>
  <c r="M86" i="38"/>
  <c r="L86" i="38"/>
  <c r="K86" i="38"/>
  <c r="T85" i="38"/>
  <c r="S85" i="38"/>
  <c r="R85" i="38"/>
  <c r="Q85" i="38"/>
  <c r="P85" i="38"/>
  <c r="O85" i="38"/>
  <c r="N85" i="38"/>
  <c r="M85" i="38"/>
  <c r="L85" i="38"/>
  <c r="K85" i="38"/>
  <c r="T84" i="38"/>
  <c r="S84" i="38"/>
  <c r="R84" i="38"/>
  <c r="Q84" i="38"/>
  <c r="P84" i="38"/>
  <c r="O84" i="38"/>
  <c r="N84" i="38"/>
  <c r="M84" i="38"/>
  <c r="L84" i="38"/>
  <c r="K84" i="38"/>
  <c r="AJ83" i="38"/>
  <c r="AI83" i="38"/>
  <c r="T83" i="38"/>
  <c r="S83" i="38"/>
  <c r="R83" i="38"/>
  <c r="Q83" i="38"/>
  <c r="P83" i="38"/>
  <c r="O83" i="38"/>
  <c r="N83" i="38"/>
  <c r="M83" i="38"/>
  <c r="L83" i="38"/>
  <c r="K83" i="38"/>
  <c r="AH82" i="38"/>
  <c r="T82" i="38"/>
  <c r="S82" i="38"/>
  <c r="R82" i="38"/>
  <c r="Q82" i="38"/>
  <c r="P82" i="38"/>
  <c r="O82" i="38"/>
  <c r="N82" i="38"/>
  <c r="M82" i="38"/>
  <c r="L82" i="38"/>
  <c r="K82" i="38"/>
  <c r="N81" i="38"/>
  <c r="M81" i="38"/>
  <c r="L81" i="38"/>
  <c r="G81" i="38"/>
  <c r="AJ77" i="38"/>
  <c r="AI77" i="38"/>
  <c r="AJ76" i="38"/>
  <c r="AI76" i="38"/>
  <c r="K76" i="38"/>
  <c r="AJ75" i="38"/>
  <c r="AI75" i="38"/>
  <c r="K75" i="38"/>
  <c r="AJ74" i="38"/>
  <c r="AI74" i="38"/>
  <c r="K74" i="38"/>
  <c r="AJ73" i="38"/>
  <c r="AI73" i="38"/>
  <c r="K73" i="38"/>
  <c r="Y72" i="38"/>
  <c r="AH72" i="38" s="1"/>
  <c r="K72" i="38"/>
  <c r="K71" i="38"/>
  <c r="K70" i="38"/>
  <c r="K69" i="38"/>
  <c r="N68" i="38"/>
  <c r="N133" i="38" s="1"/>
  <c r="N172" i="38" s="1"/>
  <c r="N185" i="38" s="1"/>
  <c r="N146" i="38" s="1"/>
  <c r="N42" i="38" s="1"/>
  <c r="N107" i="38" s="1"/>
  <c r="M68" i="38"/>
  <c r="M133" i="38" s="1"/>
  <c r="M172" i="38" s="1"/>
  <c r="M185" i="38" s="1"/>
  <c r="M146" i="38" s="1"/>
  <c r="M42" i="38" s="1"/>
  <c r="M107" i="38" s="1"/>
  <c r="L68" i="38"/>
  <c r="L133" i="38" s="1"/>
  <c r="L172" i="38" s="1"/>
  <c r="L185" i="38" s="1"/>
  <c r="L146" i="38" s="1"/>
  <c r="L42" i="38" s="1"/>
  <c r="L107" i="38" s="1"/>
  <c r="G68" i="38"/>
  <c r="AJ67" i="38"/>
  <c r="AI67" i="38"/>
  <c r="AJ66" i="38"/>
  <c r="AI66" i="38"/>
  <c r="AJ65" i="38"/>
  <c r="AI65" i="38"/>
  <c r="AJ64" i="38"/>
  <c r="AI64" i="38"/>
  <c r="T64" i="38"/>
  <c r="S64" i="38"/>
  <c r="R64" i="38"/>
  <c r="Q64" i="38"/>
  <c r="P64" i="38"/>
  <c r="O64" i="38"/>
  <c r="N64" i="38"/>
  <c r="M64" i="38"/>
  <c r="L64" i="38"/>
  <c r="AJ63" i="38"/>
  <c r="AI63" i="38"/>
  <c r="T63" i="38"/>
  <c r="S63" i="38"/>
  <c r="R63" i="38"/>
  <c r="Q63" i="38"/>
  <c r="P63" i="38"/>
  <c r="O63" i="38"/>
  <c r="N63" i="38"/>
  <c r="M63" i="38"/>
  <c r="L63" i="38"/>
  <c r="K63" i="38"/>
  <c r="Y62" i="38"/>
  <c r="AH62" i="38" s="1"/>
  <c r="T62" i="38"/>
  <c r="S62" i="38"/>
  <c r="R62" i="38"/>
  <c r="Q62" i="38"/>
  <c r="P62" i="38"/>
  <c r="O62" i="38"/>
  <c r="N62" i="38"/>
  <c r="M62" i="38"/>
  <c r="L62" i="38"/>
  <c r="K62" i="38"/>
  <c r="T61" i="38"/>
  <c r="S61" i="38"/>
  <c r="R61" i="38"/>
  <c r="Q61" i="38"/>
  <c r="P61" i="38"/>
  <c r="O61" i="38"/>
  <c r="N61" i="38"/>
  <c r="M61" i="38"/>
  <c r="L61" i="38"/>
  <c r="K61" i="38"/>
  <c r="T60" i="38"/>
  <c r="S60" i="38"/>
  <c r="R60" i="38"/>
  <c r="Q60" i="38"/>
  <c r="P60" i="38"/>
  <c r="O60" i="38"/>
  <c r="N60" i="38"/>
  <c r="M60" i="38"/>
  <c r="L60" i="38"/>
  <c r="K60" i="38"/>
  <c r="T59" i="38"/>
  <c r="S59" i="38"/>
  <c r="R59" i="38"/>
  <c r="Q59" i="38"/>
  <c r="P59" i="38"/>
  <c r="O59" i="38"/>
  <c r="N59" i="38"/>
  <c r="M59" i="38"/>
  <c r="L59" i="38"/>
  <c r="K59" i="38"/>
  <c r="T58" i="38"/>
  <c r="S58" i="38"/>
  <c r="R58" i="38"/>
  <c r="Q58" i="38"/>
  <c r="P58" i="38"/>
  <c r="O58" i="38"/>
  <c r="N58" i="38"/>
  <c r="M58" i="38"/>
  <c r="L58" i="38"/>
  <c r="K58" i="38"/>
  <c r="AJ57" i="38"/>
  <c r="AI57" i="38"/>
  <c r="T57" i="38"/>
  <c r="S57" i="38"/>
  <c r="R57" i="38"/>
  <c r="Q57" i="38"/>
  <c r="P57" i="38"/>
  <c r="O57" i="38"/>
  <c r="N57" i="38"/>
  <c r="M57" i="38"/>
  <c r="L57" i="38"/>
  <c r="K57" i="38"/>
  <c r="AJ56" i="38"/>
  <c r="AI56" i="38"/>
  <c r="T56" i="38"/>
  <c r="S56" i="38"/>
  <c r="R56" i="38"/>
  <c r="Q56" i="38"/>
  <c r="P56" i="38"/>
  <c r="O56" i="38"/>
  <c r="N56" i="38"/>
  <c r="M56" i="38"/>
  <c r="L56" i="38"/>
  <c r="K56" i="38"/>
  <c r="AJ55" i="38"/>
  <c r="AI55" i="38"/>
  <c r="G55" i="38"/>
  <c r="AJ54" i="38"/>
  <c r="AI54" i="38"/>
  <c r="AJ53" i="38"/>
  <c r="AI53" i="38"/>
  <c r="Y52" i="38"/>
  <c r="AH52" i="38" s="1"/>
  <c r="T51" i="38"/>
  <c r="S51" i="38"/>
  <c r="R51" i="38"/>
  <c r="Q51" i="38"/>
  <c r="P51" i="38"/>
  <c r="O51" i="38"/>
  <c r="N51" i="38"/>
  <c r="M51" i="38"/>
  <c r="L51" i="38"/>
  <c r="T50" i="38"/>
  <c r="S50" i="38"/>
  <c r="R50" i="38"/>
  <c r="Q50" i="38"/>
  <c r="P50" i="38"/>
  <c r="O50" i="38"/>
  <c r="N50" i="38"/>
  <c r="M50" i="38"/>
  <c r="L50" i="38"/>
  <c r="K50" i="38"/>
  <c r="T49" i="38"/>
  <c r="S49" i="38"/>
  <c r="R49" i="38"/>
  <c r="Q49" i="38"/>
  <c r="P49" i="38"/>
  <c r="O49" i="38"/>
  <c r="N49" i="38"/>
  <c r="M49" i="38"/>
  <c r="L49" i="38"/>
  <c r="K49" i="38"/>
  <c r="T48" i="38"/>
  <c r="S48" i="38"/>
  <c r="R48" i="38"/>
  <c r="Q48" i="38"/>
  <c r="P48" i="38"/>
  <c r="O48" i="38"/>
  <c r="N48" i="38"/>
  <c r="M48" i="38"/>
  <c r="L48" i="38"/>
  <c r="K48" i="38"/>
  <c r="AJ47" i="38"/>
  <c r="AI47" i="38"/>
  <c r="T47" i="38"/>
  <c r="S47" i="38"/>
  <c r="R47" i="38"/>
  <c r="Q47" i="38"/>
  <c r="P47" i="38"/>
  <c r="O47" i="38"/>
  <c r="N47" i="38"/>
  <c r="M47" i="38"/>
  <c r="L47" i="38"/>
  <c r="K47" i="38"/>
  <c r="AJ46" i="38"/>
  <c r="AI46" i="38"/>
  <c r="T46" i="38"/>
  <c r="S46" i="38"/>
  <c r="R46" i="38"/>
  <c r="Q46" i="38"/>
  <c r="P46" i="38"/>
  <c r="O46" i="38"/>
  <c r="N46" i="38"/>
  <c r="M46" i="38"/>
  <c r="L46" i="38"/>
  <c r="K46" i="38"/>
  <c r="AJ45" i="38"/>
  <c r="AI45" i="38"/>
  <c r="T45" i="38"/>
  <c r="S45" i="38"/>
  <c r="R45" i="38"/>
  <c r="Q45" i="38"/>
  <c r="P45" i="38"/>
  <c r="O45" i="38"/>
  <c r="N45" i="38"/>
  <c r="M45" i="38"/>
  <c r="L45" i="38"/>
  <c r="K45" i="38"/>
  <c r="AJ44" i="38"/>
  <c r="AI44" i="38"/>
  <c r="T44" i="38"/>
  <c r="S44" i="38"/>
  <c r="R44" i="38"/>
  <c r="Q44" i="38"/>
  <c r="P44" i="38"/>
  <c r="O44" i="38"/>
  <c r="N44" i="38"/>
  <c r="M44" i="38"/>
  <c r="L44" i="38"/>
  <c r="K44" i="38"/>
  <c r="AJ43" i="38"/>
  <c r="AI43" i="38"/>
  <c r="T43" i="38"/>
  <c r="S43" i="38"/>
  <c r="R43" i="38"/>
  <c r="Q43" i="38"/>
  <c r="P43" i="38"/>
  <c r="O43" i="38"/>
  <c r="N43" i="38"/>
  <c r="M43" i="38"/>
  <c r="L43" i="38"/>
  <c r="K43" i="38"/>
  <c r="Y42" i="38"/>
  <c r="AH42" i="38" s="1"/>
  <c r="G42" i="38"/>
  <c r="AJ37" i="38"/>
  <c r="AI37" i="38"/>
  <c r="K37" i="38"/>
  <c r="AJ36" i="38"/>
  <c r="AI36" i="38"/>
  <c r="K36" i="38"/>
  <c r="AJ35" i="38"/>
  <c r="AI35" i="38"/>
  <c r="K35" i="38"/>
  <c r="AJ34" i="38"/>
  <c r="AI34" i="38"/>
  <c r="K34" i="38"/>
  <c r="AJ33" i="38"/>
  <c r="AI33" i="38"/>
  <c r="K33" i="38"/>
  <c r="Y32" i="38"/>
  <c r="AH32" i="38" s="1"/>
  <c r="K32" i="38"/>
  <c r="K31" i="38"/>
  <c r="K30" i="38"/>
  <c r="AJ27" i="38"/>
  <c r="AI27" i="38"/>
  <c r="AJ26" i="38"/>
  <c r="AI26" i="38"/>
  <c r="AJ25" i="38"/>
  <c r="AI25" i="38"/>
  <c r="T25" i="38"/>
  <c r="S25" i="38"/>
  <c r="R25" i="38"/>
  <c r="Q25" i="38"/>
  <c r="P25" i="38"/>
  <c r="O25" i="38"/>
  <c r="N25" i="38"/>
  <c r="M25" i="38"/>
  <c r="L25" i="38"/>
  <c r="AJ24" i="38"/>
  <c r="AI24" i="38"/>
  <c r="T24" i="38"/>
  <c r="S24" i="38"/>
  <c r="R24" i="38"/>
  <c r="Q24" i="38"/>
  <c r="P24" i="38"/>
  <c r="O24" i="38"/>
  <c r="N24" i="38"/>
  <c r="M24" i="38"/>
  <c r="L24" i="38"/>
  <c r="K24" i="38"/>
  <c r="AJ23" i="38"/>
  <c r="AI23" i="38"/>
  <c r="T23" i="38"/>
  <c r="S23" i="38"/>
  <c r="R23" i="38"/>
  <c r="Q23" i="38"/>
  <c r="P23" i="38"/>
  <c r="O23" i="38"/>
  <c r="N23" i="38"/>
  <c r="M23" i="38"/>
  <c r="L23" i="38"/>
  <c r="K23" i="38"/>
  <c r="Y22" i="38"/>
  <c r="AH22" i="38" s="1"/>
  <c r="T22" i="38"/>
  <c r="S22" i="38"/>
  <c r="R22" i="38"/>
  <c r="Q22" i="38"/>
  <c r="P22" i="38"/>
  <c r="O22" i="38"/>
  <c r="N22" i="38"/>
  <c r="M22" i="38"/>
  <c r="L22" i="38"/>
  <c r="K22" i="38"/>
  <c r="T21" i="38"/>
  <c r="S21" i="38"/>
  <c r="R21" i="38"/>
  <c r="Q21" i="38"/>
  <c r="P21" i="38"/>
  <c r="O21" i="38"/>
  <c r="N21" i="38"/>
  <c r="M21" i="38"/>
  <c r="L21" i="38"/>
  <c r="K21" i="38"/>
  <c r="T20" i="38"/>
  <c r="S20" i="38"/>
  <c r="R20" i="38"/>
  <c r="Q20" i="38"/>
  <c r="P20" i="38"/>
  <c r="O20" i="38"/>
  <c r="N20" i="38"/>
  <c r="M20" i="38"/>
  <c r="L20" i="38"/>
  <c r="K20" i="38"/>
  <c r="T19" i="38"/>
  <c r="S19" i="38"/>
  <c r="R19" i="38"/>
  <c r="Q19" i="38"/>
  <c r="P19" i="38"/>
  <c r="O19" i="38"/>
  <c r="N19" i="38"/>
  <c r="M19" i="38"/>
  <c r="L19" i="38"/>
  <c r="K19" i="38"/>
  <c r="T18" i="38"/>
  <c r="S18" i="38"/>
  <c r="R18" i="38"/>
  <c r="Q18" i="38"/>
  <c r="P18" i="38"/>
  <c r="O18" i="38"/>
  <c r="N18" i="38"/>
  <c r="M18" i="38"/>
  <c r="L18" i="38"/>
  <c r="K18" i="38"/>
  <c r="AJ17" i="38"/>
  <c r="AI17" i="38"/>
  <c r="T17" i="38"/>
  <c r="S17" i="38"/>
  <c r="R17" i="38"/>
  <c r="Q17" i="38"/>
  <c r="P17" i="38"/>
  <c r="O17" i="38"/>
  <c r="N17" i="38"/>
  <c r="M17" i="38"/>
  <c r="L17" i="38"/>
  <c r="K17" i="38"/>
  <c r="AJ16" i="38"/>
  <c r="AI16" i="38"/>
  <c r="AJ15" i="38"/>
  <c r="AI15" i="38"/>
  <c r="AJ14" i="38"/>
  <c r="AI14" i="38"/>
  <c r="AJ13" i="38"/>
  <c r="AI13" i="38"/>
  <c r="Y12" i="38"/>
  <c r="AH12" i="38" s="1"/>
  <c r="T12" i="38"/>
  <c r="S12" i="38"/>
  <c r="R12" i="38"/>
  <c r="Q12" i="38"/>
  <c r="P12" i="38"/>
  <c r="O12" i="38"/>
  <c r="N12" i="38"/>
  <c r="M12" i="38"/>
  <c r="L12" i="38"/>
  <c r="T11" i="38"/>
  <c r="S11" i="38"/>
  <c r="R11" i="38"/>
  <c r="Q11" i="38"/>
  <c r="P11" i="38"/>
  <c r="O11" i="38"/>
  <c r="N11" i="38"/>
  <c r="M11" i="38"/>
  <c r="L11" i="38"/>
  <c r="K11" i="38"/>
  <c r="T10" i="38"/>
  <c r="S10" i="38"/>
  <c r="R10" i="38"/>
  <c r="Q10" i="38"/>
  <c r="P10" i="38"/>
  <c r="O10" i="38"/>
  <c r="N10" i="38"/>
  <c r="M10" i="38"/>
  <c r="L10" i="38"/>
  <c r="K10" i="38"/>
  <c r="T9" i="38"/>
  <c r="S9" i="38"/>
  <c r="R9" i="38"/>
  <c r="Q9" i="38"/>
  <c r="P9" i="38"/>
  <c r="O9" i="38"/>
  <c r="N9" i="38"/>
  <c r="M9" i="38"/>
  <c r="L9" i="38"/>
  <c r="K9" i="38"/>
  <c r="T8" i="38"/>
  <c r="S8" i="38"/>
  <c r="R8" i="38"/>
  <c r="Q8" i="38"/>
  <c r="P8" i="38"/>
  <c r="O8" i="38"/>
  <c r="N8" i="38"/>
  <c r="M8" i="38"/>
  <c r="L8" i="38"/>
  <c r="K8" i="38"/>
  <c r="AJ7" i="38"/>
  <c r="AI7" i="38"/>
  <c r="T7" i="38"/>
  <c r="S7" i="38"/>
  <c r="R7" i="38"/>
  <c r="Q7" i="38"/>
  <c r="P7" i="38"/>
  <c r="O7" i="38"/>
  <c r="N7" i="38"/>
  <c r="M7" i="38"/>
  <c r="L7" i="38"/>
  <c r="K7" i="38"/>
  <c r="AJ6" i="38"/>
  <c r="AI6" i="38"/>
  <c r="T6" i="38"/>
  <c r="S6" i="38"/>
  <c r="R6" i="38"/>
  <c r="Q6" i="38"/>
  <c r="P6" i="38"/>
  <c r="O6" i="38"/>
  <c r="N6" i="38"/>
  <c r="M6" i="38"/>
  <c r="L6" i="38"/>
  <c r="K6" i="38"/>
  <c r="AP5" i="38"/>
  <c r="AJ5" i="38"/>
  <c r="AI5" i="38"/>
  <c r="T5" i="38"/>
  <c r="S5" i="38"/>
  <c r="R5" i="38"/>
  <c r="Q5" i="38"/>
  <c r="P5" i="38"/>
  <c r="O5" i="38"/>
  <c r="N5" i="38"/>
  <c r="M5" i="38"/>
  <c r="L5" i="38"/>
  <c r="K5" i="38"/>
  <c r="AP4" i="38"/>
  <c r="AJ4" i="38"/>
  <c r="AI4" i="38"/>
  <c r="T4" i="38"/>
  <c r="S4" i="38"/>
  <c r="R4" i="38"/>
  <c r="Q4" i="38"/>
  <c r="P4" i="38"/>
  <c r="O4" i="38"/>
  <c r="N4" i="38"/>
  <c r="M4" i="38"/>
  <c r="L4" i="38"/>
  <c r="K4" i="38"/>
  <c r="AP3" i="38"/>
  <c r="N3" i="38"/>
  <c r="N55" i="38" s="1"/>
  <c r="M3" i="38"/>
  <c r="M55" i="38" s="1"/>
  <c r="L3" i="38"/>
  <c r="L55" i="38" s="1"/>
  <c r="G3" i="38"/>
  <c r="Y2" i="38"/>
  <c r="AH2" i="38" s="1"/>
  <c r="C297" i="2"/>
  <c r="AJ259" i="2"/>
  <c r="AI259" i="2"/>
  <c r="AG259" i="2"/>
  <c r="AF259" i="2"/>
  <c r="AD259" i="2"/>
  <c r="AC259" i="2"/>
  <c r="AA259" i="2"/>
  <c r="Z259" i="2"/>
  <c r="X259" i="2"/>
  <c r="W259" i="2"/>
  <c r="U259" i="2"/>
  <c r="T259" i="2"/>
  <c r="R259" i="2"/>
  <c r="R302" i="2" s="1"/>
  <c r="Q259" i="2"/>
  <c r="O259" i="2"/>
  <c r="O302" i="2" s="1"/>
  <c r="N259" i="2"/>
  <c r="L259" i="2"/>
  <c r="L302" i="2" s="1"/>
  <c r="K259" i="2"/>
  <c r="I259" i="2"/>
  <c r="H259" i="2"/>
  <c r="F259" i="2"/>
  <c r="F302" i="2" s="1"/>
  <c r="E259" i="2"/>
  <c r="C259" i="2"/>
  <c r="C302" i="2" s="1"/>
  <c r="B259" i="2"/>
  <c r="AJ258" i="2"/>
  <c r="AI258" i="2"/>
  <c r="AG258" i="2"/>
  <c r="AF258" i="2"/>
  <c r="AD258" i="2"/>
  <c r="AC258" i="2"/>
  <c r="AA258" i="2"/>
  <c r="Z258" i="2"/>
  <c r="X258" i="2"/>
  <c r="W258" i="2"/>
  <c r="U258" i="2"/>
  <c r="T258" i="2"/>
  <c r="R258" i="2"/>
  <c r="Q258" i="2"/>
  <c r="O258" i="2"/>
  <c r="N258" i="2"/>
  <c r="L258" i="2"/>
  <c r="K258" i="2"/>
  <c r="I258" i="2"/>
  <c r="H258" i="2"/>
  <c r="F258" i="2"/>
  <c r="E258" i="2"/>
  <c r="C258" i="2"/>
  <c r="B258" i="2"/>
  <c r="AJ257" i="2"/>
  <c r="AI257" i="2"/>
  <c r="AG257" i="2"/>
  <c r="AF257" i="2"/>
  <c r="AD257" i="2"/>
  <c r="AC257" i="2"/>
  <c r="AA257" i="2"/>
  <c r="Z257" i="2"/>
  <c r="X257" i="2"/>
  <c r="W257" i="2"/>
  <c r="U257" i="2"/>
  <c r="T257" i="2"/>
  <c r="R257" i="2"/>
  <c r="Q257" i="2"/>
  <c r="O257" i="2"/>
  <c r="N257" i="2"/>
  <c r="L257" i="2"/>
  <c r="K257" i="2"/>
  <c r="I257" i="2"/>
  <c r="H257" i="2"/>
  <c r="F257" i="2"/>
  <c r="E257" i="2"/>
  <c r="C257" i="2"/>
  <c r="B257" i="2"/>
  <c r="AJ256" i="2"/>
  <c r="AI256" i="2"/>
  <c r="AG256" i="2"/>
  <c r="AF256" i="2"/>
  <c r="AD256" i="2"/>
  <c r="AC256" i="2"/>
  <c r="AA256" i="2"/>
  <c r="Z256" i="2"/>
  <c r="X256" i="2"/>
  <c r="W256" i="2"/>
  <c r="U256" i="2"/>
  <c r="T256" i="2"/>
  <c r="R256" i="2"/>
  <c r="Q256" i="2"/>
  <c r="O256" i="2"/>
  <c r="N256" i="2"/>
  <c r="L256" i="2"/>
  <c r="K256" i="2"/>
  <c r="I256" i="2"/>
  <c r="H256" i="2"/>
  <c r="F256" i="2"/>
  <c r="E256" i="2"/>
  <c r="C256" i="2"/>
  <c r="B256" i="2"/>
  <c r="AJ255" i="2"/>
  <c r="AI255" i="2"/>
  <c r="AG255" i="2"/>
  <c r="AF255" i="2"/>
  <c r="AD255" i="2"/>
  <c r="AC255" i="2"/>
  <c r="AA255" i="2"/>
  <c r="Z255" i="2"/>
  <c r="X255" i="2"/>
  <c r="W255" i="2"/>
  <c r="U255" i="2"/>
  <c r="T255" i="2"/>
  <c r="R255" i="2"/>
  <c r="Q255" i="2"/>
  <c r="O255" i="2"/>
  <c r="N255" i="2"/>
  <c r="L255" i="2"/>
  <c r="K255" i="2"/>
  <c r="I255" i="2"/>
  <c r="H255" i="2"/>
  <c r="F255" i="2"/>
  <c r="E255" i="2"/>
  <c r="C255" i="2"/>
  <c r="B255" i="2"/>
  <c r="AJ254" i="2"/>
  <c r="AI254" i="2"/>
  <c r="AG254" i="2"/>
  <c r="AF254" i="2"/>
  <c r="AD254" i="2"/>
  <c r="AC254" i="2"/>
  <c r="AA254" i="2"/>
  <c r="Z254" i="2"/>
  <c r="X254" i="2"/>
  <c r="W254" i="2"/>
  <c r="U254" i="2"/>
  <c r="T254" i="2"/>
  <c r="R254" i="2"/>
  <c r="Q254" i="2"/>
  <c r="O254" i="2"/>
  <c r="N254" i="2"/>
  <c r="L254" i="2"/>
  <c r="K254" i="2"/>
  <c r="I254" i="2"/>
  <c r="H254" i="2"/>
  <c r="F254" i="2"/>
  <c r="E254" i="2"/>
  <c r="C254" i="2"/>
  <c r="B254" i="2"/>
  <c r="AJ253" i="2"/>
  <c r="AI253" i="2"/>
  <c r="AG253" i="2"/>
  <c r="AF253" i="2"/>
  <c r="AD253" i="2"/>
  <c r="AC253" i="2"/>
  <c r="AA253" i="2"/>
  <c r="Z253" i="2"/>
  <c r="X253" i="2"/>
  <c r="W253" i="2"/>
  <c r="U253" i="2"/>
  <c r="T253" i="2"/>
  <c r="R253" i="2"/>
  <c r="Q253" i="2"/>
  <c r="O253" i="2"/>
  <c r="N253" i="2"/>
  <c r="L253" i="2"/>
  <c r="K253" i="2"/>
  <c r="I253" i="2"/>
  <c r="H253" i="2"/>
  <c r="F253" i="2"/>
  <c r="E253" i="2"/>
  <c r="C253" i="2"/>
  <c r="B253" i="2"/>
  <c r="AJ252" i="2"/>
  <c r="AI252" i="2"/>
  <c r="AG252" i="2"/>
  <c r="AF252" i="2"/>
  <c r="AD252" i="2"/>
  <c r="AC252" i="2"/>
  <c r="AA252" i="2"/>
  <c r="Z252" i="2"/>
  <c r="X252" i="2"/>
  <c r="W252" i="2"/>
  <c r="U252" i="2"/>
  <c r="T252" i="2"/>
  <c r="R252" i="2"/>
  <c r="Q252" i="2"/>
  <c r="O252" i="2"/>
  <c r="N252" i="2"/>
  <c r="L252" i="2"/>
  <c r="K252" i="2"/>
  <c r="I252" i="2"/>
  <c r="H252" i="2"/>
  <c r="F252" i="2"/>
  <c r="E252" i="2"/>
  <c r="C252" i="2"/>
  <c r="B252" i="2"/>
  <c r="AJ249" i="2"/>
  <c r="AG249" i="2"/>
  <c r="AD249" i="2"/>
  <c r="AA249" i="2"/>
  <c r="X249" i="2"/>
  <c r="U249" i="2"/>
  <c r="R249" i="2"/>
  <c r="O249" i="2"/>
  <c r="L249" i="2"/>
  <c r="I249" i="2"/>
  <c r="F249" i="2"/>
  <c r="C249" i="2"/>
  <c r="AJ246" i="2"/>
  <c r="AJ289" i="2" s="1"/>
  <c r="AI246" i="2"/>
  <c r="AI272" i="2" s="1"/>
  <c r="AG246" i="2"/>
  <c r="AG289" i="2" s="1"/>
  <c r="AF246" i="2"/>
  <c r="AF272" i="2" s="1"/>
  <c r="AD246" i="2"/>
  <c r="AD289" i="2" s="1"/>
  <c r="AC246" i="2"/>
  <c r="AC272" i="2" s="1"/>
  <c r="AA246" i="2"/>
  <c r="AA289" i="2" s="1"/>
  <c r="Z246" i="2"/>
  <c r="Z272" i="2" s="1"/>
  <c r="X246" i="2"/>
  <c r="X289" i="2" s="1"/>
  <c r="W246" i="2"/>
  <c r="W272" i="2" s="1"/>
  <c r="U246" i="2"/>
  <c r="U289" i="2" s="1"/>
  <c r="T246" i="2"/>
  <c r="T272" i="2" s="1"/>
  <c r="R246" i="2"/>
  <c r="Q246" i="2"/>
  <c r="Q272" i="2" s="1"/>
  <c r="O246" i="2"/>
  <c r="N246" i="2"/>
  <c r="N272" i="2" s="1"/>
  <c r="L246" i="2"/>
  <c r="K246" i="2"/>
  <c r="K272" i="2" s="1"/>
  <c r="I246" i="2"/>
  <c r="I289" i="2" s="1"/>
  <c r="H246" i="2"/>
  <c r="H272" i="2" s="1"/>
  <c r="F246" i="2"/>
  <c r="F289" i="2" s="1"/>
  <c r="E246" i="2"/>
  <c r="E272" i="2" s="1"/>
  <c r="C246" i="2"/>
  <c r="C289" i="2" s="1"/>
  <c r="B246" i="2"/>
  <c r="B272" i="2" s="1"/>
  <c r="AJ245" i="2"/>
  <c r="AI245" i="2"/>
  <c r="AI271" i="2" s="1"/>
  <c r="AG245" i="2"/>
  <c r="AF245" i="2"/>
  <c r="AF271" i="2" s="1"/>
  <c r="AD245" i="2"/>
  <c r="AC245" i="2"/>
  <c r="AC271" i="2" s="1"/>
  <c r="AA245" i="2"/>
  <c r="Z245" i="2"/>
  <c r="Z271" i="2" s="1"/>
  <c r="X245" i="2"/>
  <c r="W245" i="2"/>
  <c r="W271" i="2" s="1"/>
  <c r="U245" i="2"/>
  <c r="T245" i="2"/>
  <c r="T271" i="2" s="1"/>
  <c r="R245" i="2"/>
  <c r="R271" i="2" s="1"/>
  <c r="Q245" i="2"/>
  <c r="Q271" i="2" s="1"/>
  <c r="O245" i="2"/>
  <c r="O271" i="2" s="1"/>
  <c r="N245" i="2"/>
  <c r="N271" i="2" s="1"/>
  <c r="L245" i="2"/>
  <c r="L271" i="2" s="1"/>
  <c r="K245" i="2"/>
  <c r="K271" i="2" s="1"/>
  <c r="I245" i="2"/>
  <c r="I271" i="2" s="1"/>
  <c r="H245" i="2"/>
  <c r="H271" i="2" s="1"/>
  <c r="F245" i="2"/>
  <c r="E245" i="2"/>
  <c r="E271" i="2" s="1"/>
  <c r="C245" i="2"/>
  <c r="C271" i="2" s="1"/>
  <c r="B245" i="2"/>
  <c r="B271" i="2" s="1"/>
  <c r="AJ244" i="2"/>
  <c r="AI244" i="2"/>
  <c r="AI270" i="2" s="1"/>
  <c r="AG244" i="2"/>
  <c r="AF244" i="2"/>
  <c r="AF270" i="2" s="1"/>
  <c r="AD244" i="2"/>
  <c r="AC244" i="2"/>
  <c r="AC270" i="2" s="1"/>
  <c r="AA244" i="2"/>
  <c r="Z244" i="2"/>
  <c r="Z270" i="2" s="1"/>
  <c r="X244" i="2"/>
  <c r="W244" i="2"/>
  <c r="W270" i="2" s="1"/>
  <c r="U244" i="2"/>
  <c r="T244" i="2"/>
  <c r="T270" i="2" s="1"/>
  <c r="R244" i="2"/>
  <c r="R270" i="2" s="1"/>
  <c r="Q244" i="2"/>
  <c r="Q270" i="2" s="1"/>
  <c r="O244" i="2"/>
  <c r="O270" i="2" s="1"/>
  <c r="N244" i="2"/>
  <c r="N270" i="2" s="1"/>
  <c r="L244" i="2"/>
  <c r="L270" i="2" s="1"/>
  <c r="K244" i="2"/>
  <c r="K270" i="2" s="1"/>
  <c r="I244" i="2"/>
  <c r="I270" i="2" s="1"/>
  <c r="H244" i="2"/>
  <c r="H270" i="2" s="1"/>
  <c r="F244" i="2"/>
  <c r="F270" i="2" s="1"/>
  <c r="E244" i="2"/>
  <c r="E270" i="2" s="1"/>
  <c r="C244" i="2"/>
  <c r="C270" i="2" s="1"/>
  <c r="B244" i="2"/>
  <c r="B270" i="2" s="1"/>
  <c r="AJ243" i="2"/>
  <c r="AI243" i="2"/>
  <c r="AG243" i="2"/>
  <c r="AF243" i="2"/>
  <c r="AD243" i="2"/>
  <c r="AC243" i="2"/>
  <c r="AA243" i="2"/>
  <c r="Z243" i="2"/>
  <c r="X243" i="2"/>
  <c r="W243" i="2"/>
  <c r="U243" i="2"/>
  <c r="T243" i="2"/>
  <c r="R243" i="2"/>
  <c r="R269" i="2" s="1"/>
  <c r="Q243" i="2"/>
  <c r="O243" i="2"/>
  <c r="O269" i="2" s="1"/>
  <c r="N243" i="2"/>
  <c r="L243" i="2"/>
  <c r="L269" i="2" s="1"/>
  <c r="K243" i="2"/>
  <c r="I243" i="2"/>
  <c r="I269" i="2" s="1"/>
  <c r="H243" i="2"/>
  <c r="H269" i="2" s="1"/>
  <c r="F243" i="2"/>
  <c r="E243" i="2"/>
  <c r="E269" i="2" s="1"/>
  <c r="C243" i="2"/>
  <c r="B243" i="2"/>
  <c r="B269" i="2" s="1"/>
  <c r="AJ242" i="2"/>
  <c r="AI242" i="2"/>
  <c r="AI268" i="2" s="1"/>
  <c r="AG242" i="2"/>
  <c r="AF242" i="2"/>
  <c r="AF268" i="2" s="1"/>
  <c r="AD242" i="2"/>
  <c r="AC242" i="2"/>
  <c r="AC268" i="2" s="1"/>
  <c r="AA242" i="2"/>
  <c r="Z242" i="2"/>
  <c r="Z268" i="2" s="1"/>
  <c r="X242" i="2"/>
  <c r="W242" i="2"/>
  <c r="W268" i="2" s="1"/>
  <c r="U242" i="2"/>
  <c r="T242" i="2"/>
  <c r="T268" i="2" s="1"/>
  <c r="R242" i="2"/>
  <c r="R268" i="2" s="1"/>
  <c r="Q242" i="2"/>
  <c r="Q268" i="2" s="1"/>
  <c r="O242" i="2"/>
  <c r="O268" i="2" s="1"/>
  <c r="N242" i="2"/>
  <c r="N268" i="2" s="1"/>
  <c r="L242" i="2"/>
  <c r="L268" i="2" s="1"/>
  <c r="K242" i="2"/>
  <c r="K268" i="2" s="1"/>
  <c r="I242" i="2"/>
  <c r="H242" i="2"/>
  <c r="H268" i="2" s="1"/>
  <c r="F242" i="2"/>
  <c r="E242" i="2"/>
  <c r="E268" i="2" s="1"/>
  <c r="C242" i="2"/>
  <c r="C268" i="2" s="1"/>
  <c r="B242" i="2"/>
  <c r="B268" i="2" s="1"/>
  <c r="AJ241" i="2"/>
  <c r="AI241" i="2"/>
  <c r="AI267" i="2" s="1"/>
  <c r="AG241" i="2"/>
  <c r="AF241" i="2"/>
  <c r="AF267" i="2" s="1"/>
  <c r="AD241" i="2"/>
  <c r="AC241" i="2"/>
  <c r="AC267" i="2" s="1"/>
  <c r="AA241" i="2"/>
  <c r="Z241" i="2"/>
  <c r="Z267" i="2" s="1"/>
  <c r="X241" i="2"/>
  <c r="W241" i="2"/>
  <c r="W267" i="2" s="1"/>
  <c r="U241" i="2"/>
  <c r="T241" i="2"/>
  <c r="T267" i="2" s="1"/>
  <c r="R241" i="2"/>
  <c r="R267" i="2" s="1"/>
  <c r="Q241" i="2"/>
  <c r="Q267" i="2" s="1"/>
  <c r="O241" i="2"/>
  <c r="O267" i="2" s="1"/>
  <c r="N241" i="2"/>
  <c r="N267" i="2" s="1"/>
  <c r="L241" i="2"/>
  <c r="L267" i="2" s="1"/>
  <c r="K241" i="2"/>
  <c r="K267" i="2" s="1"/>
  <c r="I241" i="2"/>
  <c r="I267" i="2" s="1"/>
  <c r="H241" i="2"/>
  <c r="H267" i="2" s="1"/>
  <c r="F241" i="2"/>
  <c r="E241" i="2"/>
  <c r="E267" i="2" s="1"/>
  <c r="C241" i="2"/>
  <c r="C267" i="2" s="1"/>
  <c r="B241" i="2"/>
  <c r="B267" i="2" s="1"/>
  <c r="AJ240" i="2"/>
  <c r="AI240" i="2"/>
  <c r="AI266" i="2" s="1"/>
  <c r="AG240" i="2"/>
  <c r="AF240" i="2"/>
  <c r="AF266" i="2" s="1"/>
  <c r="AD240" i="2"/>
  <c r="AC240" i="2"/>
  <c r="AC266" i="2" s="1"/>
  <c r="AA240" i="2"/>
  <c r="Z240" i="2"/>
  <c r="Z266" i="2" s="1"/>
  <c r="X240" i="2"/>
  <c r="W240" i="2"/>
  <c r="W266" i="2" s="1"/>
  <c r="U240" i="2"/>
  <c r="T240" i="2"/>
  <c r="T266" i="2" s="1"/>
  <c r="R240" i="2"/>
  <c r="R266" i="2" s="1"/>
  <c r="Q240" i="2"/>
  <c r="Q266" i="2" s="1"/>
  <c r="O240" i="2"/>
  <c r="O266" i="2" s="1"/>
  <c r="N240" i="2"/>
  <c r="N266" i="2" s="1"/>
  <c r="L240" i="2"/>
  <c r="L266" i="2" s="1"/>
  <c r="K240" i="2"/>
  <c r="K266" i="2" s="1"/>
  <c r="I240" i="2"/>
  <c r="I266" i="2" s="1"/>
  <c r="H240" i="2"/>
  <c r="H266" i="2" s="1"/>
  <c r="F240" i="2"/>
  <c r="F266" i="2" s="1"/>
  <c r="E240" i="2"/>
  <c r="E266" i="2" s="1"/>
  <c r="C240" i="2"/>
  <c r="C266" i="2" s="1"/>
  <c r="B240" i="2"/>
  <c r="B266" i="2" s="1"/>
  <c r="AJ239" i="2"/>
  <c r="AI239" i="2"/>
  <c r="AI265" i="2" s="1"/>
  <c r="AG239" i="2"/>
  <c r="AF239" i="2"/>
  <c r="AF265" i="2" s="1"/>
  <c r="AD239" i="2"/>
  <c r="AC239" i="2"/>
  <c r="AC265" i="2" s="1"/>
  <c r="AA239" i="2"/>
  <c r="Z239" i="2"/>
  <c r="Z265" i="2" s="1"/>
  <c r="X239" i="2"/>
  <c r="W239" i="2"/>
  <c r="W265" i="2" s="1"/>
  <c r="U239" i="2"/>
  <c r="T239" i="2"/>
  <c r="T265" i="2" s="1"/>
  <c r="R239" i="2"/>
  <c r="R265" i="2" s="1"/>
  <c r="Q239" i="2"/>
  <c r="Q265" i="2" s="1"/>
  <c r="O239" i="2"/>
  <c r="O265" i="2" s="1"/>
  <c r="N239" i="2"/>
  <c r="N265" i="2" s="1"/>
  <c r="L239" i="2"/>
  <c r="L265" i="2" s="1"/>
  <c r="K239" i="2"/>
  <c r="K265" i="2" s="1"/>
  <c r="I239" i="2"/>
  <c r="I265" i="2" s="1"/>
  <c r="H239" i="2"/>
  <c r="H265" i="2" s="1"/>
  <c r="F239" i="2"/>
  <c r="E239" i="2"/>
  <c r="E265" i="2" s="1"/>
  <c r="C239" i="2"/>
  <c r="C265" i="2" s="1"/>
  <c r="B239" i="2"/>
  <c r="B265" i="2" s="1"/>
  <c r="AJ236" i="2"/>
  <c r="AG236" i="2"/>
  <c r="AD236" i="2"/>
  <c r="B183" i="2"/>
  <c r="E183" i="2" s="1"/>
  <c r="H183" i="2" s="1"/>
  <c r="K183" i="2" s="1"/>
  <c r="N183" i="2" s="1"/>
  <c r="Q183" i="2" s="1"/>
  <c r="T183" i="2" s="1"/>
  <c r="W183" i="2" s="1"/>
  <c r="Z183" i="2" s="1"/>
  <c r="AC183" i="2" s="1"/>
  <c r="AF183" i="2" s="1"/>
  <c r="AI183" i="2" s="1"/>
  <c r="AJ113" i="2"/>
  <c r="AI113" i="2"/>
  <c r="AG113" i="2"/>
  <c r="AF113" i="2"/>
  <c r="AD113" i="2"/>
  <c r="AC113" i="2"/>
  <c r="AA113" i="2"/>
  <c r="Z113" i="2"/>
  <c r="X113" i="2"/>
  <c r="W113" i="2"/>
  <c r="U113" i="2"/>
  <c r="T113" i="2"/>
  <c r="R113" i="2"/>
  <c r="Q113" i="2"/>
  <c r="O113" i="2"/>
  <c r="N113" i="2"/>
  <c r="L113" i="2"/>
  <c r="K113" i="2"/>
  <c r="I113" i="2"/>
  <c r="H113" i="2"/>
  <c r="F113" i="2"/>
  <c r="E113" i="2"/>
  <c r="C113" i="2"/>
  <c r="B113" i="2"/>
  <c r="B98" i="2"/>
  <c r="E98" i="2" s="1"/>
  <c r="H98" i="2" s="1"/>
  <c r="K98" i="2" s="1"/>
  <c r="N98" i="2" s="1"/>
  <c r="Q98" i="2" s="1"/>
  <c r="T98" i="2" s="1"/>
  <c r="W98" i="2" s="1"/>
  <c r="Z98" i="2" s="1"/>
  <c r="AC98" i="2" s="1"/>
  <c r="AF98" i="2" s="1"/>
  <c r="AI98" i="2" s="1"/>
  <c r="B97" i="2"/>
  <c r="E97" i="2" s="1"/>
  <c r="H97" i="2" s="1"/>
  <c r="K97" i="2" s="1"/>
  <c r="N97" i="2" s="1"/>
  <c r="Q97" i="2" s="1"/>
  <c r="T97" i="2" s="1"/>
  <c r="W97" i="2" s="1"/>
  <c r="Z97" i="2" s="1"/>
  <c r="AC97" i="2" s="1"/>
  <c r="AF97" i="2" s="1"/>
  <c r="AI97" i="2" s="1"/>
  <c r="B96" i="2"/>
  <c r="E96" i="2" s="1"/>
  <c r="H96" i="2" s="1"/>
  <c r="K96" i="2" s="1"/>
  <c r="N96" i="2" s="1"/>
  <c r="Q96" i="2" s="1"/>
  <c r="T96" i="2" s="1"/>
  <c r="W96" i="2" s="1"/>
  <c r="Z96" i="2" s="1"/>
  <c r="AC96" i="2" s="1"/>
  <c r="AF96" i="2" s="1"/>
  <c r="AI96" i="2" s="1"/>
  <c r="AJ89" i="2"/>
  <c r="AI89" i="2"/>
  <c r="AG89" i="2"/>
  <c r="AF89" i="2"/>
  <c r="AD89" i="2"/>
  <c r="AC89" i="2"/>
  <c r="AA89" i="2"/>
  <c r="Z89" i="2"/>
  <c r="X89" i="2"/>
  <c r="W89" i="2"/>
  <c r="U89" i="2"/>
  <c r="T89" i="2"/>
  <c r="R89" i="2"/>
  <c r="Q89" i="2"/>
  <c r="O89" i="2"/>
  <c r="N89" i="2"/>
  <c r="L89" i="2"/>
  <c r="K89" i="2"/>
  <c r="I89" i="2"/>
  <c r="H89" i="2"/>
  <c r="F89" i="2"/>
  <c r="E89" i="2"/>
  <c r="C89" i="2"/>
  <c r="B89" i="2"/>
  <c r="AJ87" i="2"/>
  <c r="AG87" i="2"/>
  <c r="AD87" i="2"/>
  <c r="AA87" i="2"/>
  <c r="X87" i="2"/>
  <c r="U87" i="2"/>
  <c r="R87" i="2"/>
  <c r="O87" i="2"/>
  <c r="L87" i="2"/>
  <c r="I87" i="2"/>
  <c r="F87" i="2"/>
  <c r="C87" i="2"/>
  <c r="AI4" i="2"/>
  <c r="AF4" i="2"/>
  <c r="AF4" i="4" s="1"/>
  <c r="AC4" i="2"/>
  <c r="AC4" i="4" s="1"/>
  <c r="Z4" i="2"/>
  <c r="Z4" i="4" s="1"/>
  <c r="W4" i="2"/>
  <c r="W4" i="4" s="1"/>
  <c r="T4" i="2"/>
  <c r="T4" i="4" s="1"/>
  <c r="Q4" i="2"/>
  <c r="Q4" i="4" s="1"/>
  <c r="N4" i="2"/>
  <c r="N4" i="4" s="1"/>
  <c r="K4" i="2"/>
  <c r="K4" i="4" s="1"/>
  <c r="H4" i="2"/>
  <c r="H4" i="4" s="1"/>
  <c r="E4" i="2"/>
  <c r="E4" i="4" s="1"/>
  <c r="B4" i="2"/>
  <c r="B4" i="4" s="1"/>
  <c r="AI3" i="2"/>
  <c r="AF3" i="2"/>
  <c r="AF3" i="4" s="1"/>
  <c r="AC3" i="2"/>
  <c r="AC3" i="4" s="1"/>
  <c r="Z3" i="2"/>
  <c r="Z3" i="4" s="1"/>
  <c r="W3" i="2"/>
  <c r="W3" i="4" s="1"/>
  <c r="T3" i="2"/>
  <c r="T3" i="4" s="1"/>
  <c r="Q3" i="2"/>
  <c r="Q3" i="4" s="1"/>
  <c r="N3" i="2"/>
  <c r="N3" i="4" s="1"/>
  <c r="K3" i="2"/>
  <c r="K3" i="4" s="1"/>
  <c r="H3" i="2"/>
  <c r="H3" i="4" s="1"/>
  <c r="E3" i="2"/>
  <c r="E3" i="4" s="1"/>
  <c r="B3" i="2"/>
  <c r="B3" i="4" s="1"/>
  <c r="A1" i="2"/>
  <c r="A1" i="4" s="1"/>
  <c r="AO310" i="1"/>
  <c r="AJ310" i="1"/>
  <c r="AI310" i="1"/>
  <c r="AG310" i="1"/>
  <c r="AF310" i="1"/>
  <c r="AD310" i="1"/>
  <c r="AC310" i="1"/>
  <c r="AA310" i="1"/>
  <c r="Z310" i="1"/>
  <c r="X310" i="1"/>
  <c r="W310" i="1"/>
  <c r="U310" i="1"/>
  <c r="T310" i="1"/>
  <c r="R310" i="1"/>
  <c r="Q310" i="1"/>
  <c r="O310" i="1"/>
  <c r="N310" i="1"/>
  <c r="L310" i="1"/>
  <c r="K310" i="1"/>
  <c r="I310" i="1"/>
  <c r="H310" i="1"/>
  <c r="F310" i="1"/>
  <c r="AP310" i="1" s="1"/>
  <c r="E310" i="1"/>
  <c r="C310" i="1"/>
  <c r="C311" i="2" s="1"/>
  <c r="B310" i="1"/>
  <c r="B311" i="2" s="1"/>
  <c r="E311" i="2" s="1"/>
  <c r="H311" i="2" s="1"/>
  <c r="K311" i="2" s="1"/>
  <c r="N311" i="2" s="1"/>
  <c r="Q311" i="2" s="1"/>
  <c r="T311" i="2" s="1"/>
  <c r="W311" i="2" s="1"/>
  <c r="Z311" i="2" s="1"/>
  <c r="AC311" i="2" s="1"/>
  <c r="AF311" i="2" s="1"/>
  <c r="AI311" i="2" s="1"/>
  <c r="AO309" i="1"/>
  <c r="AJ309" i="1"/>
  <c r="AI309" i="1"/>
  <c r="AG309" i="1"/>
  <c r="AF309" i="1"/>
  <c r="AD309" i="1"/>
  <c r="AC309" i="1"/>
  <c r="AA309" i="1"/>
  <c r="Z309" i="1"/>
  <c r="X309" i="1"/>
  <c r="W309" i="1"/>
  <c r="U309" i="1"/>
  <c r="T309" i="1"/>
  <c r="R309" i="1"/>
  <c r="Q309" i="1"/>
  <c r="O309" i="1"/>
  <c r="N309" i="1"/>
  <c r="L309" i="1"/>
  <c r="K309" i="1"/>
  <c r="I309" i="1"/>
  <c r="H309" i="1"/>
  <c r="F309" i="1"/>
  <c r="AP309" i="1" s="1"/>
  <c r="E309" i="1"/>
  <c r="C309" i="1"/>
  <c r="C310" i="2" s="1"/>
  <c r="B309" i="1"/>
  <c r="B310" i="2" s="1"/>
  <c r="E310" i="2" s="1"/>
  <c r="H310" i="2" s="1"/>
  <c r="K310" i="2" s="1"/>
  <c r="N310" i="2" s="1"/>
  <c r="Q310" i="2" s="1"/>
  <c r="T310" i="2" s="1"/>
  <c r="W310" i="2" s="1"/>
  <c r="Z310" i="2" s="1"/>
  <c r="AC310" i="2" s="1"/>
  <c r="AF310" i="2" s="1"/>
  <c r="AI310" i="2" s="1"/>
  <c r="AJ308" i="1"/>
  <c r="AI308" i="1"/>
  <c r="AG308" i="1"/>
  <c r="AF308" i="1"/>
  <c r="AD308" i="1"/>
  <c r="AC308" i="1"/>
  <c r="AA308" i="1"/>
  <c r="Z308" i="1"/>
  <c r="X308" i="1"/>
  <c r="W308" i="1"/>
  <c r="U308" i="1"/>
  <c r="T308" i="1"/>
  <c r="R308" i="1"/>
  <c r="Q308" i="1"/>
  <c r="AO308" i="1" s="1"/>
  <c r="O308" i="1"/>
  <c r="N308" i="1"/>
  <c r="L308" i="1"/>
  <c r="K308" i="1"/>
  <c r="I308" i="1"/>
  <c r="H308" i="1"/>
  <c r="F308" i="1"/>
  <c r="AP308" i="1" s="1"/>
  <c r="E308" i="1"/>
  <c r="C308" i="1"/>
  <c r="C309" i="2" s="1"/>
  <c r="B308" i="1"/>
  <c r="B309" i="2" s="1"/>
  <c r="AJ307" i="1"/>
  <c r="AI307" i="1"/>
  <c r="AG307" i="1"/>
  <c r="AF307" i="1"/>
  <c r="AD307" i="1"/>
  <c r="AC307" i="1"/>
  <c r="AA307" i="1"/>
  <c r="Z307" i="1"/>
  <c r="X307" i="1"/>
  <c r="W307" i="1"/>
  <c r="U307" i="1"/>
  <c r="T307" i="1"/>
  <c r="R307" i="1"/>
  <c r="Q307" i="1"/>
  <c r="AO307" i="1" s="1"/>
  <c r="O307" i="1"/>
  <c r="N307" i="1"/>
  <c r="L307" i="1"/>
  <c r="K307" i="1"/>
  <c r="I307" i="1"/>
  <c r="H307" i="1"/>
  <c r="F307" i="1"/>
  <c r="AP307" i="1" s="1"/>
  <c r="E307" i="1"/>
  <c r="C307" i="1"/>
  <c r="C308" i="2" s="1"/>
  <c r="B307" i="1"/>
  <c r="B308" i="2" s="1"/>
  <c r="E308" i="2" s="1"/>
  <c r="H308" i="2" s="1"/>
  <c r="AJ306" i="1"/>
  <c r="AI306" i="1"/>
  <c r="AG306" i="1"/>
  <c r="AF306" i="1"/>
  <c r="AD306" i="1"/>
  <c r="AC306" i="1"/>
  <c r="AA306" i="1"/>
  <c r="Z306" i="1"/>
  <c r="X306" i="1"/>
  <c r="W306" i="1"/>
  <c r="U306" i="1"/>
  <c r="T306" i="1"/>
  <c r="R306" i="1"/>
  <c r="Q306" i="1"/>
  <c r="AO306" i="1" s="1"/>
  <c r="O306" i="1"/>
  <c r="N306" i="1"/>
  <c r="L306" i="1"/>
  <c r="K306" i="1"/>
  <c r="I306" i="1"/>
  <c r="H306" i="1"/>
  <c r="F306" i="1"/>
  <c r="AP306" i="1" s="1"/>
  <c r="E306" i="1"/>
  <c r="C306" i="1"/>
  <c r="C307" i="2" s="1"/>
  <c r="F307" i="2" s="1"/>
  <c r="B306" i="1"/>
  <c r="B307" i="2" s="1"/>
  <c r="E307" i="2" s="1"/>
  <c r="H307" i="2" s="1"/>
  <c r="K307" i="2" s="1"/>
  <c r="N307" i="2" s="1"/>
  <c r="Q307" i="2" s="1"/>
  <c r="T307" i="2" s="1"/>
  <c r="W307" i="2" s="1"/>
  <c r="Z307" i="2" s="1"/>
  <c r="AC307" i="2" s="1"/>
  <c r="AF307" i="2" s="1"/>
  <c r="AI307" i="2" s="1"/>
  <c r="AJ305" i="1"/>
  <c r="AI305" i="1"/>
  <c r="AG305" i="1"/>
  <c r="AF305" i="1"/>
  <c r="AD305" i="1"/>
  <c r="AC305" i="1"/>
  <c r="AA305" i="1"/>
  <c r="Z305" i="1"/>
  <c r="X305" i="1"/>
  <c r="W305" i="1"/>
  <c r="U305" i="1"/>
  <c r="T305" i="1"/>
  <c r="R305" i="1"/>
  <c r="Q305" i="1"/>
  <c r="AO305" i="1" s="1"/>
  <c r="O305" i="1"/>
  <c r="N305" i="1"/>
  <c r="L305" i="1"/>
  <c r="K305" i="1"/>
  <c r="I305" i="1"/>
  <c r="H305" i="1"/>
  <c r="F305" i="1"/>
  <c r="AP305" i="1" s="1"/>
  <c r="E305" i="1"/>
  <c r="C305" i="1"/>
  <c r="C306" i="2" s="1"/>
  <c r="B305" i="1"/>
  <c r="B306" i="2" s="1"/>
  <c r="E306" i="2" s="1"/>
  <c r="H306" i="2" s="1"/>
  <c r="K306" i="2" s="1"/>
  <c r="N306" i="2" s="1"/>
  <c r="Q306" i="2" s="1"/>
  <c r="T306" i="2" s="1"/>
  <c r="W306" i="2" s="1"/>
  <c r="Z306" i="2" s="1"/>
  <c r="AC306" i="2" s="1"/>
  <c r="AF306" i="2" s="1"/>
  <c r="AI306" i="2" s="1"/>
  <c r="AJ304" i="1"/>
  <c r="AI304" i="1"/>
  <c r="AG304" i="1"/>
  <c r="AF304" i="1"/>
  <c r="AD304" i="1"/>
  <c r="AC304" i="1"/>
  <c r="AA304" i="1"/>
  <c r="Z304" i="1"/>
  <c r="X304" i="1"/>
  <c r="W304" i="1"/>
  <c r="U304" i="1"/>
  <c r="T304" i="1"/>
  <c r="R304" i="1"/>
  <c r="Q304" i="1"/>
  <c r="AO304" i="1" s="1"/>
  <c r="O304" i="1"/>
  <c r="N304" i="1"/>
  <c r="L304" i="1"/>
  <c r="K304" i="1"/>
  <c r="I304" i="1"/>
  <c r="H304" i="1"/>
  <c r="F304" i="1"/>
  <c r="AP304" i="1" s="1"/>
  <c r="E304" i="1"/>
  <c r="C304" i="1"/>
  <c r="C305" i="2" s="1"/>
  <c r="B304" i="1"/>
  <c r="B305" i="2" s="1"/>
  <c r="E305" i="2" s="1"/>
  <c r="H305" i="2" s="1"/>
  <c r="K305" i="2" s="1"/>
  <c r="N305" i="2" s="1"/>
  <c r="Q305" i="2" s="1"/>
  <c r="T305" i="2" s="1"/>
  <c r="W305" i="2" s="1"/>
  <c r="Z305" i="2" s="1"/>
  <c r="AC305" i="2" s="1"/>
  <c r="AF305" i="2" s="1"/>
  <c r="AI305" i="2" s="1"/>
  <c r="AJ303" i="1"/>
  <c r="AI303" i="1"/>
  <c r="AG303" i="1"/>
  <c r="AF303" i="1"/>
  <c r="AD303" i="1"/>
  <c r="AC303" i="1"/>
  <c r="AA303" i="1"/>
  <c r="Z303" i="1"/>
  <c r="X303" i="1"/>
  <c r="W303" i="1"/>
  <c r="U303" i="1"/>
  <c r="T303" i="1"/>
  <c r="R303" i="1"/>
  <c r="Q303" i="1"/>
  <c r="AO303" i="1" s="1"/>
  <c r="O303" i="1"/>
  <c r="N303" i="1"/>
  <c r="L303" i="1"/>
  <c r="K303" i="1"/>
  <c r="I303" i="1"/>
  <c r="H303" i="1"/>
  <c r="F303" i="1"/>
  <c r="AP303" i="1" s="1"/>
  <c r="E303" i="1"/>
  <c r="C303" i="1"/>
  <c r="C304" i="2" s="1"/>
  <c r="B303" i="1"/>
  <c r="B304" i="2" s="1"/>
  <c r="E304" i="2" s="1"/>
  <c r="H304" i="2" s="1"/>
  <c r="K304" i="2" s="1"/>
  <c r="N304" i="2" s="1"/>
  <c r="Q304" i="2" s="1"/>
  <c r="T304" i="2" s="1"/>
  <c r="W304" i="2" s="1"/>
  <c r="Z304" i="2" s="1"/>
  <c r="AC304" i="2" s="1"/>
  <c r="AF304" i="2" s="1"/>
  <c r="AI304" i="2" s="1"/>
  <c r="AO301" i="1"/>
  <c r="O300" i="1"/>
  <c r="L300" i="1"/>
  <c r="F300" i="1"/>
  <c r="AJ297" i="1"/>
  <c r="AI297" i="1"/>
  <c r="AG297" i="1"/>
  <c r="AF297" i="1"/>
  <c r="AD297" i="1"/>
  <c r="AC297" i="1"/>
  <c r="AA297" i="1"/>
  <c r="Z297" i="1"/>
  <c r="X297" i="1"/>
  <c r="W297" i="1"/>
  <c r="U297" i="1"/>
  <c r="T297" i="1"/>
  <c r="R297" i="1"/>
  <c r="Q297" i="1"/>
  <c r="O297" i="1"/>
  <c r="N297" i="1"/>
  <c r="L297" i="1"/>
  <c r="K297" i="1"/>
  <c r="AO297" i="1" s="1"/>
  <c r="I297" i="1"/>
  <c r="AP297" i="1" s="1"/>
  <c r="H297" i="1"/>
  <c r="F297" i="1"/>
  <c r="E297" i="1"/>
  <c r="C297" i="1"/>
  <c r="C298" i="2" s="1"/>
  <c r="B297" i="1"/>
  <c r="AJ296" i="1"/>
  <c r="AI296" i="1"/>
  <c r="AG296" i="1"/>
  <c r="AF296" i="1"/>
  <c r="AD296" i="1"/>
  <c r="AC296" i="1"/>
  <c r="AA296" i="1"/>
  <c r="Z296" i="1"/>
  <c r="X296" i="1"/>
  <c r="W296" i="1"/>
  <c r="U296" i="1"/>
  <c r="T296" i="1"/>
  <c r="R296" i="1"/>
  <c r="Q296" i="1"/>
  <c r="O296" i="1"/>
  <c r="N296" i="1"/>
  <c r="L296" i="1"/>
  <c r="K296" i="1"/>
  <c r="AO296" i="1" s="1"/>
  <c r="I296" i="1"/>
  <c r="H296" i="1"/>
  <c r="F296" i="1"/>
  <c r="AP296" i="1" s="1"/>
  <c r="E296" i="1"/>
  <c r="B296" i="1"/>
  <c r="B297" i="2" s="1"/>
  <c r="E297" i="2" s="1"/>
  <c r="H297" i="2" s="1"/>
  <c r="K297" i="2" s="1"/>
  <c r="N297" i="2" s="1"/>
  <c r="Q297" i="2" s="1"/>
  <c r="T297" i="2" s="1"/>
  <c r="W297" i="2" s="1"/>
  <c r="Z297" i="2" s="1"/>
  <c r="AC297" i="2" s="1"/>
  <c r="AF297" i="2" s="1"/>
  <c r="AI297" i="2" s="1"/>
  <c r="AJ295" i="1"/>
  <c r="AI295" i="1"/>
  <c r="AG295" i="1"/>
  <c r="AF295" i="1"/>
  <c r="AD295" i="1"/>
  <c r="AC295" i="1"/>
  <c r="AA295" i="1"/>
  <c r="Z295" i="1"/>
  <c r="X295" i="1"/>
  <c r="W295" i="1"/>
  <c r="U295" i="1"/>
  <c r="T295" i="1"/>
  <c r="R295" i="1"/>
  <c r="Q295" i="1"/>
  <c r="O295" i="1"/>
  <c r="N295" i="1"/>
  <c r="L295" i="1"/>
  <c r="K295" i="1"/>
  <c r="AO295" i="1" s="1"/>
  <c r="I295" i="1"/>
  <c r="H295" i="1"/>
  <c r="F295" i="1"/>
  <c r="AP295" i="1" s="1"/>
  <c r="E295" i="1"/>
  <c r="C295" i="1"/>
  <c r="C296" i="2" s="1"/>
  <c r="B295" i="1"/>
  <c r="B296" i="2" s="1"/>
  <c r="E296" i="2" s="1"/>
  <c r="H296" i="2" s="1"/>
  <c r="K296" i="2" s="1"/>
  <c r="N296" i="2" s="1"/>
  <c r="Q296" i="2" s="1"/>
  <c r="T296" i="2" s="1"/>
  <c r="W296" i="2" s="1"/>
  <c r="Z296" i="2" s="1"/>
  <c r="AC296" i="2" s="1"/>
  <c r="AF296" i="2" s="1"/>
  <c r="AI296" i="2" s="1"/>
  <c r="AR294" i="1"/>
  <c r="AJ294" i="1"/>
  <c r="AI294" i="1"/>
  <c r="AG294" i="1"/>
  <c r="AF294" i="1"/>
  <c r="AD294" i="1"/>
  <c r="AC294" i="1"/>
  <c r="AA294" i="1"/>
  <c r="Z294" i="1"/>
  <c r="X294" i="1"/>
  <c r="U294" i="1"/>
  <c r="T294" i="1"/>
  <c r="R294" i="1"/>
  <c r="Q294" i="1"/>
  <c r="O294" i="1"/>
  <c r="N294" i="1"/>
  <c r="L294" i="1"/>
  <c r="K294" i="1"/>
  <c r="AO294" i="1" s="1"/>
  <c r="I294" i="1"/>
  <c r="AP294" i="1" s="1"/>
  <c r="H294" i="1"/>
  <c r="F294" i="1"/>
  <c r="E294" i="1"/>
  <c r="C294" i="1"/>
  <c r="C295" i="2" s="1"/>
  <c r="B294" i="1"/>
  <c r="AJ293" i="1"/>
  <c r="AI293" i="1"/>
  <c r="AG293" i="1"/>
  <c r="AF293" i="1"/>
  <c r="AD293" i="1"/>
  <c r="AC293" i="1"/>
  <c r="AA293" i="1"/>
  <c r="Z293" i="1"/>
  <c r="X293" i="1"/>
  <c r="W293" i="1"/>
  <c r="U293" i="1"/>
  <c r="T293" i="1"/>
  <c r="R293" i="1"/>
  <c r="Q293" i="1"/>
  <c r="O293" i="1"/>
  <c r="N293" i="1"/>
  <c r="L293" i="1"/>
  <c r="K293" i="1"/>
  <c r="AO293" i="1" s="1"/>
  <c r="I293" i="1"/>
  <c r="H293" i="1"/>
  <c r="F293" i="1"/>
  <c r="AP293" i="1" s="1"/>
  <c r="E293" i="1"/>
  <c r="C293" i="1"/>
  <c r="C294" i="2" s="1"/>
  <c r="B293" i="1"/>
  <c r="B294" i="2" s="1"/>
  <c r="E294" i="2" s="1"/>
  <c r="H294" i="2" s="1"/>
  <c r="K294" i="2" s="1"/>
  <c r="N294" i="2" s="1"/>
  <c r="Q294" i="2" s="1"/>
  <c r="T294" i="2" s="1"/>
  <c r="W294" i="2" s="1"/>
  <c r="Z294" i="2" s="1"/>
  <c r="AC294" i="2" s="1"/>
  <c r="AF294" i="2" s="1"/>
  <c r="AI294" i="2" s="1"/>
  <c r="AK37" i="38" s="1"/>
  <c r="AJ292" i="1"/>
  <c r="AI292" i="1"/>
  <c r="AG292" i="1"/>
  <c r="AF292" i="1"/>
  <c r="AD292" i="1"/>
  <c r="AC292" i="1"/>
  <c r="AA292" i="1"/>
  <c r="Z292" i="1"/>
  <c r="X292" i="1"/>
  <c r="W292" i="1"/>
  <c r="U292" i="1"/>
  <c r="T292" i="1"/>
  <c r="R292" i="1"/>
  <c r="Q292" i="1"/>
  <c r="O292" i="1"/>
  <c r="N292" i="1"/>
  <c r="L292" i="1"/>
  <c r="K292" i="1"/>
  <c r="AO292" i="1" s="1"/>
  <c r="I292" i="1"/>
  <c r="H292" i="1"/>
  <c r="F292" i="1"/>
  <c r="AP292" i="1" s="1"/>
  <c r="E292" i="1"/>
  <c r="C292" i="1"/>
  <c r="C293" i="2" s="1"/>
  <c r="B292" i="1"/>
  <c r="AJ291" i="1"/>
  <c r="AI291" i="1"/>
  <c r="AG291" i="1"/>
  <c r="AF291" i="1"/>
  <c r="AD291" i="1"/>
  <c r="AC291" i="1"/>
  <c r="AA291" i="1"/>
  <c r="Z291" i="1"/>
  <c r="X291" i="1"/>
  <c r="W291" i="1"/>
  <c r="U291" i="1"/>
  <c r="T291" i="1"/>
  <c r="R291" i="1"/>
  <c r="Q291" i="1"/>
  <c r="O291" i="1"/>
  <c r="N291" i="1"/>
  <c r="L291" i="1"/>
  <c r="K291" i="1"/>
  <c r="AO291" i="1" s="1"/>
  <c r="I291" i="1"/>
  <c r="H291" i="1"/>
  <c r="F291" i="1"/>
  <c r="AP291" i="1" s="1"/>
  <c r="E291" i="1"/>
  <c r="C291" i="1"/>
  <c r="C292" i="2" s="1"/>
  <c r="B291" i="1"/>
  <c r="B292" i="2" s="1"/>
  <c r="E292" i="2" s="1"/>
  <c r="H292" i="2" s="1"/>
  <c r="K292" i="2" s="1"/>
  <c r="N292" i="2" s="1"/>
  <c r="Q292" i="2" s="1"/>
  <c r="T292" i="2" s="1"/>
  <c r="W292" i="2" s="1"/>
  <c r="Z292" i="2" s="1"/>
  <c r="AC292" i="2" s="1"/>
  <c r="AF292" i="2" s="1"/>
  <c r="AI292" i="2" s="1"/>
  <c r="AK17" i="38" s="1"/>
  <c r="AJ290" i="1"/>
  <c r="AI290" i="1"/>
  <c r="AG290" i="1"/>
  <c r="AF290" i="1"/>
  <c r="AD290" i="1"/>
  <c r="AC290" i="1"/>
  <c r="AA290" i="1"/>
  <c r="Z290" i="1"/>
  <c r="X290" i="1"/>
  <c r="W290" i="1"/>
  <c r="U290" i="1"/>
  <c r="T290" i="1"/>
  <c r="R290" i="1"/>
  <c r="Q290" i="1"/>
  <c r="O290" i="1"/>
  <c r="N290" i="1"/>
  <c r="L290" i="1"/>
  <c r="K290" i="1"/>
  <c r="AO290" i="1" s="1"/>
  <c r="I290" i="1"/>
  <c r="H290" i="1"/>
  <c r="F290" i="1"/>
  <c r="AP290" i="1" s="1"/>
  <c r="E290" i="1"/>
  <c r="C290" i="1"/>
  <c r="C291" i="2" s="1"/>
  <c r="B290" i="1"/>
  <c r="B291" i="2" s="1"/>
  <c r="E291" i="2" s="1"/>
  <c r="H291" i="2" s="1"/>
  <c r="K291" i="2" s="1"/>
  <c r="N291" i="2" s="1"/>
  <c r="Q291" i="2" s="1"/>
  <c r="T291" i="2" s="1"/>
  <c r="W291" i="2" s="1"/>
  <c r="Z291" i="2" s="1"/>
  <c r="AC291" i="2" s="1"/>
  <c r="AF291" i="2" s="1"/>
  <c r="AI291" i="2" s="1"/>
  <c r="AK7" i="38" s="1"/>
  <c r="AO288" i="1"/>
  <c r="AJ285" i="1"/>
  <c r="AI285" i="1"/>
  <c r="AG285" i="1"/>
  <c r="AF285" i="1"/>
  <c r="AD285" i="1"/>
  <c r="AC285" i="1"/>
  <c r="AA285" i="1"/>
  <c r="Z285" i="1"/>
  <c r="X285" i="1"/>
  <c r="W285" i="1"/>
  <c r="U285" i="1"/>
  <c r="T285" i="1"/>
  <c r="R285" i="1"/>
  <c r="Q285" i="1"/>
  <c r="AO285" i="1" s="1"/>
  <c r="O285" i="1"/>
  <c r="N285" i="1"/>
  <c r="L285" i="1"/>
  <c r="AP285" i="1" s="1"/>
  <c r="K285" i="1"/>
  <c r="I285" i="1"/>
  <c r="H285" i="1"/>
  <c r="F285" i="1"/>
  <c r="E285" i="1"/>
  <c r="C285" i="1"/>
  <c r="B285" i="1"/>
  <c r="B285" i="2" s="1"/>
  <c r="E285" i="2" s="1"/>
  <c r="H285" i="2" s="1"/>
  <c r="K285" i="2" s="1"/>
  <c r="N285" i="2" s="1"/>
  <c r="Q285" i="2" s="1"/>
  <c r="T285" i="2" s="1"/>
  <c r="W285" i="2" s="1"/>
  <c r="Z285" i="2" s="1"/>
  <c r="AC285" i="2" s="1"/>
  <c r="AF285" i="2" s="1"/>
  <c r="AI285" i="2" s="1"/>
  <c r="AJ284" i="1"/>
  <c r="AI284" i="1"/>
  <c r="AG284" i="1"/>
  <c r="AF284" i="1"/>
  <c r="AD284" i="1"/>
  <c r="AC284" i="1"/>
  <c r="AA284" i="1"/>
  <c r="Z284" i="1"/>
  <c r="X284" i="1"/>
  <c r="W284" i="1"/>
  <c r="U284" i="1"/>
  <c r="T284" i="1"/>
  <c r="R284" i="1"/>
  <c r="Q284" i="1"/>
  <c r="O284" i="1"/>
  <c r="N284" i="1"/>
  <c r="L284" i="1"/>
  <c r="K284" i="1"/>
  <c r="AO284" i="1" s="1"/>
  <c r="I284" i="1"/>
  <c r="H284" i="1"/>
  <c r="F284" i="1"/>
  <c r="E284" i="1"/>
  <c r="C284" i="1"/>
  <c r="B284" i="1"/>
  <c r="AJ283" i="1"/>
  <c r="AI283" i="1"/>
  <c r="AG283" i="1"/>
  <c r="AF283" i="1"/>
  <c r="AD283" i="1"/>
  <c r="AC283" i="1"/>
  <c r="AA283" i="1"/>
  <c r="Z283" i="1"/>
  <c r="X283" i="1"/>
  <c r="W283" i="1"/>
  <c r="U283" i="1"/>
  <c r="T283" i="1"/>
  <c r="R283" i="1"/>
  <c r="Q283" i="1"/>
  <c r="O283" i="1"/>
  <c r="N283" i="1"/>
  <c r="L283" i="1"/>
  <c r="K283" i="1"/>
  <c r="AO283" i="1" s="1"/>
  <c r="I283" i="1"/>
  <c r="H283" i="1"/>
  <c r="F283" i="1"/>
  <c r="AP283" i="1" s="1"/>
  <c r="E283" i="1"/>
  <c r="C283" i="1"/>
  <c r="B283" i="1"/>
  <c r="AJ282" i="1"/>
  <c r="AI282" i="1"/>
  <c r="AG282" i="1"/>
  <c r="AF282" i="1"/>
  <c r="AD282" i="1"/>
  <c r="AC282" i="1"/>
  <c r="AA282" i="1"/>
  <c r="Z282" i="1"/>
  <c r="X282" i="1"/>
  <c r="W282" i="1"/>
  <c r="U282" i="1"/>
  <c r="T282" i="1"/>
  <c r="R282" i="1"/>
  <c r="Q282" i="1"/>
  <c r="AO282" i="1" s="1"/>
  <c r="O282" i="1"/>
  <c r="N282" i="1"/>
  <c r="L282" i="1"/>
  <c r="K282" i="1"/>
  <c r="I282" i="1"/>
  <c r="H282" i="1"/>
  <c r="F282" i="1"/>
  <c r="E282" i="1"/>
  <c r="C282" i="1"/>
  <c r="C282" i="2" s="1"/>
  <c r="B282" i="1"/>
  <c r="AJ281" i="1"/>
  <c r="AI281" i="1"/>
  <c r="AG281" i="1"/>
  <c r="AF281" i="1"/>
  <c r="AD281" i="1"/>
  <c r="AC281" i="1"/>
  <c r="AA281" i="1"/>
  <c r="Z281" i="1"/>
  <c r="X281" i="1"/>
  <c r="W281" i="1"/>
  <c r="U281" i="1"/>
  <c r="T281" i="1"/>
  <c r="R281" i="1"/>
  <c r="Q281" i="1"/>
  <c r="O281" i="1"/>
  <c r="N281" i="1"/>
  <c r="L281" i="1"/>
  <c r="K281" i="1"/>
  <c r="AO281" i="1" s="1"/>
  <c r="I281" i="1"/>
  <c r="AP281" i="1" s="1"/>
  <c r="H281" i="1"/>
  <c r="F281" i="1"/>
  <c r="E281" i="1"/>
  <c r="C281" i="1"/>
  <c r="B281" i="1"/>
  <c r="AJ280" i="1"/>
  <c r="AI280" i="1"/>
  <c r="AG280" i="1"/>
  <c r="AF280" i="1"/>
  <c r="AD280" i="1"/>
  <c r="AC280" i="1"/>
  <c r="AA280" i="1"/>
  <c r="Z280" i="1"/>
  <c r="X280" i="1"/>
  <c r="W280" i="1"/>
  <c r="U280" i="1"/>
  <c r="T280" i="1"/>
  <c r="R280" i="1"/>
  <c r="Q280" i="1"/>
  <c r="AO280" i="1" s="1"/>
  <c r="O280" i="1"/>
  <c r="N280" i="1"/>
  <c r="L280" i="1"/>
  <c r="K280" i="1"/>
  <c r="I280" i="1"/>
  <c r="H280" i="1"/>
  <c r="F280" i="1"/>
  <c r="E280" i="1"/>
  <c r="C280" i="1"/>
  <c r="C280" i="2" s="1"/>
  <c r="B280" i="1"/>
  <c r="B280" i="2" s="1"/>
  <c r="E280" i="2" s="1"/>
  <c r="H280" i="2" s="1"/>
  <c r="K280" i="2" s="1"/>
  <c r="N280" i="2" s="1"/>
  <c r="Q280" i="2" s="1"/>
  <c r="T280" i="2" s="1"/>
  <c r="W280" i="2" s="1"/>
  <c r="Z280" i="2" s="1"/>
  <c r="AC280" i="2" s="1"/>
  <c r="AF280" i="2" s="1"/>
  <c r="AI280" i="2" s="1"/>
  <c r="AJ279" i="1"/>
  <c r="AI279" i="1"/>
  <c r="AG279" i="1"/>
  <c r="AF279" i="1"/>
  <c r="AD279" i="1"/>
  <c r="AC279" i="1"/>
  <c r="AA279" i="1"/>
  <c r="Z279" i="1"/>
  <c r="X279" i="1"/>
  <c r="W279" i="1"/>
  <c r="U279" i="1"/>
  <c r="T279" i="1"/>
  <c r="R279" i="1"/>
  <c r="Q279" i="1"/>
  <c r="O279" i="1"/>
  <c r="N279" i="1"/>
  <c r="L279" i="1"/>
  <c r="K279" i="1"/>
  <c r="AO279" i="1" s="1"/>
  <c r="I279" i="1"/>
  <c r="AP279" i="1" s="1"/>
  <c r="H279" i="1"/>
  <c r="F279" i="1"/>
  <c r="E279" i="1"/>
  <c r="C279" i="1"/>
  <c r="B279" i="1"/>
  <c r="AJ278" i="1"/>
  <c r="AI278" i="1"/>
  <c r="AG278" i="1"/>
  <c r="AF278" i="1"/>
  <c r="AD278" i="1"/>
  <c r="AC278" i="1"/>
  <c r="AA278" i="1"/>
  <c r="Z278" i="1"/>
  <c r="X278" i="1"/>
  <c r="W278" i="1"/>
  <c r="U278" i="1"/>
  <c r="T278" i="1"/>
  <c r="R278" i="1"/>
  <c r="Q278" i="1"/>
  <c r="O278" i="1"/>
  <c r="N278" i="1"/>
  <c r="L278" i="1"/>
  <c r="K278" i="1"/>
  <c r="AO278" i="1" s="1"/>
  <c r="I278" i="1"/>
  <c r="H278" i="1"/>
  <c r="F278" i="1"/>
  <c r="E278" i="1"/>
  <c r="C278" i="1"/>
  <c r="C278" i="2" s="1"/>
  <c r="B278" i="1"/>
  <c r="AO276" i="1"/>
  <c r="AI275" i="1"/>
  <c r="AF275" i="1"/>
  <c r="AC275" i="1"/>
  <c r="Z275" i="1"/>
  <c r="W275" i="1"/>
  <c r="T275" i="1"/>
  <c r="Q275" i="1"/>
  <c r="N275" i="1"/>
  <c r="K275" i="1"/>
  <c r="AO275" i="1" s="1"/>
  <c r="H275" i="1"/>
  <c r="E275" i="1"/>
  <c r="B275" i="1"/>
  <c r="B275" i="2" s="1"/>
  <c r="E275" i="2" s="1"/>
  <c r="H275" i="2" s="1"/>
  <c r="K275" i="2" s="1"/>
  <c r="N275" i="2" s="1"/>
  <c r="Q275" i="2" s="1"/>
  <c r="T275" i="2" s="1"/>
  <c r="W275" i="2" s="1"/>
  <c r="Z275" i="2" s="1"/>
  <c r="AC275" i="2" s="1"/>
  <c r="AF275" i="2" s="1"/>
  <c r="AI275" i="2" s="1"/>
  <c r="AO263" i="1"/>
  <c r="AJ259" i="1"/>
  <c r="AJ301" i="1" s="1"/>
  <c r="AI259" i="1"/>
  <c r="AG259" i="1"/>
  <c r="AG301" i="1" s="1"/>
  <c r="AF259" i="1"/>
  <c r="AD259" i="1"/>
  <c r="AD301" i="1" s="1"/>
  <c r="AC259" i="1"/>
  <c r="AA259" i="1"/>
  <c r="AA301" i="1" s="1"/>
  <c r="Z259" i="1"/>
  <c r="X259" i="1"/>
  <c r="X301" i="1" s="1"/>
  <c r="W259" i="1"/>
  <c r="U259" i="1"/>
  <c r="U301" i="1" s="1"/>
  <c r="T259" i="1"/>
  <c r="R259" i="1"/>
  <c r="R301" i="1" s="1"/>
  <c r="Q259" i="1"/>
  <c r="O259" i="1"/>
  <c r="O301" i="1" s="1"/>
  <c r="N259" i="1"/>
  <c r="L259" i="1"/>
  <c r="L301" i="1" s="1"/>
  <c r="K259" i="1"/>
  <c r="AO259" i="1" s="1"/>
  <c r="I259" i="1"/>
  <c r="I301" i="1" s="1"/>
  <c r="H259" i="1"/>
  <c r="F259" i="1"/>
  <c r="F301" i="1" s="1"/>
  <c r="E259" i="1"/>
  <c r="C259" i="1"/>
  <c r="C301" i="1" s="1"/>
  <c r="AP301" i="1" s="1"/>
  <c r="B259" i="1"/>
  <c r="AJ258" i="1"/>
  <c r="AI258" i="1"/>
  <c r="AG258" i="1"/>
  <c r="AF258" i="1"/>
  <c r="AD258" i="1"/>
  <c r="AC258" i="1"/>
  <c r="AA258" i="1"/>
  <c r="Z258" i="1"/>
  <c r="X258" i="1"/>
  <c r="W258" i="1"/>
  <c r="U258" i="1"/>
  <c r="T258" i="1"/>
  <c r="R258" i="1"/>
  <c r="Q258" i="1"/>
  <c r="O258" i="1"/>
  <c r="N258" i="1"/>
  <c r="L258" i="1"/>
  <c r="K258" i="1"/>
  <c r="AO258" i="1" s="1"/>
  <c r="I258" i="1"/>
  <c r="H258" i="1"/>
  <c r="F258" i="1"/>
  <c r="E258" i="1"/>
  <c r="C258" i="1"/>
  <c r="AP258" i="1" s="1"/>
  <c r="B258" i="1"/>
  <c r="AJ257" i="1"/>
  <c r="AI257" i="1"/>
  <c r="AG257" i="1"/>
  <c r="AF257" i="1"/>
  <c r="AD257" i="1"/>
  <c r="AC257" i="1"/>
  <c r="AA257" i="1"/>
  <c r="Z257" i="1"/>
  <c r="X257" i="1"/>
  <c r="W257" i="1"/>
  <c r="U257" i="1"/>
  <c r="T257" i="1"/>
  <c r="R257" i="1"/>
  <c r="Q257" i="1"/>
  <c r="O257" i="1"/>
  <c r="N257" i="1"/>
  <c r="L257" i="1"/>
  <c r="K257" i="1"/>
  <c r="AO257" i="1" s="1"/>
  <c r="I257" i="1"/>
  <c r="H257" i="1"/>
  <c r="F257" i="1"/>
  <c r="E257" i="1"/>
  <c r="C257" i="1"/>
  <c r="AP257" i="1" s="1"/>
  <c r="B257" i="1"/>
  <c r="AJ256" i="1"/>
  <c r="AI256" i="1"/>
  <c r="AG256" i="1"/>
  <c r="AF256" i="1"/>
  <c r="AD256" i="1"/>
  <c r="AC256" i="1"/>
  <c r="AA256" i="1"/>
  <c r="Z256" i="1"/>
  <c r="X256" i="1"/>
  <c r="W256" i="1"/>
  <c r="U256" i="1"/>
  <c r="T256" i="1"/>
  <c r="R256" i="1"/>
  <c r="Q256" i="1"/>
  <c r="O256" i="1"/>
  <c r="N256" i="1"/>
  <c r="L256" i="1"/>
  <c r="K256" i="1"/>
  <c r="AO256" i="1" s="1"/>
  <c r="I256" i="1"/>
  <c r="H256" i="1"/>
  <c r="F256" i="1"/>
  <c r="AP256" i="1" s="1"/>
  <c r="E256" i="1"/>
  <c r="C256" i="1"/>
  <c r="B256" i="1"/>
  <c r="AJ255" i="1"/>
  <c r="AI255" i="1"/>
  <c r="AG255" i="1"/>
  <c r="AF255" i="1"/>
  <c r="AD255" i="1"/>
  <c r="AC255" i="1"/>
  <c r="AA255" i="1"/>
  <c r="Z255" i="1"/>
  <c r="X255" i="1"/>
  <c r="W255" i="1"/>
  <c r="U255" i="1"/>
  <c r="T255" i="1"/>
  <c r="R255" i="1"/>
  <c r="Q255" i="1"/>
  <c r="O255" i="1"/>
  <c r="N255" i="1"/>
  <c r="L255" i="1"/>
  <c r="K255" i="1"/>
  <c r="AO255" i="1" s="1"/>
  <c r="I255" i="1"/>
  <c r="H255" i="1"/>
  <c r="F255" i="1"/>
  <c r="E255" i="1"/>
  <c r="C255" i="1"/>
  <c r="B255" i="1"/>
  <c r="AJ254" i="1"/>
  <c r="AI254" i="1"/>
  <c r="AG254" i="1"/>
  <c r="AF254" i="1"/>
  <c r="AD254" i="1"/>
  <c r="AC254" i="1"/>
  <c r="AA254" i="1"/>
  <c r="Z254" i="1"/>
  <c r="X254" i="1"/>
  <c r="W254" i="1"/>
  <c r="U254" i="1"/>
  <c r="T254" i="1"/>
  <c r="R254" i="1"/>
  <c r="Q254" i="1"/>
  <c r="O254" i="1"/>
  <c r="N254" i="1"/>
  <c r="L254" i="1"/>
  <c r="K254" i="1"/>
  <c r="AO254" i="1" s="1"/>
  <c r="I254" i="1"/>
  <c r="H254" i="1"/>
  <c r="F254" i="1"/>
  <c r="AP254" i="1" s="1"/>
  <c r="E254" i="1"/>
  <c r="C254" i="1"/>
  <c r="B254" i="1"/>
  <c r="AJ253" i="1"/>
  <c r="AI253" i="1"/>
  <c r="AG253" i="1"/>
  <c r="AF253" i="1"/>
  <c r="AD253" i="1"/>
  <c r="AC253" i="1"/>
  <c r="AA253" i="1"/>
  <c r="Z253" i="1"/>
  <c r="X253" i="1"/>
  <c r="W253" i="1"/>
  <c r="U253" i="1"/>
  <c r="T253" i="1"/>
  <c r="R253" i="1"/>
  <c r="Q253" i="1"/>
  <c r="AO253" i="1" s="1"/>
  <c r="O253" i="1"/>
  <c r="N253" i="1"/>
  <c r="L253" i="1"/>
  <c r="K253" i="1"/>
  <c r="I253" i="1"/>
  <c r="H253" i="1"/>
  <c r="F253" i="1"/>
  <c r="AP253" i="1" s="1"/>
  <c r="E253" i="1"/>
  <c r="C253" i="1"/>
  <c r="B253" i="1"/>
  <c r="AJ252" i="1"/>
  <c r="AI252" i="1"/>
  <c r="AG252" i="1"/>
  <c r="AF252" i="1"/>
  <c r="AD252" i="1"/>
  <c r="AC252" i="1"/>
  <c r="AA252" i="1"/>
  <c r="Z252" i="1"/>
  <c r="X252" i="1"/>
  <c r="W252" i="1"/>
  <c r="U252" i="1"/>
  <c r="T252" i="1"/>
  <c r="R252" i="1"/>
  <c r="AP252" i="1" s="1"/>
  <c r="Q252" i="1"/>
  <c r="AO252" i="1" s="1"/>
  <c r="O252" i="1"/>
  <c r="N252" i="1"/>
  <c r="L252" i="1"/>
  <c r="K252" i="1"/>
  <c r="I252" i="1"/>
  <c r="H252" i="1"/>
  <c r="F252" i="1"/>
  <c r="E252" i="1"/>
  <c r="C252" i="1"/>
  <c r="B252" i="1"/>
  <c r="AO250" i="1"/>
  <c r="AJ249" i="1"/>
  <c r="AG249" i="1"/>
  <c r="AF249" i="1"/>
  <c r="AD249" i="1"/>
  <c r="AA249" i="1"/>
  <c r="X249" i="1"/>
  <c r="W249" i="1"/>
  <c r="U249" i="1"/>
  <c r="R249" i="1"/>
  <c r="AP249" i="1" s="1"/>
  <c r="O249" i="1"/>
  <c r="N249" i="1"/>
  <c r="L249" i="1"/>
  <c r="I249" i="1"/>
  <c r="F249" i="1"/>
  <c r="C249" i="1"/>
  <c r="AJ246" i="1"/>
  <c r="AJ288" i="1" s="1"/>
  <c r="AI246" i="1"/>
  <c r="AI272" i="1" s="1"/>
  <c r="AG246" i="1"/>
  <c r="AG288" i="1" s="1"/>
  <c r="AF246" i="1"/>
  <c r="AF272" i="1" s="1"/>
  <c r="AD246" i="1"/>
  <c r="AD288" i="1" s="1"/>
  <c r="AC246" i="1"/>
  <c r="AC272" i="1" s="1"/>
  <c r="AA246" i="1"/>
  <c r="AA288" i="1" s="1"/>
  <c r="Z246" i="1"/>
  <c r="Z272" i="1" s="1"/>
  <c r="X246" i="1"/>
  <c r="X288" i="1" s="1"/>
  <c r="W246" i="1"/>
  <c r="W272" i="1" s="1"/>
  <c r="U246" i="1"/>
  <c r="U288" i="1" s="1"/>
  <c r="T246" i="1"/>
  <c r="T272" i="1" s="1"/>
  <c r="R246" i="1"/>
  <c r="Q246" i="1"/>
  <c r="O246" i="1"/>
  <c r="N246" i="1"/>
  <c r="N272" i="1" s="1"/>
  <c r="L246" i="1"/>
  <c r="K246" i="1"/>
  <c r="K272" i="1" s="1"/>
  <c r="I246" i="1"/>
  <c r="I288" i="1" s="1"/>
  <c r="H246" i="1"/>
  <c r="H272" i="1" s="1"/>
  <c r="F246" i="1"/>
  <c r="F272" i="1" s="1"/>
  <c r="E246" i="1"/>
  <c r="E272" i="1" s="1"/>
  <c r="C246" i="1"/>
  <c r="C272" i="1" s="1"/>
  <c r="B246" i="1"/>
  <c r="B272" i="1" s="1"/>
  <c r="AJ245" i="1"/>
  <c r="AI245" i="1"/>
  <c r="AI271" i="1" s="1"/>
  <c r="AG245" i="1"/>
  <c r="AF245" i="1"/>
  <c r="AF271" i="1" s="1"/>
  <c r="AD245" i="1"/>
  <c r="AC245" i="1"/>
  <c r="AC271" i="1" s="1"/>
  <c r="AA245" i="1"/>
  <c r="Z245" i="1"/>
  <c r="Z271" i="1" s="1"/>
  <c r="X245" i="1"/>
  <c r="W245" i="1"/>
  <c r="W271" i="1" s="1"/>
  <c r="U245" i="1"/>
  <c r="T245" i="1"/>
  <c r="T271" i="1" s="1"/>
  <c r="R245" i="1"/>
  <c r="R271" i="1" s="1"/>
  <c r="Q245" i="1"/>
  <c r="O245" i="1"/>
  <c r="O271" i="1" s="1"/>
  <c r="N245" i="1"/>
  <c r="N271" i="1" s="1"/>
  <c r="L245" i="1"/>
  <c r="L271" i="1" s="1"/>
  <c r="K245" i="1"/>
  <c r="K271" i="1" s="1"/>
  <c r="I245" i="1"/>
  <c r="H245" i="1"/>
  <c r="H271" i="1" s="1"/>
  <c r="F245" i="1"/>
  <c r="F271" i="1" s="1"/>
  <c r="E245" i="1"/>
  <c r="E271" i="1" s="1"/>
  <c r="C245" i="1"/>
  <c r="AP245" i="1" s="1"/>
  <c r="B245" i="1"/>
  <c r="B271" i="1" s="1"/>
  <c r="AJ244" i="1"/>
  <c r="AI244" i="1"/>
  <c r="AI270" i="1" s="1"/>
  <c r="AG244" i="1"/>
  <c r="AF244" i="1"/>
  <c r="AF270" i="1" s="1"/>
  <c r="AD244" i="1"/>
  <c r="AC244" i="1"/>
  <c r="AC270" i="1" s="1"/>
  <c r="AA244" i="1"/>
  <c r="Z244" i="1"/>
  <c r="Z270" i="1" s="1"/>
  <c r="X244" i="1"/>
  <c r="W244" i="1"/>
  <c r="W270" i="1" s="1"/>
  <c r="U244" i="1"/>
  <c r="T244" i="1"/>
  <c r="T270" i="1" s="1"/>
  <c r="R244" i="1"/>
  <c r="R270" i="1" s="1"/>
  <c r="Q244" i="1"/>
  <c r="O244" i="1"/>
  <c r="O270" i="1" s="1"/>
  <c r="N244" i="1"/>
  <c r="N270" i="1" s="1"/>
  <c r="L244" i="1"/>
  <c r="L270" i="1" s="1"/>
  <c r="K244" i="1"/>
  <c r="K270" i="1" s="1"/>
  <c r="I244" i="1"/>
  <c r="H244" i="1"/>
  <c r="H270" i="1" s="1"/>
  <c r="F244" i="1"/>
  <c r="F270" i="1" s="1"/>
  <c r="E244" i="1"/>
  <c r="E270" i="1" s="1"/>
  <c r="C244" i="1"/>
  <c r="C270" i="1" s="1"/>
  <c r="B244" i="1"/>
  <c r="B270" i="1" s="1"/>
  <c r="AJ243" i="1"/>
  <c r="AI243" i="1"/>
  <c r="AG243" i="1"/>
  <c r="AF243" i="1"/>
  <c r="AD243" i="1"/>
  <c r="AC243" i="1"/>
  <c r="AA243" i="1"/>
  <c r="Z243" i="1"/>
  <c r="X243" i="1"/>
  <c r="W243" i="1"/>
  <c r="U243" i="1"/>
  <c r="T243" i="1"/>
  <c r="R243" i="1"/>
  <c r="R269" i="1" s="1"/>
  <c r="Q243" i="1"/>
  <c r="AO243" i="1" s="1"/>
  <c r="O243" i="1"/>
  <c r="O269" i="1" s="1"/>
  <c r="N243" i="1"/>
  <c r="L243" i="1"/>
  <c r="L269" i="1" s="1"/>
  <c r="K243" i="1"/>
  <c r="I243" i="1"/>
  <c r="I269" i="1" s="1"/>
  <c r="H243" i="1"/>
  <c r="H269" i="1" s="1"/>
  <c r="F243" i="1"/>
  <c r="F269" i="1" s="1"/>
  <c r="E243" i="1"/>
  <c r="E269" i="1" s="1"/>
  <c r="C243" i="1"/>
  <c r="C269" i="1" s="1"/>
  <c r="B243" i="1"/>
  <c r="B269" i="1" s="1"/>
  <c r="AJ242" i="1"/>
  <c r="AI242" i="1"/>
  <c r="AI268" i="1" s="1"/>
  <c r="AG242" i="1"/>
  <c r="AF242" i="1"/>
  <c r="AF268" i="1" s="1"/>
  <c r="AD242" i="1"/>
  <c r="AC242" i="1"/>
  <c r="AC268" i="1" s="1"/>
  <c r="AA242" i="1"/>
  <c r="Z242" i="1"/>
  <c r="Z268" i="1" s="1"/>
  <c r="X242" i="1"/>
  <c r="W242" i="1"/>
  <c r="W268" i="1" s="1"/>
  <c r="U242" i="1"/>
  <c r="T242" i="1"/>
  <c r="T268" i="1" s="1"/>
  <c r="R242" i="1"/>
  <c r="R268" i="1" s="1"/>
  <c r="Q242" i="1"/>
  <c r="O242" i="1"/>
  <c r="O268" i="1" s="1"/>
  <c r="N242" i="1"/>
  <c r="N268" i="1" s="1"/>
  <c r="L242" i="1"/>
  <c r="L268" i="1" s="1"/>
  <c r="K242" i="1"/>
  <c r="K268" i="1" s="1"/>
  <c r="I242" i="1"/>
  <c r="I268" i="1" s="1"/>
  <c r="H242" i="1"/>
  <c r="H268" i="1" s="1"/>
  <c r="F242" i="1"/>
  <c r="E242" i="1"/>
  <c r="E268" i="1" s="1"/>
  <c r="C242" i="1"/>
  <c r="C268" i="1" s="1"/>
  <c r="B242" i="1"/>
  <c r="B268" i="1" s="1"/>
  <c r="AJ241" i="1"/>
  <c r="AI241" i="1"/>
  <c r="AI267" i="1" s="1"/>
  <c r="AG241" i="1"/>
  <c r="AF241" i="1"/>
  <c r="AF267" i="1" s="1"/>
  <c r="AD241" i="1"/>
  <c r="AC241" i="1"/>
  <c r="AC267" i="1" s="1"/>
  <c r="AA241" i="1"/>
  <c r="Z241" i="1"/>
  <c r="Z267" i="1" s="1"/>
  <c r="X241" i="1"/>
  <c r="W241" i="1"/>
  <c r="W267" i="1" s="1"/>
  <c r="U241" i="1"/>
  <c r="T241" i="1"/>
  <c r="T267" i="1" s="1"/>
  <c r="R241" i="1"/>
  <c r="R267" i="1" s="1"/>
  <c r="Q241" i="1"/>
  <c r="O241" i="1"/>
  <c r="O267" i="1" s="1"/>
  <c r="N241" i="1"/>
  <c r="N267" i="1" s="1"/>
  <c r="L241" i="1"/>
  <c r="L267" i="1" s="1"/>
  <c r="K241" i="1"/>
  <c r="K267" i="1" s="1"/>
  <c r="I241" i="1"/>
  <c r="H241" i="1"/>
  <c r="H267" i="1" s="1"/>
  <c r="F241" i="1"/>
  <c r="F267" i="1" s="1"/>
  <c r="E241" i="1"/>
  <c r="E267" i="1" s="1"/>
  <c r="C241" i="1"/>
  <c r="C267" i="1" s="1"/>
  <c r="B241" i="1"/>
  <c r="B267" i="1" s="1"/>
  <c r="AJ240" i="1"/>
  <c r="AI240" i="1"/>
  <c r="AI266" i="1" s="1"/>
  <c r="AG240" i="1"/>
  <c r="AF240" i="1"/>
  <c r="AF266" i="1" s="1"/>
  <c r="AD240" i="1"/>
  <c r="AC240" i="1"/>
  <c r="AC266" i="1" s="1"/>
  <c r="AA240" i="1"/>
  <c r="Z240" i="1"/>
  <c r="Z266" i="1" s="1"/>
  <c r="X240" i="1"/>
  <c r="W240" i="1"/>
  <c r="W266" i="1" s="1"/>
  <c r="U240" i="1"/>
  <c r="T240" i="1"/>
  <c r="T266" i="1" s="1"/>
  <c r="R240" i="1"/>
  <c r="R266" i="1" s="1"/>
  <c r="Q240" i="1"/>
  <c r="O240" i="1"/>
  <c r="O266" i="1" s="1"/>
  <c r="N240" i="1"/>
  <c r="N266" i="1" s="1"/>
  <c r="L240" i="1"/>
  <c r="L266" i="1" s="1"/>
  <c r="K240" i="1"/>
  <c r="K266" i="1" s="1"/>
  <c r="I240" i="1"/>
  <c r="I266" i="1" s="1"/>
  <c r="H240" i="1"/>
  <c r="H266" i="1" s="1"/>
  <c r="F240" i="1"/>
  <c r="F266" i="1" s="1"/>
  <c r="E240" i="1"/>
  <c r="E266" i="1" s="1"/>
  <c r="C240" i="1"/>
  <c r="B240" i="1"/>
  <c r="B266" i="1" s="1"/>
  <c r="AJ239" i="1"/>
  <c r="AI239" i="1"/>
  <c r="AI265" i="1" s="1"/>
  <c r="AG239" i="1"/>
  <c r="AF239" i="1"/>
  <c r="AF265" i="1" s="1"/>
  <c r="AD239" i="1"/>
  <c r="AC239" i="1"/>
  <c r="AC265" i="1" s="1"/>
  <c r="AA239" i="1"/>
  <c r="Z239" i="1"/>
  <c r="Z265" i="1" s="1"/>
  <c r="X239" i="1"/>
  <c r="W239" i="1"/>
  <c r="W265" i="1" s="1"/>
  <c r="U239" i="1"/>
  <c r="T239" i="1"/>
  <c r="T265" i="1" s="1"/>
  <c r="R239" i="1"/>
  <c r="R265" i="1" s="1"/>
  <c r="Q239" i="1"/>
  <c r="Q265" i="1" s="1"/>
  <c r="O239" i="1"/>
  <c r="O265" i="1" s="1"/>
  <c r="N239" i="1"/>
  <c r="N265" i="1" s="1"/>
  <c r="L239" i="1"/>
  <c r="L265" i="1" s="1"/>
  <c r="K239" i="1"/>
  <c r="I239" i="1"/>
  <c r="I265" i="1" s="1"/>
  <c r="H239" i="1"/>
  <c r="H265" i="1" s="1"/>
  <c r="F239" i="1"/>
  <c r="F265" i="1" s="1"/>
  <c r="E239" i="1"/>
  <c r="E265" i="1" s="1"/>
  <c r="C239" i="1"/>
  <c r="B239" i="1"/>
  <c r="B265" i="1" s="1"/>
  <c r="AO237" i="1"/>
  <c r="AJ237" i="1"/>
  <c r="AG237" i="1"/>
  <c r="AD237" i="1"/>
  <c r="AA237" i="1"/>
  <c r="AJ236" i="1"/>
  <c r="AI236" i="1"/>
  <c r="AI236" i="2" s="1"/>
  <c r="AG236" i="1"/>
  <c r="AF236" i="1"/>
  <c r="AF236" i="2" s="1"/>
  <c r="AD236" i="1"/>
  <c r="AC236" i="1"/>
  <c r="AC236" i="2" s="1"/>
  <c r="AA236" i="1"/>
  <c r="AA236" i="2" s="1"/>
  <c r="Z236" i="1"/>
  <c r="Z236" i="2" s="1"/>
  <c r="X236" i="1"/>
  <c r="X236" i="2" s="1"/>
  <c r="W236" i="1"/>
  <c r="W236" i="2" s="1"/>
  <c r="U236" i="1"/>
  <c r="U236" i="2" s="1"/>
  <c r="T236" i="1"/>
  <c r="T236" i="2" s="1"/>
  <c r="R236" i="1"/>
  <c r="Q236" i="1"/>
  <c r="O236" i="1"/>
  <c r="N236" i="1"/>
  <c r="N236" i="2" s="1"/>
  <c r="L236" i="1"/>
  <c r="K236" i="1"/>
  <c r="K236" i="2" s="1"/>
  <c r="I236" i="1"/>
  <c r="H236" i="1"/>
  <c r="F236" i="1"/>
  <c r="F262" i="1" s="1"/>
  <c r="E236" i="1"/>
  <c r="C236" i="1"/>
  <c r="C236" i="2" s="1"/>
  <c r="B236" i="1"/>
  <c r="AJ222" i="1"/>
  <c r="AJ233" i="1" s="1"/>
  <c r="AJ276" i="1" s="1"/>
  <c r="AI222" i="1"/>
  <c r="AG222" i="1"/>
  <c r="AG233" i="1" s="1"/>
  <c r="AG276" i="1" s="1"/>
  <c r="AF222" i="1"/>
  <c r="AD222" i="1"/>
  <c r="AD233" i="1" s="1"/>
  <c r="AD276" i="1" s="1"/>
  <c r="AC222" i="1"/>
  <c r="AA222" i="1"/>
  <c r="Z222" i="1"/>
  <c r="X222" i="1"/>
  <c r="W222" i="1"/>
  <c r="U222" i="1"/>
  <c r="T222" i="1"/>
  <c r="R222" i="1"/>
  <c r="Q222" i="1"/>
  <c r="AO222" i="1" s="1"/>
  <c r="O222" i="1"/>
  <c r="N222" i="1"/>
  <c r="L222" i="1"/>
  <c r="K222" i="1"/>
  <c r="I222" i="1"/>
  <c r="H222" i="1"/>
  <c r="F222" i="1"/>
  <c r="E222" i="1"/>
  <c r="C222" i="1"/>
  <c r="C222" i="2" s="1"/>
  <c r="B222" i="1"/>
  <c r="B222" i="2" s="1"/>
  <c r="E222" i="2" s="1"/>
  <c r="H222" i="2" s="1"/>
  <c r="K222" i="2" s="1"/>
  <c r="N222" i="2" s="1"/>
  <c r="Q222" i="2" s="1"/>
  <c r="T222" i="2" s="1"/>
  <c r="W222" i="2" s="1"/>
  <c r="Z222" i="2" s="1"/>
  <c r="AC222" i="2" s="1"/>
  <c r="AF222" i="2" s="1"/>
  <c r="AI222" i="2" s="1"/>
  <c r="AJ221" i="1"/>
  <c r="AJ232" i="1" s="1"/>
  <c r="AI221" i="1"/>
  <c r="AG221" i="1"/>
  <c r="AG232" i="1" s="1"/>
  <c r="AF221" i="1"/>
  <c r="AD221" i="1"/>
  <c r="AD232" i="1" s="1"/>
  <c r="AC221" i="1"/>
  <c r="AA221" i="1"/>
  <c r="Z221" i="1"/>
  <c r="X221" i="1"/>
  <c r="W221" i="1"/>
  <c r="U221" i="1"/>
  <c r="T221" i="1"/>
  <c r="R221" i="1"/>
  <c r="Q221" i="1"/>
  <c r="AO221" i="1" s="1"/>
  <c r="O221" i="1"/>
  <c r="N221" i="1"/>
  <c r="L221" i="1"/>
  <c r="K221" i="1"/>
  <c r="I221" i="1"/>
  <c r="H221" i="1"/>
  <c r="F221" i="1"/>
  <c r="E221" i="1"/>
  <c r="C221" i="1"/>
  <c r="C221" i="2" s="1"/>
  <c r="B221" i="1"/>
  <c r="B221" i="2" s="1"/>
  <c r="E221" i="2" s="1"/>
  <c r="H221" i="2" s="1"/>
  <c r="K221" i="2" s="1"/>
  <c r="N221" i="2" s="1"/>
  <c r="Q221" i="2" s="1"/>
  <c r="T221" i="2" s="1"/>
  <c r="W221" i="2" s="1"/>
  <c r="Z221" i="2" s="1"/>
  <c r="AC221" i="2" s="1"/>
  <c r="AF221" i="2" s="1"/>
  <c r="AI221" i="2" s="1"/>
  <c r="AJ220" i="1"/>
  <c r="AI220" i="1"/>
  <c r="AG220" i="1"/>
  <c r="AF220" i="1"/>
  <c r="AD220" i="1"/>
  <c r="AC220" i="1"/>
  <c r="AA220" i="1"/>
  <c r="Z220" i="1"/>
  <c r="X220" i="1"/>
  <c r="W220" i="1"/>
  <c r="U220" i="1"/>
  <c r="T220" i="1"/>
  <c r="R220" i="1"/>
  <c r="R263" i="1" s="1"/>
  <c r="Q220" i="1"/>
  <c r="O220" i="1"/>
  <c r="O263" i="1" s="1"/>
  <c r="N220" i="1"/>
  <c r="L220" i="1"/>
  <c r="L263" i="1" s="1"/>
  <c r="K220" i="1"/>
  <c r="AO220" i="1" s="1"/>
  <c r="I220" i="1"/>
  <c r="I263" i="1" s="1"/>
  <c r="H220" i="1"/>
  <c r="F220" i="1"/>
  <c r="F263" i="1" s="1"/>
  <c r="E220" i="1"/>
  <c r="C220" i="1"/>
  <c r="C263" i="1" s="1"/>
  <c r="B220" i="1"/>
  <c r="B220" i="2" s="1"/>
  <c r="E220" i="2" s="1"/>
  <c r="H220" i="2" s="1"/>
  <c r="K220" i="2" s="1"/>
  <c r="N220" i="2" s="1"/>
  <c r="Q220" i="2" s="1"/>
  <c r="T220" i="2" s="1"/>
  <c r="W220" i="2" s="1"/>
  <c r="Z220" i="2" s="1"/>
  <c r="AC220" i="2" s="1"/>
  <c r="AF220" i="2" s="1"/>
  <c r="AI220" i="2" s="1"/>
  <c r="AJ219" i="1"/>
  <c r="AJ230" i="1" s="1"/>
  <c r="AI219" i="1"/>
  <c r="AG219" i="1"/>
  <c r="AG230" i="1" s="1"/>
  <c r="AF219" i="1"/>
  <c r="AD219" i="1"/>
  <c r="AD230" i="1" s="1"/>
  <c r="AC219" i="1"/>
  <c r="AA219" i="1"/>
  <c r="Z219" i="1"/>
  <c r="X219" i="1"/>
  <c r="W219" i="1"/>
  <c r="U219" i="1"/>
  <c r="T219" i="1"/>
  <c r="R219" i="1"/>
  <c r="Q219" i="1"/>
  <c r="O219" i="1"/>
  <c r="N219" i="1"/>
  <c r="L219" i="1"/>
  <c r="K219" i="1"/>
  <c r="AO219" i="1" s="1"/>
  <c r="I219" i="1"/>
  <c r="H219" i="1"/>
  <c r="F219" i="1"/>
  <c r="E219" i="1"/>
  <c r="C219" i="1"/>
  <c r="C219" i="2" s="1"/>
  <c r="B219" i="1"/>
  <c r="B219" i="2" s="1"/>
  <c r="E219" i="2" s="1"/>
  <c r="H219" i="2" s="1"/>
  <c r="AJ218" i="1"/>
  <c r="AJ229" i="1" s="1"/>
  <c r="AI218" i="1"/>
  <c r="AG218" i="1"/>
  <c r="AG229" i="1" s="1"/>
  <c r="AF218" i="1"/>
  <c r="AD218" i="1"/>
  <c r="AD229" i="1" s="1"/>
  <c r="AC218" i="1"/>
  <c r="AA218" i="1"/>
  <c r="Z218" i="1"/>
  <c r="X218" i="1"/>
  <c r="W218" i="1"/>
  <c r="U218" i="1"/>
  <c r="T218" i="1"/>
  <c r="R218" i="1"/>
  <c r="Q218" i="1"/>
  <c r="O218" i="1"/>
  <c r="N218" i="1"/>
  <c r="L218" i="1"/>
  <c r="K218" i="1"/>
  <c r="AO218" i="1" s="1"/>
  <c r="I218" i="1"/>
  <c r="H218" i="1"/>
  <c r="F218" i="1"/>
  <c r="E218" i="1"/>
  <c r="C218" i="1"/>
  <c r="C218" i="2" s="1"/>
  <c r="B218" i="1"/>
  <c r="B218" i="2" s="1"/>
  <c r="E218" i="2" s="1"/>
  <c r="H218" i="2" s="1"/>
  <c r="K218" i="2" s="1"/>
  <c r="N218" i="2" s="1"/>
  <c r="Q218" i="2" s="1"/>
  <c r="T218" i="2" s="1"/>
  <c r="W218" i="2" s="1"/>
  <c r="Z218" i="2" s="1"/>
  <c r="AC218" i="2" s="1"/>
  <c r="AF218" i="2" s="1"/>
  <c r="AI218" i="2" s="1"/>
  <c r="G8" i="45" s="1"/>
  <c r="AJ217" i="1"/>
  <c r="AJ228" i="1" s="1"/>
  <c r="AI217" i="1"/>
  <c r="AG217" i="1"/>
  <c r="AG228" i="1" s="1"/>
  <c r="AF217" i="1"/>
  <c r="AD217" i="1"/>
  <c r="AD228" i="1" s="1"/>
  <c r="AC217" i="1"/>
  <c r="AA217" i="1"/>
  <c r="Z217" i="1"/>
  <c r="X217" i="1"/>
  <c r="W217" i="1"/>
  <c r="U217" i="1"/>
  <c r="T217" i="1"/>
  <c r="R217" i="1"/>
  <c r="Q217" i="1"/>
  <c r="O217" i="1"/>
  <c r="N217" i="1"/>
  <c r="L217" i="1"/>
  <c r="K217" i="1"/>
  <c r="AO217" i="1" s="1"/>
  <c r="I217" i="1"/>
  <c r="H217" i="1"/>
  <c r="F217" i="1"/>
  <c r="E217" i="1"/>
  <c r="C217" i="1"/>
  <c r="C217" i="2" s="1"/>
  <c r="B217" i="1"/>
  <c r="B217" i="2" s="1"/>
  <c r="E217" i="2" s="1"/>
  <c r="H217" i="2" s="1"/>
  <c r="K217" i="2" s="1"/>
  <c r="N217" i="2" s="1"/>
  <c r="Q217" i="2" s="1"/>
  <c r="T217" i="2" s="1"/>
  <c r="W217" i="2" s="1"/>
  <c r="Z217" i="2" s="1"/>
  <c r="AC217" i="2" s="1"/>
  <c r="AF217" i="2" s="1"/>
  <c r="AI217" i="2" s="1"/>
  <c r="G11" i="45" s="1"/>
  <c r="AJ216" i="1"/>
  <c r="AJ227" i="1" s="1"/>
  <c r="AI216" i="1"/>
  <c r="AG216" i="1"/>
  <c r="AG227" i="1" s="1"/>
  <c r="AF216" i="1"/>
  <c r="AD216" i="1"/>
  <c r="AD227" i="1" s="1"/>
  <c r="AC216" i="1"/>
  <c r="AA216" i="1"/>
  <c r="Z216" i="1"/>
  <c r="X216" i="1"/>
  <c r="W216" i="1"/>
  <c r="U216" i="1"/>
  <c r="T216" i="1"/>
  <c r="R216" i="1"/>
  <c r="Q216" i="1"/>
  <c r="O216" i="1"/>
  <c r="N216" i="1"/>
  <c r="L216" i="1"/>
  <c r="K216" i="1"/>
  <c r="AO216" i="1" s="1"/>
  <c r="I216" i="1"/>
  <c r="H216" i="1"/>
  <c r="F216" i="1"/>
  <c r="E216" i="1"/>
  <c r="C216" i="1"/>
  <c r="C216" i="2" s="1"/>
  <c r="B216" i="1"/>
  <c r="B216" i="2" s="1"/>
  <c r="E216" i="2" s="1"/>
  <c r="H216" i="2" s="1"/>
  <c r="K216" i="2" s="1"/>
  <c r="N216" i="2" s="1"/>
  <c r="Q216" i="2" s="1"/>
  <c r="T216" i="2" s="1"/>
  <c r="W216" i="2" s="1"/>
  <c r="Z216" i="2" s="1"/>
  <c r="AC216" i="2" s="1"/>
  <c r="AF216" i="2" s="1"/>
  <c r="AI216" i="2" s="1"/>
  <c r="G10" i="45" s="1"/>
  <c r="AJ215" i="1"/>
  <c r="AJ226" i="1" s="1"/>
  <c r="AI215" i="1"/>
  <c r="AG215" i="1"/>
  <c r="AG226" i="1" s="1"/>
  <c r="AF215" i="1"/>
  <c r="AD215" i="1"/>
  <c r="AD226" i="1" s="1"/>
  <c r="AC215" i="1"/>
  <c r="AA215" i="1"/>
  <c r="Z215" i="1"/>
  <c r="X215" i="1"/>
  <c r="W215" i="1"/>
  <c r="U215" i="1"/>
  <c r="T215" i="1"/>
  <c r="R215" i="1"/>
  <c r="Q215" i="1"/>
  <c r="O215" i="1"/>
  <c r="N215" i="1"/>
  <c r="L215" i="1"/>
  <c r="K215" i="1"/>
  <c r="AO215" i="1" s="1"/>
  <c r="I215" i="1"/>
  <c r="H215" i="1"/>
  <c r="F215" i="1"/>
  <c r="E215" i="1"/>
  <c r="C215" i="1"/>
  <c r="C215" i="2" s="1"/>
  <c r="B215" i="1"/>
  <c r="B215" i="2" s="1"/>
  <c r="E215" i="2" s="1"/>
  <c r="H215" i="2" s="1"/>
  <c r="K215" i="2" s="1"/>
  <c r="N215" i="2" s="1"/>
  <c r="Q215" i="2" s="1"/>
  <c r="T215" i="2" s="1"/>
  <c r="W215" i="2" s="1"/>
  <c r="Z215" i="2" s="1"/>
  <c r="AC215" i="2" s="1"/>
  <c r="AF215" i="2" s="1"/>
  <c r="AI215" i="2" s="1"/>
  <c r="AO213" i="1"/>
  <c r="AJ213" i="1"/>
  <c r="AG213" i="1"/>
  <c r="AD213" i="1"/>
  <c r="AA213" i="1"/>
  <c r="AJ212" i="1"/>
  <c r="AI212" i="1"/>
  <c r="AG212" i="1"/>
  <c r="AF212" i="1"/>
  <c r="AD212" i="1"/>
  <c r="AC212" i="1"/>
  <c r="AA212" i="1"/>
  <c r="Z212" i="1"/>
  <c r="X212" i="1"/>
  <c r="U212" i="1"/>
  <c r="R212" i="1"/>
  <c r="O212" i="1"/>
  <c r="H212" i="1"/>
  <c r="E212" i="1"/>
  <c r="B212" i="1"/>
  <c r="B212" i="2" s="1"/>
  <c r="E212" i="2" s="1"/>
  <c r="H212" i="2" s="1"/>
  <c r="AJ209" i="1"/>
  <c r="AI209" i="1"/>
  <c r="AG209" i="1"/>
  <c r="AF209" i="1"/>
  <c r="AD209" i="1"/>
  <c r="AC209" i="1"/>
  <c r="AA209" i="1"/>
  <c r="Z209" i="1"/>
  <c r="X209" i="1"/>
  <c r="W209" i="1"/>
  <c r="U209" i="1"/>
  <c r="T209" i="1"/>
  <c r="R209" i="1"/>
  <c r="Q209" i="1"/>
  <c r="O209" i="1"/>
  <c r="N209" i="1"/>
  <c r="L209" i="1"/>
  <c r="K209" i="1"/>
  <c r="AO209" i="1" s="1"/>
  <c r="I209" i="1"/>
  <c r="H209" i="1"/>
  <c r="F209" i="1"/>
  <c r="E209" i="1"/>
  <c r="C209" i="1"/>
  <c r="C209" i="2" s="1"/>
  <c r="B209" i="1"/>
  <c r="B209" i="2" s="1"/>
  <c r="E209" i="2" s="1"/>
  <c r="H209" i="2" s="1"/>
  <c r="K209" i="2" s="1"/>
  <c r="N209" i="2" s="1"/>
  <c r="Q209" i="2" s="1"/>
  <c r="T209" i="2" s="1"/>
  <c r="W209" i="2" s="1"/>
  <c r="Z209" i="2" s="1"/>
  <c r="AC209" i="2" s="1"/>
  <c r="AF209" i="2" s="1"/>
  <c r="AI209" i="2" s="1"/>
  <c r="AJ208" i="1"/>
  <c r="AI208" i="1"/>
  <c r="AG208" i="1"/>
  <c r="AF208" i="1"/>
  <c r="AD208" i="1"/>
  <c r="AC208" i="1"/>
  <c r="AA208" i="1"/>
  <c r="Z208" i="1"/>
  <c r="X208" i="1"/>
  <c r="W208" i="1"/>
  <c r="U208" i="1"/>
  <c r="T208" i="1"/>
  <c r="R208" i="1"/>
  <c r="Q208" i="1"/>
  <c r="O208" i="1"/>
  <c r="N208" i="1"/>
  <c r="L208" i="1"/>
  <c r="K208" i="1"/>
  <c r="AO208" i="1" s="1"/>
  <c r="I208" i="1"/>
  <c r="H208" i="1"/>
  <c r="F208" i="1"/>
  <c r="AP208" i="1" s="1"/>
  <c r="E208" i="1"/>
  <c r="C208" i="1"/>
  <c r="C208" i="2" s="1"/>
  <c r="B208" i="1"/>
  <c r="B208" i="2" s="1"/>
  <c r="E208" i="2" s="1"/>
  <c r="H208" i="2" s="1"/>
  <c r="K208" i="2" s="1"/>
  <c r="N208" i="2" s="1"/>
  <c r="Q208" i="2" s="1"/>
  <c r="T208" i="2" s="1"/>
  <c r="W208" i="2" s="1"/>
  <c r="Z208" i="2" s="1"/>
  <c r="AC208" i="2" s="1"/>
  <c r="AF208" i="2" s="1"/>
  <c r="AI208" i="2" s="1"/>
  <c r="AJ207" i="1"/>
  <c r="AJ250" i="1" s="1"/>
  <c r="AI207" i="1"/>
  <c r="AG207" i="1"/>
  <c r="AG250" i="1" s="1"/>
  <c r="AF207" i="1"/>
  <c r="AD207" i="1"/>
  <c r="AD250" i="1" s="1"/>
  <c r="AC207" i="1"/>
  <c r="AA207" i="1"/>
  <c r="AA250" i="1" s="1"/>
  <c r="Z207" i="1"/>
  <c r="X207" i="1"/>
  <c r="X250" i="1" s="1"/>
  <c r="W207" i="1"/>
  <c r="U207" i="1"/>
  <c r="U250" i="1" s="1"/>
  <c r="T207" i="1"/>
  <c r="R207" i="1"/>
  <c r="R250" i="1" s="1"/>
  <c r="Q207" i="1"/>
  <c r="O207" i="1"/>
  <c r="O250" i="1" s="1"/>
  <c r="N207" i="1"/>
  <c r="L207" i="1"/>
  <c r="L250" i="1" s="1"/>
  <c r="K207" i="1"/>
  <c r="AO207" i="1" s="1"/>
  <c r="I207" i="1"/>
  <c r="I250" i="1" s="1"/>
  <c r="H207" i="1"/>
  <c r="F207" i="1"/>
  <c r="F250" i="1" s="1"/>
  <c r="E207" i="1"/>
  <c r="C207" i="1"/>
  <c r="C207" i="2" s="1"/>
  <c r="B207" i="1"/>
  <c r="B207" i="2" s="1"/>
  <c r="E207" i="2" s="1"/>
  <c r="H207" i="2" s="1"/>
  <c r="K207" i="2" s="1"/>
  <c r="N207" i="2" s="1"/>
  <c r="Q207" i="2" s="1"/>
  <c r="T207" i="2" s="1"/>
  <c r="W207" i="2" s="1"/>
  <c r="Z207" i="2" s="1"/>
  <c r="AJ206" i="1"/>
  <c r="AI206" i="1"/>
  <c r="AG206" i="1"/>
  <c r="AF206" i="1"/>
  <c r="AD206" i="1"/>
  <c r="AC206" i="1"/>
  <c r="AA206" i="1"/>
  <c r="Z206" i="1"/>
  <c r="X206" i="1"/>
  <c r="W206" i="1"/>
  <c r="U206" i="1"/>
  <c r="T206" i="1"/>
  <c r="R206" i="1"/>
  <c r="Q206" i="1"/>
  <c r="O206" i="1"/>
  <c r="N206" i="1"/>
  <c r="L206" i="1"/>
  <c r="K206" i="1"/>
  <c r="AO206" i="1" s="1"/>
  <c r="I206" i="1"/>
  <c r="H206" i="1"/>
  <c r="F206" i="1"/>
  <c r="AP206" i="1" s="1"/>
  <c r="E206" i="1"/>
  <c r="C206" i="1"/>
  <c r="C206" i="2" s="1"/>
  <c r="B206" i="1"/>
  <c r="B206" i="2" s="1"/>
  <c r="E206" i="2" s="1"/>
  <c r="H206" i="2" s="1"/>
  <c r="K206" i="2" s="1"/>
  <c r="N206" i="2" s="1"/>
  <c r="Q206" i="2" s="1"/>
  <c r="T206" i="2" s="1"/>
  <c r="W206" i="2" s="1"/>
  <c r="Z206" i="2" s="1"/>
  <c r="AC206" i="2" s="1"/>
  <c r="AF206" i="2" s="1"/>
  <c r="AI206" i="2" s="1"/>
  <c r="AJ205" i="1"/>
  <c r="AI205" i="1"/>
  <c r="AG205" i="1"/>
  <c r="AF205" i="1"/>
  <c r="AD205" i="1"/>
  <c r="AC205" i="1"/>
  <c r="AA205" i="1"/>
  <c r="Z205" i="1"/>
  <c r="X205" i="1"/>
  <c r="W205" i="1"/>
  <c r="U205" i="1"/>
  <c r="T205" i="1"/>
  <c r="R205" i="1"/>
  <c r="AP205" i="1" s="1"/>
  <c r="Q205" i="1"/>
  <c r="AO205" i="1" s="1"/>
  <c r="O205" i="1"/>
  <c r="N205" i="1"/>
  <c r="L205" i="1"/>
  <c r="K205" i="1"/>
  <c r="I205" i="1"/>
  <c r="H205" i="1"/>
  <c r="F205" i="1"/>
  <c r="E205" i="1"/>
  <c r="C205" i="1"/>
  <c r="C205" i="2" s="1"/>
  <c r="B205" i="1"/>
  <c r="B205" i="2" s="1"/>
  <c r="E205" i="2" s="1"/>
  <c r="H205" i="2" s="1"/>
  <c r="K205" i="2" s="1"/>
  <c r="N205" i="2" s="1"/>
  <c r="Q205" i="2" s="1"/>
  <c r="T205" i="2" s="1"/>
  <c r="W205" i="2" s="1"/>
  <c r="Z205" i="2" s="1"/>
  <c r="AC205" i="2" s="1"/>
  <c r="AF205" i="2" s="1"/>
  <c r="AI205" i="2" s="1"/>
  <c r="AJ204" i="1"/>
  <c r="AI204" i="1"/>
  <c r="AG204" i="1"/>
  <c r="AF204" i="1"/>
  <c r="AD204" i="1"/>
  <c r="AC204" i="1"/>
  <c r="AA204" i="1"/>
  <c r="Z204" i="1"/>
  <c r="X204" i="1"/>
  <c r="W204" i="1"/>
  <c r="U204" i="1"/>
  <c r="T204" i="1"/>
  <c r="R204" i="1"/>
  <c r="Q204" i="1"/>
  <c r="AO204" i="1" s="1"/>
  <c r="O204" i="1"/>
  <c r="N204" i="1"/>
  <c r="L204" i="1"/>
  <c r="K204" i="1"/>
  <c r="I204" i="1"/>
  <c r="H204" i="1"/>
  <c r="F204" i="1"/>
  <c r="AP204" i="1" s="1"/>
  <c r="E204" i="1"/>
  <c r="C204" i="1"/>
  <c r="C204" i="2" s="1"/>
  <c r="B204" i="1"/>
  <c r="B204" i="2" s="1"/>
  <c r="E204" i="2" s="1"/>
  <c r="H204" i="2" s="1"/>
  <c r="K204" i="2" s="1"/>
  <c r="N204" i="2" s="1"/>
  <c r="Q204" i="2" s="1"/>
  <c r="T204" i="2" s="1"/>
  <c r="W204" i="2" s="1"/>
  <c r="Z204" i="2" s="1"/>
  <c r="AC204" i="2" s="1"/>
  <c r="AF204" i="2" s="1"/>
  <c r="AI204" i="2" s="1"/>
  <c r="AJ203" i="1"/>
  <c r="AI203" i="1"/>
  <c r="AG203" i="1"/>
  <c r="AF203" i="1"/>
  <c r="AD203" i="1"/>
  <c r="AC203" i="1"/>
  <c r="AA203" i="1"/>
  <c r="Z203" i="1"/>
  <c r="X203" i="1"/>
  <c r="W203" i="1"/>
  <c r="U203" i="1"/>
  <c r="T203" i="1"/>
  <c r="R203" i="1"/>
  <c r="Q203" i="1"/>
  <c r="O203" i="1"/>
  <c r="N203" i="1"/>
  <c r="L203" i="1"/>
  <c r="K203" i="1"/>
  <c r="AO203" i="1" s="1"/>
  <c r="I203" i="1"/>
  <c r="H203" i="1"/>
  <c r="F203" i="1"/>
  <c r="AP203" i="1" s="1"/>
  <c r="E203" i="1"/>
  <c r="C203" i="1"/>
  <c r="C203" i="2" s="1"/>
  <c r="B203" i="1"/>
  <c r="B203" i="2" s="1"/>
  <c r="E203" i="2" s="1"/>
  <c r="H203" i="2" s="1"/>
  <c r="K203" i="2" s="1"/>
  <c r="N203" i="2" s="1"/>
  <c r="Q203" i="2" s="1"/>
  <c r="T203" i="2" s="1"/>
  <c r="W203" i="2" s="1"/>
  <c r="Z203" i="2" s="1"/>
  <c r="AC203" i="2" s="1"/>
  <c r="AF203" i="2" s="1"/>
  <c r="AI203" i="2" s="1"/>
  <c r="AJ202" i="1"/>
  <c r="AI202" i="1"/>
  <c r="AG202" i="1"/>
  <c r="AF202" i="1"/>
  <c r="AD202" i="1"/>
  <c r="AC202" i="1"/>
  <c r="AA202" i="1"/>
  <c r="Z202" i="1"/>
  <c r="X202" i="1"/>
  <c r="W202" i="1"/>
  <c r="U202" i="1"/>
  <c r="T202" i="1"/>
  <c r="R202" i="1"/>
  <c r="Q202" i="1"/>
  <c r="O202" i="1"/>
  <c r="N202" i="1"/>
  <c r="L202" i="1"/>
  <c r="K202" i="1"/>
  <c r="AO202" i="1" s="1"/>
  <c r="I202" i="1"/>
  <c r="H202" i="1"/>
  <c r="F202" i="1"/>
  <c r="E202" i="1"/>
  <c r="C202" i="1"/>
  <c r="C202" i="2" s="1"/>
  <c r="B202" i="1"/>
  <c r="B202" i="2" s="1"/>
  <c r="E202" i="2" s="1"/>
  <c r="H202" i="2" s="1"/>
  <c r="K202" i="2" s="1"/>
  <c r="N202" i="2" s="1"/>
  <c r="Q202" i="2" s="1"/>
  <c r="T202" i="2" s="1"/>
  <c r="W202" i="2" s="1"/>
  <c r="Z202" i="2" s="1"/>
  <c r="AC202" i="2" s="1"/>
  <c r="AF202" i="2" s="1"/>
  <c r="AI202" i="2" s="1"/>
  <c r="AO200" i="1"/>
  <c r="AJ196" i="1"/>
  <c r="AI196" i="1"/>
  <c r="AG196" i="1"/>
  <c r="AF196" i="1"/>
  <c r="AD196" i="1"/>
  <c r="AC196" i="1"/>
  <c r="AA196" i="1"/>
  <c r="Z196" i="1"/>
  <c r="X196" i="1"/>
  <c r="W196" i="1"/>
  <c r="U196" i="1"/>
  <c r="T196" i="1"/>
  <c r="R196" i="1"/>
  <c r="Q196" i="1"/>
  <c r="O196" i="1"/>
  <c r="N196" i="1"/>
  <c r="L196" i="1"/>
  <c r="K196" i="1"/>
  <c r="AO196" i="1" s="1"/>
  <c r="I196" i="1"/>
  <c r="H196" i="1"/>
  <c r="F196" i="1"/>
  <c r="AP196" i="1" s="1"/>
  <c r="E196" i="1"/>
  <c r="C196" i="1"/>
  <c r="C196" i="2" s="1"/>
  <c r="B196" i="1"/>
  <c r="B196" i="2" s="1"/>
  <c r="E196" i="2" s="1"/>
  <c r="H196" i="2" s="1"/>
  <c r="K196" i="2" s="1"/>
  <c r="N196" i="2" s="1"/>
  <c r="Q196" i="2" s="1"/>
  <c r="T196" i="2" s="1"/>
  <c r="W196" i="2" s="1"/>
  <c r="Z196" i="2" s="1"/>
  <c r="AC196" i="2" s="1"/>
  <c r="AF196" i="2" s="1"/>
  <c r="AI196" i="2" s="1"/>
  <c r="AJ195" i="1"/>
  <c r="AI195" i="1"/>
  <c r="AG195" i="1"/>
  <c r="AF195" i="1"/>
  <c r="AD195" i="1"/>
  <c r="AC195" i="1"/>
  <c r="AA195" i="1"/>
  <c r="Z195" i="1"/>
  <c r="X195" i="1"/>
  <c r="W195" i="1"/>
  <c r="U195" i="1"/>
  <c r="T195" i="1"/>
  <c r="R195" i="1"/>
  <c r="Q195" i="1"/>
  <c r="O195" i="1"/>
  <c r="N195" i="1"/>
  <c r="L195" i="1"/>
  <c r="K195" i="1"/>
  <c r="AO195" i="1" s="1"/>
  <c r="I195" i="1"/>
  <c r="AP195" i="1" s="1"/>
  <c r="H195" i="1"/>
  <c r="F195" i="1"/>
  <c r="E195" i="1"/>
  <c r="C195" i="1"/>
  <c r="C195" i="2" s="1"/>
  <c r="B195" i="1"/>
  <c r="B195" i="2" s="1"/>
  <c r="E195" i="2" s="1"/>
  <c r="H195" i="2" s="1"/>
  <c r="K195" i="2" s="1"/>
  <c r="N195" i="2" s="1"/>
  <c r="Q195" i="2" s="1"/>
  <c r="T195" i="2" s="1"/>
  <c r="W195" i="2" s="1"/>
  <c r="Z195" i="2" s="1"/>
  <c r="AC195" i="2" s="1"/>
  <c r="AF195" i="2" s="1"/>
  <c r="AI195" i="2" s="1"/>
  <c r="AJ194" i="1"/>
  <c r="AI194" i="1"/>
  <c r="AG194" i="1"/>
  <c r="AF194" i="1"/>
  <c r="AD194" i="1"/>
  <c r="AC194" i="1"/>
  <c r="AA194" i="1"/>
  <c r="Z194" i="1"/>
  <c r="X194" i="1"/>
  <c r="X237" i="1" s="1"/>
  <c r="W194" i="1"/>
  <c r="U194" i="1"/>
  <c r="U237" i="1" s="1"/>
  <c r="T194" i="1"/>
  <c r="R194" i="1"/>
  <c r="R237" i="1" s="1"/>
  <c r="Q194" i="1"/>
  <c r="O194" i="1"/>
  <c r="O237" i="1" s="1"/>
  <c r="N194" i="1"/>
  <c r="L194" i="1"/>
  <c r="L237" i="1" s="1"/>
  <c r="K194" i="1"/>
  <c r="AO194" i="1" s="1"/>
  <c r="I194" i="1"/>
  <c r="H194" i="1"/>
  <c r="F194" i="1"/>
  <c r="F237" i="1" s="1"/>
  <c r="E194" i="1"/>
  <c r="C194" i="1"/>
  <c r="C237" i="1" s="1"/>
  <c r="B194" i="1"/>
  <c r="B194" i="2" s="1"/>
  <c r="E194" i="2" s="1"/>
  <c r="H194" i="2" s="1"/>
  <c r="K194" i="2" s="1"/>
  <c r="N194" i="2" s="1"/>
  <c r="Q194" i="2" s="1"/>
  <c r="T194" i="2" s="1"/>
  <c r="W194" i="2" s="1"/>
  <c r="Z194" i="2" s="1"/>
  <c r="AC194" i="2" s="1"/>
  <c r="AF194" i="2" s="1"/>
  <c r="AI194" i="2" s="1"/>
  <c r="AJ193" i="1"/>
  <c r="AI193" i="1"/>
  <c r="AG193" i="1"/>
  <c r="AF193" i="1"/>
  <c r="AD193" i="1"/>
  <c r="AC193" i="1"/>
  <c r="AA193" i="1"/>
  <c r="Z193" i="1"/>
  <c r="X193" i="1"/>
  <c r="W193" i="1"/>
  <c r="U193" i="1"/>
  <c r="T193" i="1"/>
  <c r="R193" i="1"/>
  <c r="Q193" i="1"/>
  <c r="O193" i="1"/>
  <c r="N193" i="1"/>
  <c r="L193" i="1"/>
  <c r="K193" i="1"/>
  <c r="AO193" i="1" s="1"/>
  <c r="I193" i="1"/>
  <c r="H193" i="1"/>
  <c r="F193" i="1"/>
  <c r="AP193" i="1" s="1"/>
  <c r="E193" i="1"/>
  <c r="C193" i="1"/>
  <c r="C193" i="2" s="1"/>
  <c r="B193" i="1"/>
  <c r="B193" i="2" s="1"/>
  <c r="E193" i="2" s="1"/>
  <c r="H193" i="2" s="1"/>
  <c r="K193" i="2" s="1"/>
  <c r="N193" i="2" s="1"/>
  <c r="Q193" i="2" s="1"/>
  <c r="T193" i="2" s="1"/>
  <c r="W193" i="2" s="1"/>
  <c r="Z193" i="2" s="1"/>
  <c r="AC193" i="2" s="1"/>
  <c r="AF193" i="2" s="1"/>
  <c r="AI193" i="2" s="1"/>
  <c r="AK46" i="38" s="1"/>
  <c r="AJ192" i="1"/>
  <c r="AI192" i="1"/>
  <c r="AG192" i="1"/>
  <c r="AF192" i="1"/>
  <c r="AD192" i="1"/>
  <c r="AC192" i="1"/>
  <c r="AA192" i="1"/>
  <c r="Z192" i="1"/>
  <c r="X192" i="1"/>
  <c r="W192" i="1"/>
  <c r="U192" i="1"/>
  <c r="T192" i="1"/>
  <c r="R192" i="1"/>
  <c r="Q192" i="1"/>
  <c r="AO192" i="1" s="1"/>
  <c r="O192" i="1"/>
  <c r="N192" i="1"/>
  <c r="L192" i="1"/>
  <c r="K192" i="1"/>
  <c r="I192" i="1"/>
  <c r="H192" i="1"/>
  <c r="F192" i="1"/>
  <c r="AP192" i="1" s="1"/>
  <c r="E192" i="1"/>
  <c r="C192" i="1"/>
  <c r="C192" i="2" s="1"/>
  <c r="B192" i="1"/>
  <c r="B192" i="2" s="1"/>
  <c r="E192" i="2" s="1"/>
  <c r="H192" i="2" s="1"/>
  <c r="K192" i="2" s="1"/>
  <c r="N192" i="2" s="1"/>
  <c r="Q192" i="2" s="1"/>
  <c r="T192" i="2" s="1"/>
  <c r="W192" i="2" s="1"/>
  <c r="Z192" i="2" s="1"/>
  <c r="AC192" i="2" s="1"/>
  <c r="AF192" i="2" s="1"/>
  <c r="AI192" i="2" s="1"/>
  <c r="AK36" i="38" s="1"/>
  <c r="AJ191" i="1"/>
  <c r="AI191" i="1"/>
  <c r="AG191" i="1"/>
  <c r="AF191" i="1"/>
  <c r="AD191" i="1"/>
  <c r="AC191" i="1"/>
  <c r="AA191" i="1"/>
  <c r="Z191" i="1"/>
  <c r="X191" i="1"/>
  <c r="W191" i="1"/>
  <c r="U191" i="1"/>
  <c r="T191" i="1"/>
  <c r="R191" i="1"/>
  <c r="Q191" i="1"/>
  <c r="O191" i="1"/>
  <c r="N191" i="1"/>
  <c r="L191" i="1"/>
  <c r="K191" i="1"/>
  <c r="AO191" i="1" s="1"/>
  <c r="I191" i="1"/>
  <c r="AP191" i="1" s="1"/>
  <c r="H191" i="1"/>
  <c r="F191" i="1"/>
  <c r="E191" i="1"/>
  <c r="C191" i="1"/>
  <c r="C191" i="2" s="1"/>
  <c r="B191" i="1"/>
  <c r="B191" i="2" s="1"/>
  <c r="E191" i="2" s="1"/>
  <c r="H191" i="2" s="1"/>
  <c r="K191" i="2" s="1"/>
  <c r="N191" i="2" s="1"/>
  <c r="Q191" i="2" s="1"/>
  <c r="T191" i="2" s="1"/>
  <c r="W191" i="2" s="1"/>
  <c r="Z191" i="2" s="1"/>
  <c r="AC191" i="2" s="1"/>
  <c r="AF191" i="2" s="1"/>
  <c r="AI191" i="2" s="1"/>
  <c r="AK26" i="38" s="1"/>
  <c r="AJ190" i="1"/>
  <c r="AI190" i="1"/>
  <c r="AG190" i="1"/>
  <c r="AF190" i="1"/>
  <c r="AD190" i="1"/>
  <c r="AC190" i="1"/>
  <c r="AA190" i="1"/>
  <c r="Z190" i="1"/>
  <c r="X190" i="1"/>
  <c r="W190" i="1"/>
  <c r="U190" i="1"/>
  <c r="T190" i="1"/>
  <c r="R190" i="1"/>
  <c r="Q190" i="1"/>
  <c r="O190" i="1"/>
  <c r="N190" i="1"/>
  <c r="L190" i="1"/>
  <c r="K190" i="1"/>
  <c r="AO190" i="1" s="1"/>
  <c r="I190" i="1"/>
  <c r="AP190" i="1" s="1"/>
  <c r="H190" i="1"/>
  <c r="F190" i="1"/>
  <c r="E190" i="1"/>
  <c r="C190" i="1"/>
  <c r="C190" i="2" s="1"/>
  <c r="B190" i="1"/>
  <c r="B190" i="2" s="1"/>
  <c r="E190" i="2" s="1"/>
  <c r="H190" i="2" s="1"/>
  <c r="K190" i="2" s="1"/>
  <c r="N190" i="2" s="1"/>
  <c r="Q190" i="2" s="1"/>
  <c r="T190" i="2" s="1"/>
  <c r="W190" i="2" s="1"/>
  <c r="Z190" i="2" s="1"/>
  <c r="AC190" i="2" s="1"/>
  <c r="AF190" i="2" s="1"/>
  <c r="AI190" i="2" s="1"/>
  <c r="AK16" i="38" s="1"/>
  <c r="AJ189" i="1"/>
  <c r="AI189" i="1"/>
  <c r="AG189" i="1"/>
  <c r="AF189" i="1"/>
  <c r="AD189" i="1"/>
  <c r="AC189" i="1"/>
  <c r="AA189" i="1"/>
  <c r="Z189" i="1"/>
  <c r="X189" i="1"/>
  <c r="W189" i="1"/>
  <c r="U189" i="1"/>
  <c r="T189" i="1"/>
  <c r="R189" i="1"/>
  <c r="Q189" i="1"/>
  <c r="AO189" i="1" s="1"/>
  <c r="O189" i="1"/>
  <c r="N189" i="1"/>
  <c r="L189" i="1"/>
  <c r="K189" i="1"/>
  <c r="I189" i="1"/>
  <c r="H189" i="1"/>
  <c r="F189" i="1"/>
  <c r="AP189" i="1" s="1"/>
  <c r="E189" i="1"/>
  <c r="C189" i="1"/>
  <c r="C189" i="2" s="1"/>
  <c r="B189" i="1"/>
  <c r="B189" i="2" s="1"/>
  <c r="E189" i="2" s="1"/>
  <c r="H189" i="2" s="1"/>
  <c r="K189" i="2" s="1"/>
  <c r="N189" i="2" s="1"/>
  <c r="Q189" i="2" s="1"/>
  <c r="T189" i="2" s="1"/>
  <c r="W189" i="2" s="1"/>
  <c r="Z189" i="2" s="1"/>
  <c r="AC189" i="2" s="1"/>
  <c r="AF189" i="2" s="1"/>
  <c r="AI189" i="2" s="1"/>
  <c r="AK6" i="38" s="1"/>
  <c r="AO187" i="1"/>
  <c r="AJ186" i="1"/>
  <c r="AG186" i="1"/>
  <c r="AD186" i="1"/>
  <c r="AA186" i="1"/>
  <c r="X186" i="1"/>
  <c r="U186" i="1"/>
  <c r="R186" i="1"/>
  <c r="L186" i="1"/>
  <c r="I186" i="1"/>
  <c r="AJ183" i="1"/>
  <c r="AI183" i="1"/>
  <c r="AG183" i="1"/>
  <c r="AF183" i="1"/>
  <c r="AD183" i="1"/>
  <c r="AC183" i="1"/>
  <c r="AA183" i="1"/>
  <c r="Z183" i="1"/>
  <c r="X183" i="1"/>
  <c r="W183" i="1"/>
  <c r="U183" i="1"/>
  <c r="T183" i="1"/>
  <c r="R183" i="1"/>
  <c r="Q183" i="1"/>
  <c r="AO183" i="1" s="1"/>
  <c r="O183" i="1"/>
  <c r="N183" i="1"/>
  <c r="L183" i="1"/>
  <c r="K183" i="1"/>
  <c r="I183" i="1"/>
  <c r="H183" i="1"/>
  <c r="F183" i="1"/>
  <c r="E183" i="1"/>
  <c r="C183" i="1"/>
  <c r="AP183" i="1" s="1"/>
  <c r="B183" i="1"/>
  <c r="AJ182" i="1"/>
  <c r="AI182" i="1"/>
  <c r="AG182" i="1"/>
  <c r="AF182" i="1"/>
  <c r="AD182" i="1"/>
  <c r="AC182" i="1"/>
  <c r="AA182" i="1"/>
  <c r="Z182" i="1"/>
  <c r="X182" i="1"/>
  <c r="W182" i="1"/>
  <c r="U182" i="1"/>
  <c r="T182" i="1"/>
  <c r="R182" i="1"/>
  <c r="Q182" i="1"/>
  <c r="O182" i="1"/>
  <c r="N182" i="1"/>
  <c r="L182" i="1"/>
  <c r="K182" i="1"/>
  <c r="AO182" i="1" s="1"/>
  <c r="I182" i="1"/>
  <c r="H182" i="1"/>
  <c r="F182" i="1"/>
  <c r="E182" i="1"/>
  <c r="C182" i="1"/>
  <c r="AP182" i="1" s="1"/>
  <c r="B182" i="1"/>
  <c r="B182" i="2" s="1"/>
  <c r="E182" i="2" s="1"/>
  <c r="H182" i="2" s="1"/>
  <c r="K182" i="2" s="1"/>
  <c r="N182" i="2" s="1"/>
  <c r="Q182" i="2" s="1"/>
  <c r="T182" i="2" s="1"/>
  <c r="W182" i="2" s="1"/>
  <c r="Z182" i="2" s="1"/>
  <c r="AC182" i="2" s="1"/>
  <c r="AF182" i="2" s="1"/>
  <c r="AI182" i="2" s="1"/>
  <c r="AJ181" i="1"/>
  <c r="AI181" i="1"/>
  <c r="AG181" i="1"/>
  <c r="AF181" i="1"/>
  <c r="AD181" i="1"/>
  <c r="AC181" i="1"/>
  <c r="AA181" i="1"/>
  <c r="Z181" i="1"/>
  <c r="X181" i="1"/>
  <c r="W181" i="1"/>
  <c r="U181" i="1"/>
  <c r="T181" i="1"/>
  <c r="R181" i="1"/>
  <c r="Q181" i="1"/>
  <c r="O181" i="1"/>
  <c r="N181" i="1"/>
  <c r="L181" i="1"/>
  <c r="K181" i="1"/>
  <c r="AO181" i="1" s="1"/>
  <c r="I181" i="1"/>
  <c r="H181" i="1"/>
  <c r="F181" i="1"/>
  <c r="E181" i="1"/>
  <c r="C181" i="1"/>
  <c r="C181" i="2" s="1"/>
  <c r="B181" i="1"/>
  <c r="B181" i="2" s="1"/>
  <c r="E181" i="2" s="1"/>
  <c r="H181" i="2" s="1"/>
  <c r="K181" i="2" s="1"/>
  <c r="N181" i="2" s="1"/>
  <c r="Q181" i="2" s="1"/>
  <c r="T181" i="2" s="1"/>
  <c r="W181" i="2" s="1"/>
  <c r="Z181" i="2" s="1"/>
  <c r="AC181" i="2" s="1"/>
  <c r="AF181" i="2" s="1"/>
  <c r="AI181" i="2" s="1"/>
  <c r="AJ180" i="1"/>
  <c r="AI180" i="1"/>
  <c r="AG180" i="1"/>
  <c r="AF180" i="1"/>
  <c r="AD180" i="1"/>
  <c r="AC180" i="1"/>
  <c r="AA180" i="1"/>
  <c r="Z180" i="1"/>
  <c r="X180" i="1"/>
  <c r="W180" i="1"/>
  <c r="U180" i="1"/>
  <c r="T180" i="1"/>
  <c r="R180" i="1"/>
  <c r="Q180" i="1"/>
  <c r="O180" i="1"/>
  <c r="N180" i="1"/>
  <c r="L180" i="1"/>
  <c r="K180" i="1"/>
  <c r="AO180" i="1" s="1"/>
  <c r="I180" i="1"/>
  <c r="H180" i="1"/>
  <c r="F180" i="1"/>
  <c r="E180" i="1"/>
  <c r="C180" i="1"/>
  <c r="C180" i="2" s="1"/>
  <c r="B180" i="1"/>
  <c r="B180" i="2" s="1"/>
  <c r="E180" i="2" s="1"/>
  <c r="H180" i="2" s="1"/>
  <c r="K180" i="2" s="1"/>
  <c r="N180" i="2" s="1"/>
  <c r="Q180" i="2" s="1"/>
  <c r="T180" i="2" s="1"/>
  <c r="W180" i="2" s="1"/>
  <c r="AJ179" i="1"/>
  <c r="AI179" i="1"/>
  <c r="AG179" i="1"/>
  <c r="AF179" i="1"/>
  <c r="AD179" i="1"/>
  <c r="AC179" i="1"/>
  <c r="AA179" i="1"/>
  <c r="Z179" i="1"/>
  <c r="X179" i="1"/>
  <c r="W179" i="1"/>
  <c r="U179" i="1"/>
  <c r="T179" i="1"/>
  <c r="R179" i="1"/>
  <c r="Q179" i="1"/>
  <c r="O179" i="1"/>
  <c r="N179" i="1"/>
  <c r="L179" i="1"/>
  <c r="K179" i="1"/>
  <c r="AO179" i="1" s="1"/>
  <c r="I179" i="1"/>
  <c r="H179" i="1"/>
  <c r="F179" i="1"/>
  <c r="E179" i="1"/>
  <c r="C179" i="1"/>
  <c r="C179" i="2" s="1"/>
  <c r="B179" i="1"/>
  <c r="B179" i="2" s="1"/>
  <c r="E179" i="2" s="1"/>
  <c r="H179" i="2" s="1"/>
  <c r="K179" i="2" s="1"/>
  <c r="N179" i="2" s="1"/>
  <c r="Q179" i="2" s="1"/>
  <c r="T179" i="2" s="1"/>
  <c r="W179" i="2" s="1"/>
  <c r="Z179" i="2" s="1"/>
  <c r="AC179" i="2" s="1"/>
  <c r="AF179" i="2" s="1"/>
  <c r="AI179" i="2" s="1"/>
  <c r="AJ178" i="1"/>
  <c r="AI178" i="1"/>
  <c r="AG178" i="1"/>
  <c r="AF178" i="1"/>
  <c r="AD178" i="1"/>
  <c r="AC178" i="1"/>
  <c r="AA178" i="1"/>
  <c r="Z178" i="1"/>
  <c r="X178" i="1"/>
  <c r="W178" i="1"/>
  <c r="U178" i="1"/>
  <c r="T178" i="1"/>
  <c r="R178" i="1"/>
  <c r="Q178" i="1"/>
  <c r="AO178" i="1" s="1"/>
  <c r="O178" i="1"/>
  <c r="N178" i="1"/>
  <c r="L178" i="1"/>
  <c r="K178" i="1"/>
  <c r="I178" i="1"/>
  <c r="H178" i="1"/>
  <c r="F178" i="1"/>
  <c r="E178" i="1"/>
  <c r="C178" i="1"/>
  <c r="C178" i="2" s="1"/>
  <c r="B178" i="1"/>
  <c r="B178" i="2" s="1"/>
  <c r="E178" i="2" s="1"/>
  <c r="H178" i="2" s="1"/>
  <c r="K178" i="2" s="1"/>
  <c r="N178" i="2" s="1"/>
  <c r="Q178" i="2" s="1"/>
  <c r="T178" i="2" s="1"/>
  <c r="W178" i="2" s="1"/>
  <c r="Z178" i="2" s="1"/>
  <c r="AC178" i="2" s="1"/>
  <c r="AF178" i="2" s="1"/>
  <c r="AI178" i="2" s="1"/>
  <c r="AJ177" i="1"/>
  <c r="AI177" i="1"/>
  <c r="AG177" i="1"/>
  <c r="AF177" i="1"/>
  <c r="AD177" i="1"/>
  <c r="AC177" i="1"/>
  <c r="AA177" i="1"/>
  <c r="Z177" i="1"/>
  <c r="X177" i="1"/>
  <c r="W177" i="1"/>
  <c r="U177" i="1"/>
  <c r="T177" i="1"/>
  <c r="R177" i="1"/>
  <c r="Q177" i="1"/>
  <c r="AO177" i="1" s="1"/>
  <c r="O177" i="1"/>
  <c r="N177" i="1"/>
  <c r="L177" i="1"/>
  <c r="K177" i="1"/>
  <c r="I177" i="1"/>
  <c r="H177" i="1"/>
  <c r="F177" i="1"/>
  <c r="E177" i="1"/>
  <c r="C177" i="1"/>
  <c r="C177" i="2" s="1"/>
  <c r="B177" i="1"/>
  <c r="B177" i="2" s="1"/>
  <c r="E177" i="2" s="1"/>
  <c r="H177" i="2" s="1"/>
  <c r="K177" i="2" s="1"/>
  <c r="N177" i="2" s="1"/>
  <c r="Q177" i="2" s="1"/>
  <c r="T177" i="2" s="1"/>
  <c r="W177" i="2" s="1"/>
  <c r="Z177" i="2" s="1"/>
  <c r="AC177" i="2" s="1"/>
  <c r="AF177" i="2" s="1"/>
  <c r="AI177" i="2" s="1"/>
  <c r="AJ176" i="1"/>
  <c r="AI176" i="1"/>
  <c r="AG176" i="1"/>
  <c r="AF176" i="1"/>
  <c r="AD176" i="1"/>
  <c r="AC176" i="1"/>
  <c r="AA176" i="1"/>
  <c r="Z176" i="1"/>
  <c r="X176" i="1"/>
  <c r="W176" i="1"/>
  <c r="U176" i="1"/>
  <c r="T176" i="1"/>
  <c r="R176" i="1"/>
  <c r="Q176" i="1"/>
  <c r="O176" i="1"/>
  <c r="N176" i="1"/>
  <c r="L176" i="1"/>
  <c r="K176" i="1"/>
  <c r="AO176" i="1" s="1"/>
  <c r="I176" i="1"/>
  <c r="H176" i="1"/>
  <c r="F176" i="1"/>
  <c r="E176" i="1"/>
  <c r="C176" i="1"/>
  <c r="C176" i="2" s="1"/>
  <c r="B176" i="1"/>
  <c r="B176" i="2" s="1"/>
  <c r="E176" i="2" s="1"/>
  <c r="H176" i="2" s="1"/>
  <c r="K176" i="2" s="1"/>
  <c r="N176" i="2" s="1"/>
  <c r="Q176" i="2" s="1"/>
  <c r="T176" i="2" s="1"/>
  <c r="W176" i="2" s="1"/>
  <c r="Z176" i="2" s="1"/>
  <c r="AC176" i="2" s="1"/>
  <c r="AF176" i="2" s="1"/>
  <c r="AI176" i="2" s="1"/>
  <c r="AO174" i="1"/>
  <c r="AJ173" i="1"/>
  <c r="AG173" i="1"/>
  <c r="AF173" i="1"/>
  <c r="AD173" i="1"/>
  <c r="AC173" i="1"/>
  <c r="AA173" i="1"/>
  <c r="Z173" i="1"/>
  <c r="X173" i="1"/>
  <c r="U173" i="1"/>
  <c r="R173" i="1"/>
  <c r="Q173" i="1"/>
  <c r="AO173" i="1" s="1"/>
  <c r="N173" i="1"/>
  <c r="K173" i="1"/>
  <c r="H173" i="1"/>
  <c r="E173" i="1"/>
  <c r="B173" i="1"/>
  <c r="B173" i="2" s="1"/>
  <c r="E173" i="2" s="1"/>
  <c r="H173" i="2" s="1"/>
  <c r="AJ170" i="1"/>
  <c r="AI170" i="1"/>
  <c r="AG170" i="1"/>
  <c r="AF170" i="1"/>
  <c r="AD170" i="1"/>
  <c r="AC170" i="1"/>
  <c r="AA170" i="1"/>
  <c r="Z170" i="1"/>
  <c r="X170" i="1"/>
  <c r="X213" i="1" s="1"/>
  <c r="W170" i="1"/>
  <c r="U170" i="1"/>
  <c r="U213" i="1" s="1"/>
  <c r="T170" i="1"/>
  <c r="R170" i="1"/>
  <c r="R213" i="1" s="1"/>
  <c r="Q170" i="1"/>
  <c r="O170" i="1"/>
  <c r="O213" i="1" s="1"/>
  <c r="N170" i="1"/>
  <c r="L170" i="1"/>
  <c r="L213" i="1" s="1"/>
  <c r="K170" i="1"/>
  <c r="AO170" i="1" s="1"/>
  <c r="I170" i="1"/>
  <c r="I213" i="1" s="1"/>
  <c r="AP213" i="1" s="1"/>
  <c r="H170" i="1"/>
  <c r="F170" i="1"/>
  <c r="F213" i="1" s="1"/>
  <c r="E170" i="1"/>
  <c r="C170" i="1"/>
  <c r="C213" i="1" s="1"/>
  <c r="B170" i="1"/>
  <c r="B170" i="2" s="1"/>
  <c r="E170" i="2" s="1"/>
  <c r="H170" i="2" s="1"/>
  <c r="K170" i="2" s="1"/>
  <c r="N170" i="2" s="1"/>
  <c r="Q170" i="2" s="1"/>
  <c r="T170" i="2" s="1"/>
  <c r="W170" i="2" s="1"/>
  <c r="Z170" i="2" s="1"/>
  <c r="AC170" i="2" s="1"/>
  <c r="AF170" i="2" s="1"/>
  <c r="AI170" i="2" s="1"/>
  <c r="AJ169" i="1"/>
  <c r="AI169" i="1"/>
  <c r="AG169" i="1"/>
  <c r="AF169" i="1"/>
  <c r="AD169" i="1"/>
  <c r="AC169" i="1"/>
  <c r="AA169" i="1"/>
  <c r="Z169" i="1"/>
  <c r="X169" i="1"/>
  <c r="W169" i="1"/>
  <c r="U169" i="1"/>
  <c r="T169" i="1"/>
  <c r="R169" i="1"/>
  <c r="Q169" i="1"/>
  <c r="O169" i="1"/>
  <c r="N169" i="1"/>
  <c r="L169" i="1"/>
  <c r="K169" i="1"/>
  <c r="AO169" i="1" s="1"/>
  <c r="I169" i="1"/>
  <c r="H169" i="1"/>
  <c r="F169" i="1"/>
  <c r="E169" i="1"/>
  <c r="C169" i="1"/>
  <c r="C169" i="2" s="1"/>
  <c r="B169" i="1"/>
  <c r="B169" i="2" s="1"/>
  <c r="E169" i="2" s="1"/>
  <c r="H169" i="2" s="1"/>
  <c r="K169" i="2" s="1"/>
  <c r="N169" i="2" s="1"/>
  <c r="Q169" i="2" s="1"/>
  <c r="T169" i="2" s="1"/>
  <c r="W169" i="2" s="1"/>
  <c r="Z169" i="2" s="1"/>
  <c r="AC169" i="2" s="1"/>
  <c r="AF169" i="2" s="1"/>
  <c r="AI169" i="2" s="1"/>
  <c r="AJ168" i="1"/>
  <c r="AI168" i="1"/>
  <c r="AG168" i="1"/>
  <c r="AF168" i="1"/>
  <c r="AD168" i="1"/>
  <c r="AC168" i="1"/>
  <c r="AA168" i="1"/>
  <c r="Z168" i="1"/>
  <c r="X168" i="1"/>
  <c r="W168" i="1"/>
  <c r="U168" i="1"/>
  <c r="T168" i="1"/>
  <c r="R168" i="1"/>
  <c r="Q168" i="1"/>
  <c r="AO168" i="1" s="1"/>
  <c r="O168" i="1"/>
  <c r="N168" i="1"/>
  <c r="L168" i="1"/>
  <c r="K168" i="1"/>
  <c r="I168" i="1"/>
  <c r="H168" i="1"/>
  <c r="F168" i="1"/>
  <c r="E168" i="1"/>
  <c r="C168" i="1"/>
  <c r="C168" i="2" s="1"/>
  <c r="B168" i="1"/>
  <c r="B168" i="2" s="1"/>
  <c r="E168" i="2" s="1"/>
  <c r="H168" i="2" s="1"/>
  <c r="K168" i="2" s="1"/>
  <c r="N168" i="2" s="1"/>
  <c r="Q168" i="2" s="1"/>
  <c r="T168" i="2" s="1"/>
  <c r="W168" i="2" s="1"/>
  <c r="Z168" i="2" s="1"/>
  <c r="AC168" i="2" s="1"/>
  <c r="AF168" i="2" s="1"/>
  <c r="AI168" i="2" s="1"/>
  <c r="AJ167" i="1"/>
  <c r="AI167" i="1"/>
  <c r="AG167" i="1"/>
  <c r="AF167" i="1"/>
  <c r="AD167" i="1"/>
  <c r="AC167" i="1"/>
  <c r="AA167" i="1"/>
  <c r="Z167" i="1"/>
  <c r="X167" i="1"/>
  <c r="W167" i="1"/>
  <c r="U167" i="1"/>
  <c r="T167" i="1"/>
  <c r="R167" i="1"/>
  <c r="Q167" i="1"/>
  <c r="AO167" i="1" s="1"/>
  <c r="O167" i="1"/>
  <c r="N167" i="1"/>
  <c r="L167" i="1"/>
  <c r="K167" i="1"/>
  <c r="I167" i="1"/>
  <c r="H167" i="1"/>
  <c r="F167" i="1"/>
  <c r="E167" i="1"/>
  <c r="C167" i="1"/>
  <c r="C167" i="2" s="1"/>
  <c r="B167" i="1"/>
  <c r="B167" i="2" s="1"/>
  <c r="E167" i="2" s="1"/>
  <c r="H167" i="2" s="1"/>
  <c r="K167" i="2" s="1"/>
  <c r="N167" i="2" s="1"/>
  <c r="Q167" i="2" s="1"/>
  <c r="T167" i="2" s="1"/>
  <c r="W167" i="2" s="1"/>
  <c r="Z167" i="2" s="1"/>
  <c r="AC167" i="2" s="1"/>
  <c r="AF167" i="2" s="1"/>
  <c r="AI167" i="2" s="1"/>
  <c r="AJ166" i="1"/>
  <c r="AI166" i="1"/>
  <c r="AG166" i="1"/>
  <c r="AF166" i="1"/>
  <c r="AD166" i="1"/>
  <c r="AC166" i="1"/>
  <c r="AA166" i="1"/>
  <c r="Z166" i="1"/>
  <c r="X166" i="1"/>
  <c r="W166" i="1"/>
  <c r="U166" i="1"/>
  <c r="T166" i="1"/>
  <c r="R166" i="1"/>
  <c r="Q166" i="1"/>
  <c r="O166" i="1"/>
  <c r="N166" i="1"/>
  <c r="L166" i="1"/>
  <c r="K166" i="1"/>
  <c r="AO166" i="1" s="1"/>
  <c r="I166" i="1"/>
  <c r="H166" i="1"/>
  <c r="F166" i="1"/>
  <c r="E166" i="1"/>
  <c r="C166" i="1"/>
  <c r="B166" i="1"/>
  <c r="B166" i="2" s="1"/>
  <c r="E166" i="2" s="1"/>
  <c r="H166" i="2" s="1"/>
  <c r="K166" i="2" s="1"/>
  <c r="N166" i="2" s="1"/>
  <c r="Q166" i="2" s="1"/>
  <c r="T166" i="2" s="1"/>
  <c r="W166" i="2" s="1"/>
  <c r="Z166" i="2" s="1"/>
  <c r="AC166" i="2" s="1"/>
  <c r="AF166" i="2" s="1"/>
  <c r="AI166" i="2" s="1"/>
  <c r="AJ165" i="1"/>
  <c r="AI165" i="1"/>
  <c r="AG165" i="1"/>
  <c r="AF165" i="1"/>
  <c r="AD165" i="1"/>
  <c r="AC165" i="1"/>
  <c r="AA165" i="1"/>
  <c r="Z165" i="1"/>
  <c r="X165" i="1"/>
  <c r="W165" i="1"/>
  <c r="U165" i="1"/>
  <c r="T165" i="1"/>
  <c r="R165" i="1"/>
  <c r="Q165" i="1"/>
  <c r="O165" i="1"/>
  <c r="N165" i="1"/>
  <c r="L165" i="1"/>
  <c r="K165" i="1"/>
  <c r="AO165" i="1" s="1"/>
  <c r="I165" i="1"/>
  <c r="H165" i="1"/>
  <c r="F165" i="1"/>
  <c r="E165" i="1"/>
  <c r="C165" i="1"/>
  <c r="C165" i="2" s="1"/>
  <c r="B165" i="1"/>
  <c r="B165" i="2" s="1"/>
  <c r="E165" i="2" s="1"/>
  <c r="H165" i="2" s="1"/>
  <c r="K165" i="2" s="1"/>
  <c r="N165" i="2" s="1"/>
  <c r="Q165" i="2" s="1"/>
  <c r="T165" i="2" s="1"/>
  <c r="W165" i="2" s="1"/>
  <c r="Z165" i="2" s="1"/>
  <c r="AC165" i="2" s="1"/>
  <c r="AF165" i="2" s="1"/>
  <c r="AI165" i="2" s="1"/>
  <c r="AJ164" i="1"/>
  <c r="AI164" i="1"/>
  <c r="AG164" i="1"/>
  <c r="AF164" i="1"/>
  <c r="AD164" i="1"/>
  <c r="AC164" i="1"/>
  <c r="AA164" i="1"/>
  <c r="Z164" i="1"/>
  <c r="X164" i="1"/>
  <c r="W164" i="1"/>
  <c r="U164" i="1"/>
  <c r="T164" i="1"/>
  <c r="R164" i="1"/>
  <c r="Q164" i="1"/>
  <c r="O164" i="1"/>
  <c r="N164" i="1"/>
  <c r="L164" i="1"/>
  <c r="K164" i="1"/>
  <c r="AO164" i="1" s="1"/>
  <c r="I164" i="1"/>
  <c r="H164" i="1"/>
  <c r="F164" i="1"/>
  <c r="E164" i="1"/>
  <c r="C164" i="1"/>
  <c r="C164" i="2" s="1"/>
  <c r="B164" i="1"/>
  <c r="B164" i="2" s="1"/>
  <c r="E164" i="2" s="1"/>
  <c r="H164" i="2" s="1"/>
  <c r="K164" i="2" s="1"/>
  <c r="N164" i="2" s="1"/>
  <c r="Q164" i="2" s="1"/>
  <c r="T164" i="2" s="1"/>
  <c r="W164" i="2" s="1"/>
  <c r="Z164" i="2" s="1"/>
  <c r="AC164" i="2" s="1"/>
  <c r="AF164" i="2" s="1"/>
  <c r="AI164" i="2" s="1"/>
  <c r="AJ163" i="1"/>
  <c r="AI163" i="1"/>
  <c r="AG163" i="1"/>
  <c r="AF163" i="1"/>
  <c r="AD163" i="1"/>
  <c r="AC163" i="1"/>
  <c r="AA163" i="1"/>
  <c r="Z163" i="1"/>
  <c r="X163" i="1"/>
  <c r="W163" i="1"/>
  <c r="U163" i="1"/>
  <c r="T163" i="1"/>
  <c r="R163" i="1"/>
  <c r="Q163" i="1"/>
  <c r="O163" i="1"/>
  <c r="N163" i="1"/>
  <c r="L163" i="1"/>
  <c r="K163" i="1"/>
  <c r="AO163" i="1" s="1"/>
  <c r="I163" i="1"/>
  <c r="H163" i="1"/>
  <c r="F163" i="1"/>
  <c r="E163" i="1"/>
  <c r="C163" i="1"/>
  <c r="C163" i="2" s="1"/>
  <c r="B163" i="1"/>
  <c r="B163" i="2" s="1"/>
  <c r="E163" i="2" s="1"/>
  <c r="H163" i="2" s="1"/>
  <c r="K163" i="2" s="1"/>
  <c r="N163" i="2" s="1"/>
  <c r="Q163" i="2" s="1"/>
  <c r="T163" i="2" s="1"/>
  <c r="W163" i="2" s="1"/>
  <c r="Z163" i="2" s="1"/>
  <c r="AC163" i="2" s="1"/>
  <c r="AF163" i="2" s="1"/>
  <c r="AI163" i="2" s="1"/>
  <c r="AO161" i="1"/>
  <c r="AJ160" i="1"/>
  <c r="AG160" i="1"/>
  <c r="AD160" i="1"/>
  <c r="AA160" i="1"/>
  <c r="X160" i="1"/>
  <c r="U160" i="1"/>
  <c r="R160" i="1"/>
  <c r="O160" i="1"/>
  <c r="L160" i="1"/>
  <c r="I160" i="1"/>
  <c r="H160" i="1"/>
  <c r="E160" i="1"/>
  <c r="C160" i="1"/>
  <c r="C160" i="2" s="1"/>
  <c r="B160" i="1"/>
  <c r="B160" i="2" s="1"/>
  <c r="E160" i="2" s="1"/>
  <c r="H160" i="2" s="1"/>
  <c r="AP147" i="1"/>
  <c r="AO147" i="1"/>
  <c r="AJ146" i="1"/>
  <c r="AI146" i="1"/>
  <c r="AG146" i="1"/>
  <c r="AF146" i="1"/>
  <c r="AD146" i="1"/>
  <c r="AC146" i="1"/>
  <c r="AA146" i="1"/>
  <c r="Z146" i="1"/>
  <c r="X146" i="1"/>
  <c r="W146" i="1"/>
  <c r="U146" i="1"/>
  <c r="T146" i="1"/>
  <c r="R146" i="1"/>
  <c r="Q146" i="1"/>
  <c r="AO146" i="1" s="1"/>
  <c r="O146" i="1"/>
  <c r="N146" i="1"/>
  <c r="L146" i="1"/>
  <c r="K146" i="1"/>
  <c r="I146" i="1"/>
  <c r="H146" i="1"/>
  <c r="F146" i="1"/>
  <c r="E146" i="1"/>
  <c r="C146" i="1"/>
  <c r="C146" i="2" s="1"/>
  <c r="B146" i="1"/>
  <c r="B146" i="2" s="1"/>
  <c r="E146" i="2" s="1"/>
  <c r="H146" i="2" s="1"/>
  <c r="K146" i="2" s="1"/>
  <c r="N146" i="2" s="1"/>
  <c r="Q146" i="2" s="1"/>
  <c r="T146" i="2" s="1"/>
  <c r="W146" i="2" s="1"/>
  <c r="Z146" i="2" s="1"/>
  <c r="AC146" i="2" s="1"/>
  <c r="AF146" i="2" s="1"/>
  <c r="AI146" i="2" s="1"/>
  <c r="AJ145" i="1"/>
  <c r="AI145" i="1"/>
  <c r="AG145" i="1"/>
  <c r="AF145" i="1"/>
  <c r="AD145" i="1"/>
  <c r="AC145" i="1"/>
  <c r="AA145" i="1"/>
  <c r="Z145" i="1"/>
  <c r="X145" i="1"/>
  <c r="W145" i="1"/>
  <c r="U145" i="1"/>
  <c r="T145" i="1"/>
  <c r="R145" i="1"/>
  <c r="Q145" i="1"/>
  <c r="AO145" i="1" s="1"/>
  <c r="O145" i="1"/>
  <c r="N145" i="1"/>
  <c r="L145" i="1"/>
  <c r="K145" i="1"/>
  <c r="I145" i="1"/>
  <c r="H145" i="1"/>
  <c r="F145" i="1"/>
  <c r="E145" i="1"/>
  <c r="C145" i="1"/>
  <c r="C145" i="2" s="1"/>
  <c r="B145" i="1"/>
  <c r="B145" i="2" s="1"/>
  <c r="E145" i="2" s="1"/>
  <c r="H145" i="2" s="1"/>
  <c r="K145" i="2" s="1"/>
  <c r="N145" i="2" s="1"/>
  <c r="Q145" i="2" s="1"/>
  <c r="T145" i="2" s="1"/>
  <c r="W145" i="2" s="1"/>
  <c r="Z145" i="2" s="1"/>
  <c r="AC145" i="2" s="1"/>
  <c r="AF145" i="2" s="1"/>
  <c r="AI145" i="2" s="1"/>
  <c r="AJ144" i="1"/>
  <c r="AI144" i="1"/>
  <c r="AG144" i="1"/>
  <c r="AF144" i="1"/>
  <c r="AD144" i="1"/>
  <c r="AC144" i="1"/>
  <c r="AA144" i="1"/>
  <c r="Z144" i="1"/>
  <c r="X144" i="1"/>
  <c r="W144" i="1"/>
  <c r="U144" i="1"/>
  <c r="T144" i="1"/>
  <c r="R144" i="1"/>
  <c r="R187" i="1" s="1"/>
  <c r="Q144" i="1"/>
  <c r="O144" i="1"/>
  <c r="O187" i="1" s="1"/>
  <c r="N144" i="1"/>
  <c r="L144" i="1"/>
  <c r="L187" i="1" s="1"/>
  <c r="K144" i="1"/>
  <c r="AO144" i="1" s="1"/>
  <c r="I144" i="1"/>
  <c r="I187" i="1" s="1"/>
  <c r="H144" i="1"/>
  <c r="F144" i="1"/>
  <c r="F187" i="1" s="1"/>
  <c r="E144" i="1"/>
  <c r="C144" i="1"/>
  <c r="C144" i="2" s="1"/>
  <c r="B144" i="1"/>
  <c r="B144" i="2" s="1"/>
  <c r="E144" i="2" s="1"/>
  <c r="H144" i="2" s="1"/>
  <c r="K144" i="2" s="1"/>
  <c r="N144" i="2" s="1"/>
  <c r="Q144" i="2" s="1"/>
  <c r="T144" i="2" s="1"/>
  <c r="W144" i="2" s="1"/>
  <c r="Z144" i="2" s="1"/>
  <c r="AC144" i="2" s="1"/>
  <c r="AF144" i="2" s="1"/>
  <c r="AI144" i="2" s="1"/>
  <c r="AJ143" i="1"/>
  <c r="AI143" i="1"/>
  <c r="AG143" i="1"/>
  <c r="AF143" i="1"/>
  <c r="AD143" i="1"/>
  <c r="AC143" i="1"/>
  <c r="AA143" i="1"/>
  <c r="Z143" i="1"/>
  <c r="X143" i="1"/>
  <c r="W143" i="1"/>
  <c r="U143" i="1"/>
  <c r="T143" i="1"/>
  <c r="R143" i="1"/>
  <c r="Q143" i="1"/>
  <c r="AO143" i="1" s="1"/>
  <c r="O143" i="1"/>
  <c r="N143" i="1"/>
  <c r="L143" i="1"/>
  <c r="K143" i="1"/>
  <c r="I143" i="1"/>
  <c r="H143" i="1"/>
  <c r="F143" i="1"/>
  <c r="AP143" i="1" s="1"/>
  <c r="E143" i="1"/>
  <c r="C143" i="1"/>
  <c r="C143" i="2" s="1"/>
  <c r="B143" i="1"/>
  <c r="B143" i="2" s="1"/>
  <c r="E143" i="2" s="1"/>
  <c r="H143" i="2" s="1"/>
  <c r="K143" i="2" s="1"/>
  <c r="N143" i="2" s="1"/>
  <c r="Q143" i="2" s="1"/>
  <c r="T143" i="2" s="1"/>
  <c r="W143" i="2" s="1"/>
  <c r="Z143" i="2" s="1"/>
  <c r="AC143" i="2" s="1"/>
  <c r="AF143" i="2" s="1"/>
  <c r="AI143" i="2" s="1"/>
  <c r="AK45" i="38" s="1"/>
  <c r="AJ142" i="1"/>
  <c r="AI142" i="1"/>
  <c r="AG142" i="1"/>
  <c r="AF142" i="1"/>
  <c r="AD142" i="1"/>
  <c r="AC142" i="1"/>
  <c r="AA142" i="1"/>
  <c r="Z142" i="1"/>
  <c r="X142" i="1"/>
  <c r="W142" i="1"/>
  <c r="U142" i="1"/>
  <c r="T142" i="1"/>
  <c r="R142" i="1"/>
  <c r="Q142" i="1"/>
  <c r="O142" i="1"/>
  <c r="N142" i="1"/>
  <c r="L142" i="1"/>
  <c r="K142" i="1"/>
  <c r="AO142" i="1" s="1"/>
  <c r="I142" i="1"/>
  <c r="H142" i="1"/>
  <c r="F142" i="1"/>
  <c r="AP142" i="1" s="1"/>
  <c r="E142" i="1"/>
  <c r="C142" i="1"/>
  <c r="C142" i="2" s="1"/>
  <c r="B142" i="1"/>
  <c r="B142" i="2" s="1"/>
  <c r="E142" i="2" s="1"/>
  <c r="H142" i="2" s="1"/>
  <c r="K142" i="2" s="1"/>
  <c r="N142" i="2" s="1"/>
  <c r="Q142" i="2" s="1"/>
  <c r="T142" i="2" s="1"/>
  <c r="W142" i="2" s="1"/>
  <c r="Z142" i="2" s="1"/>
  <c r="AC142" i="2" s="1"/>
  <c r="AF142" i="2" s="1"/>
  <c r="AI142" i="2" s="1"/>
  <c r="AK35" i="38" s="1"/>
  <c r="AJ141" i="1"/>
  <c r="AI141" i="1"/>
  <c r="AG141" i="1"/>
  <c r="AF141" i="1"/>
  <c r="AD141" i="1"/>
  <c r="AC141" i="1"/>
  <c r="AA141" i="1"/>
  <c r="Z141" i="1"/>
  <c r="X141" i="1"/>
  <c r="W141" i="1"/>
  <c r="U141" i="1"/>
  <c r="T141" i="1"/>
  <c r="R141" i="1"/>
  <c r="Q141" i="1"/>
  <c r="O141" i="1"/>
  <c r="N141" i="1"/>
  <c r="L141" i="1"/>
  <c r="K141" i="1"/>
  <c r="AO141" i="1" s="1"/>
  <c r="I141" i="1"/>
  <c r="H141" i="1"/>
  <c r="F141" i="1"/>
  <c r="AP141" i="1" s="1"/>
  <c r="E141" i="1"/>
  <c r="C141" i="1"/>
  <c r="C141" i="2" s="1"/>
  <c r="B141" i="1"/>
  <c r="B141" i="2" s="1"/>
  <c r="E141" i="2" s="1"/>
  <c r="H141" i="2" s="1"/>
  <c r="K141" i="2" s="1"/>
  <c r="N141" i="2" s="1"/>
  <c r="Q141" i="2" s="1"/>
  <c r="T141" i="2" s="1"/>
  <c r="W141" i="2" s="1"/>
  <c r="Z141" i="2" s="1"/>
  <c r="AC141" i="2" s="1"/>
  <c r="AF141" i="2" s="1"/>
  <c r="AI141" i="2" s="1"/>
  <c r="AK25" i="38" s="1"/>
  <c r="AJ140" i="1"/>
  <c r="AI140" i="1"/>
  <c r="AG140" i="1"/>
  <c r="AF140" i="1"/>
  <c r="AD140" i="1"/>
  <c r="AC140" i="1"/>
  <c r="AA140" i="1"/>
  <c r="Z140" i="1"/>
  <c r="X140" i="1"/>
  <c r="W140" i="1"/>
  <c r="U140" i="1"/>
  <c r="T140" i="1"/>
  <c r="R140" i="1"/>
  <c r="Q140" i="1"/>
  <c r="AO140" i="1" s="1"/>
  <c r="O140" i="1"/>
  <c r="N140" i="1"/>
  <c r="L140" i="1"/>
  <c r="K140" i="1"/>
  <c r="I140" i="1"/>
  <c r="H140" i="1"/>
  <c r="F140" i="1"/>
  <c r="AP140" i="1" s="1"/>
  <c r="E140" i="1"/>
  <c r="C140" i="1"/>
  <c r="C140" i="2" s="1"/>
  <c r="B140" i="1"/>
  <c r="B140" i="2" s="1"/>
  <c r="E140" i="2" s="1"/>
  <c r="H140" i="2" s="1"/>
  <c r="K140" i="2" s="1"/>
  <c r="N140" i="2" s="1"/>
  <c r="Q140" i="2" s="1"/>
  <c r="T140" i="2" s="1"/>
  <c r="W140" i="2" s="1"/>
  <c r="Z140" i="2" s="1"/>
  <c r="AC140" i="2" s="1"/>
  <c r="AF140" i="2" s="1"/>
  <c r="AI140" i="2" s="1"/>
  <c r="AK15" i="38" s="1"/>
  <c r="AJ139" i="1"/>
  <c r="AI139" i="1"/>
  <c r="AG139" i="1"/>
  <c r="AF139" i="1"/>
  <c r="AD139" i="1"/>
  <c r="AC139" i="1"/>
  <c r="AA139" i="1"/>
  <c r="Z139" i="1"/>
  <c r="X139" i="1"/>
  <c r="W139" i="1"/>
  <c r="U139" i="1"/>
  <c r="T139" i="1"/>
  <c r="R139" i="1"/>
  <c r="Q139" i="1"/>
  <c r="O139" i="1"/>
  <c r="N139" i="1"/>
  <c r="L139" i="1"/>
  <c r="K139" i="1"/>
  <c r="AO139" i="1" s="1"/>
  <c r="I139" i="1"/>
  <c r="H139" i="1"/>
  <c r="F139" i="1"/>
  <c r="AP139" i="1" s="1"/>
  <c r="E139" i="1"/>
  <c r="C139" i="1"/>
  <c r="C139" i="2" s="1"/>
  <c r="B139" i="1"/>
  <c r="B139" i="2" s="1"/>
  <c r="E139" i="2" s="1"/>
  <c r="H139" i="2" s="1"/>
  <c r="K139" i="2" s="1"/>
  <c r="N139" i="2" s="1"/>
  <c r="Q139" i="2" s="1"/>
  <c r="T139" i="2" s="1"/>
  <c r="W139" i="2" s="1"/>
  <c r="Z139" i="2" s="1"/>
  <c r="AC139" i="2" s="1"/>
  <c r="AF139" i="2" s="1"/>
  <c r="AI139" i="2" s="1"/>
  <c r="AK5" i="38" s="1"/>
  <c r="AO137" i="1"/>
  <c r="AJ137" i="1"/>
  <c r="AG137" i="1"/>
  <c r="AD137" i="1"/>
  <c r="AJ136" i="1"/>
  <c r="AI136" i="1"/>
  <c r="AG136" i="1"/>
  <c r="AF136" i="1"/>
  <c r="AD136" i="1"/>
  <c r="AC136" i="1"/>
  <c r="Z136" i="1"/>
  <c r="W136" i="1"/>
  <c r="U136" i="1"/>
  <c r="T136" i="1"/>
  <c r="R136" i="1"/>
  <c r="Q136" i="1"/>
  <c r="AO136" i="1" s="1"/>
  <c r="O136" i="1"/>
  <c r="N136" i="1"/>
  <c r="K136" i="1"/>
  <c r="H136" i="1"/>
  <c r="E136" i="1"/>
  <c r="B136" i="1"/>
  <c r="B136" i="2" s="1"/>
  <c r="E136" i="2" s="1"/>
  <c r="H136" i="2" s="1"/>
  <c r="K136" i="2" s="1"/>
  <c r="N136" i="2" s="1"/>
  <c r="Q136" i="2" s="1"/>
  <c r="T136" i="2" s="1"/>
  <c r="W136" i="2" s="1"/>
  <c r="Z136" i="2" s="1"/>
  <c r="AC136" i="2" s="1"/>
  <c r="AF136" i="2" s="1"/>
  <c r="AI136" i="2" s="1"/>
  <c r="AP123" i="1"/>
  <c r="AO123" i="1"/>
  <c r="AJ122" i="1"/>
  <c r="AJ133" i="1" s="1"/>
  <c r="AI122" i="1"/>
  <c r="AG122" i="1"/>
  <c r="AG133" i="1" s="1"/>
  <c r="AF122" i="1"/>
  <c r="AD122" i="1"/>
  <c r="AD133" i="1" s="1"/>
  <c r="AC122" i="1"/>
  <c r="AA122" i="1"/>
  <c r="Z122" i="1"/>
  <c r="X122" i="1"/>
  <c r="W122" i="1"/>
  <c r="U122" i="1"/>
  <c r="T122" i="1"/>
  <c r="R122" i="1"/>
  <c r="Q122" i="1"/>
  <c r="AO122" i="1" s="1"/>
  <c r="O122" i="1"/>
  <c r="N122" i="1"/>
  <c r="L122" i="1"/>
  <c r="K122" i="1"/>
  <c r="I122" i="1"/>
  <c r="H122" i="1"/>
  <c r="F122" i="1"/>
  <c r="E122" i="1"/>
  <c r="C122" i="1"/>
  <c r="C122" i="2" s="1"/>
  <c r="B122" i="1"/>
  <c r="B122" i="2" s="1"/>
  <c r="E122" i="2" s="1"/>
  <c r="H122" i="2" s="1"/>
  <c r="K122" i="2" s="1"/>
  <c r="N122" i="2" s="1"/>
  <c r="Q122" i="2" s="1"/>
  <c r="T122" i="2" s="1"/>
  <c r="W122" i="2" s="1"/>
  <c r="Z122" i="2" s="1"/>
  <c r="AC122" i="2" s="1"/>
  <c r="AF122" i="2" s="1"/>
  <c r="AI122" i="2" s="1"/>
  <c r="AJ121" i="1"/>
  <c r="AJ132" i="1" s="1"/>
  <c r="AI121" i="1"/>
  <c r="AG121" i="1"/>
  <c r="AG132" i="1" s="1"/>
  <c r="AF121" i="1"/>
  <c r="AD121" i="1"/>
  <c r="AD132" i="1" s="1"/>
  <c r="AC121" i="1"/>
  <c r="AA121" i="1"/>
  <c r="Z121" i="1"/>
  <c r="X121" i="1"/>
  <c r="W121" i="1"/>
  <c r="U121" i="1"/>
  <c r="T121" i="1"/>
  <c r="R121" i="1"/>
  <c r="Q121" i="1"/>
  <c r="O121" i="1"/>
  <c r="N121" i="1"/>
  <c r="L121" i="1"/>
  <c r="K121" i="1"/>
  <c r="AO121" i="1" s="1"/>
  <c r="I121" i="1"/>
  <c r="H121" i="1"/>
  <c r="F121" i="1"/>
  <c r="E121" i="1"/>
  <c r="C121" i="1"/>
  <c r="C121" i="2" s="1"/>
  <c r="B121" i="1"/>
  <c r="B121" i="2" s="1"/>
  <c r="E121" i="2" s="1"/>
  <c r="H121" i="2" s="1"/>
  <c r="K121" i="2" s="1"/>
  <c r="N121" i="2" s="1"/>
  <c r="Q121" i="2" s="1"/>
  <c r="T121" i="2" s="1"/>
  <c r="W121" i="2" s="1"/>
  <c r="Z121" i="2" s="1"/>
  <c r="AC121" i="2" s="1"/>
  <c r="AF121" i="2" s="1"/>
  <c r="AI121" i="2" s="1"/>
  <c r="AJ120" i="1"/>
  <c r="AJ131" i="1" s="1"/>
  <c r="AJ174" i="1" s="1"/>
  <c r="AI120" i="1"/>
  <c r="AG120" i="1"/>
  <c r="AG131" i="1" s="1"/>
  <c r="AG174" i="1" s="1"/>
  <c r="AF120" i="1"/>
  <c r="AD120" i="1"/>
  <c r="AD131" i="1" s="1"/>
  <c r="AD174" i="1" s="1"/>
  <c r="AC120" i="1"/>
  <c r="AA120" i="1"/>
  <c r="Z120" i="1"/>
  <c r="X120" i="1"/>
  <c r="W120" i="1"/>
  <c r="U120" i="1"/>
  <c r="T120" i="1"/>
  <c r="R120" i="1"/>
  <c r="Q120" i="1"/>
  <c r="O120" i="1"/>
  <c r="N120" i="1"/>
  <c r="L120" i="1"/>
  <c r="K120" i="1"/>
  <c r="AO120" i="1" s="1"/>
  <c r="I120" i="1"/>
  <c r="H120" i="1"/>
  <c r="F120" i="1"/>
  <c r="E120" i="1"/>
  <c r="C120" i="1"/>
  <c r="C120" i="2" s="1"/>
  <c r="B120" i="1"/>
  <c r="B120" i="2" s="1"/>
  <c r="E120" i="2" s="1"/>
  <c r="H120" i="2" s="1"/>
  <c r="K120" i="2" s="1"/>
  <c r="N120" i="2" s="1"/>
  <c r="Q120" i="2" s="1"/>
  <c r="T120" i="2" s="1"/>
  <c r="W120" i="2" s="1"/>
  <c r="Z120" i="2" s="1"/>
  <c r="AC120" i="2" s="1"/>
  <c r="AF120" i="2" s="1"/>
  <c r="AI120" i="2" s="1"/>
  <c r="AJ119" i="1"/>
  <c r="AJ130" i="1" s="1"/>
  <c r="AI119" i="1"/>
  <c r="AG119" i="1"/>
  <c r="AG130" i="1" s="1"/>
  <c r="AF119" i="1"/>
  <c r="AD119" i="1"/>
  <c r="AD130" i="1" s="1"/>
  <c r="AC119" i="1"/>
  <c r="AA119" i="1"/>
  <c r="Z119" i="1"/>
  <c r="X119" i="1"/>
  <c r="W119" i="1"/>
  <c r="U119" i="1"/>
  <c r="T119" i="1"/>
  <c r="R119" i="1"/>
  <c r="Q119" i="1"/>
  <c r="O119" i="1"/>
  <c r="N119" i="1"/>
  <c r="L119" i="1"/>
  <c r="K119" i="1"/>
  <c r="AO119" i="1" s="1"/>
  <c r="I119" i="1"/>
  <c r="H119" i="1"/>
  <c r="F119" i="1"/>
  <c r="E119" i="1"/>
  <c r="C119" i="1"/>
  <c r="C119" i="2" s="1"/>
  <c r="B119" i="1"/>
  <c r="B119" i="2" s="1"/>
  <c r="E119" i="2" s="1"/>
  <c r="H119" i="2" s="1"/>
  <c r="K119" i="2" s="1"/>
  <c r="N119" i="2" s="1"/>
  <c r="Q119" i="2" s="1"/>
  <c r="T119" i="2" s="1"/>
  <c r="W119" i="2" s="1"/>
  <c r="Z119" i="2" s="1"/>
  <c r="AC119" i="2" s="1"/>
  <c r="AF119" i="2" s="1"/>
  <c r="AI119" i="2" s="1"/>
  <c r="AJ118" i="1"/>
  <c r="AI118" i="1"/>
  <c r="AG118" i="1"/>
  <c r="AF118" i="1"/>
  <c r="AD118" i="1"/>
  <c r="AC118" i="1"/>
  <c r="AA118" i="1"/>
  <c r="Z118" i="1"/>
  <c r="X118" i="1"/>
  <c r="W118" i="1"/>
  <c r="U118" i="1"/>
  <c r="T118" i="1"/>
  <c r="R118" i="1"/>
  <c r="R161" i="1" s="1"/>
  <c r="Q118" i="1"/>
  <c r="O118" i="1"/>
  <c r="O161" i="1" s="1"/>
  <c r="N118" i="1"/>
  <c r="L118" i="1"/>
  <c r="L161" i="1" s="1"/>
  <c r="K118" i="1"/>
  <c r="I118" i="1"/>
  <c r="I161" i="1" s="1"/>
  <c r="H118" i="1"/>
  <c r="F118" i="1"/>
  <c r="F161" i="1" s="1"/>
  <c r="E118" i="1"/>
  <c r="C118" i="1"/>
  <c r="C118" i="2" s="1"/>
  <c r="B118" i="1"/>
  <c r="AJ117" i="1"/>
  <c r="AJ128" i="1" s="1"/>
  <c r="AI117" i="1"/>
  <c r="AG117" i="1"/>
  <c r="AG128" i="1" s="1"/>
  <c r="AF117" i="1"/>
  <c r="AD117" i="1"/>
  <c r="AD128" i="1" s="1"/>
  <c r="AC117" i="1"/>
  <c r="AA117" i="1"/>
  <c r="Z117" i="1"/>
  <c r="X117" i="1"/>
  <c r="W117" i="1"/>
  <c r="U117" i="1"/>
  <c r="T117" i="1"/>
  <c r="R117" i="1"/>
  <c r="Q117" i="1"/>
  <c r="O117" i="1"/>
  <c r="N117" i="1"/>
  <c r="L117" i="1"/>
  <c r="K117" i="1"/>
  <c r="AO117" i="1" s="1"/>
  <c r="I117" i="1"/>
  <c r="H117" i="1"/>
  <c r="F117" i="1"/>
  <c r="E117" i="1"/>
  <c r="C117" i="1"/>
  <c r="C117" i="2" s="1"/>
  <c r="B117" i="1"/>
  <c r="AJ116" i="1"/>
  <c r="AJ127" i="1" s="1"/>
  <c r="AI116" i="1"/>
  <c r="AG116" i="1"/>
  <c r="AG127" i="1" s="1"/>
  <c r="AF116" i="1"/>
  <c r="AD116" i="1"/>
  <c r="AD127" i="1" s="1"/>
  <c r="AC116" i="1"/>
  <c r="AA116" i="1"/>
  <c r="Z116" i="1"/>
  <c r="X116" i="1"/>
  <c r="W116" i="1"/>
  <c r="U116" i="1"/>
  <c r="T116" i="1"/>
  <c r="R116" i="1"/>
  <c r="Q116" i="1"/>
  <c r="O116" i="1"/>
  <c r="N116" i="1"/>
  <c r="L116" i="1"/>
  <c r="K116" i="1"/>
  <c r="AO116" i="1" s="1"/>
  <c r="I116" i="1"/>
  <c r="H116" i="1"/>
  <c r="F116" i="1"/>
  <c r="E116" i="1"/>
  <c r="C116" i="1"/>
  <c r="C116" i="2" s="1"/>
  <c r="B116" i="1"/>
  <c r="B116" i="2" s="1"/>
  <c r="E116" i="2" s="1"/>
  <c r="H116" i="2" s="1"/>
  <c r="K116" i="2" s="1"/>
  <c r="N116" i="2" s="1"/>
  <c r="Q116" i="2" s="1"/>
  <c r="T116" i="2" s="1"/>
  <c r="W116" i="2" s="1"/>
  <c r="AJ115" i="1"/>
  <c r="AI115" i="1"/>
  <c r="AG115" i="1"/>
  <c r="AF115" i="1"/>
  <c r="AD115" i="1"/>
  <c r="AC115" i="1"/>
  <c r="AA115" i="1"/>
  <c r="Z115" i="1"/>
  <c r="X115" i="1"/>
  <c r="W115" i="1"/>
  <c r="U115" i="1"/>
  <c r="T115" i="1"/>
  <c r="R115" i="1"/>
  <c r="Q115" i="1"/>
  <c r="O115" i="1"/>
  <c r="N115" i="1"/>
  <c r="L115" i="1"/>
  <c r="K115" i="1"/>
  <c r="AO115" i="1" s="1"/>
  <c r="I115" i="1"/>
  <c r="H115" i="1"/>
  <c r="F115" i="1"/>
  <c r="E115" i="1"/>
  <c r="C115" i="1"/>
  <c r="C115" i="2" s="1"/>
  <c r="B115" i="1"/>
  <c r="B115" i="2" s="1"/>
  <c r="E115" i="2" s="1"/>
  <c r="H115" i="2" s="1"/>
  <c r="K115" i="2" s="1"/>
  <c r="N115" i="2" s="1"/>
  <c r="Q115" i="2" s="1"/>
  <c r="T115" i="2" s="1"/>
  <c r="W115" i="2" s="1"/>
  <c r="Z115" i="2" s="1"/>
  <c r="AC115" i="2" s="1"/>
  <c r="AF115" i="2" s="1"/>
  <c r="AI115" i="2" s="1"/>
  <c r="AJ113" i="1"/>
  <c r="AI113" i="1"/>
  <c r="AG113" i="1"/>
  <c r="AF113" i="1"/>
  <c r="AD113" i="1"/>
  <c r="AC113" i="1"/>
  <c r="AA113" i="1"/>
  <c r="Z113" i="1"/>
  <c r="X113" i="1"/>
  <c r="W113" i="1"/>
  <c r="U113" i="1"/>
  <c r="T113" i="1"/>
  <c r="R113" i="1"/>
  <c r="AP113" i="1" s="1"/>
  <c r="Q113" i="1"/>
  <c r="AO113" i="1" s="1"/>
  <c r="O113" i="1"/>
  <c r="N113" i="1"/>
  <c r="L113" i="1"/>
  <c r="K113" i="1"/>
  <c r="I113" i="1"/>
  <c r="H113" i="1"/>
  <c r="F113" i="1"/>
  <c r="E113" i="1"/>
  <c r="C113" i="1"/>
  <c r="B113" i="1"/>
  <c r="AP99" i="1"/>
  <c r="AO99" i="1"/>
  <c r="AJ98" i="1"/>
  <c r="AI98" i="1"/>
  <c r="AG98" i="1"/>
  <c r="AF98" i="1"/>
  <c r="AD98" i="1"/>
  <c r="AC98" i="1"/>
  <c r="AA98" i="1"/>
  <c r="Z98" i="1"/>
  <c r="X98" i="1"/>
  <c r="W98" i="1"/>
  <c r="U98" i="1"/>
  <c r="T98" i="1"/>
  <c r="R98" i="1"/>
  <c r="Q98" i="1"/>
  <c r="O98" i="1"/>
  <c r="N98" i="1"/>
  <c r="L98" i="1"/>
  <c r="K98" i="1"/>
  <c r="AO98" i="1" s="1"/>
  <c r="I98" i="1"/>
  <c r="H98" i="1"/>
  <c r="F98" i="1"/>
  <c r="E98" i="1"/>
  <c r="C98" i="1"/>
  <c r="C98" i="2" s="1"/>
  <c r="B98" i="1"/>
  <c r="AJ97" i="1"/>
  <c r="AI97" i="1"/>
  <c r="AG97" i="1"/>
  <c r="AF97" i="1"/>
  <c r="AD97" i="1"/>
  <c r="AC97" i="1"/>
  <c r="AA97" i="1"/>
  <c r="Z97" i="1"/>
  <c r="X97" i="1"/>
  <c r="W97" i="1"/>
  <c r="U97" i="1"/>
  <c r="T97" i="1"/>
  <c r="R97" i="1"/>
  <c r="Q97" i="1"/>
  <c r="O97" i="1"/>
  <c r="N97" i="1"/>
  <c r="L97" i="1"/>
  <c r="K97" i="1"/>
  <c r="AO97" i="1" s="1"/>
  <c r="I97" i="1"/>
  <c r="H97" i="1"/>
  <c r="F97" i="1"/>
  <c r="E97" i="1"/>
  <c r="C97" i="1"/>
  <c r="C97" i="2" s="1"/>
  <c r="B97" i="1"/>
  <c r="AJ96" i="1"/>
  <c r="AI96" i="1"/>
  <c r="AG96" i="1"/>
  <c r="AF96" i="1"/>
  <c r="AD96" i="1"/>
  <c r="AC96" i="1"/>
  <c r="AA96" i="1"/>
  <c r="Z96" i="1"/>
  <c r="X96" i="1"/>
  <c r="W96" i="1"/>
  <c r="U96" i="1"/>
  <c r="T96" i="1"/>
  <c r="R96" i="1"/>
  <c r="Q96" i="1"/>
  <c r="O96" i="1"/>
  <c r="N96" i="1"/>
  <c r="L96" i="1"/>
  <c r="K96" i="1"/>
  <c r="AO96" i="1" s="1"/>
  <c r="I96" i="1"/>
  <c r="H96" i="1"/>
  <c r="F96" i="1"/>
  <c r="E96" i="1"/>
  <c r="C96" i="1"/>
  <c r="C96" i="2" s="1"/>
  <c r="B96" i="1"/>
  <c r="AJ95" i="1"/>
  <c r="AJ106" i="1" s="1"/>
  <c r="AI95" i="1"/>
  <c r="AG95" i="1"/>
  <c r="AG106" i="1" s="1"/>
  <c r="AF95" i="1"/>
  <c r="AD95" i="1"/>
  <c r="AD106" i="1" s="1"/>
  <c r="AC95" i="1"/>
  <c r="AA95" i="1"/>
  <c r="Z95" i="1"/>
  <c r="X95" i="1"/>
  <c r="W95" i="1"/>
  <c r="U95" i="1"/>
  <c r="T95" i="1"/>
  <c r="R95" i="1"/>
  <c r="Q95" i="1"/>
  <c r="O95" i="1"/>
  <c r="N95" i="1"/>
  <c r="L95" i="1"/>
  <c r="K95" i="1"/>
  <c r="AO95" i="1" s="1"/>
  <c r="I95" i="1"/>
  <c r="H95" i="1"/>
  <c r="F95" i="1"/>
  <c r="E95" i="1"/>
  <c r="C95" i="1"/>
  <c r="C95" i="2" s="1"/>
  <c r="B95" i="1"/>
  <c r="B95" i="2" s="1"/>
  <c r="E95" i="2" s="1"/>
  <c r="H95" i="2" s="1"/>
  <c r="K95" i="2" s="1"/>
  <c r="N95" i="2" s="1"/>
  <c r="Q95" i="2" s="1"/>
  <c r="T95" i="2" s="1"/>
  <c r="W95" i="2" s="1"/>
  <c r="Z95" i="2" s="1"/>
  <c r="AC95" i="2" s="1"/>
  <c r="AF95" i="2" s="1"/>
  <c r="AI95" i="2" s="1"/>
  <c r="AJ94" i="1"/>
  <c r="AJ105" i="1" s="1"/>
  <c r="AI94" i="1"/>
  <c r="AG94" i="1"/>
  <c r="AG105" i="1" s="1"/>
  <c r="AF94" i="1"/>
  <c r="AD94" i="1"/>
  <c r="AD105" i="1" s="1"/>
  <c r="AC94" i="1"/>
  <c r="AA94" i="1"/>
  <c r="AA137" i="1" s="1"/>
  <c r="Z94" i="1"/>
  <c r="X94" i="1"/>
  <c r="X137" i="1" s="1"/>
  <c r="W94" i="1"/>
  <c r="U94" i="1"/>
  <c r="U137" i="1" s="1"/>
  <c r="T94" i="1"/>
  <c r="R94" i="1"/>
  <c r="R137" i="1" s="1"/>
  <c r="Q94" i="1"/>
  <c r="O94" i="1"/>
  <c r="O137" i="1" s="1"/>
  <c r="N94" i="1"/>
  <c r="L94" i="1"/>
  <c r="L137" i="1" s="1"/>
  <c r="K94" i="1"/>
  <c r="AO94" i="1" s="1"/>
  <c r="I94" i="1"/>
  <c r="I137" i="1" s="1"/>
  <c r="H94" i="1"/>
  <c r="F94" i="1"/>
  <c r="F137" i="1" s="1"/>
  <c r="E94" i="1"/>
  <c r="C94" i="1"/>
  <c r="C137" i="1" s="1"/>
  <c r="B94" i="1"/>
  <c r="B94" i="2" s="1"/>
  <c r="E94" i="2" s="1"/>
  <c r="H94" i="2" s="1"/>
  <c r="K94" i="2" s="1"/>
  <c r="N94" i="2" s="1"/>
  <c r="Q94" i="2" s="1"/>
  <c r="T94" i="2" s="1"/>
  <c r="W94" i="2" s="1"/>
  <c r="Z94" i="2" s="1"/>
  <c r="AC94" i="2" s="1"/>
  <c r="AF94" i="2" s="1"/>
  <c r="AI94" i="2" s="1"/>
  <c r="AJ93" i="1"/>
  <c r="AJ104" i="1" s="1"/>
  <c r="AI93" i="1"/>
  <c r="AG93" i="1"/>
  <c r="AG104" i="1" s="1"/>
  <c r="AF93" i="1"/>
  <c r="AD93" i="1"/>
  <c r="AD104" i="1" s="1"/>
  <c r="AC93" i="1"/>
  <c r="AA93" i="1"/>
  <c r="Z93" i="1"/>
  <c r="X93" i="1"/>
  <c r="W93" i="1"/>
  <c r="U93" i="1"/>
  <c r="T93" i="1"/>
  <c r="R93" i="1"/>
  <c r="Q93" i="1"/>
  <c r="O93" i="1"/>
  <c r="N93" i="1"/>
  <c r="L93" i="1"/>
  <c r="K93" i="1"/>
  <c r="AO93" i="1" s="1"/>
  <c r="I93" i="1"/>
  <c r="H93" i="1"/>
  <c r="F93" i="1"/>
  <c r="E93" i="1"/>
  <c r="C93" i="1"/>
  <c r="C93" i="2" s="1"/>
  <c r="B93" i="1"/>
  <c r="B93" i="2" s="1"/>
  <c r="E93" i="2" s="1"/>
  <c r="H93" i="2" s="1"/>
  <c r="K93" i="2" s="1"/>
  <c r="N93" i="2" s="1"/>
  <c r="Q93" i="2" s="1"/>
  <c r="T93" i="2" s="1"/>
  <c r="W93" i="2" s="1"/>
  <c r="Z93" i="2" s="1"/>
  <c r="AC93" i="2" s="1"/>
  <c r="AF93" i="2" s="1"/>
  <c r="AI93" i="2" s="1"/>
  <c r="AJ92" i="1"/>
  <c r="AJ103" i="1" s="1"/>
  <c r="AI92" i="1"/>
  <c r="AG92" i="1"/>
  <c r="AG103" i="1" s="1"/>
  <c r="AF92" i="1"/>
  <c r="AD92" i="1"/>
  <c r="AD103" i="1" s="1"/>
  <c r="AC92" i="1"/>
  <c r="AA92" i="1"/>
  <c r="Z92" i="1"/>
  <c r="X92" i="1"/>
  <c r="W92" i="1"/>
  <c r="U92" i="1"/>
  <c r="T92" i="1"/>
  <c r="R92" i="1"/>
  <c r="Q92" i="1"/>
  <c r="O92" i="1"/>
  <c r="N92" i="1"/>
  <c r="L92" i="1"/>
  <c r="K92" i="1"/>
  <c r="AO92" i="1" s="1"/>
  <c r="I92" i="1"/>
  <c r="H92" i="1"/>
  <c r="F92" i="1"/>
  <c r="E92" i="1"/>
  <c r="C92" i="1"/>
  <c r="C92" i="2" s="1"/>
  <c r="B92" i="1"/>
  <c r="B92" i="2" s="1"/>
  <c r="E92" i="2" s="1"/>
  <c r="H92" i="2" s="1"/>
  <c r="K92" i="2" s="1"/>
  <c r="N92" i="2" s="1"/>
  <c r="Q92" i="2" s="1"/>
  <c r="T92" i="2" s="1"/>
  <c r="W92" i="2" s="1"/>
  <c r="Z92" i="2" s="1"/>
  <c r="AC92" i="2" s="1"/>
  <c r="AF92" i="2" s="1"/>
  <c r="AI92" i="2" s="1"/>
  <c r="AJ91" i="1"/>
  <c r="AJ102" i="1" s="1"/>
  <c r="AI91" i="1"/>
  <c r="AG91" i="1"/>
  <c r="AG102" i="1" s="1"/>
  <c r="AF91" i="1"/>
  <c r="AD91" i="1"/>
  <c r="AD102" i="1" s="1"/>
  <c r="AC91" i="1"/>
  <c r="AA91" i="1"/>
  <c r="Z91" i="1"/>
  <c r="X91" i="1"/>
  <c r="W91" i="1"/>
  <c r="U91" i="1"/>
  <c r="T91" i="1"/>
  <c r="R91" i="1"/>
  <c r="Q91" i="1"/>
  <c r="O91" i="1"/>
  <c r="N91" i="1"/>
  <c r="L91" i="1"/>
  <c r="K91" i="1"/>
  <c r="AO91" i="1" s="1"/>
  <c r="I91" i="1"/>
  <c r="H91" i="1"/>
  <c r="F91" i="1"/>
  <c r="E91" i="1"/>
  <c r="C91" i="1"/>
  <c r="C91" i="2" s="1"/>
  <c r="B91" i="1"/>
  <c r="B91" i="2" s="1"/>
  <c r="E91" i="2" s="1"/>
  <c r="H91" i="2" s="1"/>
  <c r="K91" i="2" s="1"/>
  <c r="N91" i="2" s="1"/>
  <c r="Q91" i="2" s="1"/>
  <c r="T91" i="2" s="1"/>
  <c r="W91" i="2" s="1"/>
  <c r="Z91" i="2" s="1"/>
  <c r="AC91" i="2" s="1"/>
  <c r="AF91" i="2" s="1"/>
  <c r="AI91" i="2" s="1"/>
  <c r="AJ89" i="1"/>
  <c r="AI89" i="1"/>
  <c r="AG89" i="1"/>
  <c r="AF89" i="1"/>
  <c r="AD89" i="1"/>
  <c r="AC89" i="1"/>
  <c r="AA89" i="1"/>
  <c r="Z89" i="1"/>
  <c r="X89" i="1"/>
  <c r="W89" i="1"/>
  <c r="R89" i="1"/>
  <c r="AP89" i="1" s="1"/>
  <c r="Q89" i="1"/>
  <c r="AO89" i="1" s="1"/>
  <c r="O89" i="1"/>
  <c r="N89" i="1"/>
  <c r="L89" i="1"/>
  <c r="K89" i="1"/>
  <c r="I89" i="1"/>
  <c r="H89" i="1"/>
  <c r="F89" i="1"/>
  <c r="E89" i="1"/>
  <c r="C89" i="1"/>
  <c r="B89" i="1"/>
  <c r="AO87" i="1"/>
  <c r="AJ87" i="1"/>
  <c r="AG87" i="1"/>
  <c r="AD87" i="1"/>
  <c r="AA87" i="1"/>
  <c r="X87" i="1"/>
  <c r="U87" i="1"/>
  <c r="R87" i="1"/>
  <c r="AP87" i="1" s="1"/>
  <c r="O87" i="1"/>
  <c r="L87" i="1"/>
  <c r="I87" i="1"/>
  <c r="F87" i="1"/>
  <c r="C87" i="1"/>
  <c r="AP75" i="1"/>
  <c r="AO75" i="1"/>
  <c r="AP74" i="1"/>
  <c r="AO74" i="1"/>
  <c r="AP73" i="1"/>
  <c r="AO73" i="1"/>
  <c r="AP70" i="1"/>
  <c r="AM70" i="1" s="1"/>
  <c r="AO70" i="1"/>
  <c r="AP69" i="1"/>
  <c r="AO69" i="1"/>
  <c r="AP68" i="1"/>
  <c r="AO68" i="1"/>
  <c r="AP67" i="1"/>
  <c r="AO67" i="1"/>
  <c r="AP66" i="1"/>
  <c r="AO66" i="1"/>
  <c r="AP65" i="1"/>
  <c r="AO65" i="1"/>
  <c r="AP64" i="1"/>
  <c r="AO64" i="1"/>
  <c r="AP63" i="1"/>
  <c r="AO63" i="1"/>
  <c r="AP62" i="1"/>
  <c r="AO62" i="1"/>
  <c r="AP61" i="1"/>
  <c r="AO61" i="1"/>
  <c r="AP60" i="1"/>
  <c r="AO60" i="1"/>
  <c r="AP59" i="1"/>
  <c r="AO59" i="1"/>
  <c r="AP58" i="1"/>
  <c r="AO58" i="1"/>
  <c r="AP57" i="1"/>
  <c r="AO57" i="1"/>
  <c r="AP56" i="1"/>
  <c r="AO56" i="1"/>
  <c r="AP55" i="1"/>
  <c r="AO55" i="1"/>
  <c r="AP54" i="1"/>
  <c r="AO54" i="1"/>
  <c r="AP53" i="1"/>
  <c r="AO53" i="1"/>
  <c r="AP52" i="1"/>
  <c r="AO52" i="1"/>
  <c r="AP51" i="1"/>
  <c r="AO51" i="1"/>
  <c r="AP50" i="1"/>
  <c r="AO50" i="1"/>
  <c r="AP49" i="1"/>
  <c r="AO49" i="1"/>
  <c r="AP48" i="1"/>
  <c r="AO48" i="1"/>
  <c r="AP47" i="1"/>
  <c r="AO47" i="1"/>
  <c r="AM47" i="1" s="1"/>
  <c r="AP46" i="1"/>
  <c r="AO46" i="1"/>
  <c r="AP45" i="1"/>
  <c r="AO45" i="1"/>
  <c r="AM45" i="1" s="1"/>
  <c r="AP44" i="1"/>
  <c r="AO44" i="1"/>
  <c r="AJ43" i="1"/>
  <c r="AI43" i="1"/>
  <c r="AG43" i="1"/>
  <c r="AF43" i="1"/>
  <c r="AD43" i="1"/>
  <c r="AC43" i="1"/>
  <c r="AA43" i="1"/>
  <c r="Z43" i="1"/>
  <c r="X43" i="1"/>
  <c r="W43" i="1"/>
  <c r="U43" i="1"/>
  <c r="T43" i="1"/>
  <c r="R43" i="1"/>
  <c r="Q43" i="1"/>
  <c r="O43" i="1"/>
  <c r="N43" i="1"/>
  <c r="L43" i="1"/>
  <c r="K43" i="1"/>
  <c r="AO43" i="1" s="1"/>
  <c r="I43" i="1"/>
  <c r="H43" i="1"/>
  <c r="F43" i="1"/>
  <c r="E43" i="1"/>
  <c r="C43" i="1"/>
  <c r="C43" i="2" s="1"/>
  <c r="B43" i="1"/>
  <c r="B43" i="2" s="1"/>
  <c r="E43" i="2" s="1"/>
  <c r="H43" i="2" s="1"/>
  <c r="K43" i="2" s="1"/>
  <c r="N43" i="2" s="1"/>
  <c r="Q43" i="2" s="1"/>
  <c r="T43" i="2" s="1"/>
  <c r="W43" i="2" s="1"/>
  <c r="Z43" i="2" s="1"/>
  <c r="AC43" i="2" s="1"/>
  <c r="AF43" i="2" s="1"/>
  <c r="AI43" i="2" s="1"/>
  <c r="AJ42" i="1"/>
  <c r="AI42" i="1"/>
  <c r="AG42" i="1"/>
  <c r="AF42" i="1"/>
  <c r="AD42" i="1"/>
  <c r="AC42" i="1"/>
  <c r="AA42" i="1"/>
  <c r="Z42" i="1"/>
  <c r="X42" i="1"/>
  <c r="W42" i="1"/>
  <c r="U42" i="1"/>
  <c r="T42" i="1"/>
  <c r="R42" i="1"/>
  <c r="Q42" i="1"/>
  <c r="O42" i="1"/>
  <c r="N42" i="1"/>
  <c r="L42" i="1"/>
  <c r="K42" i="1"/>
  <c r="AO42" i="1" s="1"/>
  <c r="I42" i="1"/>
  <c r="H42" i="1"/>
  <c r="F42" i="1"/>
  <c r="E42" i="1"/>
  <c r="C42" i="1"/>
  <c r="C42" i="2" s="1"/>
  <c r="B42" i="1"/>
  <c r="B42" i="2" s="1"/>
  <c r="E42" i="2" s="1"/>
  <c r="H42" i="2" s="1"/>
  <c r="K42" i="2" s="1"/>
  <c r="N42" i="2" s="1"/>
  <c r="Q42" i="2" s="1"/>
  <c r="T42" i="2" s="1"/>
  <c r="W42" i="2" s="1"/>
  <c r="Z42" i="2" s="1"/>
  <c r="AC42" i="2" s="1"/>
  <c r="AF42" i="2" s="1"/>
  <c r="AI42" i="2" s="1"/>
  <c r="AJ41" i="1"/>
  <c r="AI41" i="1"/>
  <c r="AG41" i="1"/>
  <c r="AF41" i="1"/>
  <c r="AD41" i="1"/>
  <c r="AC41" i="1"/>
  <c r="AA41" i="1"/>
  <c r="Z41" i="1"/>
  <c r="X41" i="1"/>
  <c r="W41" i="1"/>
  <c r="U41" i="1"/>
  <c r="T41" i="1"/>
  <c r="R41" i="1"/>
  <c r="Q41" i="1"/>
  <c r="O41" i="1"/>
  <c r="N41" i="1"/>
  <c r="L41" i="1"/>
  <c r="K41" i="1"/>
  <c r="AO41" i="1" s="1"/>
  <c r="I41" i="1"/>
  <c r="H41" i="1"/>
  <c r="F41" i="1"/>
  <c r="E41" i="1"/>
  <c r="C41" i="1"/>
  <c r="C41" i="2" s="1"/>
  <c r="B41" i="1"/>
  <c r="B41" i="2" s="1"/>
  <c r="E41" i="2" s="1"/>
  <c r="H41" i="2" s="1"/>
  <c r="K41" i="2" s="1"/>
  <c r="N41" i="2" s="1"/>
  <c r="AJ40" i="1"/>
  <c r="AI40" i="1"/>
  <c r="AG40" i="1"/>
  <c r="AF40" i="1"/>
  <c r="AD40" i="1"/>
  <c r="AC40" i="1"/>
  <c r="AA40" i="1"/>
  <c r="Z40" i="1"/>
  <c r="X40" i="1"/>
  <c r="W40" i="1"/>
  <c r="U40" i="1"/>
  <c r="T40" i="1"/>
  <c r="R40" i="1"/>
  <c r="Q40" i="1"/>
  <c r="O40" i="1"/>
  <c r="N40" i="1"/>
  <c r="L40" i="1"/>
  <c r="K40" i="1"/>
  <c r="AO40" i="1" s="1"/>
  <c r="I40" i="1"/>
  <c r="H40" i="1"/>
  <c r="F40" i="1"/>
  <c r="E40" i="1"/>
  <c r="C40" i="1"/>
  <c r="C40" i="2" s="1"/>
  <c r="B40" i="1"/>
  <c r="B40" i="2" s="1"/>
  <c r="E40" i="2" s="1"/>
  <c r="H40" i="2" s="1"/>
  <c r="K40" i="2" s="1"/>
  <c r="N40" i="2" s="1"/>
  <c r="Q40" i="2" s="1"/>
  <c r="T40" i="2" s="1"/>
  <c r="W40" i="2" s="1"/>
  <c r="Z40" i="2" s="1"/>
  <c r="AC40" i="2" s="1"/>
  <c r="AF40" i="2" s="1"/>
  <c r="AI40" i="2" s="1"/>
  <c r="AJ39" i="1"/>
  <c r="AI39" i="1"/>
  <c r="AG39" i="1"/>
  <c r="AF39" i="1"/>
  <c r="AD39" i="1"/>
  <c r="AC39" i="1"/>
  <c r="AA39" i="1"/>
  <c r="Z39" i="1"/>
  <c r="X39" i="1"/>
  <c r="W39" i="1"/>
  <c r="U39" i="1"/>
  <c r="T39" i="1"/>
  <c r="R39" i="1"/>
  <c r="Q39" i="1"/>
  <c r="O39" i="1"/>
  <c r="N39" i="1"/>
  <c r="L39" i="1"/>
  <c r="K39" i="1"/>
  <c r="AO39" i="1" s="1"/>
  <c r="I39" i="1"/>
  <c r="H39" i="1"/>
  <c r="F39" i="1"/>
  <c r="E39" i="1"/>
  <c r="C39" i="1"/>
  <c r="C39" i="2" s="1"/>
  <c r="B39" i="1"/>
  <c r="B39" i="2" s="1"/>
  <c r="E39" i="2" s="1"/>
  <c r="H39" i="2" s="1"/>
  <c r="K39" i="2" s="1"/>
  <c r="N39" i="2" s="1"/>
  <c r="Q39" i="2" s="1"/>
  <c r="T39" i="2" s="1"/>
  <c r="W39" i="2" s="1"/>
  <c r="Z39" i="2" s="1"/>
  <c r="AC39" i="2" s="1"/>
  <c r="AF39" i="2" s="1"/>
  <c r="AI39" i="2" s="1"/>
  <c r="AJ38" i="1"/>
  <c r="AI38" i="1"/>
  <c r="AG38" i="1"/>
  <c r="AF38" i="1"/>
  <c r="AD38" i="1"/>
  <c r="AC38" i="1"/>
  <c r="AA38" i="1"/>
  <c r="Z38" i="1"/>
  <c r="X38" i="1"/>
  <c r="W38" i="1"/>
  <c r="U38" i="1"/>
  <c r="T38" i="1"/>
  <c r="R38" i="1"/>
  <c r="Q38" i="1"/>
  <c r="O38" i="1"/>
  <c r="N38" i="1"/>
  <c r="L38" i="1"/>
  <c r="K38" i="1"/>
  <c r="AO38" i="1" s="1"/>
  <c r="I38" i="1"/>
  <c r="H38" i="1"/>
  <c r="F38" i="1"/>
  <c r="E38" i="1"/>
  <c r="C38" i="1"/>
  <c r="C38" i="2" s="1"/>
  <c r="B38" i="1"/>
  <c r="B38" i="2" s="1"/>
  <c r="E38" i="2" s="1"/>
  <c r="H38" i="2" s="1"/>
  <c r="K38" i="2" s="1"/>
  <c r="N38" i="2" s="1"/>
  <c r="Q38" i="2" s="1"/>
  <c r="T38" i="2" s="1"/>
  <c r="W38" i="2" s="1"/>
  <c r="Z38" i="2" s="1"/>
  <c r="AC38" i="2" s="1"/>
  <c r="AF38" i="2" s="1"/>
  <c r="AI38" i="2" s="1"/>
  <c r="AJ37" i="1"/>
  <c r="AI37" i="1"/>
  <c r="AG37" i="1"/>
  <c r="AF37" i="1"/>
  <c r="AD37" i="1"/>
  <c r="AC37" i="1"/>
  <c r="AA37" i="1"/>
  <c r="Z37" i="1"/>
  <c r="X37" i="1"/>
  <c r="W37" i="1"/>
  <c r="U37" i="1"/>
  <c r="T37" i="1"/>
  <c r="R37" i="1"/>
  <c r="Q37" i="1"/>
  <c r="O37" i="1"/>
  <c r="N37" i="1"/>
  <c r="L37" i="1"/>
  <c r="K37" i="1"/>
  <c r="AO37" i="1" s="1"/>
  <c r="I37" i="1"/>
  <c r="H37" i="1"/>
  <c r="F37" i="1"/>
  <c r="E37" i="1"/>
  <c r="C37" i="1"/>
  <c r="C37" i="2" s="1"/>
  <c r="B37" i="1"/>
  <c r="B37" i="2" s="1"/>
  <c r="E37" i="2" s="1"/>
  <c r="H37" i="2" s="1"/>
  <c r="K37" i="2" s="1"/>
  <c r="N37" i="2" s="1"/>
  <c r="Q37" i="2" s="1"/>
  <c r="T37" i="2" s="1"/>
  <c r="W37" i="2" s="1"/>
  <c r="Z37" i="2" s="1"/>
  <c r="AC37" i="2" s="1"/>
  <c r="AF37" i="2" s="1"/>
  <c r="AI37" i="2" s="1"/>
  <c r="AJ36" i="1"/>
  <c r="AI36" i="1"/>
  <c r="AG36" i="1"/>
  <c r="AF36" i="1"/>
  <c r="AD36" i="1"/>
  <c r="AC36" i="1"/>
  <c r="AA36" i="1"/>
  <c r="Z36" i="1"/>
  <c r="X36" i="1"/>
  <c r="W36" i="1"/>
  <c r="U36" i="1"/>
  <c r="T36" i="1"/>
  <c r="R36" i="1"/>
  <c r="Q36" i="1"/>
  <c r="O36" i="1"/>
  <c r="N36" i="1"/>
  <c r="L36" i="1"/>
  <c r="K36" i="1"/>
  <c r="AO36" i="1" s="1"/>
  <c r="I36" i="1"/>
  <c r="H36" i="1"/>
  <c r="F36" i="1"/>
  <c r="E36" i="1"/>
  <c r="C36" i="1"/>
  <c r="AP36" i="1" s="1"/>
  <c r="B36" i="1"/>
  <c r="B36" i="2" s="1"/>
  <c r="E36" i="2" s="1"/>
  <c r="H36" i="2" s="1"/>
  <c r="K36" i="2" s="1"/>
  <c r="N36" i="2" s="1"/>
  <c r="Q36" i="2" s="1"/>
  <c r="T36" i="2" s="1"/>
  <c r="W36" i="2" s="1"/>
  <c r="Z36" i="2" s="1"/>
  <c r="AC36" i="2" s="1"/>
  <c r="AF36" i="2" s="1"/>
  <c r="AI36" i="2" s="1"/>
  <c r="AJ32" i="1"/>
  <c r="AG32" i="1"/>
  <c r="AD32" i="1"/>
  <c r="AA32" i="1"/>
  <c r="U32" i="1"/>
  <c r="R32" i="1"/>
  <c r="O32" i="1"/>
  <c r="AJ31" i="1"/>
  <c r="AG31" i="1"/>
  <c r="AD31" i="1"/>
  <c r="AJ30" i="1"/>
  <c r="AG30" i="1"/>
  <c r="AD30" i="1"/>
  <c r="AP29" i="1"/>
  <c r="AO29" i="1"/>
  <c r="AP28" i="1"/>
  <c r="AO28" i="1"/>
  <c r="AP18" i="1"/>
  <c r="AO18" i="1"/>
  <c r="AP17" i="1"/>
  <c r="AO17" i="1"/>
  <c r="AJ16" i="1"/>
  <c r="AI16" i="1"/>
  <c r="AG16" i="1"/>
  <c r="AF16" i="1"/>
  <c r="AD16" i="1"/>
  <c r="AC16" i="1"/>
  <c r="AA16" i="1"/>
  <c r="Z16" i="1"/>
  <c r="X16" i="1"/>
  <c r="W16" i="1"/>
  <c r="U16" i="1"/>
  <c r="T16" i="1"/>
  <c r="R16" i="1"/>
  <c r="Q16" i="1"/>
  <c r="O16" i="1"/>
  <c r="N16" i="1"/>
  <c r="L16" i="1"/>
  <c r="K16" i="1"/>
  <c r="I16" i="1"/>
  <c r="H16" i="1"/>
  <c r="F16" i="1"/>
  <c r="E16" i="1"/>
  <c r="C16" i="1"/>
  <c r="B16" i="1"/>
  <c r="AJ15" i="1"/>
  <c r="AI15" i="1"/>
  <c r="AG15" i="1"/>
  <c r="AF15" i="1"/>
  <c r="AD15" i="1"/>
  <c r="AC15" i="1"/>
  <c r="AA15" i="1"/>
  <c r="Z15" i="1"/>
  <c r="X15" i="1"/>
  <c r="W15" i="1"/>
  <c r="U15" i="1"/>
  <c r="T15" i="1"/>
  <c r="R15" i="1"/>
  <c r="Q15" i="1"/>
  <c r="O15" i="1"/>
  <c r="N15" i="1"/>
  <c r="L15" i="1"/>
  <c r="K15" i="1"/>
  <c r="I15" i="1"/>
  <c r="H15" i="1"/>
  <c r="F15" i="1"/>
  <c r="E15" i="1"/>
  <c r="C15" i="1"/>
  <c r="C15" i="2" s="1"/>
  <c r="B15" i="1"/>
  <c r="AJ14" i="1"/>
  <c r="AI14" i="1"/>
  <c r="AG14" i="1"/>
  <c r="AF14" i="1"/>
  <c r="AD14" i="1"/>
  <c r="AC14" i="1"/>
  <c r="AA14" i="1"/>
  <c r="Z14" i="1"/>
  <c r="X14" i="1"/>
  <c r="W14" i="1"/>
  <c r="U14" i="1"/>
  <c r="T14" i="1"/>
  <c r="R14" i="1"/>
  <c r="Q14" i="1"/>
  <c r="AO14" i="1" s="1"/>
  <c r="O14" i="1"/>
  <c r="N14" i="1"/>
  <c r="L14" i="1"/>
  <c r="K14" i="1"/>
  <c r="I14" i="1"/>
  <c r="H14" i="1"/>
  <c r="F14" i="1"/>
  <c r="E14" i="1"/>
  <c r="C14" i="1"/>
  <c r="B14" i="1"/>
  <c r="AJ13" i="1"/>
  <c r="AI13" i="1"/>
  <c r="AG13" i="1"/>
  <c r="AF13" i="1"/>
  <c r="AD13" i="1"/>
  <c r="AC13" i="1"/>
  <c r="AA13" i="1"/>
  <c r="Z13" i="1"/>
  <c r="X13" i="1"/>
  <c r="W13" i="1"/>
  <c r="U13" i="1"/>
  <c r="T13" i="1"/>
  <c r="R13" i="1"/>
  <c r="Q13" i="1"/>
  <c r="O13" i="1"/>
  <c r="N13" i="1"/>
  <c r="L13" i="1"/>
  <c r="K13" i="1"/>
  <c r="AO13" i="1" s="1"/>
  <c r="I13" i="1"/>
  <c r="H13" i="1"/>
  <c r="F13" i="1"/>
  <c r="E13" i="1"/>
  <c r="C13" i="1"/>
  <c r="B13" i="1"/>
  <c r="AJ12" i="1"/>
  <c r="AI12" i="1"/>
  <c r="AG12" i="1"/>
  <c r="AF12" i="1"/>
  <c r="AD12" i="1"/>
  <c r="AC12" i="1"/>
  <c r="AA12" i="1"/>
  <c r="Z12" i="1"/>
  <c r="X12" i="1"/>
  <c r="W12" i="1"/>
  <c r="U12" i="1"/>
  <c r="T12" i="1"/>
  <c r="R12" i="1"/>
  <c r="Q12" i="1"/>
  <c r="O12" i="1"/>
  <c r="N12" i="1"/>
  <c r="L12" i="1"/>
  <c r="K12" i="1"/>
  <c r="AO12" i="1" s="1"/>
  <c r="I12" i="1"/>
  <c r="AP12" i="1" s="1"/>
  <c r="H12" i="1"/>
  <c r="F12" i="1"/>
  <c r="E12" i="1"/>
  <c r="C12" i="1"/>
  <c r="B12" i="1"/>
  <c r="AJ11" i="1"/>
  <c r="AI11" i="1"/>
  <c r="AG11" i="1"/>
  <c r="AF11" i="1"/>
  <c r="AD11" i="1"/>
  <c r="AC11" i="1"/>
  <c r="AA11" i="1"/>
  <c r="Z11" i="1"/>
  <c r="X11" i="1"/>
  <c r="W11" i="1"/>
  <c r="U11" i="1"/>
  <c r="T11" i="1"/>
  <c r="R11" i="1"/>
  <c r="Q11" i="1"/>
  <c r="O11" i="1"/>
  <c r="N11" i="1"/>
  <c r="L11" i="1"/>
  <c r="K11" i="1"/>
  <c r="I11" i="1"/>
  <c r="AP11" i="1" s="1"/>
  <c r="H11" i="1"/>
  <c r="F11" i="1"/>
  <c r="E11" i="1"/>
  <c r="C11" i="1"/>
  <c r="C11" i="2" s="1"/>
  <c r="AJ10" i="1"/>
  <c r="AI10" i="1"/>
  <c r="AG10" i="1"/>
  <c r="AF10" i="1"/>
  <c r="AD10" i="1"/>
  <c r="AC10" i="1"/>
  <c r="AA10" i="1"/>
  <c r="Z10" i="1"/>
  <c r="X10" i="1"/>
  <c r="W10" i="1"/>
  <c r="U10" i="1"/>
  <c r="T10" i="1"/>
  <c r="R10" i="1"/>
  <c r="Q10" i="1"/>
  <c r="O10" i="1"/>
  <c r="N10" i="1"/>
  <c r="L10" i="1"/>
  <c r="K10" i="1"/>
  <c r="I10" i="1"/>
  <c r="H10" i="1"/>
  <c r="F10" i="1"/>
  <c r="E10" i="1"/>
  <c r="C10" i="1"/>
  <c r="B10" i="1"/>
  <c r="AJ9" i="1"/>
  <c r="AI9" i="1"/>
  <c r="AG9" i="1"/>
  <c r="AF9" i="1"/>
  <c r="AD9" i="1"/>
  <c r="AC9" i="1"/>
  <c r="AA9" i="1"/>
  <c r="Z9" i="1"/>
  <c r="X9" i="1"/>
  <c r="W9" i="1"/>
  <c r="U9" i="1"/>
  <c r="T9" i="1"/>
  <c r="R9" i="1"/>
  <c r="Q9" i="1"/>
  <c r="O9" i="1"/>
  <c r="N9" i="1"/>
  <c r="L9" i="1"/>
  <c r="K9" i="1"/>
  <c r="AO9" i="1" s="1"/>
  <c r="I9" i="1"/>
  <c r="H9" i="1"/>
  <c r="F9" i="1"/>
  <c r="E9" i="1"/>
  <c r="C9" i="1"/>
  <c r="B9" i="1"/>
  <c r="AJ6" i="1"/>
  <c r="AG6" i="1"/>
  <c r="AD6" i="1"/>
  <c r="AA6" i="1"/>
  <c r="X6" i="1"/>
  <c r="U6" i="1"/>
  <c r="R6" i="1"/>
  <c r="O6" i="1"/>
  <c r="AI4" i="1"/>
  <c r="AF4" i="1"/>
  <c r="AC4" i="1"/>
  <c r="Z4" i="1"/>
  <c r="W4" i="1"/>
  <c r="T4" i="1"/>
  <c r="Q4" i="1"/>
  <c r="AO4" i="1" s="1"/>
  <c r="N4" i="1"/>
  <c r="K4" i="1"/>
  <c r="H4" i="1"/>
  <c r="E4" i="1"/>
  <c r="B4" i="1"/>
  <c r="AI3" i="1"/>
  <c r="AF3" i="1"/>
  <c r="AC3" i="1"/>
  <c r="Z3" i="1"/>
  <c r="W3" i="1"/>
  <c r="T3" i="1"/>
  <c r="Q3" i="1"/>
  <c r="AO3" i="1" s="1"/>
  <c r="N3" i="1"/>
  <c r="K3" i="1"/>
  <c r="H3" i="1"/>
  <c r="E3" i="1"/>
  <c r="B3" i="1"/>
  <c r="B306" i="4"/>
  <c r="AJ259" i="4"/>
  <c r="AI259" i="4"/>
  <c r="AG259" i="4"/>
  <c r="AF259" i="4"/>
  <c r="AD259" i="4"/>
  <c r="AC259" i="4"/>
  <c r="AA259" i="4"/>
  <c r="Z259" i="4"/>
  <c r="X259" i="4"/>
  <c r="W259" i="4"/>
  <c r="U259" i="4"/>
  <c r="T259" i="4"/>
  <c r="AR259" i="4" s="1"/>
  <c r="R259" i="4"/>
  <c r="Q259" i="4"/>
  <c r="O259" i="4"/>
  <c r="N259" i="4"/>
  <c r="L259" i="4"/>
  <c r="K259" i="4"/>
  <c r="I259" i="4"/>
  <c r="H259" i="4"/>
  <c r="F259" i="4"/>
  <c r="E259" i="4"/>
  <c r="C259" i="4"/>
  <c r="B259" i="4"/>
  <c r="AJ258" i="4"/>
  <c r="AI258" i="4"/>
  <c r="AG258" i="4"/>
  <c r="AF258" i="4"/>
  <c r="AD258" i="4"/>
  <c r="AC258" i="4"/>
  <c r="AA258" i="4"/>
  <c r="Z258" i="4"/>
  <c r="X258" i="4"/>
  <c r="W258" i="4"/>
  <c r="U258" i="4"/>
  <c r="AS258" i="4" s="1"/>
  <c r="T258" i="4"/>
  <c r="AR258" i="4" s="1"/>
  <c r="R258" i="4"/>
  <c r="Q258" i="4"/>
  <c r="O258" i="4"/>
  <c r="N258" i="4"/>
  <c r="L258" i="4"/>
  <c r="K258" i="4"/>
  <c r="I258" i="4"/>
  <c r="H258" i="4"/>
  <c r="F258" i="4"/>
  <c r="E258" i="4"/>
  <c r="C258" i="4"/>
  <c r="B258" i="4"/>
  <c r="AJ257" i="4"/>
  <c r="AI257" i="4"/>
  <c r="AG257" i="4"/>
  <c r="AF257" i="4"/>
  <c r="AD257" i="4"/>
  <c r="AC257" i="4"/>
  <c r="AA257" i="4"/>
  <c r="Z257" i="4"/>
  <c r="X257" i="4"/>
  <c r="W257" i="4"/>
  <c r="U257" i="4"/>
  <c r="AS257" i="4" s="1"/>
  <c r="T257" i="4"/>
  <c r="R257" i="4"/>
  <c r="Q257" i="4"/>
  <c r="O257" i="4"/>
  <c r="N257" i="4"/>
  <c r="L257" i="4"/>
  <c r="K257" i="4"/>
  <c r="I257" i="4"/>
  <c r="H257" i="4"/>
  <c r="F257" i="4"/>
  <c r="E257" i="4"/>
  <c r="C257" i="4"/>
  <c r="B257" i="4"/>
  <c r="AJ256" i="4"/>
  <c r="AI256" i="4"/>
  <c r="AG256" i="4"/>
  <c r="AF256" i="4"/>
  <c r="AD256" i="4"/>
  <c r="AC256" i="4"/>
  <c r="AA256" i="4"/>
  <c r="Z256" i="4"/>
  <c r="X256" i="4"/>
  <c r="W256" i="4"/>
  <c r="U256" i="4"/>
  <c r="AS256" i="4" s="1"/>
  <c r="T256" i="4"/>
  <c r="AR256" i="4" s="1"/>
  <c r="R256" i="4"/>
  <c r="Q256" i="4"/>
  <c r="O256" i="4"/>
  <c r="N256" i="4"/>
  <c r="L256" i="4"/>
  <c r="K256" i="4"/>
  <c r="I256" i="4"/>
  <c r="H256" i="4"/>
  <c r="F256" i="4"/>
  <c r="E256" i="4"/>
  <c r="C256" i="4"/>
  <c r="B256" i="4"/>
  <c r="AJ255" i="4"/>
  <c r="AI255" i="4"/>
  <c r="AG255" i="4"/>
  <c r="AF255" i="4"/>
  <c r="AD255" i="4"/>
  <c r="AC255" i="4"/>
  <c r="AA255" i="4"/>
  <c r="Z255" i="4"/>
  <c r="X255" i="4"/>
  <c r="W255" i="4"/>
  <c r="U255" i="4"/>
  <c r="T255" i="4"/>
  <c r="AR255" i="4" s="1"/>
  <c r="R255" i="4"/>
  <c r="Q255" i="4"/>
  <c r="O255" i="4"/>
  <c r="N255" i="4"/>
  <c r="L255" i="4"/>
  <c r="K255" i="4"/>
  <c r="I255" i="4"/>
  <c r="H255" i="4"/>
  <c r="F255" i="4"/>
  <c r="E255" i="4"/>
  <c r="C255" i="4"/>
  <c r="B255" i="4"/>
  <c r="AJ254" i="4"/>
  <c r="AI254" i="4"/>
  <c r="AG254" i="4"/>
  <c r="AF254" i="4"/>
  <c r="AD254" i="4"/>
  <c r="AC254" i="4"/>
  <c r="AA254" i="4"/>
  <c r="Z254" i="4"/>
  <c r="X254" i="4"/>
  <c r="W254" i="4"/>
  <c r="U254" i="4"/>
  <c r="T254" i="4"/>
  <c r="AR254" i="4" s="1"/>
  <c r="R254" i="4"/>
  <c r="Q254" i="4"/>
  <c r="O254" i="4"/>
  <c r="N254" i="4"/>
  <c r="L254" i="4"/>
  <c r="K254" i="4"/>
  <c r="I254" i="4"/>
  <c r="H254" i="4"/>
  <c r="F254" i="4"/>
  <c r="E254" i="4"/>
  <c r="C254" i="4"/>
  <c r="B254" i="4"/>
  <c r="AJ253" i="4"/>
  <c r="AI253" i="4"/>
  <c r="AG253" i="4"/>
  <c r="AF253" i="4"/>
  <c r="AD253" i="4"/>
  <c r="AC253" i="4"/>
  <c r="AA253" i="4"/>
  <c r="Z253" i="4"/>
  <c r="X253" i="4"/>
  <c r="W253" i="4"/>
  <c r="U253" i="4"/>
  <c r="AS253" i="4" s="1"/>
  <c r="T253" i="4"/>
  <c r="AR253" i="4" s="1"/>
  <c r="R253" i="4"/>
  <c r="Q253" i="4"/>
  <c r="O253" i="4"/>
  <c r="N253" i="4"/>
  <c r="L253" i="4"/>
  <c r="K253" i="4"/>
  <c r="I253" i="4"/>
  <c r="H253" i="4"/>
  <c r="F253" i="4"/>
  <c r="E253" i="4"/>
  <c r="C253" i="4"/>
  <c r="B253" i="4"/>
  <c r="AJ252" i="4"/>
  <c r="AI252" i="4"/>
  <c r="AG252" i="4"/>
  <c r="AF252" i="4"/>
  <c r="AD252" i="4"/>
  <c r="AC252" i="4"/>
  <c r="AA252" i="4"/>
  <c r="Z252" i="4"/>
  <c r="X252" i="4"/>
  <c r="W252" i="4"/>
  <c r="U252" i="4"/>
  <c r="AS252" i="4" s="1"/>
  <c r="T252" i="4"/>
  <c r="AR252" i="4" s="1"/>
  <c r="R252" i="4"/>
  <c r="Q252" i="4"/>
  <c r="O252" i="4"/>
  <c r="N252" i="4"/>
  <c r="L252" i="4"/>
  <c r="K252" i="4"/>
  <c r="I252" i="4"/>
  <c r="H252" i="4"/>
  <c r="F252" i="4"/>
  <c r="E252" i="4"/>
  <c r="C252" i="4"/>
  <c r="B252" i="4"/>
  <c r="AJ249" i="4"/>
  <c r="AG249" i="4"/>
  <c r="AD249" i="4"/>
  <c r="AA249" i="4"/>
  <c r="U249" i="4"/>
  <c r="AJ246" i="4"/>
  <c r="AI246" i="4"/>
  <c r="AG246" i="4"/>
  <c r="AF246" i="4"/>
  <c r="AD246" i="4"/>
  <c r="AC246" i="4"/>
  <c r="AC272" i="4" s="1"/>
  <c r="AA246" i="4"/>
  <c r="Z246" i="4"/>
  <c r="X246" i="4"/>
  <c r="W246" i="4"/>
  <c r="U246" i="4"/>
  <c r="T246" i="4"/>
  <c r="R246" i="4"/>
  <c r="Q246" i="4"/>
  <c r="O246" i="4"/>
  <c r="N246" i="4"/>
  <c r="L246" i="4"/>
  <c r="K246" i="4"/>
  <c r="I246" i="4"/>
  <c r="H246" i="4"/>
  <c r="F246" i="4"/>
  <c r="F272" i="4" s="1"/>
  <c r="E246" i="4"/>
  <c r="E272" i="4" s="1"/>
  <c r="C246" i="4"/>
  <c r="C272" i="4" s="1"/>
  <c r="G219" i="38" s="1"/>
  <c r="B246" i="4"/>
  <c r="AJ245" i="4"/>
  <c r="AI245" i="4"/>
  <c r="AG245" i="4"/>
  <c r="AF245" i="4"/>
  <c r="AF271" i="4" s="1"/>
  <c r="AD245" i="4"/>
  <c r="AC245" i="4"/>
  <c r="AA245" i="4"/>
  <c r="Z245" i="4"/>
  <c r="X245" i="4"/>
  <c r="W245" i="4"/>
  <c r="U245" i="4"/>
  <c r="U271" i="4" s="1"/>
  <c r="T245" i="4"/>
  <c r="R245" i="4"/>
  <c r="Q245" i="4"/>
  <c r="O245" i="4"/>
  <c r="N245" i="4"/>
  <c r="L245" i="4"/>
  <c r="K245" i="4"/>
  <c r="I245" i="4"/>
  <c r="H245" i="4"/>
  <c r="F245" i="4"/>
  <c r="E245" i="4"/>
  <c r="C245" i="4"/>
  <c r="B245" i="4"/>
  <c r="AJ244" i="4"/>
  <c r="AI244" i="4"/>
  <c r="AG244" i="4"/>
  <c r="AF244" i="4"/>
  <c r="AD244" i="4"/>
  <c r="AC244" i="4"/>
  <c r="AA244" i="4"/>
  <c r="Z244" i="4"/>
  <c r="X244" i="4"/>
  <c r="W244" i="4"/>
  <c r="U244" i="4"/>
  <c r="T244" i="4"/>
  <c r="R244" i="4"/>
  <c r="Q244" i="4"/>
  <c r="O244" i="4"/>
  <c r="N244" i="4"/>
  <c r="L244" i="4"/>
  <c r="K244" i="4"/>
  <c r="I244" i="4"/>
  <c r="H244" i="4"/>
  <c r="F244" i="4"/>
  <c r="E244" i="4"/>
  <c r="C244" i="4"/>
  <c r="B244" i="4"/>
  <c r="AJ243" i="4"/>
  <c r="AI243" i="4"/>
  <c r="AG243" i="4"/>
  <c r="AF243" i="4"/>
  <c r="AD243" i="4"/>
  <c r="AC243" i="4"/>
  <c r="AA243" i="4"/>
  <c r="Z243" i="4"/>
  <c r="X243" i="4"/>
  <c r="W243" i="4"/>
  <c r="U243" i="4"/>
  <c r="T243" i="4"/>
  <c r="R243" i="4"/>
  <c r="Q243" i="4"/>
  <c r="O243" i="4"/>
  <c r="O269" i="4" s="1"/>
  <c r="N243" i="4"/>
  <c r="L243" i="4"/>
  <c r="K243" i="4"/>
  <c r="I243" i="4"/>
  <c r="H243" i="4"/>
  <c r="F243" i="4"/>
  <c r="E243" i="4"/>
  <c r="C243" i="4"/>
  <c r="B243" i="4"/>
  <c r="AJ242" i="4"/>
  <c r="AI242" i="4"/>
  <c r="AG242" i="4"/>
  <c r="AF242" i="4"/>
  <c r="AD242" i="4"/>
  <c r="AC242" i="4"/>
  <c r="AA242" i="4"/>
  <c r="Z242" i="4"/>
  <c r="X242" i="4"/>
  <c r="W242" i="4"/>
  <c r="U242" i="4"/>
  <c r="T242" i="4"/>
  <c r="R242" i="4"/>
  <c r="R268" i="4" s="1"/>
  <c r="Q242" i="4"/>
  <c r="O242" i="4"/>
  <c r="N242" i="4"/>
  <c r="L242" i="4"/>
  <c r="K242" i="4"/>
  <c r="I242" i="4"/>
  <c r="H242" i="4"/>
  <c r="F242" i="4"/>
  <c r="E242" i="4"/>
  <c r="C242" i="4"/>
  <c r="B242" i="4"/>
  <c r="AJ241" i="4"/>
  <c r="AI241" i="4"/>
  <c r="AI267" i="4" s="1"/>
  <c r="AG241" i="4"/>
  <c r="AF241" i="4"/>
  <c r="AD241" i="4"/>
  <c r="AC241" i="4"/>
  <c r="AA241" i="4"/>
  <c r="Z241" i="4"/>
  <c r="X241" i="4"/>
  <c r="W241" i="4"/>
  <c r="U241" i="4"/>
  <c r="T241" i="4"/>
  <c r="R241" i="4"/>
  <c r="Q241" i="4"/>
  <c r="O241" i="4"/>
  <c r="N241" i="4"/>
  <c r="L241" i="4"/>
  <c r="K241" i="4"/>
  <c r="I241" i="4"/>
  <c r="H241" i="4"/>
  <c r="F241" i="4"/>
  <c r="E241" i="4"/>
  <c r="C241" i="4"/>
  <c r="C267" i="4" s="1"/>
  <c r="G214" i="38" s="1"/>
  <c r="B241" i="4"/>
  <c r="AJ240" i="4"/>
  <c r="AI240" i="4"/>
  <c r="AI266" i="4" s="1"/>
  <c r="AG240" i="4"/>
  <c r="AF240" i="4"/>
  <c r="AD240" i="4"/>
  <c r="AC240" i="4"/>
  <c r="AA240" i="4"/>
  <c r="AA266" i="4" s="1"/>
  <c r="Z240" i="4"/>
  <c r="X240" i="4"/>
  <c r="W240" i="4"/>
  <c r="U240" i="4"/>
  <c r="T240" i="4"/>
  <c r="R240" i="4"/>
  <c r="Q240" i="4"/>
  <c r="O240" i="4"/>
  <c r="N240" i="4"/>
  <c r="L240" i="4"/>
  <c r="K240" i="4"/>
  <c r="I240" i="4"/>
  <c r="H240" i="4"/>
  <c r="F240" i="4"/>
  <c r="E240" i="4"/>
  <c r="C240" i="4"/>
  <c r="C266" i="4" s="1"/>
  <c r="G213" i="38" s="1"/>
  <c r="B240" i="4"/>
  <c r="AJ239" i="4"/>
  <c r="AI239" i="4"/>
  <c r="AG239" i="4"/>
  <c r="AF239" i="4"/>
  <c r="AD239" i="4"/>
  <c r="AC239" i="4"/>
  <c r="AA239" i="4"/>
  <c r="Z239" i="4"/>
  <c r="X239" i="4"/>
  <c r="W239" i="4"/>
  <c r="U239" i="4"/>
  <c r="T239" i="4"/>
  <c r="R239" i="4"/>
  <c r="Q239" i="4"/>
  <c r="O239" i="4"/>
  <c r="N239" i="4"/>
  <c r="L239" i="4"/>
  <c r="K239" i="4"/>
  <c r="I239" i="4"/>
  <c r="H239" i="4"/>
  <c r="F239" i="4"/>
  <c r="E239" i="4"/>
  <c r="C239" i="4"/>
  <c r="B239" i="4"/>
  <c r="AD236" i="4"/>
  <c r="AA236" i="4"/>
  <c r="X236" i="4"/>
  <c r="U236" i="4"/>
  <c r="R236" i="4"/>
  <c r="AJ87" i="4"/>
  <c r="X87" i="4"/>
  <c r="U87" i="4"/>
  <c r="R87" i="4"/>
  <c r="O87" i="4"/>
  <c r="I87" i="4"/>
  <c r="F87" i="4"/>
  <c r="C87" i="4"/>
  <c r="AV27" i="4"/>
  <c r="AX14" i="4"/>
  <c r="AH4" i="4"/>
  <c r="AE4" i="4"/>
  <c r="Y4" i="4"/>
  <c r="P4" i="4"/>
  <c r="M4" i="4"/>
  <c r="G4" i="4"/>
  <c r="D4" i="4"/>
  <c r="AH3" i="4"/>
  <c r="AE3" i="4"/>
  <c r="Y3" i="4"/>
  <c r="P3" i="4"/>
  <c r="M3" i="4"/>
  <c r="G3" i="4"/>
  <c r="D3" i="4"/>
  <c r="AJ311" i="3"/>
  <c r="AI311" i="3"/>
  <c r="AG311" i="3"/>
  <c r="AF311" i="3"/>
  <c r="AD311" i="3"/>
  <c r="AC311" i="3"/>
  <c r="AA311" i="3"/>
  <c r="Z311" i="3"/>
  <c r="X311" i="3"/>
  <c r="W311" i="3"/>
  <c r="U311" i="3"/>
  <c r="T311" i="3"/>
  <c r="R311" i="3"/>
  <c r="Q311" i="3"/>
  <c r="AO311" i="3" s="1"/>
  <c r="O311" i="3"/>
  <c r="N311" i="3"/>
  <c r="L311" i="3"/>
  <c r="K311" i="3"/>
  <c r="I311" i="3"/>
  <c r="H311" i="3"/>
  <c r="F311" i="3"/>
  <c r="E311" i="3"/>
  <c r="C311" i="3"/>
  <c r="C206" i="38" s="1"/>
  <c r="B311" i="3"/>
  <c r="D206" i="38" s="1"/>
  <c r="AJ310" i="3"/>
  <c r="AI310" i="3"/>
  <c r="AG310" i="3"/>
  <c r="AF310" i="3"/>
  <c r="AD310" i="3"/>
  <c r="AC310" i="3"/>
  <c r="AA310" i="3"/>
  <c r="Z310" i="3"/>
  <c r="X310" i="3"/>
  <c r="W310" i="3"/>
  <c r="U310" i="3"/>
  <c r="T310" i="3"/>
  <c r="R310" i="3"/>
  <c r="Q310" i="3"/>
  <c r="AO310" i="3" s="1"/>
  <c r="O310" i="3"/>
  <c r="N310" i="3"/>
  <c r="L310" i="3"/>
  <c r="K310" i="3"/>
  <c r="I310" i="3"/>
  <c r="H310" i="3"/>
  <c r="F310" i="3"/>
  <c r="AP310" i="3" s="1"/>
  <c r="E310" i="3"/>
  <c r="C310" i="3"/>
  <c r="C205" i="38" s="1"/>
  <c r="B310" i="3"/>
  <c r="D205" i="38" s="1"/>
  <c r="AJ309" i="3"/>
  <c r="AI309" i="3"/>
  <c r="AG309" i="3"/>
  <c r="AF309" i="3"/>
  <c r="AD309" i="3"/>
  <c r="AC309" i="3"/>
  <c r="AA309" i="3"/>
  <c r="Z309" i="3"/>
  <c r="X309" i="3"/>
  <c r="W309" i="3"/>
  <c r="U309" i="3"/>
  <c r="T309" i="3"/>
  <c r="R309" i="3"/>
  <c r="Q309" i="3"/>
  <c r="O309" i="3"/>
  <c r="N309" i="3"/>
  <c r="L309" i="3"/>
  <c r="K309" i="3"/>
  <c r="I309" i="3"/>
  <c r="H309" i="3"/>
  <c r="F309" i="3"/>
  <c r="E309" i="3"/>
  <c r="AO309" i="3" s="1"/>
  <c r="C309" i="3"/>
  <c r="C309" i="4" s="1"/>
  <c r="B309" i="3"/>
  <c r="D204" i="38" s="1"/>
  <c r="AJ308" i="3"/>
  <c r="AI308" i="3"/>
  <c r="AG308" i="3"/>
  <c r="AF308" i="3"/>
  <c r="AD308" i="3"/>
  <c r="AC308" i="3"/>
  <c r="AA308" i="3"/>
  <c r="Z308" i="3"/>
  <c r="X308" i="3"/>
  <c r="W308" i="3"/>
  <c r="U308" i="3"/>
  <c r="T308" i="3"/>
  <c r="R308" i="3"/>
  <c r="Q308" i="3"/>
  <c r="O308" i="3"/>
  <c r="N308" i="3"/>
  <c r="L308" i="3"/>
  <c r="K308" i="3"/>
  <c r="I308" i="3"/>
  <c r="H308" i="3"/>
  <c r="F308" i="3"/>
  <c r="AP308" i="3" s="1"/>
  <c r="E308" i="3"/>
  <c r="AO308" i="3" s="1"/>
  <c r="C308" i="3"/>
  <c r="B308" i="3"/>
  <c r="AJ307" i="3"/>
  <c r="AI307" i="3"/>
  <c r="AG307" i="3"/>
  <c r="AF307" i="3"/>
  <c r="AD307" i="3"/>
  <c r="AC307" i="3"/>
  <c r="AA307" i="3"/>
  <c r="Z307" i="3"/>
  <c r="X307" i="3"/>
  <c r="W307" i="3"/>
  <c r="U307" i="3"/>
  <c r="T307" i="3"/>
  <c r="R307" i="3"/>
  <c r="Q307" i="3"/>
  <c r="O307" i="3"/>
  <c r="N307" i="3"/>
  <c r="L307" i="3"/>
  <c r="K307" i="3"/>
  <c r="I307" i="3"/>
  <c r="H307" i="3"/>
  <c r="F307" i="3"/>
  <c r="AP307" i="3" s="1"/>
  <c r="E307" i="3"/>
  <c r="AO307" i="3" s="1"/>
  <c r="C307" i="3"/>
  <c r="C202" i="38" s="1"/>
  <c r="B307" i="3"/>
  <c r="D202" i="38" s="1"/>
  <c r="AJ306" i="3"/>
  <c r="AI306" i="3"/>
  <c r="AG306" i="3"/>
  <c r="AF306" i="3"/>
  <c r="AD306" i="3"/>
  <c r="AC306" i="3"/>
  <c r="AA306" i="3"/>
  <c r="Z306" i="3"/>
  <c r="X306" i="3"/>
  <c r="W306" i="3"/>
  <c r="U306" i="3"/>
  <c r="T306" i="3"/>
  <c r="R306" i="3"/>
  <c r="Q306" i="3"/>
  <c r="O306" i="3"/>
  <c r="N306" i="3"/>
  <c r="L306" i="3"/>
  <c r="K306" i="3"/>
  <c r="I306" i="3"/>
  <c r="H306" i="3"/>
  <c r="F306" i="3"/>
  <c r="AP306" i="3" s="1"/>
  <c r="E306" i="3"/>
  <c r="AO306" i="3" s="1"/>
  <c r="C306" i="3"/>
  <c r="C201" i="38" s="1"/>
  <c r="AJ305" i="3"/>
  <c r="AI305" i="3"/>
  <c r="AG305" i="3"/>
  <c r="AF305" i="3"/>
  <c r="AD305" i="3"/>
  <c r="AC305" i="3"/>
  <c r="AA305" i="3"/>
  <c r="Z305" i="3"/>
  <c r="X305" i="3"/>
  <c r="W305" i="3"/>
  <c r="U305" i="3"/>
  <c r="T305" i="3"/>
  <c r="R305" i="3"/>
  <c r="Q305" i="3"/>
  <c r="O305" i="3"/>
  <c r="N305" i="3"/>
  <c r="L305" i="3"/>
  <c r="K305" i="3"/>
  <c r="I305" i="3"/>
  <c r="H305" i="3"/>
  <c r="F305" i="3"/>
  <c r="AP305" i="3" s="1"/>
  <c r="E305" i="3"/>
  <c r="AO305" i="3" s="1"/>
  <c r="C305" i="3"/>
  <c r="C200" i="38" s="1"/>
  <c r="B305" i="3"/>
  <c r="B305" i="4" s="1"/>
  <c r="AJ304" i="3"/>
  <c r="AI304" i="3"/>
  <c r="AG304" i="3"/>
  <c r="AF304" i="3"/>
  <c r="AD304" i="3"/>
  <c r="AC304" i="3"/>
  <c r="AA304" i="3"/>
  <c r="Z304" i="3"/>
  <c r="X304" i="3"/>
  <c r="W304" i="3"/>
  <c r="U304" i="3"/>
  <c r="T304" i="3"/>
  <c r="R304" i="3"/>
  <c r="Q304" i="3"/>
  <c r="O304" i="3"/>
  <c r="N304" i="3"/>
  <c r="L304" i="3"/>
  <c r="K304" i="3"/>
  <c r="I304" i="3"/>
  <c r="H304" i="3"/>
  <c r="F304" i="3"/>
  <c r="AP304" i="3" s="1"/>
  <c r="E304" i="3"/>
  <c r="AO304" i="3" s="1"/>
  <c r="C304" i="3"/>
  <c r="C304" i="4" s="1"/>
  <c r="B304" i="3"/>
  <c r="D199" i="38" s="1"/>
  <c r="AP302" i="3"/>
  <c r="AO302" i="3"/>
  <c r="AJ298" i="3"/>
  <c r="AI298" i="3"/>
  <c r="AG298" i="3"/>
  <c r="AF298" i="3"/>
  <c r="AD298" i="3"/>
  <c r="AC298" i="3"/>
  <c r="AA298" i="3"/>
  <c r="Z298" i="3"/>
  <c r="X298" i="3"/>
  <c r="W298" i="3"/>
  <c r="U298" i="3"/>
  <c r="T298" i="3"/>
  <c r="R298" i="3"/>
  <c r="Q298" i="3"/>
  <c r="O298" i="3"/>
  <c r="N298" i="3"/>
  <c r="L298" i="3"/>
  <c r="K298" i="3"/>
  <c r="I298" i="3"/>
  <c r="H298" i="3"/>
  <c r="F298" i="3"/>
  <c r="E298" i="3"/>
  <c r="C298" i="3"/>
  <c r="C298" i="4" s="1"/>
  <c r="B298" i="3"/>
  <c r="D180" i="38" s="1"/>
  <c r="AA58" i="38" s="1"/>
  <c r="AJ297" i="3"/>
  <c r="AI297" i="3"/>
  <c r="AG297" i="3"/>
  <c r="AF297" i="3"/>
  <c r="AD297" i="3"/>
  <c r="AC297" i="3"/>
  <c r="AA297" i="3"/>
  <c r="Z297" i="3"/>
  <c r="X297" i="3"/>
  <c r="W297" i="3"/>
  <c r="U297" i="3"/>
  <c r="T297" i="3"/>
  <c r="R297" i="3"/>
  <c r="Q297" i="3"/>
  <c r="O297" i="3"/>
  <c r="N297" i="3"/>
  <c r="L297" i="3"/>
  <c r="K297" i="3"/>
  <c r="I297" i="3"/>
  <c r="H297" i="3"/>
  <c r="F297" i="3"/>
  <c r="AP297" i="3" s="1"/>
  <c r="E297" i="3"/>
  <c r="AO297" i="3" s="1"/>
  <c r="C297" i="3"/>
  <c r="C179" i="38" s="1"/>
  <c r="B297" i="3"/>
  <c r="D179" i="38" s="1"/>
  <c r="AA68" i="38" s="1"/>
  <c r="AJ296" i="3"/>
  <c r="AI296" i="3"/>
  <c r="AG296" i="3"/>
  <c r="AF296" i="3"/>
  <c r="AD296" i="3"/>
  <c r="AC296" i="3"/>
  <c r="AA296" i="3"/>
  <c r="Z296" i="3"/>
  <c r="X296" i="3"/>
  <c r="W296" i="3"/>
  <c r="U296" i="3"/>
  <c r="T296" i="3"/>
  <c r="R296" i="3"/>
  <c r="Q296" i="3"/>
  <c r="O296" i="3"/>
  <c r="N296" i="3"/>
  <c r="L296" i="3"/>
  <c r="K296" i="3"/>
  <c r="I296" i="3"/>
  <c r="H296" i="3"/>
  <c r="F296" i="3"/>
  <c r="E296" i="3"/>
  <c r="AO296" i="3" s="1"/>
  <c r="C296" i="3"/>
  <c r="C296" i="4" s="1"/>
  <c r="B296" i="3"/>
  <c r="B296" i="4" s="1"/>
  <c r="AJ295" i="3"/>
  <c r="AI295" i="3"/>
  <c r="AG295" i="3"/>
  <c r="AF295" i="3"/>
  <c r="AD295" i="3"/>
  <c r="AC295" i="3"/>
  <c r="AA295" i="3"/>
  <c r="Z295" i="3"/>
  <c r="X295" i="3"/>
  <c r="W295" i="3"/>
  <c r="U295" i="3"/>
  <c r="T295" i="3"/>
  <c r="R295" i="3"/>
  <c r="Q295" i="3"/>
  <c r="O295" i="3"/>
  <c r="N295" i="3"/>
  <c r="L295" i="3"/>
  <c r="K295" i="3"/>
  <c r="I295" i="3"/>
  <c r="H295" i="3"/>
  <c r="F295" i="3"/>
  <c r="E295" i="3"/>
  <c r="AO295" i="3" s="1"/>
  <c r="C295" i="3"/>
  <c r="C295" i="4" s="1"/>
  <c r="B295" i="3"/>
  <c r="D177" i="38" s="1"/>
  <c r="AA48" i="38" s="1"/>
  <c r="AJ294" i="3"/>
  <c r="AI294" i="3"/>
  <c r="AG294" i="3"/>
  <c r="AF294" i="3"/>
  <c r="AD294" i="3"/>
  <c r="AC294" i="3"/>
  <c r="AA294" i="3"/>
  <c r="Z294" i="3"/>
  <c r="X294" i="3"/>
  <c r="W294" i="3"/>
  <c r="U294" i="3"/>
  <c r="T294" i="3"/>
  <c r="R294" i="3"/>
  <c r="Q294" i="3"/>
  <c r="O294" i="3"/>
  <c r="N294" i="3"/>
  <c r="L294" i="3"/>
  <c r="K294" i="3"/>
  <c r="I294" i="3"/>
  <c r="H294" i="3"/>
  <c r="F294" i="3"/>
  <c r="AP294" i="3" s="1"/>
  <c r="E294" i="3"/>
  <c r="AO294" i="3" s="1"/>
  <c r="C294" i="3"/>
  <c r="C294" i="4" s="1"/>
  <c r="B294" i="3"/>
  <c r="D176" i="38" s="1"/>
  <c r="AA38" i="38" s="1"/>
  <c r="AJ293" i="3"/>
  <c r="AI293" i="3"/>
  <c r="AG293" i="3"/>
  <c r="AF293" i="3"/>
  <c r="AD293" i="3"/>
  <c r="AC293" i="3"/>
  <c r="AA293" i="3"/>
  <c r="Z293" i="3"/>
  <c r="X293" i="3"/>
  <c r="W293" i="3"/>
  <c r="U293" i="3"/>
  <c r="T293" i="3"/>
  <c r="R293" i="3"/>
  <c r="Q293" i="3"/>
  <c r="AO293" i="3" s="1"/>
  <c r="O293" i="3"/>
  <c r="N293" i="3"/>
  <c r="L293" i="3"/>
  <c r="K293" i="3"/>
  <c r="I293" i="3"/>
  <c r="H293" i="3"/>
  <c r="F293" i="3"/>
  <c r="E293" i="3"/>
  <c r="C293" i="3"/>
  <c r="C175" i="38" s="1"/>
  <c r="Z28" i="38" s="1"/>
  <c r="B293" i="3"/>
  <c r="D175" i="38" s="1"/>
  <c r="AA28" i="38" s="1"/>
  <c r="AJ292" i="3"/>
  <c r="AI292" i="3"/>
  <c r="AG292" i="3"/>
  <c r="AF292" i="3"/>
  <c r="AD292" i="3"/>
  <c r="AC292" i="3"/>
  <c r="AA292" i="3"/>
  <c r="Z292" i="3"/>
  <c r="X292" i="3"/>
  <c r="W292" i="3"/>
  <c r="U292" i="3"/>
  <c r="T292" i="3"/>
  <c r="R292" i="3"/>
  <c r="Q292" i="3"/>
  <c r="AO292" i="3" s="1"/>
  <c r="O292" i="3"/>
  <c r="N292" i="3"/>
  <c r="L292" i="3"/>
  <c r="K292" i="3"/>
  <c r="I292" i="3"/>
  <c r="H292" i="3"/>
  <c r="F292" i="3"/>
  <c r="AP292" i="3" s="1"/>
  <c r="E292" i="3"/>
  <c r="C292" i="3"/>
  <c r="C292" i="4" s="1"/>
  <c r="B292" i="3"/>
  <c r="D174" i="38" s="1"/>
  <c r="AA18" i="38" s="1"/>
  <c r="AJ291" i="3"/>
  <c r="AI291" i="3"/>
  <c r="AG291" i="3"/>
  <c r="AF291" i="3"/>
  <c r="AD291" i="3"/>
  <c r="AC291" i="3"/>
  <c r="AA291" i="3"/>
  <c r="Z291" i="3"/>
  <c r="X291" i="3"/>
  <c r="W291" i="3"/>
  <c r="U291" i="3"/>
  <c r="T291" i="3"/>
  <c r="R291" i="3"/>
  <c r="Q291" i="3"/>
  <c r="O291" i="3"/>
  <c r="N291" i="3"/>
  <c r="L291" i="3"/>
  <c r="K291" i="3"/>
  <c r="I291" i="3"/>
  <c r="H291" i="3"/>
  <c r="F291" i="3"/>
  <c r="AP291" i="3" s="1"/>
  <c r="E291" i="3"/>
  <c r="AO291" i="3" s="1"/>
  <c r="C291" i="3"/>
  <c r="C291" i="4" s="1"/>
  <c r="B291" i="3"/>
  <c r="D173" i="38" s="1"/>
  <c r="AA8" i="38" s="1"/>
  <c r="AP289" i="3"/>
  <c r="AO289" i="3"/>
  <c r="AJ285" i="3"/>
  <c r="AI285" i="3"/>
  <c r="AG285" i="3"/>
  <c r="AF285" i="3"/>
  <c r="AD285" i="3"/>
  <c r="AC285" i="3"/>
  <c r="AA285" i="3"/>
  <c r="Z285" i="3"/>
  <c r="X285" i="3"/>
  <c r="W285" i="3"/>
  <c r="U285" i="3"/>
  <c r="T285" i="3"/>
  <c r="R285" i="3"/>
  <c r="Q285" i="3"/>
  <c r="O285" i="3"/>
  <c r="N285" i="3"/>
  <c r="L285" i="3"/>
  <c r="K285" i="3"/>
  <c r="AO285" i="3" s="1"/>
  <c r="I285" i="3"/>
  <c r="H285" i="3"/>
  <c r="F285" i="3"/>
  <c r="AP285" i="3" s="1"/>
  <c r="E285" i="3"/>
  <c r="C285" i="3"/>
  <c r="C193" i="38" s="1"/>
  <c r="B285" i="3"/>
  <c r="AJ284" i="3"/>
  <c r="AI284" i="3"/>
  <c r="AG284" i="3"/>
  <c r="AF284" i="3"/>
  <c r="AD284" i="3"/>
  <c r="AC284" i="3"/>
  <c r="AA284" i="3"/>
  <c r="Z284" i="3"/>
  <c r="X284" i="3"/>
  <c r="W284" i="3"/>
  <c r="U284" i="3"/>
  <c r="T284" i="3"/>
  <c r="R284" i="3"/>
  <c r="Q284" i="3"/>
  <c r="O284" i="3"/>
  <c r="N284" i="3"/>
  <c r="L284" i="3"/>
  <c r="K284" i="3"/>
  <c r="AO284" i="3" s="1"/>
  <c r="I284" i="3"/>
  <c r="AP284" i="3" s="1"/>
  <c r="H284" i="3"/>
  <c r="F284" i="3"/>
  <c r="E284" i="3"/>
  <c r="C284" i="3"/>
  <c r="C192" i="38" s="1"/>
  <c r="B284" i="3"/>
  <c r="AJ283" i="3"/>
  <c r="AI283" i="3"/>
  <c r="AG283" i="3"/>
  <c r="AF283" i="3"/>
  <c r="AD283" i="3"/>
  <c r="AC283" i="3"/>
  <c r="AA283" i="3"/>
  <c r="Z283" i="3"/>
  <c r="X283" i="3"/>
  <c r="W283" i="3"/>
  <c r="U283" i="3"/>
  <c r="T283" i="3"/>
  <c r="R283" i="3"/>
  <c r="Q283" i="3"/>
  <c r="O283" i="3"/>
  <c r="N283" i="3"/>
  <c r="L283" i="3"/>
  <c r="K283" i="3"/>
  <c r="AO283" i="3" s="1"/>
  <c r="I283" i="3"/>
  <c r="H283" i="3"/>
  <c r="F283" i="3"/>
  <c r="E283" i="3"/>
  <c r="C283" i="3"/>
  <c r="C191" i="38" s="1"/>
  <c r="B283" i="3"/>
  <c r="AJ282" i="3"/>
  <c r="AI282" i="3"/>
  <c r="AG282" i="3"/>
  <c r="AF282" i="3"/>
  <c r="AD282" i="3"/>
  <c r="AC282" i="3"/>
  <c r="AA282" i="3"/>
  <c r="Z282" i="3"/>
  <c r="X282" i="3"/>
  <c r="W282" i="3"/>
  <c r="U282" i="3"/>
  <c r="T282" i="3"/>
  <c r="R282" i="3"/>
  <c r="Q282" i="3"/>
  <c r="O282" i="3"/>
  <c r="N282" i="3"/>
  <c r="L282" i="3"/>
  <c r="K282" i="3"/>
  <c r="AO282" i="3" s="1"/>
  <c r="I282" i="3"/>
  <c r="H282" i="3"/>
  <c r="F282" i="3"/>
  <c r="AP282" i="3" s="1"/>
  <c r="E282" i="3"/>
  <c r="C282" i="3"/>
  <c r="B282" i="3"/>
  <c r="AJ281" i="3"/>
  <c r="AI281" i="3"/>
  <c r="AG281" i="3"/>
  <c r="AF281" i="3"/>
  <c r="AD281" i="3"/>
  <c r="AC281" i="3"/>
  <c r="AA281" i="3"/>
  <c r="Z281" i="3"/>
  <c r="X281" i="3"/>
  <c r="W281" i="3"/>
  <c r="U281" i="3"/>
  <c r="T281" i="3"/>
  <c r="R281" i="3"/>
  <c r="Q281" i="3"/>
  <c r="O281" i="3"/>
  <c r="N281" i="3"/>
  <c r="L281" i="3"/>
  <c r="K281" i="3"/>
  <c r="AO281" i="3" s="1"/>
  <c r="I281" i="3"/>
  <c r="H281" i="3"/>
  <c r="F281" i="3"/>
  <c r="E281" i="3"/>
  <c r="C281" i="3"/>
  <c r="C189" i="38" s="1"/>
  <c r="B281" i="3"/>
  <c r="AJ280" i="3"/>
  <c r="AI280" i="3"/>
  <c r="AG280" i="3"/>
  <c r="AF280" i="3"/>
  <c r="AD280" i="3"/>
  <c r="AC280" i="3"/>
  <c r="AA280" i="3"/>
  <c r="Z280" i="3"/>
  <c r="X280" i="3"/>
  <c r="W280" i="3"/>
  <c r="U280" i="3"/>
  <c r="T280" i="3"/>
  <c r="R280" i="3"/>
  <c r="Q280" i="3"/>
  <c r="O280" i="3"/>
  <c r="N280" i="3"/>
  <c r="L280" i="3"/>
  <c r="K280" i="3"/>
  <c r="AO280" i="3" s="1"/>
  <c r="I280" i="3"/>
  <c r="H280" i="3"/>
  <c r="F280" i="3"/>
  <c r="AP280" i="3" s="1"/>
  <c r="E280" i="3"/>
  <c r="C280" i="3"/>
  <c r="C188" i="38" s="1"/>
  <c r="Z29" i="38" s="1"/>
  <c r="B280" i="3"/>
  <c r="AJ279" i="3"/>
  <c r="AI279" i="3"/>
  <c r="AG279" i="3"/>
  <c r="AF279" i="3"/>
  <c r="AD279" i="3"/>
  <c r="AC279" i="3"/>
  <c r="AA279" i="3"/>
  <c r="Z279" i="3"/>
  <c r="X279" i="3"/>
  <c r="W279" i="3"/>
  <c r="U279" i="3"/>
  <c r="T279" i="3"/>
  <c r="R279" i="3"/>
  <c r="Q279" i="3"/>
  <c r="O279" i="3"/>
  <c r="N279" i="3"/>
  <c r="L279" i="3"/>
  <c r="K279" i="3"/>
  <c r="AO279" i="3" s="1"/>
  <c r="I279" i="3"/>
  <c r="H279" i="3"/>
  <c r="F279" i="3"/>
  <c r="E279" i="3"/>
  <c r="C279" i="3"/>
  <c r="C279" i="4" s="1"/>
  <c r="B279" i="3"/>
  <c r="AJ278" i="3"/>
  <c r="AI278" i="3"/>
  <c r="AG278" i="3"/>
  <c r="AF278" i="3"/>
  <c r="AD278" i="3"/>
  <c r="AC278" i="3"/>
  <c r="AA278" i="3"/>
  <c r="Z278" i="3"/>
  <c r="X278" i="3"/>
  <c r="W278" i="3"/>
  <c r="U278" i="3"/>
  <c r="T278" i="3"/>
  <c r="R278" i="3"/>
  <c r="AP278" i="3" s="1"/>
  <c r="Q278" i="3"/>
  <c r="AO278" i="3" s="1"/>
  <c r="O278" i="3"/>
  <c r="N278" i="3"/>
  <c r="L278" i="3"/>
  <c r="K278" i="3"/>
  <c r="I278" i="3"/>
  <c r="H278" i="3"/>
  <c r="F278" i="3"/>
  <c r="E278" i="3"/>
  <c r="C278" i="3"/>
  <c r="C278" i="4" s="1"/>
  <c r="B278" i="3"/>
  <c r="AP276" i="3"/>
  <c r="AO276" i="3"/>
  <c r="AO263" i="3"/>
  <c r="AJ259" i="3"/>
  <c r="AI259" i="3"/>
  <c r="AG259" i="3"/>
  <c r="AF259" i="3"/>
  <c r="AD259" i="3"/>
  <c r="AC259" i="3"/>
  <c r="AA259" i="3"/>
  <c r="Z259" i="3"/>
  <c r="X259" i="3"/>
  <c r="W259" i="3"/>
  <c r="U259" i="3"/>
  <c r="T259" i="3"/>
  <c r="R259" i="3"/>
  <c r="Q259" i="3"/>
  <c r="AO259" i="3" s="1"/>
  <c r="O259" i="3"/>
  <c r="N259" i="3"/>
  <c r="L259" i="3"/>
  <c r="K259" i="3"/>
  <c r="I259" i="3"/>
  <c r="H259" i="3"/>
  <c r="F259" i="3"/>
  <c r="E259" i="3"/>
  <c r="C259" i="3"/>
  <c r="B259" i="3"/>
  <c r="AJ258" i="3"/>
  <c r="AI258" i="3"/>
  <c r="AG258" i="3"/>
  <c r="AF258" i="3"/>
  <c r="AD258" i="3"/>
  <c r="AC258" i="3"/>
  <c r="AA258" i="3"/>
  <c r="Z258" i="3"/>
  <c r="X258" i="3"/>
  <c r="W258" i="3"/>
  <c r="U258" i="3"/>
  <c r="T258" i="3"/>
  <c r="R258" i="3"/>
  <c r="Q258" i="3"/>
  <c r="AO258" i="3" s="1"/>
  <c r="O258" i="3"/>
  <c r="N258" i="3"/>
  <c r="L258" i="3"/>
  <c r="K258" i="3"/>
  <c r="I258" i="3"/>
  <c r="H258" i="3"/>
  <c r="F258" i="3"/>
  <c r="AP258" i="3" s="1"/>
  <c r="E258" i="3"/>
  <c r="C258" i="3"/>
  <c r="B258" i="3"/>
  <c r="AJ257" i="3"/>
  <c r="AI257" i="3"/>
  <c r="AG257" i="3"/>
  <c r="AF257" i="3"/>
  <c r="AD257" i="3"/>
  <c r="AC257" i="3"/>
  <c r="AA257" i="3"/>
  <c r="Z257" i="3"/>
  <c r="X257" i="3"/>
  <c r="W257" i="3"/>
  <c r="U257" i="3"/>
  <c r="T257" i="3"/>
  <c r="R257" i="3"/>
  <c r="AP257" i="3" s="1"/>
  <c r="Q257" i="3"/>
  <c r="AO257" i="3" s="1"/>
  <c r="O257" i="3"/>
  <c r="N257" i="3"/>
  <c r="L257" i="3"/>
  <c r="K257" i="3"/>
  <c r="I257" i="3"/>
  <c r="H257" i="3"/>
  <c r="F257" i="3"/>
  <c r="E257" i="3"/>
  <c r="C257" i="3"/>
  <c r="B257" i="3"/>
  <c r="AJ256" i="3"/>
  <c r="AI256" i="3"/>
  <c r="AG256" i="3"/>
  <c r="AF256" i="3"/>
  <c r="AD256" i="3"/>
  <c r="AC256" i="3"/>
  <c r="AA256" i="3"/>
  <c r="Z256" i="3"/>
  <c r="X256" i="3"/>
  <c r="W256" i="3"/>
  <c r="U256" i="3"/>
  <c r="T256" i="3"/>
  <c r="R256" i="3"/>
  <c r="Q256" i="3"/>
  <c r="O256" i="3"/>
  <c r="N256" i="3"/>
  <c r="L256" i="3"/>
  <c r="K256" i="3"/>
  <c r="I256" i="3"/>
  <c r="AP256" i="3" s="1"/>
  <c r="H256" i="3"/>
  <c r="F256" i="3"/>
  <c r="E256" i="3"/>
  <c r="C256" i="3"/>
  <c r="B256" i="3"/>
  <c r="AJ255" i="3"/>
  <c r="AI255" i="3"/>
  <c r="AG255" i="3"/>
  <c r="AF255" i="3"/>
  <c r="AD255" i="3"/>
  <c r="AC255" i="3"/>
  <c r="AA255" i="3"/>
  <c r="Z255" i="3"/>
  <c r="X255" i="3"/>
  <c r="W255" i="3"/>
  <c r="U255" i="3"/>
  <c r="T255" i="3"/>
  <c r="R255" i="3"/>
  <c r="Q255" i="3"/>
  <c r="O255" i="3"/>
  <c r="N255" i="3"/>
  <c r="L255" i="3"/>
  <c r="K255" i="3"/>
  <c r="AO255" i="3" s="1"/>
  <c r="I255" i="3"/>
  <c r="H255" i="3"/>
  <c r="F255" i="3"/>
  <c r="E255" i="3"/>
  <c r="C255" i="3"/>
  <c r="B255" i="3"/>
  <c r="AJ254" i="3"/>
  <c r="AI254" i="3"/>
  <c r="AG254" i="3"/>
  <c r="AF254" i="3"/>
  <c r="AD254" i="3"/>
  <c r="AC254" i="3"/>
  <c r="AA254" i="3"/>
  <c r="Z254" i="3"/>
  <c r="X254" i="3"/>
  <c r="W254" i="3"/>
  <c r="U254" i="3"/>
  <c r="T254" i="3"/>
  <c r="R254" i="3"/>
  <c r="Q254" i="3"/>
  <c r="AO254" i="3" s="1"/>
  <c r="O254" i="3"/>
  <c r="N254" i="3"/>
  <c r="L254" i="3"/>
  <c r="K254" i="3"/>
  <c r="I254" i="3"/>
  <c r="H254" i="3"/>
  <c r="F254" i="3"/>
  <c r="E254" i="3"/>
  <c r="C254" i="3"/>
  <c r="B254" i="3"/>
  <c r="AJ253" i="3"/>
  <c r="AI253" i="3"/>
  <c r="AG253" i="3"/>
  <c r="AF253" i="3"/>
  <c r="AD253" i="3"/>
  <c r="AC253" i="3"/>
  <c r="AA253" i="3"/>
  <c r="Z253" i="3"/>
  <c r="X253" i="3"/>
  <c r="W253" i="3"/>
  <c r="U253" i="3"/>
  <c r="T253" i="3"/>
  <c r="R253" i="3"/>
  <c r="Q253" i="3"/>
  <c r="AO253" i="3" s="1"/>
  <c r="O253" i="3"/>
  <c r="N253" i="3"/>
  <c r="L253" i="3"/>
  <c r="K253" i="3"/>
  <c r="I253" i="3"/>
  <c r="AP253" i="3" s="1"/>
  <c r="H253" i="3"/>
  <c r="F253" i="3"/>
  <c r="E253" i="3"/>
  <c r="C253" i="3"/>
  <c r="B253" i="3"/>
  <c r="AJ252" i="3"/>
  <c r="AI252" i="3"/>
  <c r="AG252" i="3"/>
  <c r="AF252" i="3"/>
  <c r="AD252" i="3"/>
  <c r="AC252" i="3"/>
  <c r="AA252" i="3"/>
  <c r="Z252" i="3"/>
  <c r="X252" i="3"/>
  <c r="W252" i="3"/>
  <c r="U252" i="3"/>
  <c r="T252" i="3"/>
  <c r="R252" i="3"/>
  <c r="Q252" i="3"/>
  <c r="AO252" i="3" s="1"/>
  <c r="O252" i="3"/>
  <c r="N252" i="3"/>
  <c r="L252" i="3"/>
  <c r="AP252" i="3" s="1"/>
  <c r="K252" i="3"/>
  <c r="I252" i="3"/>
  <c r="H252" i="3"/>
  <c r="F252" i="3"/>
  <c r="E252" i="3"/>
  <c r="C252" i="3"/>
  <c r="B252" i="3"/>
  <c r="AP250" i="3"/>
  <c r="AO250" i="3"/>
  <c r="AJ246" i="3"/>
  <c r="AI246" i="3"/>
  <c r="AI272" i="3" s="1"/>
  <c r="AG246" i="3"/>
  <c r="AF246" i="3"/>
  <c r="AF272" i="3" s="1"/>
  <c r="AD246" i="3"/>
  <c r="AC246" i="3"/>
  <c r="AC272" i="3" s="1"/>
  <c r="AA246" i="3"/>
  <c r="Z246" i="3"/>
  <c r="Z272" i="3" s="1"/>
  <c r="X246" i="3"/>
  <c r="W246" i="3"/>
  <c r="W272" i="3" s="1"/>
  <c r="U246" i="3"/>
  <c r="T246" i="3"/>
  <c r="T272" i="3" s="1"/>
  <c r="R246" i="3"/>
  <c r="Q246" i="3"/>
  <c r="O246" i="3"/>
  <c r="N246" i="3"/>
  <c r="N272" i="3" s="1"/>
  <c r="L246" i="3"/>
  <c r="K246" i="3"/>
  <c r="K272" i="3" s="1"/>
  <c r="I246" i="3"/>
  <c r="AP246" i="3" s="1"/>
  <c r="H246" i="3"/>
  <c r="H272" i="3" s="1"/>
  <c r="F246" i="3"/>
  <c r="E246" i="3"/>
  <c r="E272" i="3" s="1"/>
  <c r="C246" i="3"/>
  <c r="B246" i="3"/>
  <c r="B272" i="3" s="1"/>
  <c r="D219" i="38" s="1"/>
  <c r="AA60" i="38" s="1"/>
  <c r="AJ245" i="3"/>
  <c r="AI245" i="3"/>
  <c r="AI271" i="3" s="1"/>
  <c r="AG245" i="3"/>
  <c r="AF245" i="3"/>
  <c r="AF271" i="3" s="1"/>
  <c r="AD245" i="3"/>
  <c r="AC245" i="3"/>
  <c r="AC271" i="3" s="1"/>
  <c r="AA245" i="3"/>
  <c r="Z245" i="3"/>
  <c r="Z271" i="3" s="1"/>
  <c r="X245" i="3"/>
  <c r="W245" i="3"/>
  <c r="W271" i="3" s="1"/>
  <c r="U245" i="3"/>
  <c r="T245" i="3"/>
  <c r="T271" i="3" s="1"/>
  <c r="R245" i="3"/>
  <c r="Q245" i="3"/>
  <c r="O245" i="3"/>
  <c r="N245" i="3"/>
  <c r="N271" i="3" s="1"/>
  <c r="L245" i="3"/>
  <c r="K245" i="3"/>
  <c r="K271" i="3" s="1"/>
  <c r="I245" i="3"/>
  <c r="I271" i="3" s="1"/>
  <c r="H245" i="3"/>
  <c r="H271" i="3" s="1"/>
  <c r="F245" i="3"/>
  <c r="E245" i="3"/>
  <c r="E271" i="3" s="1"/>
  <c r="C245" i="3"/>
  <c r="C271" i="3" s="1"/>
  <c r="B245" i="3"/>
  <c r="B271" i="3" s="1"/>
  <c r="D218" i="38" s="1"/>
  <c r="AA70" i="38" s="1"/>
  <c r="AJ244" i="3"/>
  <c r="AI244" i="3"/>
  <c r="AI270" i="3" s="1"/>
  <c r="AG244" i="3"/>
  <c r="AF244" i="3"/>
  <c r="AF270" i="3" s="1"/>
  <c r="AD244" i="3"/>
  <c r="AC244" i="3"/>
  <c r="AC270" i="3" s="1"/>
  <c r="AA244" i="3"/>
  <c r="Z244" i="3"/>
  <c r="Z270" i="3" s="1"/>
  <c r="X244" i="3"/>
  <c r="W244" i="3"/>
  <c r="W270" i="3" s="1"/>
  <c r="U244" i="3"/>
  <c r="T244" i="3"/>
  <c r="T270" i="3" s="1"/>
  <c r="R244" i="3"/>
  <c r="Q244" i="3"/>
  <c r="O244" i="3"/>
  <c r="N244" i="3"/>
  <c r="N270" i="3" s="1"/>
  <c r="L244" i="3"/>
  <c r="K244" i="3"/>
  <c r="K270" i="3" s="1"/>
  <c r="I244" i="3"/>
  <c r="I270" i="3" s="1"/>
  <c r="H244" i="3"/>
  <c r="H270" i="3" s="1"/>
  <c r="F244" i="3"/>
  <c r="AP244" i="3" s="1"/>
  <c r="E244" i="3"/>
  <c r="E270" i="3" s="1"/>
  <c r="C244" i="3"/>
  <c r="B244" i="3"/>
  <c r="B270" i="3" s="1"/>
  <c r="D217" i="38" s="1"/>
  <c r="AA80" i="38" s="1"/>
  <c r="AJ243" i="3"/>
  <c r="AI243" i="3"/>
  <c r="AG243" i="3"/>
  <c r="AF243" i="3"/>
  <c r="AD243" i="3"/>
  <c r="AC243" i="3"/>
  <c r="AA243" i="3"/>
  <c r="Z243" i="3"/>
  <c r="X243" i="3"/>
  <c r="W243" i="3"/>
  <c r="U243" i="3"/>
  <c r="T243" i="3"/>
  <c r="R243" i="3"/>
  <c r="Q243" i="3"/>
  <c r="AO243" i="3" s="1"/>
  <c r="O243" i="3"/>
  <c r="N243" i="3"/>
  <c r="L243" i="3"/>
  <c r="K243" i="3"/>
  <c r="I243" i="3"/>
  <c r="I269" i="3" s="1"/>
  <c r="H243" i="3"/>
  <c r="H269" i="3" s="1"/>
  <c r="F243" i="3"/>
  <c r="E243" i="3"/>
  <c r="E269" i="3" s="1"/>
  <c r="C243" i="3"/>
  <c r="C269" i="3" s="1"/>
  <c r="B243" i="3"/>
  <c r="B269" i="3" s="1"/>
  <c r="D216" i="38" s="1"/>
  <c r="AA50" i="38" s="1"/>
  <c r="AJ242" i="3"/>
  <c r="AI242" i="3"/>
  <c r="AI268" i="3" s="1"/>
  <c r="AG242" i="3"/>
  <c r="AF242" i="3"/>
  <c r="AF268" i="3" s="1"/>
  <c r="AD242" i="3"/>
  <c r="AC242" i="3"/>
  <c r="AC268" i="3" s="1"/>
  <c r="AA242" i="3"/>
  <c r="Z242" i="3"/>
  <c r="Z268" i="3" s="1"/>
  <c r="X242" i="3"/>
  <c r="W242" i="3"/>
  <c r="W268" i="3" s="1"/>
  <c r="U242" i="3"/>
  <c r="T242" i="3"/>
  <c r="T268" i="3" s="1"/>
  <c r="R242" i="3"/>
  <c r="AP242" i="3" s="1"/>
  <c r="Q242" i="3"/>
  <c r="Q268" i="3" s="1"/>
  <c r="O242" i="3"/>
  <c r="N242" i="3"/>
  <c r="N268" i="3" s="1"/>
  <c r="L242" i="3"/>
  <c r="K242" i="3"/>
  <c r="I242" i="3"/>
  <c r="H242" i="3"/>
  <c r="H268" i="3" s="1"/>
  <c r="F242" i="3"/>
  <c r="E242" i="3"/>
  <c r="E268" i="3" s="1"/>
  <c r="C242" i="3"/>
  <c r="C268" i="3" s="1"/>
  <c r="B242" i="3"/>
  <c r="B268" i="3" s="1"/>
  <c r="D215" i="38" s="1"/>
  <c r="AA40" i="38" s="1"/>
  <c r="AJ241" i="3"/>
  <c r="AI241" i="3"/>
  <c r="AI267" i="3" s="1"/>
  <c r="AG241" i="3"/>
  <c r="AF241" i="3"/>
  <c r="AF267" i="3" s="1"/>
  <c r="AD241" i="3"/>
  <c r="AC241" i="3"/>
  <c r="AC267" i="3" s="1"/>
  <c r="AA241" i="3"/>
  <c r="Z241" i="3"/>
  <c r="Z267" i="3" s="1"/>
  <c r="X241" i="3"/>
  <c r="W241" i="3"/>
  <c r="W267" i="3" s="1"/>
  <c r="U241" i="3"/>
  <c r="T241" i="3"/>
  <c r="T267" i="3" s="1"/>
  <c r="R241" i="3"/>
  <c r="AP241" i="3" s="1"/>
  <c r="Q241" i="3"/>
  <c r="O241" i="3"/>
  <c r="N241" i="3"/>
  <c r="N267" i="3" s="1"/>
  <c r="L241" i="3"/>
  <c r="K241" i="3"/>
  <c r="K267" i="3" s="1"/>
  <c r="I241" i="3"/>
  <c r="H241" i="3"/>
  <c r="H267" i="3" s="1"/>
  <c r="F241" i="3"/>
  <c r="E241" i="3"/>
  <c r="E267" i="3" s="1"/>
  <c r="C241" i="3"/>
  <c r="C267" i="3" s="1"/>
  <c r="B241" i="3"/>
  <c r="B267" i="3" s="1"/>
  <c r="D214" i="38" s="1"/>
  <c r="AA30" i="38" s="1"/>
  <c r="AJ240" i="3"/>
  <c r="AI240" i="3"/>
  <c r="AI266" i="3" s="1"/>
  <c r="AG240" i="3"/>
  <c r="AF240" i="3"/>
  <c r="AF266" i="3" s="1"/>
  <c r="AD240" i="3"/>
  <c r="AC240" i="3"/>
  <c r="AC266" i="3" s="1"/>
  <c r="AA240" i="3"/>
  <c r="Z240" i="3"/>
  <c r="Z266" i="3" s="1"/>
  <c r="X240" i="3"/>
  <c r="W240" i="3"/>
  <c r="W266" i="3" s="1"/>
  <c r="U240" i="3"/>
  <c r="T240" i="3"/>
  <c r="T266" i="3" s="1"/>
  <c r="R240" i="3"/>
  <c r="Q240" i="3"/>
  <c r="O240" i="3"/>
  <c r="N240" i="3"/>
  <c r="N266" i="3" s="1"/>
  <c r="L240" i="3"/>
  <c r="K240" i="3"/>
  <c r="K266" i="3" s="1"/>
  <c r="I240" i="3"/>
  <c r="H240" i="3"/>
  <c r="H266" i="3" s="1"/>
  <c r="F240" i="3"/>
  <c r="AP240" i="3" s="1"/>
  <c r="E240" i="3"/>
  <c r="E266" i="3" s="1"/>
  <c r="C240" i="3"/>
  <c r="B240" i="3"/>
  <c r="B266" i="3" s="1"/>
  <c r="D213" i="38" s="1"/>
  <c r="AA20" i="38" s="1"/>
  <c r="AJ239" i="3"/>
  <c r="AI239" i="3"/>
  <c r="AI265" i="3" s="1"/>
  <c r="AG239" i="3"/>
  <c r="AF239" i="3"/>
  <c r="AF265" i="3" s="1"/>
  <c r="AD239" i="3"/>
  <c r="AC239" i="3"/>
  <c r="AC265" i="3" s="1"/>
  <c r="AA239" i="3"/>
  <c r="Z239" i="3"/>
  <c r="Z265" i="3" s="1"/>
  <c r="X239" i="3"/>
  <c r="W239" i="3"/>
  <c r="W265" i="3" s="1"/>
  <c r="U239" i="3"/>
  <c r="U265" i="3" s="1"/>
  <c r="T239" i="3"/>
  <c r="T265" i="3" s="1"/>
  <c r="R239" i="3"/>
  <c r="Q239" i="3"/>
  <c r="O239" i="3"/>
  <c r="N239" i="3"/>
  <c r="N265" i="3" s="1"/>
  <c r="L239" i="3"/>
  <c r="K239" i="3"/>
  <c r="K265" i="3" s="1"/>
  <c r="I239" i="3"/>
  <c r="AP239" i="3" s="1"/>
  <c r="H239" i="3"/>
  <c r="H265" i="3" s="1"/>
  <c r="F239" i="3"/>
  <c r="E239" i="3"/>
  <c r="E265" i="3" s="1"/>
  <c r="C239" i="3"/>
  <c r="B239" i="3"/>
  <c r="B265" i="3" s="1"/>
  <c r="D212" i="38" s="1"/>
  <c r="AA10" i="38" s="1"/>
  <c r="AP237" i="3"/>
  <c r="AO237" i="3"/>
  <c r="AD236" i="3"/>
  <c r="AA236" i="3"/>
  <c r="X236" i="3"/>
  <c r="U236" i="3"/>
  <c r="R236" i="3"/>
  <c r="F236" i="3"/>
  <c r="C236" i="3"/>
  <c r="AJ222" i="3"/>
  <c r="AI222" i="3"/>
  <c r="AG222" i="3"/>
  <c r="AF222" i="3"/>
  <c r="AD222" i="3"/>
  <c r="AC222" i="3"/>
  <c r="AA222" i="3"/>
  <c r="Z222" i="3"/>
  <c r="X222" i="3"/>
  <c r="W222" i="3"/>
  <c r="U222" i="3"/>
  <c r="T222" i="3"/>
  <c r="R222" i="3"/>
  <c r="Q222" i="3"/>
  <c r="O222" i="3"/>
  <c r="N222" i="3"/>
  <c r="L222" i="3"/>
  <c r="K222" i="3"/>
  <c r="AO222" i="3" s="1"/>
  <c r="I222" i="3"/>
  <c r="AP222" i="3" s="1"/>
  <c r="H222" i="3"/>
  <c r="F222" i="3"/>
  <c r="E222" i="3"/>
  <c r="C222" i="3"/>
  <c r="C222" i="4" s="1"/>
  <c r="B222" i="3"/>
  <c r="AJ221" i="3"/>
  <c r="AI221" i="3"/>
  <c r="AG221" i="3"/>
  <c r="AF221" i="3"/>
  <c r="AD221" i="3"/>
  <c r="AC221" i="3"/>
  <c r="AA221" i="3"/>
  <c r="Z221" i="3"/>
  <c r="X221" i="3"/>
  <c r="W221" i="3"/>
  <c r="U221" i="3"/>
  <c r="T221" i="3"/>
  <c r="R221" i="3"/>
  <c r="Q221" i="3"/>
  <c r="AO221" i="3" s="1"/>
  <c r="O221" i="3"/>
  <c r="N221" i="3"/>
  <c r="L221" i="3"/>
  <c r="K221" i="3"/>
  <c r="I221" i="3"/>
  <c r="H221" i="3"/>
  <c r="F221" i="3"/>
  <c r="AP221" i="3" s="1"/>
  <c r="E221" i="3"/>
  <c r="C221" i="3"/>
  <c r="C221" i="4" s="1"/>
  <c r="B221" i="3"/>
  <c r="AJ220" i="3"/>
  <c r="AJ263" i="3" s="1"/>
  <c r="AI220" i="3"/>
  <c r="AG220" i="3"/>
  <c r="AG263" i="3" s="1"/>
  <c r="AF220" i="3"/>
  <c r="AD220" i="3"/>
  <c r="AD263" i="3" s="1"/>
  <c r="AC220" i="3"/>
  <c r="AA220" i="3"/>
  <c r="Z220" i="3"/>
  <c r="X220" i="3"/>
  <c r="X263" i="3" s="1"/>
  <c r="W220" i="3"/>
  <c r="U220" i="3"/>
  <c r="T220" i="3"/>
  <c r="R220" i="3"/>
  <c r="Q220" i="3"/>
  <c r="AO220" i="3" s="1"/>
  <c r="O220" i="3"/>
  <c r="N220" i="3"/>
  <c r="L220" i="3"/>
  <c r="K220" i="3"/>
  <c r="I220" i="3"/>
  <c r="I263" i="3" s="1"/>
  <c r="H220" i="3"/>
  <c r="F220" i="3"/>
  <c r="E220" i="3"/>
  <c r="C220" i="3"/>
  <c r="C165" i="38" s="1"/>
  <c r="B220" i="3"/>
  <c r="AJ219" i="3"/>
  <c r="AI219" i="3"/>
  <c r="AG219" i="3"/>
  <c r="AF219" i="3"/>
  <c r="AD219" i="3"/>
  <c r="AC219" i="3"/>
  <c r="AA219" i="3"/>
  <c r="Z219" i="3"/>
  <c r="X219" i="3"/>
  <c r="W219" i="3"/>
  <c r="U219" i="3"/>
  <c r="T219" i="3"/>
  <c r="R219" i="3"/>
  <c r="Q219" i="3"/>
  <c r="O219" i="3"/>
  <c r="N219" i="3"/>
  <c r="L219" i="3"/>
  <c r="K219" i="3"/>
  <c r="I219" i="3"/>
  <c r="H219" i="3"/>
  <c r="F219" i="3"/>
  <c r="E219" i="3"/>
  <c r="C219" i="3"/>
  <c r="C164" i="38" s="1"/>
  <c r="B219" i="3"/>
  <c r="AJ218" i="3"/>
  <c r="AI218" i="3"/>
  <c r="AG218" i="3"/>
  <c r="AF218" i="3"/>
  <c r="AD218" i="3"/>
  <c r="AC218" i="3"/>
  <c r="AA218" i="3"/>
  <c r="Z218" i="3"/>
  <c r="X218" i="3"/>
  <c r="W218" i="3"/>
  <c r="U218" i="3"/>
  <c r="T218" i="3"/>
  <c r="R218" i="3"/>
  <c r="Q218" i="3"/>
  <c r="O218" i="3"/>
  <c r="N218" i="3"/>
  <c r="L218" i="3"/>
  <c r="K218" i="3"/>
  <c r="AO218" i="3" s="1"/>
  <c r="I218" i="3"/>
  <c r="H218" i="3"/>
  <c r="F218" i="3"/>
  <c r="E218" i="3"/>
  <c r="C218" i="3"/>
  <c r="C163" i="38" s="1"/>
  <c r="B218" i="3"/>
  <c r="AJ217" i="3"/>
  <c r="AI217" i="3"/>
  <c r="AG217" i="3"/>
  <c r="AF217" i="3"/>
  <c r="AD217" i="3"/>
  <c r="AC217" i="3"/>
  <c r="AA217" i="3"/>
  <c r="Z217" i="3"/>
  <c r="X217" i="3"/>
  <c r="W217" i="3"/>
  <c r="U217" i="3"/>
  <c r="T217" i="3"/>
  <c r="R217" i="3"/>
  <c r="Q217" i="3"/>
  <c r="O217" i="3"/>
  <c r="N217" i="3"/>
  <c r="L217" i="3"/>
  <c r="K217" i="3"/>
  <c r="AO217" i="3" s="1"/>
  <c r="I217" i="3"/>
  <c r="H217" i="3"/>
  <c r="F217" i="3"/>
  <c r="AP217" i="3" s="1"/>
  <c r="E217" i="3"/>
  <c r="C217" i="3"/>
  <c r="C217" i="4" s="1"/>
  <c r="B217" i="3"/>
  <c r="AJ216" i="3"/>
  <c r="AI216" i="3"/>
  <c r="AG216" i="3"/>
  <c r="AF216" i="3"/>
  <c r="AD216" i="3"/>
  <c r="AC216" i="3"/>
  <c r="AA216" i="3"/>
  <c r="Z216" i="3"/>
  <c r="X216" i="3"/>
  <c r="W216" i="3"/>
  <c r="U216" i="3"/>
  <c r="T216" i="3"/>
  <c r="R216" i="3"/>
  <c r="Q216" i="3"/>
  <c r="AO216" i="3" s="1"/>
  <c r="O216" i="3"/>
  <c r="N216" i="3"/>
  <c r="L216" i="3"/>
  <c r="K216" i="3"/>
  <c r="I216" i="3"/>
  <c r="H216" i="3"/>
  <c r="F216" i="3"/>
  <c r="E216" i="3"/>
  <c r="C216" i="3"/>
  <c r="C216" i="4" s="1"/>
  <c r="B216" i="3"/>
  <c r="AJ215" i="3"/>
  <c r="AI215" i="3"/>
  <c r="AG215" i="3"/>
  <c r="AF215" i="3"/>
  <c r="AD215" i="3"/>
  <c r="AC215" i="3"/>
  <c r="AA215" i="3"/>
  <c r="Z215" i="3"/>
  <c r="X215" i="3"/>
  <c r="W215" i="3"/>
  <c r="U215" i="3"/>
  <c r="T215" i="3"/>
  <c r="R215" i="3"/>
  <c r="AP215" i="3" s="1"/>
  <c r="Q215" i="3"/>
  <c r="O215" i="3"/>
  <c r="N215" i="3"/>
  <c r="L215" i="3"/>
  <c r="K215" i="3"/>
  <c r="AO215" i="3" s="1"/>
  <c r="I215" i="3"/>
  <c r="H215" i="3"/>
  <c r="F215" i="3"/>
  <c r="E215" i="3"/>
  <c r="C215" i="3"/>
  <c r="C215" i="4" s="1"/>
  <c r="B215" i="3"/>
  <c r="AP213" i="3"/>
  <c r="AO213" i="3"/>
  <c r="AJ212" i="3"/>
  <c r="AJ209" i="3"/>
  <c r="AI209" i="3"/>
  <c r="AG209" i="3"/>
  <c r="AF209" i="3"/>
  <c r="AD209" i="3"/>
  <c r="AC209" i="3"/>
  <c r="AA209" i="3"/>
  <c r="Z209" i="3"/>
  <c r="X209" i="3"/>
  <c r="W209" i="3"/>
  <c r="U209" i="3"/>
  <c r="T209" i="3"/>
  <c r="R209" i="3"/>
  <c r="Q209" i="3"/>
  <c r="O209" i="3"/>
  <c r="N209" i="3"/>
  <c r="L209" i="3"/>
  <c r="K209" i="3"/>
  <c r="AO209" i="3" s="1"/>
  <c r="I209" i="3"/>
  <c r="H209" i="3"/>
  <c r="F209" i="3"/>
  <c r="E209" i="3"/>
  <c r="C209" i="3"/>
  <c r="C154" i="38" s="1"/>
  <c r="B209" i="3"/>
  <c r="AJ208" i="3"/>
  <c r="AI208" i="3"/>
  <c r="AG208" i="3"/>
  <c r="AF208" i="3"/>
  <c r="AD208" i="3"/>
  <c r="AC208" i="3"/>
  <c r="AA208" i="3"/>
  <c r="Z208" i="3"/>
  <c r="X208" i="3"/>
  <c r="W208" i="3"/>
  <c r="U208" i="3"/>
  <c r="T208" i="3"/>
  <c r="R208" i="3"/>
  <c r="Q208" i="3"/>
  <c r="AO208" i="3" s="1"/>
  <c r="O208" i="3"/>
  <c r="N208" i="3"/>
  <c r="L208" i="3"/>
  <c r="K208" i="3"/>
  <c r="I208" i="3"/>
  <c r="H208" i="3"/>
  <c r="F208" i="3"/>
  <c r="E208" i="3"/>
  <c r="C208" i="3"/>
  <c r="C153" i="38" s="1"/>
  <c r="B208" i="3"/>
  <c r="AJ207" i="3"/>
  <c r="AI207" i="3"/>
  <c r="AG207" i="3"/>
  <c r="AF207" i="3"/>
  <c r="AD207" i="3"/>
  <c r="AC207" i="3"/>
  <c r="AA207" i="3"/>
  <c r="Z207" i="3"/>
  <c r="X207" i="3"/>
  <c r="W207" i="3"/>
  <c r="U207" i="3"/>
  <c r="T207" i="3"/>
  <c r="R207" i="3"/>
  <c r="Q207" i="3"/>
  <c r="O207" i="3"/>
  <c r="N207" i="3"/>
  <c r="L207" i="3"/>
  <c r="K207" i="3"/>
  <c r="AO207" i="3" s="1"/>
  <c r="I207" i="3"/>
  <c r="AP207" i="3" s="1"/>
  <c r="H207" i="3"/>
  <c r="F207" i="3"/>
  <c r="E207" i="3"/>
  <c r="C207" i="3"/>
  <c r="C207" i="4" s="1"/>
  <c r="B207" i="3"/>
  <c r="AJ206" i="3"/>
  <c r="AI206" i="3"/>
  <c r="AG206" i="3"/>
  <c r="AF206" i="3"/>
  <c r="AD206" i="3"/>
  <c r="AC206" i="3"/>
  <c r="AA206" i="3"/>
  <c r="Z206" i="3"/>
  <c r="X206" i="3"/>
  <c r="W206" i="3"/>
  <c r="U206" i="3"/>
  <c r="T206" i="3"/>
  <c r="R206" i="3"/>
  <c r="Q206" i="3"/>
  <c r="O206" i="3"/>
  <c r="N206" i="3"/>
  <c r="L206" i="3"/>
  <c r="K206" i="3"/>
  <c r="AO206" i="3" s="1"/>
  <c r="I206" i="3"/>
  <c r="H206" i="3"/>
  <c r="F206" i="3"/>
  <c r="E206" i="3"/>
  <c r="C206" i="3"/>
  <c r="C151" i="38" s="1"/>
  <c r="B206" i="3"/>
  <c r="AJ205" i="3"/>
  <c r="AI205" i="3"/>
  <c r="AG205" i="3"/>
  <c r="AF205" i="3"/>
  <c r="AD205" i="3"/>
  <c r="AC205" i="3"/>
  <c r="AA205" i="3"/>
  <c r="Z205" i="3"/>
  <c r="X205" i="3"/>
  <c r="W205" i="3"/>
  <c r="U205" i="3"/>
  <c r="T205" i="3"/>
  <c r="R205" i="3"/>
  <c r="Q205" i="3"/>
  <c r="O205" i="3"/>
  <c r="N205" i="3"/>
  <c r="L205" i="3"/>
  <c r="K205" i="3"/>
  <c r="AO205" i="3" s="1"/>
  <c r="I205" i="3"/>
  <c r="H205" i="3"/>
  <c r="F205" i="3"/>
  <c r="E205" i="3"/>
  <c r="C205" i="3"/>
  <c r="C150" i="38" s="1"/>
  <c r="B205" i="3"/>
  <c r="AJ204" i="3"/>
  <c r="AI204" i="3"/>
  <c r="AG204" i="3"/>
  <c r="AF204" i="3"/>
  <c r="AD204" i="3"/>
  <c r="AC204" i="3"/>
  <c r="AA204" i="3"/>
  <c r="Z204" i="3"/>
  <c r="X204" i="3"/>
  <c r="W204" i="3"/>
  <c r="U204" i="3"/>
  <c r="T204" i="3"/>
  <c r="R204" i="3"/>
  <c r="AP204" i="3" s="1"/>
  <c r="Q204" i="3"/>
  <c r="O204" i="3"/>
  <c r="N204" i="3"/>
  <c r="L204" i="3"/>
  <c r="K204" i="3"/>
  <c r="AO204" i="3" s="1"/>
  <c r="I204" i="3"/>
  <c r="H204" i="3"/>
  <c r="F204" i="3"/>
  <c r="E204" i="3"/>
  <c r="C204" i="3"/>
  <c r="C204" i="4" s="1"/>
  <c r="B204" i="3"/>
  <c r="AJ203" i="3"/>
  <c r="AI203" i="3"/>
  <c r="AG203" i="3"/>
  <c r="AF203" i="3"/>
  <c r="AD203" i="3"/>
  <c r="AC203" i="3"/>
  <c r="AA203" i="3"/>
  <c r="Z203" i="3"/>
  <c r="X203" i="3"/>
  <c r="W203" i="3"/>
  <c r="U203" i="3"/>
  <c r="T203" i="3"/>
  <c r="R203" i="3"/>
  <c r="Q203" i="3"/>
  <c r="O203" i="3"/>
  <c r="N203" i="3"/>
  <c r="L203" i="3"/>
  <c r="K203" i="3"/>
  <c r="AO203" i="3" s="1"/>
  <c r="I203" i="3"/>
  <c r="H203" i="3"/>
  <c r="F203" i="3"/>
  <c r="E203" i="3"/>
  <c r="C203" i="3"/>
  <c r="C203" i="4" s="1"/>
  <c r="B203" i="3"/>
  <c r="AJ202" i="3"/>
  <c r="AI202" i="3"/>
  <c r="AG202" i="3"/>
  <c r="AF202" i="3"/>
  <c r="AD202" i="3"/>
  <c r="AC202" i="3"/>
  <c r="AA202" i="3"/>
  <c r="Z202" i="3"/>
  <c r="X202" i="3"/>
  <c r="W202" i="3"/>
  <c r="U202" i="3"/>
  <c r="T202" i="3"/>
  <c r="R202" i="3"/>
  <c r="Q202" i="3"/>
  <c r="O202" i="3"/>
  <c r="N202" i="3"/>
  <c r="L202" i="3"/>
  <c r="K202" i="3"/>
  <c r="AO202" i="3" s="1"/>
  <c r="I202" i="3"/>
  <c r="AP202" i="3" s="1"/>
  <c r="H202" i="3"/>
  <c r="F202" i="3"/>
  <c r="E202" i="3"/>
  <c r="C202" i="3"/>
  <c r="C147" i="38" s="1"/>
  <c r="B202" i="3"/>
  <c r="AP200" i="3"/>
  <c r="AO200" i="3"/>
  <c r="AD199" i="3"/>
  <c r="AA199" i="3"/>
  <c r="X199" i="3"/>
  <c r="AJ196" i="3"/>
  <c r="AI196" i="3"/>
  <c r="AG196" i="3"/>
  <c r="AF196" i="3"/>
  <c r="AD196" i="3"/>
  <c r="AC196" i="3"/>
  <c r="AA196" i="3"/>
  <c r="Z196" i="3"/>
  <c r="X196" i="3"/>
  <c r="W196" i="3"/>
  <c r="U196" i="3"/>
  <c r="T196" i="3"/>
  <c r="R196" i="3"/>
  <c r="Q196" i="3"/>
  <c r="O196" i="3"/>
  <c r="N196" i="3"/>
  <c r="L196" i="3"/>
  <c r="K196" i="3"/>
  <c r="AO196" i="3" s="1"/>
  <c r="I196" i="3"/>
  <c r="H196" i="3"/>
  <c r="F196" i="3"/>
  <c r="AP196" i="3" s="1"/>
  <c r="E196" i="3"/>
  <c r="C196" i="3"/>
  <c r="C196" i="4" s="1"/>
  <c r="B196" i="3"/>
  <c r="AJ195" i="3"/>
  <c r="AI195" i="3"/>
  <c r="AG195" i="3"/>
  <c r="AF195" i="3"/>
  <c r="AD195" i="3"/>
  <c r="AC195" i="3"/>
  <c r="AA195" i="3"/>
  <c r="Z195" i="3"/>
  <c r="X195" i="3"/>
  <c r="W195" i="3"/>
  <c r="U195" i="3"/>
  <c r="T195" i="3"/>
  <c r="R195" i="3"/>
  <c r="Q195" i="3"/>
  <c r="O195" i="3"/>
  <c r="N195" i="3"/>
  <c r="L195" i="3"/>
  <c r="K195" i="3"/>
  <c r="AO195" i="3" s="1"/>
  <c r="I195" i="3"/>
  <c r="H195" i="3"/>
  <c r="F195" i="3"/>
  <c r="E195" i="3"/>
  <c r="C195" i="3"/>
  <c r="C140" i="38" s="1"/>
  <c r="B195" i="3"/>
  <c r="AJ194" i="3"/>
  <c r="AI194" i="3"/>
  <c r="AG194" i="3"/>
  <c r="AF194" i="3"/>
  <c r="AD194" i="3"/>
  <c r="AC194" i="3"/>
  <c r="AA194" i="3"/>
  <c r="Z194" i="3"/>
  <c r="X194" i="3"/>
  <c r="W194" i="3"/>
  <c r="U194" i="3"/>
  <c r="T194" i="3"/>
  <c r="R194" i="3"/>
  <c r="Q194" i="3"/>
  <c r="AO194" i="3" s="1"/>
  <c r="O194" i="3"/>
  <c r="N194" i="3"/>
  <c r="L194" i="3"/>
  <c r="K194" i="3"/>
  <c r="I194" i="3"/>
  <c r="H194" i="3"/>
  <c r="F194" i="3"/>
  <c r="E194" i="3"/>
  <c r="C194" i="3"/>
  <c r="C194" i="4" s="1"/>
  <c r="B194" i="3"/>
  <c r="AJ193" i="3"/>
  <c r="AI193" i="3"/>
  <c r="AG193" i="3"/>
  <c r="AF193" i="3"/>
  <c r="AD193" i="3"/>
  <c r="AC193" i="3"/>
  <c r="AA193" i="3"/>
  <c r="Z193" i="3"/>
  <c r="X193" i="3"/>
  <c r="W193" i="3"/>
  <c r="U193" i="3"/>
  <c r="T193" i="3"/>
  <c r="R193" i="3"/>
  <c r="Q193" i="3"/>
  <c r="O193" i="3"/>
  <c r="N193" i="3"/>
  <c r="L193" i="3"/>
  <c r="K193" i="3"/>
  <c r="AO193" i="3" s="1"/>
  <c r="I193" i="3"/>
  <c r="AP193" i="3" s="1"/>
  <c r="H193" i="3"/>
  <c r="F193" i="3"/>
  <c r="E193" i="3"/>
  <c r="C193" i="3"/>
  <c r="C138" i="38" s="1"/>
  <c r="B193" i="3"/>
  <c r="AJ192" i="3"/>
  <c r="AI192" i="3"/>
  <c r="AG192" i="3"/>
  <c r="AF192" i="3"/>
  <c r="AD192" i="3"/>
  <c r="AC192" i="3"/>
  <c r="AA192" i="3"/>
  <c r="Z192" i="3"/>
  <c r="X192" i="3"/>
  <c r="W192" i="3"/>
  <c r="U192" i="3"/>
  <c r="T192" i="3"/>
  <c r="R192" i="3"/>
  <c r="Q192" i="3"/>
  <c r="O192" i="3"/>
  <c r="N192" i="3"/>
  <c r="L192" i="3"/>
  <c r="K192" i="3"/>
  <c r="AO192" i="3" s="1"/>
  <c r="I192" i="3"/>
  <c r="H192" i="3"/>
  <c r="F192" i="3"/>
  <c r="E192" i="3"/>
  <c r="C192" i="3"/>
  <c r="C137" i="38" s="1"/>
  <c r="B192" i="3"/>
  <c r="AJ191" i="3"/>
  <c r="AI191" i="3"/>
  <c r="AG191" i="3"/>
  <c r="AF191" i="3"/>
  <c r="AD191" i="3"/>
  <c r="AC191" i="3"/>
  <c r="AA191" i="3"/>
  <c r="Z191" i="3"/>
  <c r="X191" i="3"/>
  <c r="W191" i="3"/>
  <c r="U191" i="3"/>
  <c r="T191" i="3"/>
  <c r="R191" i="3"/>
  <c r="Q191" i="3"/>
  <c r="O191" i="3"/>
  <c r="N191" i="3"/>
  <c r="L191" i="3"/>
  <c r="K191" i="3"/>
  <c r="AO191" i="3" s="1"/>
  <c r="I191" i="3"/>
  <c r="H191" i="3"/>
  <c r="F191" i="3"/>
  <c r="E191" i="3"/>
  <c r="C191" i="3"/>
  <c r="C191" i="4" s="1"/>
  <c r="B191" i="3"/>
  <c r="AJ190" i="3"/>
  <c r="AI190" i="3"/>
  <c r="AG190" i="3"/>
  <c r="AF190" i="3"/>
  <c r="AD190" i="3"/>
  <c r="AC190" i="3"/>
  <c r="AA190" i="3"/>
  <c r="Z190" i="3"/>
  <c r="X190" i="3"/>
  <c r="W190" i="3"/>
  <c r="U190" i="3"/>
  <c r="T190" i="3"/>
  <c r="R190" i="3"/>
  <c r="Q190" i="3"/>
  <c r="O190" i="3"/>
  <c r="N190" i="3"/>
  <c r="L190" i="3"/>
  <c r="K190" i="3"/>
  <c r="AO190" i="3" s="1"/>
  <c r="I190" i="3"/>
  <c r="AP190" i="3" s="1"/>
  <c r="H190" i="3"/>
  <c r="F190" i="3"/>
  <c r="E190" i="3"/>
  <c r="C190" i="3"/>
  <c r="C135" i="38" s="1"/>
  <c r="B190" i="3"/>
  <c r="AJ189" i="3"/>
  <c r="AI189" i="3"/>
  <c r="AG189" i="3"/>
  <c r="AF189" i="3"/>
  <c r="AD189" i="3"/>
  <c r="AC189" i="3"/>
  <c r="AA189" i="3"/>
  <c r="Z189" i="3"/>
  <c r="X189" i="3"/>
  <c r="W189" i="3"/>
  <c r="U189" i="3"/>
  <c r="T189" i="3"/>
  <c r="R189" i="3"/>
  <c r="AP189" i="3" s="1"/>
  <c r="Q189" i="3"/>
  <c r="O189" i="3"/>
  <c r="N189" i="3"/>
  <c r="L189" i="3"/>
  <c r="K189" i="3"/>
  <c r="AO189" i="3" s="1"/>
  <c r="I189" i="3"/>
  <c r="H189" i="3"/>
  <c r="F189" i="3"/>
  <c r="E189" i="3"/>
  <c r="C189" i="3"/>
  <c r="C189" i="4" s="1"/>
  <c r="B189" i="3"/>
  <c r="AP187" i="3"/>
  <c r="AO187" i="3"/>
  <c r="AJ186" i="3"/>
  <c r="AJ183" i="3"/>
  <c r="AI183" i="3"/>
  <c r="AG183" i="3"/>
  <c r="AF183" i="3"/>
  <c r="AD183" i="3"/>
  <c r="AC183" i="3"/>
  <c r="AA183" i="3"/>
  <c r="Z183" i="3"/>
  <c r="X183" i="3"/>
  <c r="W183" i="3"/>
  <c r="U183" i="3"/>
  <c r="T183" i="3"/>
  <c r="R183" i="3"/>
  <c r="Q183" i="3"/>
  <c r="O183" i="3"/>
  <c r="N183" i="3"/>
  <c r="L183" i="3"/>
  <c r="K183" i="3"/>
  <c r="AO183" i="3" s="1"/>
  <c r="I183" i="3"/>
  <c r="AP183" i="3" s="1"/>
  <c r="H183" i="3"/>
  <c r="F183" i="3"/>
  <c r="E183" i="3"/>
  <c r="C183" i="3"/>
  <c r="AQ183" i="3" s="1"/>
  <c r="B183" i="3"/>
  <c r="AJ182" i="3"/>
  <c r="AI182" i="3"/>
  <c r="AG182" i="3"/>
  <c r="AF182" i="3"/>
  <c r="AD182" i="3"/>
  <c r="AC182" i="3"/>
  <c r="AA182" i="3"/>
  <c r="Z182" i="3"/>
  <c r="X182" i="3"/>
  <c r="W182" i="3"/>
  <c r="U182" i="3"/>
  <c r="T182" i="3"/>
  <c r="R182" i="3"/>
  <c r="Q182" i="3"/>
  <c r="AO182" i="3" s="1"/>
  <c r="O182" i="3"/>
  <c r="N182" i="3"/>
  <c r="L182" i="3"/>
  <c r="K182" i="3"/>
  <c r="I182" i="3"/>
  <c r="H182" i="3"/>
  <c r="F182" i="3"/>
  <c r="E182" i="3"/>
  <c r="C182" i="3"/>
  <c r="B182" i="3"/>
  <c r="AJ181" i="3"/>
  <c r="AI181" i="3"/>
  <c r="AG181" i="3"/>
  <c r="AF181" i="3"/>
  <c r="AD181" i="3"/>
  <c r="AC181" i="3"/>
  <c r="AA181" i="3"/>
  <c r="Z181" i="3"/>
  <c r="X181" i="3"/>
  <c r="W181" i="3"/>
  <c r="U181" i="3"/>
  <c r="T181" i="3"/>
  <c r="R181" i="3"/>
  <c r="Q181" i="3"/>
  <c r="AO181" i="3" s="1"/>
  <c r="O181" i="3"/>
  <c r="N181" i="3"/>
  <c r="L181" i="3"/>
  <c r="K181" i="3"/>
  <c r="I181" i="3"/>
  <c r="AP181" i="3" s="1"/>
  <c r="H181" i="3"/>
  <c r="F181" i="3"/>
  <c r="E181" i="3"/>
  <c r="C181" i="3"/>
  <c r="AQ181" i="3" s="1"/>
  <c r="B181" i="3"/>
  <c r="AJ180" i="3"/>
  <c r="AI180" i="3"/>
  <c r="AG180" i="3"/>
  <c r="AF180" i="3"/>
  <c r="AD180" i="3"/>
  <c r="AC180" i="3"/>
  <c r="AA180" i="3"/>
  <c r="Z180" i="3"/>
  <c r="X180" i="3"/>
  <c r="W180" i="3"/>
  <c r="U180" i="3"/>
  <c r="T180" i="3"/>
  <c r="R180" i="3"/>
  <c r="Q180" i="3"/>
  <c r="O180" i="3"/>
  <c r="N180" i="3"/>
  <c r="L180" i="3"/>
  <c r="K180" i="3"/>
  <c r="AO180" i="3" s="1"/>
  <c r="I180" i="3"/>
  <c r="H180" i="3"/>
  <c r="F180" i="3"/>
  <c r="AP180" i="3" s="1"/>
  <c r="E180" i="3"/>
  <c r="C180" i="3"/>
  <c r="AQ180" i="3" s="1"/>
  <c r="B180" i="3"/>
  <c r="AJ179" i="3"/>
  <c r="AI179" i="3"/>
  <c r="AG179" i="3"/>
  <c r="AF179" i="3"/>
  <c r="AD179" i="3"/>
  <c r="AC179" i="3"/>
  <c r="AA179" i="3"/>
  <c r="Z179" i="3"/>
  <c r="X179" i="3"/>
  <c r="W179" i="3"/>
  <c r="U179" i="3"/>
  <c r="T179" i="3"/>
  <c r="R179" i="3"/>
  <c r="Q179" i="3"/>
  <c r="O179" i="3"/>
  <c r="N179" i="3"/>
  <c r="L179" i="3"/>
  <c r="K179" i="3"/>
  <c r="AO179" i="3" s="1"/>
  <c r="I179" i="3"/>
  <c r="AP179" i="3" s="1"/>
  <c r="H179" i="3"/>
  <c r="F179" i="3"/>
  <c r="E179" i="3"/>
  <c r="C179" i="3"/>
  <c r="AQ179" i="3" s="1"/>
  <c r="B179" i="3"/>
  <c r="AJ178" i="3"/>
  <c r="AI178" i="3"/>
  <c r="AG178" i="3"/>
  <c r="AF178" i="3"/>
  <c r="AD178" i="3"/>
  <c r="AC178" i="3"/>
  <c r="AA178" i="3"/>
  <c r="Z178" i="3"/>
  <c r="X178" i="3"/>
  <c r="W178" i="3"/>
  <c r="U178" i="3"/>
  <c r="T178" i="3"/>
  <c r="R178" i="3"/>
  <c r="Q178" i="3"/>
  <c r="O178" i="3"/>
  <c r="N178" i="3"/>
  <c r="L178" i="3"/>
  <c r="K178" i="3"/>
  <c r="AO178" i="3" s="1"/>
  <c r="I178" i="3"/>
  <c r="H178" i="3"/>
  <c r="F178" i="3"/>
  <c r="E178" i="3"/>
  <c r="C178" i="3"/>
  <c r="B178" i="3"/>
  <c r="AJ177" i="3"/>
  <c r="AI177" i="3"/>
  <c r="AG177" i="3"/>
  <c r="AF177" i="3"/>
  <c r="AD177" i="3"/>
  <c r="AC177" i="3"/>
  <c r="AA177" i="3"/>
  <c r="Z177" i="3"/>
  <c r="X177" i="3"/>
  <c r="W177" i="3"/>
  <c r="U177" i="3"/>
  <c r="T177" i="3"/>
  <c r="R177" i="3"/>
  <c r="Q177" i="3"/>
  <c r="AO177" i="3" s="1"/>
  <c r="O177" i="3"/>
  <c r="AP177" i="3" s="1"/>
  <c r="N177" i="3"/>
  <c r="L177" i="3"/>
  <c r="K177" i="3"/>
  <c r="I177" i="3"/>
  <c r="H177" i="3"/>
  <c r="F177" i="3"/>
  <c r="E177" i="3"/>
  <c r="C177" i="3"/>
  <c r="AQ177" i="3" s="1"/>
  <c r="B177" i="3"/>
  <c r="AJ176" i="3"/>
  <c r="AI176" i="3"/>
  <c r="AG176" i="3"/>
  <c r="AF176" i="3"/>
  <c r="AD176" i="3"/>
  <c r="AC176" i="3"/>
  <c r="AA176" i="3"/>
  <c r="Z176" i="3"/>
  <c r="X176" i="3"/>
  <c r="W176" i="3"/>
  <c r="U176" i="3"/>
  <c r="T176" i="3"/>
  <c r="R176" i="3"/>
  <c r="Q176" i="3"/>
  <c r="O176" i="3"/>
  <c r="N176" i="3"/>
  <c r="L176" i="3"/>
  <c r="K176" i="3"/>
  <c r="AO176" i="3" s="1"/>
  <c r="I176" i="3"/>
  <c r="H176" i="3"/>
  <c r="F176" i="3"/>
  <c r="E176" i="3"/>
  <c r="C176" i="3"/>
  <c r="AQ176" i="3" s="1"/>
  <c r="B176" i="3"/>
  <c r="AP174" i="3"/>
  <c r="AO174" i="3"/>
  <c r="AG173" i="3"/>
  <c r="AD173" i="3"/>
  <c r="AA173" i="3"/>
  <c r="X173" i="3"/>
  <c r="C129" i="38" s="1"/>
  <c r="AJ170" i="3"/>
  <c r="AI170" i="3"/>
  <c r="AG170" i="3"/>
  <c r="AF170" i="3"/>
  <c r="AD170" i="3"/>
  <c r="AC170" i="3"/>
  <c r="AA170" i="3"/>
  <c r="Z170" i="3"/>
  <c r="X170" i="3"/>
  <c r="W170" i="3"/>
  <c r="U170" i="3"/>
  <c r="T170" i="3"/>
  <c r="R170" i="3"/>
  <c r="Q170" i="3"/>
  <c r="O170" i="3"/>
  <c r="N170" i="3"/>
  <c r="L170" i="3"/>
  <c r="K170" i="3"/>
  <c r="AO170" i="3" s="1"/>
  <c r="I170" i="3"/>
  <c r="AP170" i="3" s="1"/>
  <c r="H170" i="3"/>
  <c r="F170" i="3"/>
  <c r="E170" i="3"/>
  <c r="C170" i="3"/>
  <c r="C170" i="4" s="1"/>
  <c r="B170" i="3"/>
  <c r="AJ169" i="3"/>
  <c r="AI169" i="3"/>
  <c r="AG169" i="3"/>
  <c r="AF169" i="3"/>
  <c r="AD169" i="3"/>
  <c r="AC169" i="3"/>
  <c r="AA169" i="3"/>
  <c r="Z169" i="3"/>
  <c r="X169" i="3"/>
  <c r="W169" i="3"/>
  <c r="U169" i="3"/>
  <c r="T169" i="3"/>
  <c r="R169" i="3"/>
  <c r="Q169" i="3"/>
  <c r="AO169" i="3" s="1"/>
  <c r="O169" i="3"/>
  <c r="N169" i="3"/>
  <c r="L169" i="3"/>
  <c r="K169" i="3"/>
  <c r="I169" i="3"/>
  <c r="H169" i="3"/>
  <c r="F169" i="3"/>
  <c r="E169" i="3"/>
  <c r="C169" i="3"/>
  <c r="C169" i="4" s="1"/>
  <c r="B169" i="3"/>
  <c r="AJ168" i="3"/>
  <c r="AI168" i="3"/>
  <c r="AG168" i="3"/>
  <c r="AF168" i="3"/>
  <c r="AD168" i="3"/>
  <c r="AC168" i="3"/>
  <c r="AA168" i="3"/>
  <c r="Z168" i="3"/>
  <c r="X168" i="3"/>
  <c r="W168" i="3"/>
  <c r="U168" i="3"/>
  <c r="T168" i="3"/>
  <c r="R168" i="3"/>
  <c r="Q168" i="3"/>
  <c r="AO168" i="3" s="1"/>
  <c r="O168" i="3"/>
  <c r="N168" i="3"/>
  <c r="L168" i="3"/>
  <c r="K168" i="3"/>
  <c r="I168" i="3"/>
  <c r="H168" i="3"/>
  <c r="F168" i="3"/>
  <c r="E168" i="3"/>
  <c r="C168" i="3"/>
  <c r="C113" i="38" s="1"/>
  <c r="B168" i="3"/>
  <c r="AJ167" i="3"/>
  <c r="AI167" i="3"/>
  <c r="AG167" i="3"/>
  <c r="AF167" i="3"/>
  <c r="AD167" i="3"/>
  <c r="AC167" i="3"/>
  <c r="AA167" i="3"/>
  <c r="Z167" i="3"/>
  <c r="X167" i="3"/>
  <c r="W167" i="3"/>
  <c r="U167" i="3"/>
  <c r="T167" i="3"/>
  <c r="R167" i="3"/>
  <c r="Q167" i="3"/>
  <c r="O167" i="3"/>
  <c r="N167" i="3"/>
  <c r="L167" i="3"/>
  <c r="K167" i="3"/>
  <c r="I167" i="3"/>
  <c r="H167" i="3"/>
  <c r="F167" i="3"/>
  <c r="AP167" i="3" s="1"/>
  <c r="E167" i="3"/>
  <c r="C167" i="3"/>
  <c r="B167" i="3"/>
  <c r="AJ166" i="3"/>
  <c r="AI166" i="3"/>
  <c r="AG166" i="3"/>
  <c r="AF166" i="3"/>
  <c r="AD166" i="3"/>
  <c r="AC166" i="3"/>
  <c r="AA166" i="3"/>
  <c r="Z166" i="3"/>
  <c r="X166" i="3"/>
  <c r="W166" i="3"/>
  <c r="U166" i="3"/>
  <c r="T166" i="3"/>
  <c r="R166" i="3"/>
  <c r="Q166" i="3"/>
  <c r="O166" i="3"/>
  <c r="N166" i="3"/>
  <c r="L166" i="3"/>
  <c r="K166" i="3"/>
  <c r="AO166" i="3" s="1"/>
  <c r="I166" i="3"/>
  <c r="AP166" i="3" s="1"/>
  <c r="H166" i="3"/>
  <c r="F166" i="3"/>
  <c r="E166" i="3"/>
  <c r="C166" i="3"/>
  <c r="B166" i="3"/>
  <c r="AJ165" i="3"/>
  <c r="AI165" i="3"/>
  <c r="AG165" i="3"/>
  <c r="AF165" i="3"/>
  <c r="AD165" i="3"/>
  <c r="AC165" i="3"/>
  <c r="AA165" i="3"/>
  <c r="Z165" i="3"/>
  <c r="X165" i="3"/>
  <c r="W165" i="3"/>
  <c r="U165" i="3"/>
  <c r="T165" i="3"/>
  <c r="R165" i="3"/>
  <c r="Q165" i="3"/>
  <c r="O165" i="3"/>
  <c r="N165" i="3"/>
  <c r="L165" i="3"/>
  <c r="K165" i="3"/>
  <c r="AO165" i="3" s="1"/>
  <c r="I165" i="3"/>
  <c r="H165" i="3"/>
  <c r="F165" i="3"/>
  <c r="E165" i="3"/>
  <c r="C165" i="3"/>
  <c r="C165" i="4" s="1"/>
  <c r="B165" i="3"/>
  <c r="AJ164" i="3"/>
  <c r="AI164" i="3"/>
  <c r="AG164" i="3"/>
  <c r="AF164" i="3"/>
  <c r="AD164" i="3"/>
  <c r="AC164" i="3"/>
  <c r="AA164" i="3"/>
  <c r="Z164" i="3"/>
  <c r="X164" i="3"/>
  <c r="W164" i="3"/>
  <c r="U164" i="3"/>
  <c r="T164" i="3"/>
  <c r="R164" i="3"/>
  <c r="Q164" i="3"/>
  <c r="O164" i="3"/>
  <c r="N164" i="3"/>
  <c r="L164" i="3"/>
  <c r="K164" i="3"/>
  <c r="AO164" i="3" s="1"/>
  <c r="I164" i="3"/>
  <c r="AP164" i="3" s="1"/>
  <c r="H164" i="3"/>
  <c r="F164" i="3"/>
  <c r="E164" i="3"/>
  <c r="C164" i="3"/>
  <c r="C164" i="4" s="1"/>
  <c r="B164" i="3"/>
  <c r="AJ163" i="3"/>
  <c r="AI163" i="3"/>
  <c r="AG163" i="3"/>
  <c r="AF163" i="3"/>
  <c r="AD163" i="3"/>
  <c r="AC163" i="3"/>
  <c r="AA163" i="3"/>
  <c r="Z163" i="3"/>
  <c r="X163" i="3"/>
  <c r="W163" i="3"/>
  <c r="U163" i="3"/>
  <c r="T163" i="3"/>
  <c r="R163" i="3"/>
  <c r="Q163" i="3"/>
  <c r="O163" i="3"/>
  <c r="N163" i="3"/>
  <c r="L163" i="3"/>
  <c r="K163" i="3"/>
  <c r="AO163" i="3" s="1"/>
  <c r="I163" i="3"/>
  <c r="H163" i="3"/>
  <c r="F163" i="3"/>
  <c r="E163" i="3"/>
  <c r="C163" i="3"/>
  <c r="C108" i="38" s="1"/>
  <c r="B163" i="3"/>
  <c r="AP161" i="3"/>
  <c r="AO161" i="3"/>
  <c r="AP147" i="3"/>
  <c r="AO147" i="3"/>
  <c r="AJ146" i="3"/>
  <c r="AI146" i="3"/>
  <c r="AG146" i="3"/>
  <c r="AF146" i="3"/>
  <c r="AD146" i="3"/>
  <c r="AC146" i="3"/>
  <c r="AA146" i="3"/>
  <c r="Z146" i="3"/>
  <c r="X146" i="3"/>
  <c r="W146" i="3"/>
  <c r="U146" i="3"/>
  <c r="T146" i="3"/>
  <c r="R146" i="3"/>
  <c r="Q146" i="3"/>
  <c r="O146" i="3"/>
  <c r="N146" i="3"/>
  <c r="L146" i="3"/>
  <c r="K146" i="3"/>
  <c r="AO146" i="3" s="1"/>
  <c r="I146" i="3"/>
  <c r="H146" i="3"/>
  <c r="F146" i="3"/>
  <c r="E146" i="3"/>
  <c r="C146" i="3"/>
  <c r="C146" i="4" s="1"/>
  <c r="B146" i="3"/>
  <c r="AJ145" i="3"/>
  <c r="AI145" i="3"/>
  <c r="AG145" i="3"/>
  <c r="AF145" i="3"/>
  <c r="AD145" i="3"/>
  <c r="AC145" i="3"/>
  <c r="AA145" i="3"/>
  <c r="Z145" i="3"/>
  <c r="X145" i="3"/>
  <c r="W145" i="3"/>
  <c r="U145" i="3"/>
  <c r="T145" i="3"/>
  <c r="R145" i="3"/>
  <c r="Q145" i="3"/>
  <c r="O145" i="3"/>
  <c r="N145" i="3"/>
  <c r="L145" i="3"/>
  <c r="K145" i="3"/>
  <c r="AO145" i="3" s="1"/>
  <c r="I145" i="3"/>
  <c r="AP145" i="3" s="1"/>
  <c r="H145" i="3"/>
  <c r="F145" i="3"/>
  <c r="E145" i="3"/>
  <c r="C145" i="3"/>
  <c r="C88" i="38" s="1"/>
  <c r="B145" i="3"/>
  <c r="AJ144" i="3"/>
  <c r="AI144" i="3"/>
  <c r="AG144" i="3"/>
  <c r="AF144" i="3"/>
  <c r="AD144" i="3"/>
  <c r="AC144" i="3"/>
  <c r="AA144" i="3"/>
  <c r="Z144" i="3"/>
  <c r="X144" i="3"/>
  <c r="W144" i="3"/>
  <c r="U144" i="3"/>
  <c r="T144" i="3"/>
  <c r="R144" i="3"/>
  <c r="Q144" i="3"/>
  <c r="O144" i="3"/>
  <c r="N144" i="3"/>
  <c r="L144" i="3"/>
  <c r="K144" i="3"/>
  <c r="AO144" i="3" s="1"/>
  <c r="I144" i="3"/>
  <c r="AP144" i="3" s="1"/>
  <c r="H144" i="3"/>
  <c r="F144" i="3"/>
  <c r="E144" i="3"/>
  <c r="C144" i="3"/>
  <c r="C87" i="38" s="1"/>
  <c r="B144" i="3"/>
  <c r="AJ143" i="3"/>
  <c r="AI143" i="3"/>
  <c r="AG143" i="3"/>
  <c r="AF143" i="3"/>
  <c r="AD143" i="3"/>
  <c r="AC143" i="3"/>
  <c r="AA143" i="3"/>
  <c r="Z143" i="3"/>
  <c r="X143" i="3"/>
  <c r="W143" i="3"/>
  <c r="U143" i="3"/>
  <c r="T143" i="3"/>
  <c r="R143" i="3"/>
  <c r="Q143" i="3"/>
  <c r="O143" i="3"/>
  <c r="N143" i="3"/>
  <c r="L143" i="3"/>
  <c r="K143" i="3"/>
  <c r="I143" i="3"/>
  <c r="H143" i="3"/>
  <c r="F143" i="3"/>
  <c r="E143" i="3"/>
  <c r="C143" i="3"/>
  <c r="B143" i="3"/>
  <c r="AJ142" i="3"/>
  <c r="AI142" i="3"/>
  <c r="AG142" i="3"/>
  <c r="AF142" i="3"/>
  <c r="AD142" i="3"/>
  <c r="AC142" i="3"/>
  <c r="AA142" i="3"/>
  <c r="Z142" i="3"/>
  <c r="X142" i="3"/>
  <c r="W142" i="3"/>
  <c r="U142" i="3"/>
  <c r="T142" i="3"/>
  <c r="R142" i="3"/>
  <c r="Q142" i="3"/>
  <c r="O142" i="3"/>
  <c r="N142" i="3"/>
  <c r="L142" i="3"/>
  <c r="K142" i="3"/>
  <c r="AO142" i="3" s="1"/>
  <c r="I142" i="3"/>
  <c r="H142" i="3"/>
  <c r="F142" i="3"/>
  <c r="E142" i="3"/>
  <c r="C142" i="3"/>
  <c r="C142" i="4" s="1"/>
  <c r="B142" i="3"/>
  <c r="AJ141" i="3"/>
  <c r="AI141" i="3"/>
  <c r="AG141" i="3"/>
  <c r="AF141" i="3"/>
  <c r="AD141" i="3"/>
  <c r="AC141" i="3"/>
  <c r="AA141" i="3"/>
  <c r="Z141" i="3"/>
  <c r="X141" i="3"/>
  <c r="W141" i="3"/>
  <c r="U141" i="3"/>
  <c r="T141" i="3"/>
  <c r="R141" i="3"/>
  <c r="Q141" i="3"/>
  <c r="O141" i="3"/>
  <c r="N141" i="3"/>
  <c r="L141" i="3"/>
  <c r="K141" i="3"/>
  <c r="AO141" i="3" s="1"/>
  <c r="I141" i="3"/>
  <c r="AP141" i="3" s="1"/>
  <c r="H141" i="3"/>
  <c r="F141" i="3"/>
  <c r="E141" i="3"/>
  <c r="C141" i="3"/>
  <c r="C141" i="4" s="1"/>
  <c r="B141" i="3"/>
  <c r="AJ140" i="3"/>
  <c r="AI140" i="3"/>
  <c r="AG140" i="3"/>
  <c r="AF140" i="3"/>
  <c r="AD140" i="3"/>
  <c r="AC140" i="3"/>
  <c r="AA140" i="3"/>
  <c r="Z140" i="3"/>
  <c r="X140" i="3"/>
  <c r="W140" i="3"/>
  <c r="U140" i="3"/>
  <c r="T140" i="3"/>
  <c r="R140" i="3"/>
  <c r="Q140" i="3"/>
  <c r="O140" i="3"/>
  <c r="N140" i="3"/>
  <c r="L140" i="3"/>
  <c r="K140" i="3"/>
  <c r="AO140" i="3" s="1"/>
  <c r="I140" i="3"/>
  <c r="H140" i="3"/>
  <c r="F140" i="3"/>
  <c r="E140" i="3"/>
  <c r="C140" i="3"/>
  <c r="C83" i="38" s="1"/>
  <c r="B140" i="3"/>
  <c r="AJ139" i="3"/>
  <c r="AI139" i="3"/>
  <c r="AG139" i="3"/>
  <c r="AF139" i="3"/>
  <c r="AD139" i="3"/>
  <c r="AC139" i="3"/>
  <c r="AA139" i="3"/>
  <c r="Z139" i="3"/>
  <c r="X139" i="3"/>
  <c r="W139" i="3"/>
  <c r="U139" i="3"/>
  <c r="T139" i="3"/>
  <c r="R139" i="3"/>
  <c r="AP139" i="3" s="1"/>
  <c r="Q139" i="3"/>
  <c r="O139" i="3"/>
  <c r="N139" i="3"/>
  <c r="L139" i="3"/>
  <c r="K139" i="3"/>
  <c r="AO139" i="3" s="1"/>
  <c r="I139" i="3"/>
  <c r="H139" i="3"/>
  <c r="F139" i="3"/>
  <c r="E139" i="3"/>
  <c r="C139" i="3"/>
  <c r="C82" i="38" s="1"/>
  <c r="B139" i="3"/>
  <c r="AP137" i="3"/>
  <c r="AO137" i="3"/>
  <c r="AP123" i="3"/>
  <c r="AO123" i="3"/>
  <c r="AJ122" i="3"/>
  <c r="AI122" i="3"/>
  <c r="AG122" i="3"/>
  <c r="AF122" i="3"/>
  <c r="AD122" i="3"/>
  <c r="AC122" i="3"/>
  <c r="AA122" i="3"/>
  <c r="Z122" i="3"/>
  <c r="X122" i="3"/>
  <c r="W122" i="3"/>
  <c r="U122" i="3"/>
  <c r="T122" i="3"/>
  <c r="R122" i="3"/>
  <c r="Q122" i="3"/>
  <c r="O122" i="3"/>
  <c r="N122" i="3"/>
  <c r="L122" i="3"/>
  <c r="K122" i="3"/>
  <c r="AO122" i="3" s="1"/>
  <c r="I122" i="3"/>
  <c r="H122" i="3"/>
  <c r="F122" i="3"/>
  <c r="E122" i="3"/>
  <c r="C122" i="3"/>
  <c r="C63" i="38" s="1"/>
  <c r="B122" i="3"/>
  <c r="AJ121" i="3"/>
  <c r="AI121" i="3"/>
  <c r="AG121" i="3"/>
  <c r="AF121" i="3"/>
  <c r="AD121" i="3"/>
  <c r="AC121" i="3"/>
  <c r="AA121" i="3"/>
  <c r="Z121" i="3"/>
  <c r="X121" i="3"/>
  <c r="W121" i="3"/>
  <c r="U121" i="3"/>
  <c r="T121" i="3"/>
  <c r="R121" i="3"/>
  <c r="Q121" i="3"/>
  <c r="AO121" i="3" s="1"/>
  <c r="O121" i="3"/>
  <c r="N121" i="3"/>
  <c r="L121" i="3"/>
  <c r="K121" i="3"/>
  <c r="I121" i="3"/>
  <c r="AP121" i="3" s="1"/>
  <c r="H121" i="3"/>
  <c r="F121" i="3"/>
  <c r="E121" i="3"/>
  <c r="C121" i="3"/>
  <c r="C121" i="4" s="1"/>
  <c r="B121" i="3"/>
  <c r="AJ120" i="3"/>
  <c r="AI120" i="3"/>
  <c r="AG120" i="3"/>
  <c r="AF120" i="3"/>
  <c r="AD120" i="3"/>
  <c r="AC120" i="3"/>
  <c r="AA120" i="3"/>
  <c r="Z120" i="3"/>
  <c r="X120" i="3"/>
  <c r="W120" i="3"/>
  <c r="U120" i="3"/>
  <c r="T120" i="3"/>
  <c r="R120" i="3"/>
  <c r="Q120" i="3"/>
  <c r="O120" i="3"/>
  <c r="N120" i="3"/>
  <c r="L120" i="3"/>
  <c r="K120" i="3"/>
  <c r="AO120" i="3" s="1"/>
  <c r="I120" i="3"/>
  <c r="AP120" i="3" s="1"/>
  <c r="H120" i="3"/>
  <c r="F120" i="3"/>
  <c r="E120" i="3"/>
  <c r="C120" i="3"/>
  <c r="C61" i="38" s="1"/>
  <c r="B120" i="3"/>
  <c r="AJ119" i="3"/>
  <c r="AI119" i="3"/>
  <c r="AG119" i="3"/>
  <c r="AF119" i="3"/>
  <c r="AD119" i="3"/>
  <c r="AC119" i="3"/>
  <c r="AA119" i="3"/>
  <c r="Z119" i="3"/>
  <c r="X119" i="3"/>
  <c r="W119" i="3"/>
  <c r="U119" i="3"/>
  <c r="T119" i="3"/>
  <c r="R119" i="3"/>
  <c r="Q119" i="3"/>
  <c r="O119" i="3"/>
  <c r="N119" i="3"/>
  <c r="L119" i="3"/>
  <c r="K119" i="3"/>
  <c r="I119" i="3"/>
  <c r="AP119" i="3" s="1"/>
  <c r="H119" i="3"/>
  <c r="F119" i="3"/>
  <c r="E119" i="3"/>
  <c r="C119" i="3"/>
  <c r="B119" i="3"/>
  <c r="AJ118" i="3"/>
  <c r="AI118" i="3"/>
  <c r="AG118" i="3"/>
  <c r="AF118" i="3"/>
  <c r="AD118" i="3"/>
  <c r="AC118" i="3"/>
  <c r="AA118" i="3"/>
  <c r="Z118" i="3"/>
  <c r="X118" i="3"/>
  <c r="W118" i="3"/>
  <c r="U118" i="3"/>
  <c r="T118" i="3"/>
  <c r="R118" i="3"/>
  <c r="Q118" i="3"/>
  <c r="AO118" i="3" s="1"/>
  <c r="O118" i="3"/>
  <c r="N118" i="3"/>
  <c r="L118" i="3"/>
  <c r="K118" i="3"/>
  <c r="I118" i="3"/>
  <c r="H118" i="3"/>
  <c r="F118" i="3"/>
  <c r="E118" i="3"/>
  <c r="C118" i="3"/>
  <c r="C118" i="4" s="1"/>
  <c r="B118" i="3"/>
  <c r="AJ117" i="3"/>
  <c r="AI117" i="3"/>
  <c r="AG117" i="3"/>
  <c r="AF117" i="3"/>
  <c r="AD117" i="3"/>
  <c r="AC117" i="3"/>
  <c r="AA117" i="3"/>
  <c r="Z117" i="3"/>
  <c r="X117" i="3"/>
  <c r="W117" i="3"/>
  <c r="U117" i="3"/>
  <c r="T117" i="3"/>
  <c r="R117" i="3"/>
  <c r="AP117" i="3" s="1"/>
  <c r="Q117" i="3"/>
  <c r="O117" i="3"/>
  <c r="N117" i="3"/>
  <c r="L117" i="3"/>
  <c r="K117" i="3"/>
  <c r="AO117" i="3" s="1"/>
  <c r="I117" i="3"/>
  <c r="H117" i="3"/>
  <c r="F117" i="3"/>
  <c r="E117" i="3"/>
  <c r="C117" i="3"/>
  <c r="C58" i="38" s="1"/>
  <c r="B117" i="3"/>
  <c r="AJ116" i="3"/>
  <c r="AI116" i="3"/>
  <c r="AG116" i="3"/>
  <c r="AF116" i="3"/>
  <c r="AD116" i="3"/>
  <c r="AC116" i="3"/>
  <c r="AA116" i="3"/>
  <c r="Z116" i="3"/>
  <c r="X116" i="3"/>
  <c r="W116" i="3"/>
  <c r="U116" i="3"/>
  <c r="T116" i="3"/>
  <c r="R116" i="3"/>
  <c r="Q116" i="3"/>
  <c r="O116" i="3"/>
  <c r="N116" i="3"/>
  <c r="L116" i="3"/>
  <c r="K116" i="3"/>
  <c r="AO116" i="3" s="1"/>
  <c r="I116" i="3"/>
  <c r="AP116" i="3" s="1"/>
  <c r="H116" i="3"/>
  <c r="F116" i="3"/>
  <c r="E116" i="3"/>
  <c r="C116" i="3"/>
  <c r="C116" i="4" s="1"/>
  <c r="B116" i="3"/>
  <c r="AJ115" i="3"/>
  <c r="AI115" i="3"/>
  <c r="AG115" i="3"/>
  <c r="AF115" i="3"/>
  <c r="AD115" i="3"/>
  <c r="AC115" i="3"/>
  <c r="AA115" i="3"/>
  <c r="Z115" i="3"/>
  <c r="X115" i="3"/>
  <c r="W115" i="3"/>
  <c r="U115" i="3"/>
  <c r="T115" i="3"/>
  <c r="R115" i="3"/>
  <c r="Q115" i="3"/>
  <c r="O115" i="3"/>
  <c r="N115" i="3"/>
  <c r="L115" i="3"/>
  <c r="K115" i="3"/>
  <c r="AO115" i="3" s="1"/>
  <c r="I115" i="3"/>
  <c r="AP115" i="3" s="1"/>
  <c r="H115" i="3"/>
  <c r="F115" i="3"/>
  <c r="E115" i="3"/>
  <c r="C115" i="3"/>
  <c r="C56" i="38" s="1"/>
  <c r="B115" i="3"/>
  <c r="AP113" i="3"/>
  <c r="AO113" i="3"/>
  <c r="AP99" i="3"/>
  <c r="AO99" i="3"/>
  <c r="AJ98" i="3"/>
  <c r="AI98" i="3"/>
  <c r="AG98" i="3"/>
  <c r="AF98" i="3"/>
  <c r="AD98" i="3"/>
  <c r="AC98" i="3"/>
  <c r="AA98" i="3"/>
  <c r="Z98" i="3"/>
  <c r="X98" i="3"/>
  <c r="W98" i="3"/>
  <c r="U98" i="3"/>
  <c r="T98" i="3"/>
  <c r="R98" i="3"/>
  <c r="Q98" i="3"/>
  <c r="O98" i="3"/>
  <c r="N98" i="3"/>
  <c r="L98" i="3"/>
  <c r="K98" i="3"/>
  <c r="AO98" i="3" s="1"/>
  <c r="I98" i="3"/>
  <c r="AP98" i="3" s="1"/>
  <c r="H98" i="3"/>
  <c r="F98" i="3"/>
  <c r="E98" i="3"/>
  <c r="C98" i="3"/>
  <c r="C98" i="4" s="1"/>
  <c r="B98" i="3"/>
  <c r="AJ97" i="3"/>
  <c r="AI97" i="3"/>
  <c r="AG97" i="3"/>
  <c r="AF97" i="3"/>
  <c r="AD97" i="3"/>
  <c r="AC97" i="3"/>
  <c r="AA97" i="3"/>
  <c r="Z97" i="3"/>
  <c r="X97" i="3"/>
  <c r="W97" i="3"/>
  <c r="U97" i="3"/>
  <c r="T97" i="3"/>
  <c r="R97" i="3"/>
  <c r="Q97" i="3"/>
  <c r="O97" i="3"/>
  <c r="N97" i="3"/>
  <c r="L97" i="3"/>
  <c r="K97" i="3"/>
  <c r="AO97" i="3" s="1"/>
  <c r="I97" i="3"/>
  <c r="H97" i="3"/>
  <c r="F97" i="3"/>
  <c r="E97" i="3"/>
  <c r="C97" i="3"/>
  <c r="C49" i="38" s="1"/>
  <c r="B97" i="3"/>
  <c r="AJ96" i="3"/>
  <c r="AI96" i="3"/>
  <c r="AG96" i="3"/>
  <c r="AF96" i="3"/>
  <c r="AD96" i="3"/>
  <c r="AC96" i="3"/>
  <c r="AA96" i="3"/>
  <c r="Z96" i="3"/>
  <c r="X96" i="3"/>
  <c r="W96" i="3"/>
  <c r="U96" i="3"/>
  <c r="T96" i="3"/>
  <c r="R96" i="3"/>
  <c r="Q96" i="3"/>
  <c r="O96" i="3"/>
  <c r="N96" i="3"/>
  <c r="L96" i="3"/>
  <c r="K96" i="3"/>
  <c r="AO96" i="3" s="1"/>
  <c r="I96" i="3"/>
  <c r="H96" i="3"/>
  <c r="F96" i="3"/>
  <c r="AP96" i="3" s="1"/>
  <c r="E96" i="3"/>
  <c r="C96" i="3"/>
  <c r="C96" i="4" s="1"/>
  <c r="B96" i="3"/>
  <c r="AJ95" i="3"/>
  <c r="AI95" i="3"/>
  <c r="AG95" i="3"/>
  <c r="AF95" i="3"/>
  <c r="AD95" i="3"/>
  <c r="AC95" i="3"/>
  <c r="AA95" i="3"/>
  <c r="Z95" i="3"/>
  <c r="X95" i="3"/>
  <c r="W95" i="3"/>
  <c r="U95" i="3"/>
  <c r="T95" i="3"/>
  <c r="R95" i="3"/>
  <c r="Q95" i="3"/>
  <c r="O95" i="3"/>
  <c r="N95" i="3"/>
  <c r="L95" i="3"/>
  <c r="K95" i="3"/>
  <c r="AO95" i="3" s="1"/>
  <c r="I95" i="3"/>
  <c r="H95" i="3"/>
  <c r="F95" i="3"/>
  <c r="AP95" i="3" s="1"/>
  <c r="E95" i="3"/>
  <c r="C95" i="3"/>
  <c r="C95" i="4" s="1"/>
  <c r="B95" i="3"/>
  <c r="AJ94" i="3"/>
  <c r="AI94" i="3"/>
  <c r="AG94" i="3"/>
  <c r="AF94" i="3"/>
  <c r="AD94" i="3"/>
  <c r="AC94" i="3"/>
  <c r="AA94" i="3"/>
  <c r="Z94" i="3"/>
  <c r="X94" i="3"/>
  <c r="W94" i="3"/>
  <c r="U94" i="3"/>
  <c r="T94" i="3"/>
  <c r="R94" i="3"/>
  <c r="AP94" i="3" s="1"/>
  <c r="Q94" i="3"/>
  <c r="O94" i="3"/>
  <c r="N94" i="3"/>
  <c r="L94" i="3"/>
  <c r="K94" i="3"/>
  <c r="AO94" i="3" s="1"/>
  <c r="I94" i="3"/>
  <c r="H94" i="3"/>
  <c r="F94" i="3"/>
  <c r="E94" i="3"/>
  <c r="C94" i="3"/>
  <c r="C46" i="38" s="1"/>
  <c r="B94" i="3"/>
  <c r="AJ93" i="3"/>
  <c r="AI93" i="3"/>
  <c r="AG93" i="3"/>
  <c r="AF93" i="3"/>
  <c r="AD93" i="3"/>
  <c r="AC93" i="3"/>
  <c r="AA93" i="3"/>
  <c r="Z93" i="3"/>
  <c r="X93" i="3"/>
  <c r="W93" i="3"/>
  <c r="U93" i="3"/>
  <c r="T93" i="3"/>
  <c r="R93" i="3"/>
  <c r="Q93" i="3"/>
  <c r="O93" i="3"/>
  <c r="N93" i="3"/>
  <c r="L93" i="3"/>
  <c r="K93" i="3"/>
  <c r="AO93" i="3" s="1"/>
  <c r="I93" i="3"/>
  <c r="H93" i="3"/>
  <c r="F93" i="3"/>
  <c r="AP93" i="3" s="1"/>
  <c r="E93" i="3"/>
  <c r="C93" i="3"/>
  <c r="C45" i="38" s="1"/>
  <c r="B93" i="3"/>
  <c r="AJ92" i="3"/>
  <c r="AI92" i="3"/>
  <c r="AG92" i="3"/>
  <c r="AF92" i="3"/>
  <c r="AD92" i="3"/>
  <c r="AC92" i="3"/>
  <c r="AA92" i="3"/>
  <c r="Z92" i="3"/>
  <c r="X92" i="3"/>
  <c r="W92" i="3"/>
  <c r="U92" i="3"/>
  <c r="T92" i="3"/>
  <c r="R92" i="3"/>
  <c r="Q92" i="3"/>
  <c r="AO92" i="3" s="1"/>
  <c r="O92" i="3"/>
  <c r="N92" i="3"/>
  <c r="L92" i="3"/>
  <c r="K92" i="3"/>
  <c r="I92" i="3"/>
  <c r="H92" i="3"/>
  <c r="F92" i="3"/>
  <c r="AP92" i="3" s="1"/>
  <c r="E92" i="3"/>
  <c r="C92" i="3"/>
  <c r="C44" i="38" s="1"/>
  <c r="B92" i="3"/>
  <c r="AJ91" i="3"/>
  <c r="AI91" i="3"/>
  <c r="AG91" i="3"/>
  <c r="AF91" i="3"/>
  <c r="AD91" i="3"/>
  <c r="AC91" i="3"/>
  <c r="AA91" i="3"/>
  <c r="Z91" i="3"/>
  <c r="X91" i="3"/>
  <c r="W91" i="3"/>
  <c r="U91" i="3"/>
  <c r="T91" i="3"/>
  <c r="R91" i="3"/>
  <c r="Q91" i="3"/>
  <c r="O91" i="3"/>
  <c r="N91" i="3"/>
  <c r="L91" i="3"/>
  <c r="K91" i="3"/>
  <c r="AO91" i="3" s="1"/>
  <c r="I91" i="3"/>
  <c r="H91" i="3"/>
  <c r="F91" i="3"/>
  <c r="E91" i="3"/>
  <c r="C91" i="3"/>
  <c r="C43" i="38" s="1"/>
  <c r="B91" i="3"/>
  <c r="AO89" i="3"/>
  <c r="AO87" i="3"/>
  <c r="AJ87" i="3"/>
  <c r="AG87" i="3"/>
  <c r="AD87" i="3"/>
  <c r="AA87" i="3"/>
  <c r="X87" i="3"/>
  <c r="U87" i="3"/>
  <c r="R87" i="3"/>
  <c r="AP87" i="3" s="1"/>
  <c r="O87" i="3"/>
  <c r="L87" i="3"/>
  <c r="I87" i="3"/>
  <c r="F87" i="3"/>
  <c r="C87" i="3"/>
  <c r="AP75" i="3"/>
  <c r="AO75" i="3"/>
  <c r="AP74" i="3"/>
  <c r="AO74" i="3"/>
  <c r="AP73" i="3"/>
  <c r="AO73" i="3"/>
  <c r="AP70" i="3"/>
  <c r="AO70" i="3"/>
  <c r="AP69" i="3"/>
  <c r="AO69" i="3"/>
  <c r="AP68" i="3"/>
  <c r="AO68" i="3"/>
  <c r="AP67" i="3"/>
  <c r="AO67" i="3"/>
  <c r="AP66" i="3"/>
  <c r="AO66" i="3"/>
  <c r="AP65" i="3"/>
  <c r="AO65" i="3"/>
  <c r="AP64" i="3"/>
  <c r="AO64" i="3"/>
  <c r="AP63" i="3"/>
  <c r="AO63" i="3"/>
  <c r="AP62" i="3"/>
  <c r="AO62" i="3"/>
  <c r="AP61" i="3"/>
  <c r="AO61" i="3"/>
  <c r="AP60" i="3"/>
  <c r="AO60" i="3"/>
  <c r="AP59" i="3"/>
  <c r="AO59" i="3"/>
  <c r="AP58" i="3"/>
  <c r="AO58" i="3"/>
  <c r="AP57" i="3"/>
  <c r="AO57" i="3"/>
  <c r="AP56" i="3"/>
  <c r="AO56" i="3"/>
  <c r="AP55" i="3"/>
  <c r="AO55" i="3"/>
  <c r="AP54" i="3"/>
  <c r="AO54" i="3"/>
  <c r="AP53" i="3"/>
  <c r="AO53" i="3"/>
  <c r="AP52" i="3"/>
  <c r="AO52" i="3"/>
  <c r="AP51" i="3"/>
  <c r="AO51" i="3"/>
  <c r="AP50" i="3"/>
  <c r="AO50" i="3"/>
  <c r="AP49" i="3"/>
  <c r="AO49" i="3"/>
  <c r="AP48" i="3"/>
  <c r="AO48" i="3"/>
  <c r="AP47" i="3"/>
  <c r="AO47" i="3"/>
  <c r="AP46" i="3"/>
  <c r="AO46" i="3"/>
  <c r="AP45" i="3"/>
  <c r="AO45" i="3"/>
  <c r="AP44" i="3"/>
  <c r="AO44" i="3"/>
  <c r="AJ43" i="3"/>
  <c r="AI43" i="3"/>
  <c r="AG43" i="3"/>
  <c r="AF43" i="3"/>
  <c r="AD43" i="3"/>
  <c r="AC43" i="3"/>
  <c r="AA43" i="3"/>
  <c r="Z43" i="3"/>
  <c r="X43" i="3"/>
  <c r="W43" i="3"/>
  <c r="U43" i="3"/>
  <c r="T43" i="3"/>
  <c r="R43" i="3"/>
  <c r="Q43" i="3"/>
  <c r="AO43" i="3" s="1"/>
  <c r="O43" i="3"/>
  <c r="N43" i="3"/>
  <c r="L43" i="3"/>
  <c r="K43" i="3"/>
  <c r="I43" i="3"/>
  <c r="AP43" i="3" s="1"/>
  <c r="H43" i="3"/>
  <c r="F43" i="3"/>
  <c r="E43" i="3"/>
  <c r="C43" i="3"/>
  <c r="C43" i="4" s="1"/>
  <c r="B43" i="3"/>
  <c r="AJ42" i="3"/>
  <c r="AI42" i="3"/>
  <c r="AG42" i="3"/>
  <c r="AF42" i="3"/>
  <c r="AD42" i="3"/>
  <c r="AC42" i="3"/>
  <c r="AA42" i="3"/>
  <c r="Z42" i="3"/>
  <c r="X42" i="3"/>
  <c r="W42" i="3"/>
  <c r="U42" i="3"/>
  <c r="T42" i="3"/>
  <c r="R42" i="3"/>
  <c r="Q42" i="3"/>
  <c r="O42" i="3"/>
  <c r="N42" i="3"/>
  <c r="L42" i="3"/>
  <c r="K42" i="3"/>
  <c r="AO42" i="3" s="1"/>
  <c r="I42" i="3"/>
  <c r="H42" i="3"/>
  <c r="F42" i="3"/>
  <c r="AP42" i="3" s="1"/>
  <c r="E42" i="3"/>
  <c r="C42" i="3"/>
  <c r="C23" i="38" s="1"/>
  <c r="B42" i="3"/>
  <c r="AJ41" i="3"/>
  <c r="AI41" i="3"/>
  <c r="AG41" i="3"/>
  <c r="AF41" i="3"/>
  <c r="AD41" i="3"/>
  <c r="AC41" i="3"/>
  <c r="AA41" i="3"/>
  <c r="Z41" i="3"/>
  <c r="X41" i="3"/>
  <c r="W41" i="3"/>
  <c r="U41" i="3"/>
  <c r="T41" i="3"/>
  <c r="R41" i="3"/>
  <c r="Q41" i="3"/>
  <c r="O41" i="3"/>
  <c r="N41" i="3"/>
  <c r="L41" i="3"/>
  <c r="K41" i="3"/>
  <c r="AO41" i="3" s="1"/>
  <c r="I41" i="3"/>
  <c r="H41" i="3"/>
  <c r="F41" i="3"/>
  <c r="E41" i="3"/>
  <c r="C41" i="3"/>
  <c r="C22" i="38" s="1"/>
  <c r="B41" i="3"/>
  <c r="AJ40" i="3"/>
  <c r="AI40" i="3"/>
  <c r="AG40" i="3"/>
  <c r="AF40" i="3"/>
  <c r="AD40" i="3"/>
  <c r="AC40" i="3"/>
  <c r="AA40" i="3"/>
  <c r="Z40" i="3"/>
  <c r="X40" i="3"/>
  <c r="W40" i="3"/>
  <c r="U40" i="3"/>
  <c r="T40" i="3"/>
  <c r="R40" i="3"/>
  <c r="Q40" i="3"/>
  <c r="O40" i="3"/>
  <c r="N40" i="3"/>
  <c r="L40" i="3"/>
  <c r="K40" i="3"/>
  <c r="I40" i="3"/>
  <c r="H40" i="3"/>
  <c r="F40" i="3"/>
  <c r="E40" i="3"/>
  <c r="C40" i="3"/>
  <c r="B40" i="3"/>
  <c r="AJ39" i="3"/>
  <c r="AI39" i="3"/>
  <c r="AG39" i="3"/>
  <c r="AF39" i="3"/>
  <c r="AD39" i="3"/>
  <c r="AC39" i="3"/>
  <c r="AA39" i="3"/>
  <c r="Z39" i="3"/>
  <c r="X39" i="3"/>
  <c r="W39" i="3"/>
  <c r="U39" i="3"/>
  <c r="T39" i="3"/>
  <c r="R39" i="3"/>
  <c r="Q39" i="3"/>
  <c r="O39" i="3"/>
  <c r="N39" i="3"/>
  <c r="L39" i="3"/>
  <c r="K39" i="3"/>
  <c r="AO39" i="3" s="1"/>
  <c r="I39" i="3"/>
  <c r="H39" i="3"/>
  <c r="F39" i="3"/>
  <c r="E39" i="3"/>
  <c r="C39" i="3"/>
  <c r="C20" i="38" s="1"/>
  <c r="B39" i="3"/>
  <c r="AJ38" i="3"/>
  <c r="AI38" i="3"/>
  <c r="AG38" i="3"/>
  <c r="AF38" i="3"/>
  <c r="AD38" i="3"/>
  <c r="AC38" i="3"/>
  <c r="AA38" i="3"/>
  <c r="Z38" i="3"/>
  <c r="X38" i="3"/>
  <c r="W38" i="3"/>
  <c r="U38" i="3"/>
  <c r="T38" i="3"/>
  <c r="R38" i="3"/>
  <c r="Q38" i="3"/>
  <c r="O38" i="3"/>
  <c r="N38" i="3"/>
  <c r="L38" i="3"/>
  <c r="K38" i="3"/>
  <c r="AO38" i="3" s="1"/>
  <c r="I38" i="3"/>
  <c r="AP38" i="3" s="1"/>
  <c r="H38" i="3"/>
  <c r="F38" i="3"/>
  <c r="E38" i="3"/>
  <c r="C38" i="3"/>
  <c r="C38" i="4" s="1"/>
  <c r="B38" i="3"/>
  <c r="AJ37" i="3"/>
  <c r="AI37" i="3"/>
  <c r="AG37" i="3"/>
  <c r="AF37" i="3"/>
  <c r="AD37" i="3"/>
  <c r="AC37" i="3"/>
  <c r="AA37" i="3"/>
  <c r="Z37" i="3"/>
  <c r="X37" i="3"/>
  <c r="W37" i="3"/>
  <c r="U37" i="3"/>
  <c r="T37" i="3"/>
  <c r="R37" i="3"/>
  <c r="Q37" i="3"/>
  <c r="O37" i="3"/>
  <c r="N37" i="3"/>
  <c r="L37" i="3"/>
  <c r="K37" i="3"/>
  <c r="AO37" i="3" s="1"/>
  <c r="I37" i="3"/>
  <c r="AP37" i="3" s="1"/>
  <c r="H37" i="3"/>
  <c r="F37" i="3"/>
  <c r="E37" i="3"/>
  <c r="C37" i="3"/>
  <c r="C37" i="4" s="1"/>
  <c r="B37" i="3"/>
  <c r="AJ36" i="3"/>
  <c r="AI36" i="3"/>
  <c r="AG36" i="3"/>
  <c r="AF36" i="3"/>
  <c r="AD36" i="3"/>
  <c r="AC36" i="3"/>
  <c r="AA36" i="3"/>
  <c r="Z36" i="3"/>
  <c r="X36" i="3"/>
  <c r="W36" i="3"/>
  <c r="U36" i="3"/>
  <c r="T36" i="3"/>
  <c r="R36" i="3"/>
  <c r="Q36" i="3"/>
  <c r="AO36" i="3" s="1"/>
  <c r="O36" i="3"/>
  <c r="N36" i="3"/>
  <c r="L36" i="3"/>
  <c r="K36" i="3"/>
  <c r="I36" i="3"/>
  <c r="H36" i="3"/>
  <c r="F36" i="3"/>
  <c r="E36" i="3"/>
  <c r="C36" i="3"/>
  <c r="C17" i="38" s="1"/>
  <c r="B36" i="3"/>
  <c r="AD32" i="3"/>
  <c r="AA32" i="3"/>
  <c r="O32" i="3"/>
  <c r="AJ31" i="3"/>
  <c r="AG31" i="3"/>
  <c r="AD31" i="3"/>
  <c r="AD30" i="3"/>
  <c r="AP29" i="3"/>
  <c r="AO29" i="3"/>
  <c r="AP28" i="3"/>
  <c r="AO28" i="3"/>
  <c r="AP18" i="3"/>
  <c r="AO18" i="3"/>
  <c r="AP17" i="3"/>
  <c r="AO17" i="3"/>
  <c r="AJ16" i="3"/>
  <c r="AI16" i="3"/>
  <c r="AG16" i="3"/>
  <c r="AG233" i="3" s="1"/>
  <c r="AF16" i="3"/>
  <c r="AD16" i="3"/>
  <c r="AD133" i="3" s="1"/>
  <c r="AC16" i="3"/>
  <c r="AA16" i="3"/>
  <c r="Z16" i="3"/>
  <c r="X16" i="3"/>
  <c r="X133" i="3" s="1"/>
  <c r="W16" i="3"/>
  <c r="U16" i="3"/>
  <c r="T16" i="3"/>
  <c r="R16" i="3"/>
  <c r="Q16" i="3"/>
  <c r="O16" i="3"/>
  <c r="N16" i="3"/>
  <c r="L16" i="3"/>
  <c r="K16" i="3"/>
  <c r="I16" i="3"/>
  <c r="H16" i="3"/>
  <c r="F16" i="3"/>
  <c r="E16" i="3"/>
  <c r="C16" i="3"/>
  <c r="B16" i="3"/>
  <c r="AJ15" i="3"/>
  <c r="AJ156" i="3" s="1"/>
  <c r="AI15" i="3"/>
  <c r="AG15" i="3"/>
  <c r="AF15" i="3"/>
  <c r="AD15" i="3"/>
  <c r="AD108" i="3" s="1"/>
  <c r="AC15" i="3"/>
  <c r="AA15" i="3"/>
  <c r="Z15" i="3"/>
  <c r="X15" i="3"/>
  <c r="X132" i="3" s="1"/>
  <c r="W15" i="3"/>
  <c r="U15" i="3"/>
  <c r="T15" i="3"/>
  <c r="R15" i="3"/>
  <c r="Q15" i="3"/>
  <c r="AO15" i="3" s="1"/>
  <c r="O15" i="3"/>
  <c r="N15" i="3"/>
  <c r="L15" i="3"/>
  <c r="K15" i="3"/>
  <c r="I15" i="3"/>
  <c r="H15" i="3"/>
  <c r="F15" i="3"/>
  <c r="E15" i="3"/>
  <c r="C15" i="3"/>
  <c r="C156" i="3" s="1"/>
  <c r="B15" i="3"/>
  <c r="AJ14" i="3"/>
  <c r="AJ231" i="3" s="1"/>
  <c r="AI14" i="3"/>
  <c r="AG14" i="3"/>
  <c r="AG155" i="3" s="1"/>
  <c r="AF14" i="3"/>
  <c r="AD14" i="3"/>
  <c r="AC14" i="3"/>
  <c r="AA14" i="3"/>
  <c r="Z14" i="3"/>
  <c r="X14" i="3"/>
  <c r="W14" i="3"/>
  <c r="U14" i="3"/>
  <c r="T14" i="3"/>
  <c r="R14" i="3"/>
  <c r="Q14" i="3"/>
  <c r="AO14" i="3" s="1"/>
  <c r="O14" i="3"/>
  <c r="N14" i="3"/>
  <c r="L14" i="3"/>
  <c r="K14" i="3"/>
  <c r="I14" i="3"/>
  <c r="H14" i="3"/>
  <c r="F14" i="3"/>
  <c r="E14" i="3"/>
  <c r="C14" i="3"/>
  <c r="B14" i="3"/>
  <c r="AJ13" i="3"/>
  <c r="AI13" i="3"/>
  <c r="AG13" i="3"/>
  <c r="AG230" i="3" s="1"/>
  <c r="AF13" i="3"/>
  <c r="AD13" i="3"/>
  <c r="AC13" i="3"/>
  <c r="AA13" i="3"/>
  <c r="Z13" i="3"/>
  <c r="X13" i="3"/>
  <c r="W13" i="3"/>
  <c r="U13" i="3"/>
  <c r="T13" i="3"/>
  <c r="R13" i="3"/>
  <c r="Q13" i="3"/>
  <c r="O13" i="3"/>
  <c r="N13" i="3"/>
  <c r="L13" i="3"/>
  <c r="K13" i="3"/>
  <c r="I13" i="3"/>
  <c r="H13" i="3"/>
  <c r="F13" i="3"/>
  <c r="E13" i="3"/>
  <c r="C13" i="3"/>
  <c r="B13" i="3"/>
  <c r="AJ12" i="3"/>
  <c r="AI12" i="3"/>
  <c r="AG12" i="3"/>
  <c r="AF12" i="3"/>
  <c r="AD12" i="3"/>
  <c r="AD229" i="3" s="1"/>
  <c r="AC12" i="3"/>
  <c r="AA12" i="3"/>
  <c r="Z12" i="3"/>
  <c r="X12" i="3"/>
  <c r="W12" i="3"/>
  <c r="U12" i="3"/>
  <c r="T12" i="3"/>
  <c r="R12" i="3"/>
  <c r="Q12" i="3"/>
  <c r="O12" i="3"/>
  <c r="N12" i="3"/>
  <c r="L12" i="3"/>
  <c r="K12" i="3"/>
  <c r="AO12" i="3" s="1"/>
  <c r="I12" i="3"/>
  <c r="H12" i="3"/>
  <c r="F12" i="3"/>
  <c r="E12" i="3"/>
  <c r="C12" i="3"/>
  <c r="C7" i="38" s="1"/>
  <c r="B12" i="3"/>
  <c r="AJ11" i="3"/>
  <c r="AI11" i="3"/>
  <c r="AG11" i="3"/>
  <c r="AF11" i="3"/>
  <c r="AD11" i="3"/>
  <c r="AC11" i="3"/>
  <c r="AA11" i="3"/>
  <c r="Z11" i="3"/>
  <c r="X11" i="3"/>
  <c r="W11" i="3"/>
  <c r="U11" i="3"/>
  <c r="T11" i="3"/>
  <c r="R11" i="3"/>
  <c r="AP11" i="3" s="1"/>
  <c r="Q11" i="3"/>
  <c r="AO11" i="3" s="1"/>
  <c r="O11" i="3"/>
  <c r="N11" i="3"/>
  <c r="L11" i="3"/>
  <c r="K11" i="3"/>
  <c r="I11" i="3"/>
  <c r="H11" i="3"/>
  <c r="F11" i="3"/>
  <c r="E11" i="3"/>
  <c r="C11" i="3"/>
  <c r="C6" i="38" s="1"/>
  <c r="B11" i="3"/>
  <c r="AJ10" i="3"/>
  <c r="AJ103" i="3" s="1"/>
  <c r="AI10" i="3"/>
  <c r="AG10" i="3"/>
  <c r="AG127" i="3" s="1"/>
  <c r="AF10" i="3"/>
  <c r="AD10" i="3"/>
  <c r="AC10" i="3"/>
  <c r="AA10" i="3"/>
  <c r="Z10" i="3"/>
  <c r="X10" i="3"/>
  <c r="W10" i="3"/>
  <c r="U10" i="3"/>
  <c r="T10" i="3"/>
  <c r="R10" i="3"/>
  <c r="Q10" i="3"/>
  <c r="O10" i="3"/>
  <c r="N10" i="3"/>
  <c r="L10" i="3"/>
  <c r="K10" i="3"/>
  <c r="AO10" i="3" s="1"/>
  <c r="I10" i="3"/>
  <c r="H10" i="3"/>
  <c r="F10" i="3"/>
  <c r="E10" i="3"/>
  <c r="C10" i="3"/>
  <c r="C5" i="38" s="1"/>
  <c r="B10" i="3"/>
  <c r="AJ9" i="3"/>
  <c r="AI9" i="3"/>
  <c r="AG9" i="3"/>
  <c r="AF9" i="3"/>
  <c r="AD9" i="3"/>
  <c r="AC9" i="3"/>
  <c r="AA9" i="3"/>
  <c r="Z9" i="3"/>
  <c r="X9" i="3"/>
  <c r="W9" i="3"/>
  <c r="U9" i="3"/>
  <c r="T9" i="3"/>
  <c r="R9" i="3"/>
  <c r="Q9" i="3"/>
  <c r="AO9" i="3" s="1"/>
  <c r="O9" i="3"/>
  <c r="N9" i="3"/>
  <c r="L9" i="3"/>
  <c r="K9" i="3"/>
  <c r="I9" i="3"/>
  <c r="H9" i="3"/>
  <c r="F9" i="3"/>
  <c r="E9" i="3"/>
  <c r="C9" i="3"/>
  <c r="C4" i="38" s="1"/>
  <c r="B9" i="3"/>
  <c r="AJ6" i="3"/>
  <c r="AD6" i="3"/>
  <c r="AD20" i="3" s="1"/>
  <c r="AI4" i="3"/>
  <c r="AF4" i="3"/>
  <c r="AD4" i="3"/>
  <c r="AC4" i="3"/>
  <c r="Z4" i="3"/>
  <c r="W4" i="3"/>
  <c r="T4" i="3"/>
  <c r="Q4" i="3"/>
  <c r="AO4" i="3" s="1"/>
  <c r="N4" i="3"/>
  <c r="K4" i="3"/>
  <c r="H4" i="3"/>
  <c r="E4" i="3"/>
  <c r="B4" i="3"/>
  <c r="AI3" i="3"/>
  <c r="AF3" i="3"/>
  <c r="AC3" i="3"/>
  <c r="AA3" i="3"/>
  <c r="Z3" i="3"/>
  <c r="W3" i="3"/>
  <c r="T3" i="3"/>
  <c r="Q3" i="3"/>
  <c r="AO3" i="3" s="1"/>
  <c r="N3" i="3"/>
  <c r="K3" i="3"/>
  <c r="H3" i="3"/>
  <c r="E3" i="3"/>
  <c r="B3" i="3"/>
  <c r="L53" i="51"/>
  <c r="L52" i="51"/>
  <c r="L51" i="51"/>
  <c r="L50" i="51"/>
  <c r="L49" i="51"/>
  <c r="L48" i="51"/>
  <c r="L47" i="51"/>
  <c r="L46" i="51"/>
  <c r="L45" i="51"/>
  <c r="L44" i="51"/>
  <c r="L43" i="51"/>
  <c r="L42" i="51"/>
  <c r="L41" i="51"/>
  <c r="L40" i="51"/>
  <c r="L39" i="51"/>
  <c r="L38" i="51"/>
  <c r="L37" i="51"/>
  <c r="L36" i="51"/>
  <c r="L35" i="51"/>
  <c r="L34" i="51"/>
  <c r="L33" i="51"/>
  <c r="L32" i="51"/>
  <c r="L31" i="51"/>
  <c r="F30" i="51"/>
  <c r="E30" i="51"/>
  <c r="L29" i="51"/>
  <c r="L28" i="51"/>
  <c r="L27" i="51"/>
  <c r="L26" i="51"/>
  <c r="L25" i="51"/>
  <c r="L24" i="51"/>
  <c r="L23" i="51"/>
  <c r="L22" i="51"/>
  <c r="L21" i="51"/>
  <c r="L19" i="51"/>
  <c r="L18" i="51"/>
  <c r="G17" i="51"/>
  <c r="L16" i="51"/>
  <c r="L15" i="51"/>
  <c r="L14" i="51"/>
  <c r="L13" i="51"/>
  <c r="L12" i="51"/>
  <c r="L11" i="51"/>
  <c r="L9" i="51"/>
  <c r="L6" i="51"/>
  <c r="L5" i="51"/>
  <c r="M73" i="46"/>
  <c r="H73" i="46"/>
  <c r="E73" i="46"/>
  <c r="M72" i="46"/>
  <c r="H72" i="46"/>
  <c r="E72" i="46"/>
  <c r="M71" i="46"/>
  <c r="H71" i="46"/>
  <c r="E71" i="46"/>
  <c r="M70" i="46"/>
  <c r="H70" i="46"/>
  <c r="E70" i="46"/>
  <c r="M69" i="46"/>
  <c r="H69" i="46"/>
  <c r="E69" i="46"/>
  <c r="M68" i="46"/>
  <c r="H68" i="46"/>
  <c r="E68" i="46"/>
  <c r="M67" i="46"/>
  <c r="H67" i="46"/>
  <c r="E67" i="46"/>
  <c r="M73" i="52"/>
  <c r="H73" i="52"/>
  <c r="E73" i="52"/>
  <c r="M72" i="52"/>
  <c r="H72" i="52"/>
  <c r="E72" i="52"/>
  <c r="M71" i="52"/>
  <c r="H71" i="52"/>
  <c r="E71" i="52"/>
  <c r="M70" i="52"/>
  <c r="H70" i="52"/>
  <c r="E70" i="52"/>
  <c r="M69" i="52"/>
  <c r="H69" i="52"/>
  <c r="E69" i="52"/>
  <c r="M68" i="52"/>
  <c r="H68" i="52"/>
  <c r="E68" i="52"/>
  <c r="M67" i="52"/>
  <c r="H67" i="52"/>
  <c r="E67" i="52"/>
  <c r="AM68" i="1" l="1"/>
  <c r="N48" i="30"/>
  <c r="AA229" i="1"/>
  <c r="AA233" i="1"/>
  <c r="AA276" i="1" s="1"/>
  <c r="AA232" i="1"/>
  <c r="AA230" i="1"/>
  <c r="AA228" i="1"/>
  <c r="AA227" i="1"/>
  <c r="AA226" i="1"/>
  <c r="AA133" i="1"/>
  <c r="AA132" i="1"/>
  <c r="AA131" i="1"/>
  <c r="AA174" i="1" s="1"/>
  <c r="AA130" i="1"/>
  <c r="AA128" i="1"/>
  <c r="AA127" i="1"/>
  <c r="AA106" i="1"/>
  <c r="AA105" i="1"/>
  <c r="AA104" i="1"/>
  <c r="AA103" i="1"/>
  <c r="AA102" i="1"/>
  <c r="K27" i="46"/>
  <c r="J27" i="46"/>
  <c r="K26" i="46"/>
  <c r="J26" i="46"/>
  <c r="L26" i="46" s="1"/>
  <c r="K25" i="46"/>
  <c r="J25" i="46"/>
  <c r="L25" i="46" s="1"/>
  <c r="K24" i="46"/>
  <c r="J24" i="46"/>
  <c r="K23" i="46"/>
  <c r="J23" i="46"/>
  <c r="K22" i="46"/>
  <c r="J22" i="46"/>
  <c r="L22" i="46" s="1"/>
  <c r="K21" i="46"/>
  <c r="J21" i="46"/>
  <c r="K20" i="46"/>
  <c r="J20" i="46"/>
  <c r="H27" i="46"/>
  <c r="G27" i="46"/>
  <c r="H26" i="46"/>
  <c r="G26" i="46"/>
  <c r="H25" i="46"/>
  <c r="G25" i="46"/>
  <c r="H24" i="46"/>
  <c r="G24" i="46"/>
  <c r="H23" i="46"/>
  <c r="G23" i="46"/>
  <c r="H22" i="46"/>
  <c r="G22" i="46"/>
  <c r="H21" i="46"/>
  <c r="G21" i="46"/>
  <c r="H20" i="46"/>
  <c r="G20" i="46"/>
  <c r="I20" i="46" s="1"/>
  <c r="R249" i="3"/>
  <c r="R249" i="4"/>
  <c r="O249" i="3"/>
  <c r="O249" i="4"/>
  <c r="L249" i="3"/>
  <c r="L249" i="4"/>
  <c r="I249" i="3"/>
  <c r="I249" i="4"/>
  <c r="N14" i="46"/>
  <c r="M14" i="46"/>
  <c r="N13" i="46"/>
  <c r="M13" i="46"/>
  <c r="AA263" i="3"/>
  <c r="N12" i="46"/>
  <c r="M12" i="46"/>
  <c r="N11" i="46"/>
  <c r="M11" i="46"/>
  <c r="N10" i="46"/>
  <c r="M10" i="46"/>
  <c r="N9" i="46"/>
  <c r="M9" i="46"/>
  <c r="N8" i="46"/>
  <c r="M8" i="46"/>
  <c r="N7" i="46"/>
  <c r="M7" i="46"/>
  <c r="E27" i="46"/>
  <c r="D27" i="46"/>
  <c r="F27" i="46" s="1"/>
  <c r="E26" i="46"/>
  <c r="D26" i="46"/>
  <c r="E25" i="46"/>
  <c r="D25" i="46"/>
  <c r="F25" i="46" s="1"/>
  <c r="E24" i="46"/>
  <c r="D24" i="46"/>
  <c r="E23" i="46"/>
  <c r="D23" i="46"/>
  <c r="E22" i="46"/>
  <c r="D22" i="46"/>
  <c r="F22" i="46" s="1"/>
  <c r="E21" i="46"/>
  <c r="D21" i="46"/>
  <c r="F21" i="46" s="1"/>
  <c r="E20" i="46"/>
  <c r="D20" i="46"/>
  <c r="F20" i="46" s="1"/>
  <c r="K14" i="46"/>
  <c r="J14" i="46"/>
  <c r="K13" i="46"/>
  <c r="J13" i="46"/>
  <c r="K12" i="46"/>
  <c r="J12" i="46"/>
  <c r="K11" i="46"/>
  <c r="J11" i="46"/>
  <c r="K10" i="46"/>
  <c r="J10" i="46"/>
  <c r="K9" i="46"/>
  <c r="J9" i="46"/>
  <c r="K8" i="46"/>
  <c r="J8" i="46"/>
  <c r="K7" i="46"/>
  <c r="J7" i="46"/>
  <c r="AA30" i="3"/>
  <c r="AA6" i="3"/>
  <c r="X30" i="3"/>
  <c r="X6" i="3"/>
  <c r="X22" i="3" s="1"/>
  <c r="U30" i="3"/>
  <c r="U6" i="3"/>
  <c r="AA4" i="1"/>
  <c r="AA4" i="3"/>
  <c r="H14" i="46"/>
  <c r="G14" i="46"/>
  <c r="G13" i="46"/>
  <c r="H13" i="46"/>
  <c r="H12" i="46"/>
  <c r="G12" i="46"/>
  <c r="H11" i="46"/>
  <c r="G11" i="46"/>
  <c r="H10" i="46"/>
  <c r="G10" i="46"/>
  <c r="G9" i="46"/>
  <c r="H9" i="46"/>
  <c r="H8" i="46"/>
  <c r="G8" i="46"/>
  <c r="G7" i="46"/>
  <c r="H7" i="46"/>
  <c r="AA157" i="3"/>
  <c r="N40" i="46"/>
  <c r="O40" i="46" s="1"/>
  <c r="L40" i="46"/>
  <c r="M40" i="46" s="1"/>
  <c r="E14" i="46"/>
  <c r="D14" i="46"/>
  <c r="AA232" i="3"/>
  <c r="L39" i="46"/>
  <c r="M39" i="46" s="1"/>
  <c r="E13" i="46"/>
  <c r="N39" i="46"/>
  <c r="O39" i="46" s="1"/>
  <c r="D13" i="46"/>
  <c r="AA231" i="3"/>
  <c r="E12" i="46"/>
  <c r="L38" i="46"/>
  <c r="M38" i="46" s="1"/>
  <c r="N38" i="46"/>
  <c r="O38" i="46" s="1"/>
  <c r="D12" i="46"/>
  <c r="D11" i="46"/>
  <c r="N37" i="46"/>
  <c r="O37" i="46" s="1"/>
  <c r="E11" i="46"/>
  <c r="L37" i="46"/>
  <c r="M37" i="46" s="1"/>
  <c r="E10" i="46"/>
  <c r="D10" i="46"/>
  <c r="L36" i="46"/>
  <c r="M36" i="46" s="1"/>
  <c r="N36" i="46"/>
  <c r="O36" i="46" s="1"/>
  <c r="E9" i="46"/>
  <c r="N35" i="46"/>
  <c r="O35" i="46" s="1"/>
  <c r="D9" i="46"/>
  <c r="L35" i="46"/>
  <c r="M35" i="46" s="1"/>
  <c r="N34" i="46"/>
  <c r="O34" i="46" s="1"/>
  <c r="E8" i="46"/>
  <c r="D8" i="46"/>
  <c r="L34" i="46"/>
  <c r="M34" i="46" s="1"/>
  <c r="D7" i="46"/>
  <c r="N33" i="46"/>
  <c r="O33" i="46" s="1"/>
  <c r="L33" i="46"/>
  <c r="M33" i="46" s="1"/>
  <c r="E7" i="46"/>
  <c r="K19" i="46"/>
  <c r="J19" i="46"/>
  <c r="I22" i="46"/>
  <c r="I21" i="46"/>
  <c r="H19" i="46"/>
  <c r="G19" i="46"/>
  <c r="N6" i="46"/>
  <c r="E19" i="46"/>
  <c r="D19" i="46"/>
  <c r="F19" i="46" s="1"/>
  <c r="K6" i="46"/>
  <c r="G6" i="46"/>
  <c r="H6" i="46"/>
  <c r="E6" i="46"/>
  <c r="D6" i="46"/>
  <c r="AS271" i="4"/>
  <c r="N26" i="52"/>
  <c r="X231" i="3"/>
  <c r="R30" i="3"/>
  <c r="R33" i="3" s="1"/>
  <c r="R6" i="3"/>
  <c r="F12" i="46"/>
  <c r="X3" i="3"/>
  <c r="X3" i="1"/>
  <c r="AP209" i="1"/>
  <c r="AM209" i="1" s="1"/>
  <c r="AP145" i="1"/>
  <c r="X133" i="1"/>
  <c r="X132" i="1"/>
  <c r="X105" i="1"/>
  <c r="X232" i="1"/>
  <c r="X230" i="1"/>
  <c r="X131" i="1"/>
  <c r="X174" i="1" s="1"/>
  <c r="X128" i="1"/>
  <c r="X106" i="1"/>
  <c r="X233" i="1"/>
  <c r="X276" i="1" s="1"/>
  <c r="X229" i="1"/>
  <c r="X228" i="1"/>
  <c r="X227" i="1"/>
  <c r="X226" i="1"/>
  <c r="X130" i="1"/>
  <c r="X127" i="1"/>
  <c r="X104" i="1"/>
  <c r="X103" i="1"/>
  <c r="X102" i="1"/>
  <c r="X5" i="51"/>
  <c r="X12" i="51" s="1"/>
  <c r="K57" i="51" s="1"/>
  <c r="K56" i="51"/>
  <c r="J56" i="51"/>
  <c r="W5" i="51"/>
  <c r="W12" i="51" s="1"/>
  <c r="J57" i="51" s="1"/>
  <c r="I56" i="51"/>
  <c r="V5" i="51"/>
  <c r="V12" i="51" s="1"/>
  <c r="I57" i="51" s="1"/>
  <c r="U7" i="51"/>
  <c r="L10" i="51"/>
  <c r="U6" i="51"/>
  <c r="L8" i="51"/>
  <c r="H56" i="51"/>
  <c r="U5" i="51"/>
  <c r="U12" i="51" s="1"/>
  <c r="H57" i="51" s="1"/>
  <c r="E56" i="51"/>
  <c r="R9" i="51"/>
  <c r="Y9" i="51" s="1"/>
  <c r="F56" i="51"/>
  <c r="S9" i="51"/>
  <c r="S12" i="51" s="1"/>
  <c r="F57" i="51" s="1"/>
  <c r="U233" i="1"/>
  <c r="U276" i="1" s="1"/>
  <c r="U232" i="1"/>
  <c r="U230" i="1"/>
  <c r="U229" i="1"/>
  <c r="U228" i="1"/>
  <c r="U227" i="1"/>
  <c r="U226" i="1"/>
  <c r="U133" i="1"/>
  <c r="U132" i="1"/>
  <c r="U131" i="1"/>
  <c r="U174" i="1" s="1"/>
  <c r="U130" i="1"/>
  <c r="U104" i="1"/>
  <c r="U102" i="1"/>
  <c r="U128" i="1"/>
  <c r="U107" i="1"/>
  <c r="U106" i="1"/>
  <c r="U105" i="1"/>
  <c r="U103" i="1"/>
  <c r="AP293" i="3"/>
  <c r="U3" i="1"/>
  <c r="U3" i="3"/>
  <c r="U133" i="3"/>
  <c r="AT253" i="4"/>
  <c r="O30" i="3"/>
  <c r="O33" i="3" s="1"/>
  <c r="O6" i="3"/>
  <c r="O26" i="3" s="1"/>
  <c r="U4" i="1"/>
  <c r="U4" i="3"/>
  <c r="AG271" i="2"/>
  <c r="U270" i="2"/>
  <c r="AD269" i="2"/>
  <c r="AJ268" i="2"/>
  <c r="U268" i="2"/>
  <c r="AD267" i="2"/>
  <c r="AA266" i="2"/>
  <c r="AA265" i="2"/>
  <c r="X262" i="2"/>
  <c r="O18" i="31"/>
  <c r="O17" i="31"/>
  <c r="I24" i="43"/>
  <c r="C24" i="43"/>
  <c r="I20" i="43"/>
  <c r="C20" i="43"/>
  <c r="I14" i="43"/>
  <c r="C14" i="43"/>
  <c r="I10" i="43"/>
  <c r="C10" i="43"/>
  <c r="M8" i="43"/>
  <c r="C6" i="43"/>
  <c r="X271" i="2"/>
  <c r="X270" i="2"/>
  <c r="AA269" i="2"/>
  <c r="X266" i="2"/>
  <c r="U265" i="2"/>
  <c r="AG262" i="2"/>
  <c r="E309" i="2"/>
  <c r="H309" i="2" s="1"/>
  <c r="K309" i="2" s="1"/>
  <c r="N309" i="2" s="1"/>
  <c r="Q309" i="2" s="1"/>
  <c r="T309" i="2" s="1"/>
  <c r="W309" i="2" s="1"/>
  <c r="Z309" i="2" s="1"/>
  <c r="AC309" i="2" s="1"/>
  <c r="AF309" i="2" s="1"/>
  <c r="AI309" i="2" s="1"/>
  <c r="AM304" i="1"/>
  <c r="AM303" i="1"/>
  <c r="AJ272" i="1"/>
  <c r="AG272" i="1"/>
  <c r="AD272" i="1"/>
  <c r="AA272" i="1"/>
  <c r="X272" i="1"/>
  <c r="U272" i="1"/>
  <c r="AJ271" i="1"/>
  <c r="AG271" i="1"/>
  <c r="AD271" i="1"/>
  <c r="AA271" i="1"/>
  <c r="X271" i="1"/>
  <c r="U271" i="1"/>
  <c r="AJ270" i="1"/>
  <c r="AG270" i="1"/>
  <c r="AD270" i="1"/>
  <c r="AA270" i="1"/>
  <c r="X270" i="1"/>
  <c r="U270" i="1"/>
  <c r="AJ269" i="1"/>
  <c r="AG269" i="1"/>
  <c r="AD269" i="1"/>
  <c r="AA269" i="1"/>
  <c r="X269" i="1"/>
  <c r="U269" i="1"/>
  <c r="AP269" i="1" s="1"/>
  <c r="AJ268" i="1"/>
  <c r="AG268" i="1"/>
  <c r="AD268" i="1"/>
  <c r="AA268" i="1"/>
  <c r="X268" i="1"/>
  <c r="U268" i="1"/>
  <c r="AJ267" i="1"/>
  <c r="AG267" i="1"/>
  <c r="AD267" i="1"/>
  <c r="AA267" i="1"/>
  <c r="X267" i="1"/>
  <c r="AP267" i="1" s="1"/>
  <c r="U267" i="1"/>
  <c r="AJ266" i="1"/>
  <c r="AG266" i="1"/>
  <c r="AD266" i="1"/>
  <c r="AA266" i="1"/>
  <c r="X266" i="1"/>
  <c r="U266" i="1"/>
  <c r="AJ265" i="1"/>
  <c r="AG265" i="1"/>
  <c r="AD265" i="1"/>
  <c r="AA265" i="1"/>
  <c r="X265" i="1"/>
  <c r="U265" i="1"/>
  <c r="AJ262" i="1"/>
  <c r="AG262" i="1"/>
  <c r="AD262" i="1"/>
  <c r="AA262" i="1"/>
  <c r="X262" i="1"/>
  <c r="U262" i="1"/>
  <c r="AD271" i="2"/>
  <c r="AJ270" i="2"/>
  <c r="AD268" i="2"/>
  <c r="AA267" i="2"/>
  <c r="AJ266" i="2"/>
  <c r="U266" i="2"/>
  <c r="AP266" i="2" s="1"/>
  <c r="AG265" i="2"/>
  <c r="U262" i="2"/>
  <c r="AC207" i="2"/>
  <c r="AF207" i="2" s="1"/>
  <c r="AI207" i="2" s="1"/>
  <c r="AM189" i="1"/>
  <c r="AJ157" i="1"/>
  <c r="AJ200" i="1" s="1"/>
  <c r="AG157" i="1"/>
  <c r="AG200" i="1" s="1"/>
  <c r="AD157" i="1"/>
  <c r="AD200" i="1" s="1"/>
  <c r="AA157" i="1"/>
  <c r="AA200" i="1" s="1"/>
  <c r="X157" i="1"/>
  <c r="X200" i="1" s="1"/>
  <c r="U157" i="1"/>
  <c r="U200" i="1" s="1"/>
  <c r="AJ156" i="1"/>
  <c r="AG156" i="1"/>
  <c r="AD156" i="1"/>
  <c r="AA156" i="1"/>
  <c r="X156" i="1"/>
  <c r="U156" i="1"/>
  <c r="AJ154" i="1"/>
  <c r="AG154" i="1"/>
  <c r="AD154" i="1"/>
  <c r="AA154" i="1"/>
  <c r="X154" i="1"/>
  <c r="U154" i="1"/>
  <c r="AJ153" i="1"/>
  <c r="AG153" i="1"/>
  <c r="AD153" i="1"/>
  <c r="AA153" i="1"/>
  <c r="X153" i="1"/>
  <c r="U153" i="1"/>
  <c r="AJ152" i="1"/>
  <c r="AG152" i="1"/>
  <c r="AD152" i="1"/>
  <c r="AA152" i="1"/>
  <c r="X152" i="1"/>
  <c r="U152" i="1"/>
  <c r="AJ151" i="1"/>
  <c r="AG151" i="1"/>
  <c r="AD151" i="1"/>
  <c r="AA151" i="1"/>
  <c r="X151" i="1"/>
  <c r="U151" i="1"/>
  <c r="AM140" i="1"/>
  <c r="AJ150" i="1"/>
  <c r="AG150" i="1"/>
  <c r="AD150" i="1"/>
  <c r="AA150" i="1"/>
  <c r="X150" i="1"/>
  <c r="U150" i="1"/>
  <c r="U271" i="2"/>
  <c r="AG270" i="2"/>
  <c r="AJ269" i="2"/>
  <c r="AA268" i="2"/>
  <c r="AJ267" i="2"/>
  <c r="X267" i="2"/>
  <c r="AD266" i="2"/>
  <c r="X265" i="2"/>
  <c r="AJ262" i="2"/>
  <c r="U127" i="1"/>
  <c r="Z116" i="2"/>
  <c r="AC116" i="2" s="1"/>
  <c r="AF116" i="2" s="1"/>
  <c r="AI116" i="2" s="1"/>
  <c r="AJ126" i="1"/>
  <c r="AG126" i="1"/>
  <c r="AD126" i="1"/>
  <c r="AA126" i="1"/>
  <c r="X126" i="1"/>
  <c r="U126" i="1"/>
  <c r="AJ109" i="1"/>
  <c r="AG109" i="1"/>
  <c r="AD109" i="1"/>
  <c r="AA109" i="1"/>
  <c r="X109" i="1"/>
  <c r="U109" i="1"/>
  <c r="AJ108" i="1"/>
  <c r="AG108" i="1"/>
  <c r="AD108" i="1"/>
  <c r="AA108" i="1"/>
  <c r="X108" i="1"/>
  <c r="U108" i="1"/>
  <c r="AJ107" i="1"/>
  <c r="AG107" i="1"/>
  <c r="AD107" i="1"/>
  <c r="AA107" i="1"/>
  <c r="X107" i="1"/>
  <c r="AJ86" i="1"/>
  <c r="AG86" i="1"/>
  <c r="AD86" i="1"/>
  <c r="AA86" i="1"/>
  <c r="X86" i="1"/>
  <c r="U86" i="1"/>
  <c r="AJ85" i="1"/>
  <c r="AG85" i="1"/>
  <c r="AD85" i="1"/>
  <c r="AA85" i="1"/>
  <c r="X85" i="1"/>
  <c r="U85" i="1"/>
  <c r="AJ84" i="1"/>
  <c r="AG84" i="1"/>
  <c r="AD84" i="1"/>
  <c r="AA84" i="1"/>
  <c r="X84" i="1"/>
  <c r="U84" i="1"/>
  <c r="AJ83" i="1"/>
  <c r="AG83" i="1"/>
  <c r="AD83" i="1"/>
  <c r="AA83" i="1"/>
  <c r="X83" i="1"/>
  <c r="U83" i="1"/>
  <c r="AJ82" i="1"/>
  <c r="AG82" i="1"/>
  <c r="AD82" i="1"/>
  <c r="AA82" i="1"/>
  <c r="X82" i="1"/>
  <c r="U82" i="1"/>
  <c r="AJ81" i="1"/>
  <c r="AG81" i="1"/>
  <c r="AD81" i="1"/>
  <c r="AA81" i="1"/>
  <c r="X81" i="1"/>
  <c r="U81" i="1"/>
  <c r="AJ80" i="1"/>
  <c r="AG80" i="1"/>
  <c r="AD80" i="1"/>
  <c r="AA80" i="1"/>
  <c r="X80" i="1"/>
  <c r="U80" i="1"/>
  <c r="AJ79" i="1"/>
  <c r="AG79" i="1"/>
  <c r="AD79" i="1"/>
  <c r="AA79" i="1"/>
  <c r="X79" i="1"/>
  <c r="U79" i="1"/>
  <c r="AJ33" i="1"/>
  <c r="AG33" i="1"/>
  <c r="AD33" i="1"/>
  <c r="AA33" i="1"/>
  <c r="X33" i="1"/>
  <c r="U33" i="1"/>
  <c r="AJ27" i="1"/>
  <c r="AG27" i="1"/>
  <c r="AD27" i="1"/>
  <c r="AA27" i="1"/>
  <c r="X27" i="1"/>
  <c r="U27" i="1"/>
  <c r="AJ26" i="1"/>
  <c r="AG26" i="1"/>
  <c r="AD26" i="1"/>
  <c r="AA26" i="1"/>
  <c r="X26" i="1"/>
  <c r="U26" i="1"/>
  <c r="AJ25" i="1"/>
  <c r="AG25" i="1"/>
  <c r="AD25" i="1"/>
  <c r="AA25" i="1"/>
  <c r="X25" i="1"/>
  <c r="U25" i="1"/>
  <c r="AJ24" i="1"/>
  <c r="AG24" i="1"/>
  <c r="AD24" i="1"/>
  <c r="AA24" i="1"/>
  <c r="X24" i="1"/>
  <c r="U24" i="1"/>
  <c r="AJ23" i="1"/>
  <c r="AG23" i="1"/>
  <c r="AD23" i="1"/>
  <c r="AA23" i="1"/>
  <c r="X23" i="1"/>
  <c r="U23" i="1"/>
  <c r="AJ22" i="1"/>
  <c r="AG22" i="1"/>
  <c r="AD22" i="1"/>
  <c r="AA22" i="1"/>
  <c r="X22" i="1"/>
  <c r="U22" i="1"/>
  <c r="AJ21" i="1"/>
  <c r="AG21" i="1"/>
  <c r="AD21" i="1"/>
  <c r="AA21" i="1"/>
  <c r="X21" i="1"/>
  <c r="U21" i="1"/>
  <c r="AJ20" i="1"/>
  <c r="AG20" i="1"/>
  <c r="AD20" i="1"/>
  <c r="AA20" i="1"/>
  <c r="X20" i="1"/>
  <c r="U20" i="1"/>
  <c r="AT258" i="4"/>
  <c r="AT252" i="4"/>
  <c r="AO298" i="3"/>
  <c r="AA271" i="3"/>
  <c r="X267" i="3"/>
  <c r="X226" i="3"/>
  <c r="AA271" i="2"/>
  <c r="AA270" i="2"/>
  <c r="AG269" i="2"/>
  <c r="U269" i="2"/>
  <c r="AG268" i="2"/>
  <c r="AG267" i="2"/>
  <c r="U267" i="2"/>
  <c r="AP267" i="2" s="1"/>
  <c r="AG266" i="2"/>
  <c r="AD265" i="2"/>
  <c r="AD262" i="2"/>
  <c r="AG157" i="3"/>
  <c r="X152" i="3"/>
  <c r="AA151" i="3"/>
  <c r="AJ132" i="3"/>
  <c r="AD106" i="3"/>
  <c r="X104" i="3"/>
  <c r="AA103" i="3"/>
  <c r="AJ79" i="3"/>
  <c r="X33" i="3"/>
  <c r="U21" i="3"/>
  <c r="AJ271" i="2"/>
  <c r="AD270" i="2"/>
  <c r="X269" i="2"/>
  <c r="X268" i="2"/>
  <c r="AJ265" i="2"/>
  <c r="AA262" i="2"/>
  <c r="F249" i="4"/>
  <c r="F249" i="3"/>
  <c r="F262" i="3" s="1"/>
  <c r="AF262" i="2"/>
  <c r="W262" i="2"/>
  <c r="N37" i="28"/>
  <c r="N160" i="33"/>
  <c r="N81" i="33"/>
  <c r="V90" i="38" s="1"/>
  <c r="AP301" i="3"/>
  <c r="Q98" i="38"/>
  <c r="K308" i="2"/>
  <c r="N308" i="2" s="1"/>
  <c r="Q308" i="2" s="1"/>
  <c r="AM53" i="1"/>
  <c r="AI128" i="1"/>
  <c r="Z128" i="1"/>
  <c r="W128" i="1"/>
  <c r="N128" i="1"/>
  <c r="K128" i="1"/>
  <c r="U262" i="4"/>
  <c r="Q72" i="38"/>
  <c r="AA272" i="3"/>
  <c r="AJ271" i="3"/>
  <c r="X271" i="3"/>
  <c r="AJ270" i="3"/>
  <c r="AA270" i="3"/>
  <c r="X270" i="3"/>
  <c r="AG269" i="3"/>
  <c r="AD269" i="3"/>
  <c r="U269" i="3"/>
  <c r="AD268" i="3"/>
  <c r="AJ267" i="3"/>
  <c r="AG267" i="3"/>
  <c r="U267" i="3"/>
  <c r="AG266" i="3"/>
  <c r="AD266" i="3"/>
  <c r="U266" i="3"/>
  <c r="AG265" i="3"/>
  <c r="AD265" i="3"/>
  <c r="AA265" i="3"/>
  <c r="AD262" i="3"/>
  <c r="AD233" i="3"/>
  <c r="U233" i="3"/>
  <c r="AJ230" i="3"/>
  <c r="AD230" i="3"/>
  <c r="AG229" i="3"/>
  <c r="AA229" i="3"/>
  <c r="U229" i="3"/>
  <c r="X228" i="3"/>
  <c r="AG227" i="3"/>
  <c r="AA227" i="3"/>
  <c r="U227" i="3"/>
  <c r="AD157" i="3"/>
  <c r="AJ314" i="3"/>
  <c r="AG156" i="3"/>
  <c r="U156" i="3"/>
  <c r="AJ155" i="3"/>
  <c r="X155" i="3"/>
  <c r="U155" i="3"/>
  <c r="AD154" i="3"/>
  <c r="AA154" i="3"/>
  <c r="AG153" i="3"/>
  <c r="AA153" i="3"/>
  <c r="U153" i="3"/>
  <c r="AG151" i="3"/>
  <c r="U151" i="3"/>
  <c r="AG133" i="3"/>
  <c r="AJ130" i="3"/>
  <c r="AD130" i="3"/>
  <c r="U129" i="3"/>
  <c r="AJ127" i="3"/>
  <c r="AA127" i="3"/>
  <c r="X127" i="3"/>
  <c r="U127" i="3"/>
  <c r="AD126" i="3"/>
  <c r="AA126" i="3"/>
  <c r="AG109" i="3"/>
  <c r="U109" i="3"/>
  <c r="AJ108" i="3"/>
  <c r="X108" i="3"/>
  <c r="AG107" i="3"/>
  <c r="U107" i="3"/>
  <c r="AJ106" i="3"/>
  <c r="X106" i="3"/>
  <c r="AG105" i="3"/>
  <c r="AA105" i="3"/>
  <c r="AJ104" i="3"/>
  <c r="AD104" i="3"/>
  <c r="X103" i="3"/>
  <c r="AD102" i="3"/>
  <c r="AG86" i="3"/>
  <c r="U86" i="3"/>
  <c r="AJ85" i="3"/>
  <c r="AD85" i="3"/>
  <c r="X85" i="3"/>
  <c r="AJ84" i="3"/>
  <c r="AA84" i="3"/>
  <c r="X84" i="3"/>
  <c r="AJ83" i="3"/>
  <c r="AA83" i="3"/>
  <c r="X83" i="3"/>
  <c r="AA82" i="3"/>
  <c r="AG81" i="3"/>
  <c r="AD81" i="3"/>
  <c r="AG80" i="3"/>
  <c r="U80" i="3"/>
  <c r="AD33" i="3"/>
  <c r="U33" i="3"/>
  <c r="U25" i="3"/>
  <c r="U24" i="3"/>
  <c r="AJ22" i="3"/>
  <c r="AD21" i="3"/>
  <c r="L30" i="51"/>
  <c r="L17" i="51"/>
  <c r="R12" i="51"/>
  <c r="E57" i="51" s="1"/>
  <c r="Y5" i="51"/>
  <c r="AI236" i="4"/>
  <c r="AI236" i="3"/>
  <c r="AF236" i="4"/>
  <c r="AF236" i="3"/>
  <c r="AC236" i="4"/>
  <c r="AC236" i="3"/>
  <c r="Z236" i="4"/>
  <c r="Z236" i="3"/>
  <c r="W236" i="4"/>
  <c r="W236" i="3"/>
  <c r="T236" i="4"/>
  <c r="T236" i="3"/>
  <c r="Q236" i="4"/>
  <c r="AO236" i="4" s="1"/>
  <c r="Q236" i="3"/>
  <c r="N236" i="4"/>
  <c r="N236" i="3"/>
  <c r="K236" i="4"/>
  <c r="K236" i="3"/>
  <c r="AO236" i="3" s="1"/>
  <c r="H236" i="4"/>
  <c r="H236" i="3"/>
  <c r="E236" i="4"/>
  <c r="E236" i="3"/>
  <c r="B236" i="4"/>
  <c r="B236" i="3"/>
  <c r="M9" i="43"/>
  <c r="I6" i="43"/>
  <c r="N120" i="38"/>
  <c r="N198" i="38" s="1"/>
  <c r="N159" i="38" s="1"/>
  <c r="N94" i="38"/>
  <c r="M120" i="38"/>
  <c r="M198" i="38" s="1"/>
  <c r="M159" i="38" s="1"/>
  <c r="M94" i="38"/>
  <c r="L120" i="38"/>
  <c r="L198" i="38" s="1"/>
  <c r="L159" i="38" s="1"/>
  <c r="L94" i="38"/>
  <c r="AJ272" i="2"/>
  <c r="AJ302" i="2"/>
  <c r="AG302" i="2"/>
  <c r="AG272" i="2"/>
  <c r="AD272" i="2"/>
  <c r="AD302" i="2"/>
  <c r="AA302" i="2"/>
  <c r="AA272" i="2"/>
  <c r="X272" i="2"/>
  <c r="X302" i="2"/>
  <c r="U272" i="2"/>
  <c r="U302" i="2"/>
  <c r="N3" i="43"/>
  <c r="AI4" i="4"/>
  <c r="N3" i="55"/>
  <c r="N3" i="54"/>
  <c r="N3" i="5"/>
  <c r="N2" i="43"/>
  <c r="N2" i="5"/>
  <c r="N2" i="55"/>
  <c r="AI3" i="4"/>
  <c r="N2" i="54"/>
  <c r="Q272" i="1"/>
  <c r="AO272" i="1" s="1"/>
  <c r="AO246" i="1"/>
  <c r="Q271" i="1"/>
  <c r="AO271" i="1" s="1"/>
  <c r="AO245" i="1"/>
  <c r="Q270" i="1"/>
  <c r="AO270" i="1" s="1"/>
  <c r="AO244" i="1"/>
  <c r="Q268" i="1"/>
  <c r="AO268" i="1" s="1"/>
  <c r="AO242" i="1"/>
  <c r="Q267" i="1"/>
  <c r="AO267" i="1" s="1"/>
  <c r="AO241" i="1"/>
  <c r="Q266" i="1"/>
  <c r="AO266" i="1" s="1"/>
  <c r="AO240" i="1"/>
  <c r="Q236" i="2"/>
  <c r="AO236" i="1"/>
  <c r="AJ263" i="1"/>
  <c r="AJ231" i="1"/>
  <c r="AG231" i="1"/>
  <c r="AG263" i="1"/>
  <c r="AD231" i="1"/>
  <c r="AD263" i="1"/>
  <c r="AA231" i="1"/>
  <c r="AA263" i="1"/>
  <c r="X231" i="1"/>
  <c r="X263" i="1"/>
  <c r="U263" i="1"/>
  <c r="AP263" i="1" s="1"/>
  <c r="U231" i="1"/>
  <c r="AJ187" i="1"/>
  <c r="AJ155" i="1"/>
  <c r="AG187" i="1"/>
  <c r="AG155" i="1"/>
  <c r="AD187" i="1"/>
  <c r="AD155" i="1"/>
  <c r="AA187" i="1"/>
  <c r="AA155" i="1"/>
  <c r="X187" i="1"/>
  <c r="X155" i="1"/>
  <c r="U187" i="1"/>
  <c r="U155" i="1"/>
  <c r="AJ161" i="1"/>
  <c r="AJ129" i="1"/>
  <c r="AG161" i="1"/>
  <c r="AG129" i="1"/>
  <c r="AD161" i="1"/>
  <c r="AD129" i="1"/>
  <c r="AA161" i="1"/>
  <c r="AA129" i="1"/>
  <c r="X161" i="1"/>
  <c r="X129" i="1"/>
  <c r="U129" i="1"/>
  <c r="U161" i="1"/>
  <c r="B117" i="2"/>
  <c r="E117" i="2" s="1"/>
  <c r="H117" i="2" s="1"/>
  <c r="K117" i="2" s="1"/>
  <c r="N117" i="2" s="1"/>
  <c r="Q117" i="2" s="1"/>
  <c r="B128" i="1"/>
  <c r="Q272" i="3"/>
  <c r="AO272" i="3" s="1"/>
  <c r="AO246" i="3"/>
  <c r="Q271" i="3"/>
  <c r="AO271" i="3" s="1"/>
  <c r="AO245" i="3"/>
  <c r="Q270" i="3"/>
  <c r="AO270" i="3" s="1"/>
  <c r="AO244" i="3"/>
  <c r="Q267" i="3"/>
  <c r="AO267" i="3" s="1"/>
  <c r="AO241" i="3"/>
  <c r="Q266" i="3"/>
  <c r="AO266" i="3" s="1"/>
  <c r="AO240" i="3"/>
  <c r="Q265" i="3"/>
  <c r="AO265" i="3" s="1"/>
  <c r="AO239" i="3"/>
  <c r="U263" i="3"/>
  <c r="U231" i="3"/>
  <c r="AO88" i="3"/>
  <c r="K212" i="2"/>
  <c r="N212" i="2" s="1"/>
  <c r="Q212" i="2" s="1"/>
  <c r="AO212" i="1"/>
  <c r="K186" i="2"/>
  <c r="N186" i="2" s="1"/>
  <c r="Q186" i="2" s="1"/>
  <c r="AL37" i="38"/>
  <c r="AL17" i="38"/>
  <c r="AL7" i="38"/>
  <c r="AL26" i="38"/>
  <c r="AL36" i="38"/>
  <c r="AL16" i="38"/>
  <c r="AL6" i="38"/>
  <c r="AL35" i="38"/>
  <c r="AL28" i="1"/>
  <c r="AM52" i="3"/>
  <c r="C275" i="3"/>
  <c r="C136" i="3"/>
  <c r="L30" i="3"/>
  <c r="L33" i="3" s="1"/>
  <c r="L6" i="3"/>
  <c r="C319" i="1"/>
  <c r="F295" i="2"/>
  <c r="I295" i="2" s="1"/>
  <c r="L295" i="2" s="1"/>
  <c r="O295" i="2" s="1"/>
  <c r="R269" i="3"/>
  <c r="R268" i="3"/>
  <c r="R266" i="3"/>
  <c r="R265" i="3"/>
  <c r="R263" i="3"/>
  <c r="AP182" i="3"/>
  <c r="L7" i="46"/>
  <c r="AP88" i="3"/>
  <c r="I14" i="46"/>
  <c r="I12" i="46"/>
  <c r="I9" i="46"/>
  <c r="R229" i="3"/>
  <c r="R228" i="3"/>
  <c r="R157" i="3"/>
  <c r="R156" i="3"/>
  <c r="R152" i="3"/>
  <c r="R130" i="3"/>
  <c r="R126" i="3"/>
  <c r="R104" i="3"/>
  <c r="R102" i="3"/>
  <c r="R81" i="3"/>
  <c r="R108" i="3"/>
  <c r="R106" i="3"/>
  <c r="R128" i="3"/>
  <c r="R289" i="2"/>
  <c r="R272" i="2"/>
  <c r="R288" i="1"/>
  <c r="R272" i="1"/>
  <c r="R236" i="2"/>
  <c r="R262" i="2" s="1"/>
  <c r="R262" i="1"/>
  <c r="O33" i="1"/>
  <c r="R33" i="1"/>
  <c r="R4" i="1"/>
  <c r="R4" i="3"/>
  <c r="R233" i="1"/>
  <c r="R276" i="1" s="1"/>
  <c r="R157" i="1"/>
  <c r="R200" i="1" s="1"/>
  <c r="R109" i="1"/>
  <c r="R27" i="1"/>
  <c r="R133" i="1"/>
  <c r="R86" i="1"/>
  <c r="R232" i="1"/>
  <c r="R85" i="1"/>
  <c r="R108" i="1"/>
  <c r="R156" i="1"/>
  <c r="R26" i="1"/>
  <c r="R132" i="1"/>
  <c r="R231" i="1"/>
  <c r="R84" i="1"/>
  <c r="R107" i="1"/>
  <c r="R155" i="1"/>
  <c r="R25" i="1"/>
  <c r="R131" i="1"/>
  <c r="R174" i="1" s="1"/>
  <c r="R230" i="1"/>
  <c r="R106" i="1"/>
  <c r="R130" i="1"/>
  <c r="R83" i="1"/>
  <c r="R154" i="1"/>
  <c r="R24" i="1"/>
  <c r="R229" i="1"/>
  <c r="R105" i="1"/>
  <c r="R82" i="1"/>
  <c r="R129" i="1"/>
  <c r="R153" i="1"/>
  <c r="R23" i="1"/>
  <c r="R228" i="1"/>
  <c r="R104" i="1"/>
  <c r="R128" i="1"/>
  <c r="R81" i="1"/>
  <c r="R152" i="1"/>
  <c r="R22" i="1"/>
  <c r="R127" i="1"/>
  <c r="R151" i="1"/>
  <c r="R227" i="1"/>
  <c r="R21" i="1"/>
  <c r="R103" i="1"/>
  <c r="R80" i="1"/>
  <c r="R226" i="1"/>
  <c r="R102" i="1"/>
  <c r="R126" i="1"/>
  <c r="R79" i="1"/>
  <c r="R150" i="1"/>
  <c r="R20" i="1"/>
  <c r="O72" i="38"/>
  <c r="O98" i="38"/>
  <c r="AM310" i="1"/>
  <c r="AL47" i="1"/>
  <c r="AM142" i="1"/>
  <c r="AM51" i="1"/>
  <c r="AL48" i="1"/>
  <c r="AL45" i="1"/>
  <c r="AL48" i="3"/>
  <c r="AM45" i="3"/>
  <c r="AL75" i="3"/>
  <c r="AL69" i="3"/>
  <c r="AM68" i="3"/>
  <c r="AM65" i="3"/>
  <c r="AM64" i="3"/>
  <c r="AM61" i="3"/>
  <c r="AM60" i="3"/>
  <c r="AM53" i="3"/>
  <c r="AM47" i="3"/>
  <c r="AO219" i="3"/>
  <c r="V121" i="38"/>
  <c r="N103" i="33"/>
  <c r="V129" i="38" s="1"/>
  <c r="V112" i="38"/>
  <c r="AO167" i="3"/>
  <c r="V86" i="38"/>
  <c r="V91" i="38" s="1"/>
  <c r="AO143" i="3"/>
  <c r="V60" i="38"/>
  <c r="AO40" i="3"/>
  <c r="AO13" i="3"/>
  <c r="K288" i="2"/>
  <c r="N288" i="2" s="1"/>
  <c r="Q288" i="2" s="1"/>
  <c r="T288" i="2" s="1"/>
  <c r="V151" i="38"/>
  <c r="N125" i="33"/>
  <c r="V155" i="38" s="1"/>
  <c r="K199" i="2"/>
  <c r="V195" i="38"/>
  <c r="N186" i="33"/>
  <c r="D193" i="38"/>
  <c r="B285" i="4"/>
  <c r="D192" i="38"/>
  <c r="B284" i="4"/>
  <c r="D191" i="38"/>
  <c r="B283" i="4"/>
  <c r="D190" i="38"/>
  <c r="AA49" i="38" s="1"/>
  <c r="B282" i="4"/>
  <c r="D189" i="38"/>
  <c r="B281" i="4"/>
  <c r="D188" i="38"/>
  <c r="AA29" i="38" s="1"/>
  <c r="B280" i="4"/>
  <c r="D187" i="38"/>
  <c r="AA19" i="38" s="1"/>
  <c r="B279" i="4"/>
  <c r="D186" i="38"/>
  <c r="AA9" i="38" s="1"/>
  <c r="B278" i="4"/>
  <c r="D194" i="38"/>
  <c r="AA99" i="38" s="1"/>
  <c r="B275" i="4"/>
  <c r="N173" i="33"/>
  <c r="N269" i="3"/>
  <c r="Q269" i="3"/>
  <c r="AI269" i="3"/>
  <c r="W269" i="3"/>
  <c r="AF269" i="3"/>
  <c r="AI272" i="4"/>
  <c r="W272" i="4"/>
  <c r="K272" i="4"/>
  <c r="AI271" i="4"/>
  <c r="AI270" i="4"/>
  <c r="AC269" i="4"/>
  <c r="E269" i="4"/>
  <c r="AF267" i="4"/>
  <c r="Z266" i="4"/>
  <c r="AB266" i="4" s="1"/>
  <c r="N266" i="4"/>
  <c r="B266" i="4"/>
  <c r="H213" i="38" s="1"/>
  <c r="AC265" i="4"/>
  <c r="Z265" i="4"/>
  <c r="E265" i="4"/>
  <c r="B265" i="4"/>
  <c r="H212" i="38" s="1"/>
  <c r="AE10" i="38" s="1"/>
  <c r="N265" i="4"/>
  <c r="Z269" i="3"/>
  <c r="N147" i="33"/>
  <c r="AC269" i="3"/>
  <c r="T269" i="3"/>
  <c r="AA90" i="38"/>
  <c r="D167" i="38"/>
  <c r="B222" i="4"/>
  <c r="D166" i="38"/>
  <c r="B221" i="4"/>
  <c r="D165" i="38"/>
  <c r="E165" i="38" s="1"/>
  <c r="B220" i="4"/>
  <c r="D164" i="38"/>
  <c r="E164" i="38" s="1"/>
  <c r="B219" i="4"/>
  <c r="D163" i="38"/>
  <c r="B218" i="4"/>
  <c r="D162" i="38"/>
  <c r="B217" i="4"/>
  <c r="D161" i="38"/>
  <c r="B216" i="4"/>
  <c r="D160" i="38"/>
  <c r="B215" i="4"/>
  <c r="D168" i="38"/>
  <c r="B212" i="4"/>
  <c r="D154" i="38"/>
  <c r="E154" i="38" s="1"/>
  <c r="B209" i="4"/>
  <c r="D153" i="38"/>
  <c r="E153" i="38" s="1"/>
  <c r="B208" i="4"/>
  <c r="D152" i="38"/>
  <c r="B207" i="4"/>
  <c r="D151" i="38"/>
  <c r="E151" i="38" s="1"/>
  <c r="B206" i="4"/>
  <c r="D150" i="38"/>
  <c r="B205" i="4"/>
  <c r="D149" i="38"/>
  <c r="B204" i="4"/>
  <c r="D148" i="38"/>
  <c r="B203" i="4"/>
  <c r="D147" i="38"/>
  <c r="E147" i="38" s="1"/>
  <c r="B202" i="4"/>
  <c r="D155" i="38"/>
  <c r="B199" i="4"/>
  <c r="V156" i="38"/>
  <c r="V143" i="38"/>
  <c r="AM196" i="3"/>
  <c r="D141" i="38"/>
  <c r="AA57" i="38" s="1"/>
  <c r="B196" i="4"/>
  <c r="D140" i="38"/>
  <c r="B195" i="4"/>
  <c r="D139" i="38"/>
  <c r="AA77" i="38" s="1"/>
  <c r="B194" i="4"/>
  <c r="B193" i="4"/>
  <c r="D138" i="38"/>
  <c r="B192" i="4"/>
  <c r="D137" i="38"/>
  <c r="D136" i="38"/>
  <c r="AA27" i="38" s="1"/>
  <c r="B191" i="4"/>
  <c r="D135" i="38"/>
  <c r="B190" i="4"/>
  <c r="D134" i="38"/>
  <c r="AA7" i="38" s="1"/>
  <c r="B189" i="4"/>
  <c r="D142" i="38"/>
  <c r="AA97" i="38" s="1"/>
  <c r="B186" i="4"/>
  <c r="V130" i="38"/>
  <c r="AM183" i="3"/>
  <c r="D129" i="38"/>
  <c r="E129" i="38" s="1"/>
  <c r="B173" i="4"/>
  <c r="D128" i="38"/>
  <c r="B183" i="4"/>
  <c r="D127" i="38"/>
  <c r="B182" i="4"/>
  <c r="D126" i="38"/>
  <c r="B181" i="4"/>
  <c r="D125" i="38"/>
  <c r="B180" i="4"/>
  <c r="D124" i="38"/>
  <c r="B179" i="4"/>
  <c r="D123" i="38"/>
  <c r="B178" i="4"/>
  <c r="D122" i="38"/>
  <c r="B177" i="4"/>
  <c r="D121" i="38"/>
  <c r="B176" i="4"/>
  <c r="N92" i="33"/>
  <c r="V108" i="38"/>
  <c r="B160" i="4"/>
  <c r="D116" i="38"/>
  <c r="D115" i="38"/>
  <c r="B170" i="4"/>
  <c r="D114" i="38"/>
  <c r="B169" i="4"/>
  <c r="D113" i="38"/>
  <c r="E113" i="38" s="1"/>
  <c r="B168" i="4"/>
  <c r="D112" i="38"/>
  <c r="B167" i="4"/>
  <c r="D111" i="38"/>
  <c r="B166" i="4"/>
  <c r="D110" i="38"/>
  <c r="B165" i="4"/>
  <c r="D109" i="38"/>
  <c r="B164" i="4"/>
  <c r="D108" i="38"/>
  <c r="E108" i="38" s="1"/>
  <c r="B163" i="4"/>
  <c r="AI314" i="3"/>
  <c r="B136" i="4"/>
  <c r="D90" i="38"/>
  <c r="AA95" i="38" s="1"/>
  <c r="D89" i="38"/>
  <c r="AA55" i="38" s="1"/>
  <c r="B146" i="4"/>
  <c r="D88" i="38"/>
  <c r="B145" i="4"/>
  <c r="D87" i="38"/>
  <c r="B144" i="4"/>
  <c r="D86" i="38"/>
  <c r="AA45" i="38" s="1"/>
  <c r="B143" i="4"/>
  <c r="D85" i="38"/>
  <c r="AA35" i="38" s="1"/>
  <c r="B142" i="4"/>
  <c r="D84" i="38"/>
  <c r="AA25" i="38" s="1"/>
  <c r="B141" i="4"/>
  <c r="D83" i="38"/>
  <c r="B140" i="4"/>
  <c r="D82" i="38"/>
  <c r="B139" i="4"/>
  <c r="N70" i="33"/>
  <c r="V65" i="38"/>
  <c r="D64" i="38"/>
  <c r="E64" i="38" s="1"/>
  <c r="B112" i="4"/>
  <c r="D63" i="38"/>
  <c r="E63" i="38" s="1"/>
  <c r="B122" i="4"/>
  <c r="D62" i="38"/>
  <c r="B121" i="4"/>
  <c r="D61" i="38"/>
  <c r="E61" i="38" s="1"/>
  <c r="B120" i="4"/>
  <c r="D60" i="38"/>
  <c r="B119" i="4"/>
  <c r="D59" i="38"/>
  <c r="B118" i="4"/>
  <c r="D58" i="38"/>
  <c r="E58" i="38" s="1"/>
  <c r="B117" i="4"/>
  <c r="D57" i="38"/>
  <c r="B116" i="4"/>
  <c r="D56" i="38"/>
  <c r="E56" i="38" s="1"/>
  <c r="B115" i="4"/>
  <c r="AM96" i="3"/>
  <c r="V43" i="38"/>
  <c r="V52" i="38" s="1"/>
  <c r="AO5" i="38"/>
  <c r="D50" i="38"/>
  <c r="B98" i="4"/>
  <c r="D49" i="38"/>
  <c r="E49" i="38" s="1"/>
  <c r="B97" i="4"/>
  <c r="D48" i="38"/>
  <c r="B96" i="4"/>
  <c r="D47" i="38"/>
  <c r="B95" i="4"/>
  <c r="D46" i="38"/>
  <c r="E46" i="38" s="1"/>
  <c r="B94" i="4"/>
  <c r="D45" i="38"/>
  <c r="E45" i="38" s="1"/>
  <c r="B93" i="4"/>
  <c r="D44" i="38"/>
  <c r="E44" i="38" s="1"/>
  <c r="B92" i="4"/>
  <c r="D43" i="38"/>
  <c r="E43" i="38" s="1"/>
  <c r="B91" i="4"/>
  <c r="B88" i="4"/>
  <c r="D51" i="38"/>
  <c r="D24" i="38"/>
  <c r="B43" i="4"/>
  <c r="D23" i="38"/>
  <c r="E23" i="38" s="1"/>
  <c r="B42" i="4"/>
  <c r="D22" i="38"/>
  <c r="E22" i="38" s="1"/>
  <c r="B41" i="4"/>
  <c r="D21" i="38"/>
  <c r="B40" i="4"/>
  <c r="D20" i="38"/>
  <c r="E20" i="38" s="1"/>
  <c r="B39" i="4"/>
  <c r="D19" i="38"/>
  <c r="B38" i="4"/>
  <c r="E38" i="4" s="1"/>
  <c r="H38" i="4" s="1"/>
  <c r="K38" i="4" s="1"/>
  <c r="D18" i="38"/>
  <c r="B37" i="4"/>
  <c r="D37" i="4" s="1"/>
  <c r="D17" i="38"/>
  <c r="E17" i="38" s="1"/>
  <c r="B36" i="4"/>
  <c r="D25" i="38"/>
  <c r="B32" i="4"/>
  <c r="N15" i="33"/>
  <c r="O8" i="28"/>
  <c r="V37" i="38"/>
  <c r="V76" i="38"/>
  <c r="V102" i="38"/>
  <c r="V36" i="38"/>
  <c r="V75" i="38"/>
  <c r="V101" i="38"/>
  <c r="V35" i="38"/>
  <c r="V74" i="38"/>
  <c r="V100" i="38"/>
  <c r="V33" i="38"/>
  <c r="V72" i="38"/>
  <c r="V98" i="38"/>
  <c r="V32" i="38"/>
  <c r="V71" i="38"/>
  <c r="V97" i="38"/>
  <c r="V31" i="38"/>
  <c r="V70" i="38"/>
  <c r="V96" i="38"/>
  <c r="V4" i="38"/>
  <c r="AO4" i="38"/>
  <c r="H30" i="3"/>
  <c r="H33" i="3" s="1"/>
  <c r="H6" i="3"/>
  <c r="I7" i="3" s="1"/>
  <c r="E6" i="3"/>
  <c r="E30" i="3"/>
  <c r="E33" i="3" s="1"/>
  <c r="B30" i="3"/>
  <c r="B6" i="3"/>
  <c r="AI109" i="3"/>
  <c r="AI233" i="3"/>
  <c r="AI86" i="3"/>
  <c r="AI133" i="3"/>
  <c r="AI157" i="3"/>
  <c r="AF133" i="3"/>
  <c r="AF86" i="3"/>
  <c r="AF233" i="3"/>
  <c r="AF109" i="3"/>
  <c r="AF157" i="3"/>
  <c r="AC233" i="3"/>
  <c r="AC133" i="3"/>
  <c r="AC109" i="3"/>
  <c r="AC86" i="3"/>
  <c r="AC157" i="3"/>
  <c r="Z233" i="3"/>
  <c r="Z133" i="3"/>
  <c r="Z86" i="3"/>
  <c r="Z109" i="3"/>
  <c r="Z157" i="3"/>
  <c r="W233" i="3"/>
  <c r="W109" i="3"/>
  <c r="W86" i="3"/>
  <c r="W157" i="3"/>
  <c r="W133" i="3"/>
  <c r="T133" i="3"/>
  <c r="T233" i="3"/>
  <c r="T86" i="3"/>
  <c r="T157" i="3"/>
  <c r="T109" i="3"/>
  <c r="Q133" i="3"/>
  <c r="Q86" i="3"/>
  <c r="Q233" i="3"/>
  <c r="Q109" i="3"/>
  <c r="Q157" i="3"/>
  <c r="N133" i="3"/>
  <c r="N109" i="3"/>
  <c r="N233" i="3"/>
  <c r="N86" i="3"/>
  <c r="N157" i="3"/>
  <c r="K157" i="3"/>
  <c r="AO157" i="3" s="1"/>
  <c r="K109" i="3"/>
  <c r="AO109" i="3" s="1"/>
  <c r="K86" i="3"/>
  <c r="AO86" i="3" s="1"/>
  <c r="AO16" i="3"/>
  <c r="K133" i="3"/>
  <c r="AO133" i="3" s="1"/>
  <c r="K233" i="3"/>
  <c r="AO233" i="3" s="1"/>
  <c r="H133" i="3"/>
  <c r="H86" i="3"/>
  <c r="H157" i="3"/>
  <c r="H233" i="3"/>
  <c r="H109" i="3"/>
  <c r="H27" i="3"/>
  <c r="E86" i="3"/>
  <c r="E109" i="3"/>
  <c r="E157" i="3"/>
  <c r="E27" i="3"/>
  <c r="E233" i="3"/>
  <c r="E133" i="3"/>
  <c r="B157" i="3"/>
  <c r="B133" i="3"/>
  <c r="D11" i="38"/>
  <c r="B27" i="3"/>
  <c r="B233" i="3"/>
  <c r="B86" i="3"/>
  <c r="B109" i="3"/>
  <c r="B16" i="4"/>
  <c r="AI156" i="3"/>
  <c r="AI85" i="3"/>
  <c r="AI132" i="3"/>
  <c r="AI108" i="3"/>
  <c r="AI232" i="3"/>
  <c r="AF108" i="3"/>
  <c r="AF232" i="3"/>
  <c r="AF156" i="3"/>
  <c r="AF85" i="3"/>
  <c r="AF132" i="3"/>
  <c r="AC108" i="3"/>
  <c r="AC132" i="3"/>
  <c r="AC156" i="3"/>
  <c r="AC85" i="3"/>
  <c r="AC232" i="3"/>
  <c r="Z156" i="3"/>
  <c r="Z85" i="3"/>
  <c r="Z108" i="3"/>
  <c r="Z132" i="3"/>
  <c r="Z232" i="3"/>
  <c r="W85" i="3"/>
  <c r="W108" i="3"/>
  <c r="W156" i="3"/>
  <c r="W232" i="3"/>
  <c r="W132" i="3"/>
  <c r="T85" i="3"/>
  <c r="T108" i="3"/>
  <c r="T156" i="3"/>
  <c r="T132" i="3"/>
  <c r="T232" i="3"/>
  <c r="Q108" i="3"/>
  <c r="Q132" i="3"/>
  <c r="Q232" i="3"/>
  <c r="Q156" i="3"/>
  <c r="Q85" i="3"/>
  <c r="N85" i="3"/>
  <c r="N232" i="3"/>
  <c r="N132" i="3"/>
  <c r="N156" i="3"/>
  <c r="N108" i="3"/>
  <c r="K232" i="3"/>
  <c r="AO232" i="3" s="1"/>
  <c r="K108" i="3"/>
  <c r="AO108" i="3" s="1"/>
  <c r="K156" i="3"/>
  <c r="AO156" i="3" s="1"/>
  <c r="K85" i="3"/>
  <c r="AO85" i="3" s="1"/>
  <c r="K132" i="3"/>
  <c r="AO132" i="3" s="1"/>
  <c r="H108" i="3"/>
  <c r="H232" i="3"/>
  <c r="H26" i="3"/>
  <c r="H85" i="3"/>
  <c r="H156" i="3"/>
  <c r="H132" i="3"/>
  <c r="E132" i="3"/>
  <c r="E232" i="3"/>
  <c r="E156" i="3"/>
  <c r="E85" i="3"/>
  <c r="E108" i="3"/>
  <c r="E26" i="3"/>
  <c r="B85" i="3"/>
  <c r="B156" i="3"/>
  <c r="D10" i="38"/>
  <c r="B26" i="3"/>
  <c r="B132" i="3"/>
  <c r="B232" i="3"/>
  <c r="B15" i="4"/>
  <c r="B108" i="3"/>
  <c r="AI131" i="3"/>
  <c r="AI84" i="3"/>
  <c r="AI231" i="3"/>
  <c r="AI155" i="3"/>
  <c r="AI107" i="3"/>
  <c r="AF107" i="3"/>
  <c r="AF231" i="3"/>
  <c r="AF84" i="3"/>
  <c r="AF131" i="3"/>
  <c r="AF155" i="3"/>
  <c r="AC131" i="3"/>
  <c r="AC107" i="3"/>
  <c r="AC84" i="3"/>
  <c r="AC231" i="3"/>
  <c r="AC155" i="3"/>
  <c r="Z231" i="3"/>
  <c r="Z131" i="3"/>
  <c r="Z84" i="3"/>
  <c r="Z155" i="3"/>
  <c r="Z107" i="3"/>
  <c r="W231" i="3"/>
  <c r="W155" i="3"/>
  <c r="W84" i="3"/>
  <c r="W131" i="3"/>
  <c r="W107" i="3"/>
  <c r="T107" i="3"/>
  <c r="T131" i="3"/>
  <c r="T231" i="3"/>
  <c r="T155" i="3"/>
  <c r="T84" i="3"/>
  <c r="Q107" i="3"/>
  <c r="Q131" i="3"/>
  <c r="Q231" i="3"/>
  <c r="Q84" i="3"/>
  <c r="Q155" i="3"/>
  <c r="N231" i="3"/>
  <c r="N84" i="3"/>
  <c r="N107" i="3"/>
  <c r="N131" i="3"/>
  <c r="N155" i="3"/>
  <c r="K131" i="3"/>
  <c r="AO131" i="3" s="1"/>
  <c r="K107" i="3"/>
  <c r="AO107" i="3" s="1"/>
  <c r="K84" i="3"/>
  <c r="AO84" i="3" s="1"/>
  <c r="K155" i="3"/>
  <c r="AO155" i="3" s="1"/>
  <c r="K231" i="3"/>
  <c r="AO231" i="3" s="1"/>
  <c r="H107" i="3"/>
  <c r="H25" i="3"/>
  <c r="H231" i="3"/>
  <c r="H155" i="3"/>
  <c r="H84" i="3"/>
  <c r="H131" i="3"/>
  <c r="E84" i="3"/>
  <c r="E131" i="3"/>
  <c r="E231" i="3"/>
  <c r="E25" i="3"/>
  <c r="E155" i="3"/>
  <c r="E107" i="3"/>
  <c r="D9" i="38"/>
  <c r="B155" i="3"/>
  <c r="B84" i="3"/>
  <c r="B107" i="3"/>
  <c r="B14" i="4"/>
  <c r="B131" i="3"/>
  <c r="B231" i="3"/>
  <c r="B25" i="3"/>
  <c r="H106" i="3"/>
  <c r="H130" i="3"/>
  <c r="H83" i="3"/>
  <c r="H24" i="3"/>
  <c r="H154" i="3"/>
  <c r="H230" i="3"/>
  <c r="E130" i="3"/>
  <c r="E24" i="3"/>
  <c r="E83" i="3"/>
  <c r="E106" i="3"/>
  <c r="E154" i="3"/>
  <c r="E230" i="3"/>
  <c r="B130" i="3"/>
  <c r="B13" i="4"/>
  <c r="AS13" i="3"/>
  <c r="B106" i="3"/>
  <c r="B24" i="3"/>
  <c r="B83" i="3"/>
  <c r="B230" i="3"/>
  <c r="B154" i="3"/>
  <c r="D8" i="38"/>
  <c r="AI153" i="3"/>
  <c r="AI82" i="3"/>
  <c r="AI129" i="3"/>
  <c r="AI229" i="3"/>
  <c r="AI105" i="3"/>
  <c r="AF153" i="3"/>
  <c r="AF105" i="3"/>
  <c r="AF129" i="3"/>
  <c r="AF82" i="3"/>
  <c r="AF229" i="3"/>
  <c r="AC129" i="3"/>
  <c r="AC153" i="3"/>
  <c r="AC229" i="3"/>
  <c r="AC82" i="3"/>
  <c r="AC105" i="3"/>
  <c r="Z153" i="3"/>
  <c r="Z105" i="3"/>
  <c r="Z229" i="3"/>
  <c r="Z129" i="3"/>
  <c r="Z82" i="3"/>
  <c r="W153" i="3"/>
  <c r="W105" i="3"/>
  <c r="W229" i="3"/>
  <c r="W82" i="3"/>
  <c r="W129" i="3"/>
  <c r="T129" i="3"/>
  <c r="T105" i="3"/>
  <c r="T153" i="3"/>
  <c r="T82" i="3"/>
  <c r="T229" i="3"/>
  <c r="Q129" i="3"/>
  <c r="Q105" i="3"/>
  <c r="Q229" i="3"/>
  <c r="Q82" i="3"/>
  <c r="Q153" i="3"/>
  <c r="N129" i="3"/>
  <c r="N105" i="3"/>
  <c r="N82" i="3"/>
  <c r="N229" i="3"/>
  <c r="N153" i="3"/>
  <c r="K229" i="3"/>
  <c r="AO229" i="3" s="1"/>
  <c r="K129" i="3"/>
  <c r="AO129" i="3" s="1"/>
  <c r="K82" i="3"/>
  <c r="AO82" i="3" s="1"/>
  <c r="K105" i="3"/>
  <c r="AO105" i="3" s="1"/>
  <c r="K153" i="3"/>
  <c r="AO153" i="3" s="1"/>
  <c r="H82" i="3"/>
  <c r="H23" i="3"/>
  <c r="H105" i="3"/>
  <c r="H229" i="3"/>
  <c r="H153" i="3"/>
  <c r="H129" i="3"/>
  <c r="E105" i="3"/>
  <c r="E23" i="3"/>
  <c r="E129" i="3"/>
  <c r="E82" i="3"/>
  <c r="E229" i="3"/>
  <c r="E153" i="3"/>
  <c r="B82" i="3"/>
  <c r="B229" i="3"/>
  <c r="B23" i="3"/>
  <c r="B129" i="3"/>
  <c r="B12" i="4"/>
  <c r="B105" i="3"/>
  <c r="D7" i="38"/>
  <c r="E7" i="38" s="1"/>
  <c r="B153" i="3"/>
  <c r="AI152" i="3"/>
  <c r="AI228" i="3"/>
  <c r="AI81" i="3"/>
  <c r="AI104" i="3"/>
  <c r="AI128" i="3"/>
  <c r="AF228" i="3"/>
  <c r="AF81" i="3"/>
  <c r="AF152" i="3"/>
  <c r="AF104" i="3"/>
  <c r="AF128" i="3"/>
  <c r="AC128" i="3"/>
  <c r="AC81" i="3"/>
  <c r="AC228" i="3"/>
  <c r="AC104" i="3"/>
  <c r="AC152" i="3"/>
  <c r="Z104" i="3"/>
  <c r="Z228" i="3"/>
  <c r="Z128" i="3"/>
  <c r="Z152" i="3"/>
  <c r="Z81" i="3"/>
  <c r="W104" i="3"/>
  <c r="W228" i="3"/>
  <c r="W81" i="3"/>
  <c r="W152" i="3"/>
  <c r="W128" i="3"/>
  <c r="T104" i="3"/>
  <c r="T128" i="3"/>
  <c r="T81" i="3"/>
  <c r="T228" i="3"/>
  <c r="T152" i="3"/>
  <c r="Q81" i="3"/>
  <c r="Q104" i="3"/>
  <c r="Q152" i="3"/>
  <c r="Q128" i="3"/>
  <c r="Q228" i="3"/>
  <c r="N104" i="3"/>
  <c r="N228" i="3"/>
  <c r="N81" i="3"/>
  <c r="N152" i="3"/>
  <c r="N128" i="3"/>
  <c r="K152" i="3"/>
  <c r="AO152" i="3" s="1"/>
  <c r="K128" i="3"/>
  <c r="AO128" i="3" s="1"/>
  <c r="K104" i="3"/>
  <c r="AO104" i="3" s="1"/>
  <c r="K228" i="3"/>
  <c r="AO228" i="3" s="1"/>
  <c r="K81" i="3"/>
  <c r="AO81" i="3" s="1"/>
  <c r="H128" i="3"/>
  <c r="H22" i="3"/>
  <c r="H81" i="3"/>
  <c r="H104" i="3"/>
  <c r="H228" i="3"/>
  <c r="H152" i="3"/>
  <c r="E22" i="3"/>
  <c r="E81" i="3"/>
  <c r="E128" i="3"/>
  <c r="E152" i="3"/>
  <c r="E104" i="3"/>
  <c r="E228" i="3"/>
  <c r="B11" i="4"/>
  <c r="B228" i="3"/>
  <c r="B81" i="3"/>
  <c r="B22" i="3"/>
  <c r="D6" i="38"/>
  <c r="E6" i="38" s="1"/>
  <c r="B152" i="3"/>
  <c r="B104" i="3"/>
  <c r="B128" i="3"/>
  <c r="AI151" i="3"/>
  <c r="AI80" i="3"/>
  <c r="AI103" i="3"/>
  <c r="AI127" i="3"/>
  <c r="AI227" i="3"/>
  <c r="AF80" i="3"/>
  <c r="AF103" i="3"/>
  <c r="AF227" i="3"/>
  <c r="AF127" i="3"/>
  <c r="AF151" i="3"/>
  <c r="AC127" i="3"/>
  <c r="AC80" i="3"/>
  <c r="AC227" i="3"/>
  <c r="AC103" i="3"/>
  <c r="AC151" i="3"/>
  <c r="Z227" i="3"/>
  <c r="Z103" i="3"/>
  <c r="Z151" i="3"/>
  <c r="Z127" i="3"/>
  <c r="Z80" i="3"/>
  <c r="W103" i="3"/>
  <c r="W151" i="3"/>
  <c r="W80" i="3"/>
  <c r="W127" i="3"/>
  <c r="W227" i="3"/>
  <c r="T227" i="3"/>
  <c r="T127" i="3"/>
  <c r="T151" i="3"/>
  <c r="T80" i="3"/>
  <c r="T103" i="3"/>
  <c r="Q227" i="3"/>
  <c r="Q127" i="3"/>
  <c r="Q103" i="3"/>
  <c r="Q80" i="3"/>
  <c r="Q151" i="3"/>
  <c r="N80" i="3"/>
  <c r="N103" i="3"/>
  <c r="N127" i="3"/>
  <c r="N227" i="3"/>
  <c r="N151" i="3"/>
  <c r="K103" i="3"/>
  <c r="AO103" i="3" s="1"/>
  <c r="K227" i="3"/>
  <c r="AO227" i="3" s="1"/>
  <c r="K80" i="3"/>
  <c r="AO80" i="3" s="1"/>
  <c r="K151" i="3"/>
  <c r="AO151" i="3" s="1"/>
  <c r="K127" i="3"/>
  <c r="AO127" i="3" s="1"/>
  <c r="H80" i="3"/>
  <c r="H21" i="3"/>
  <c r="H127" i="3"/>
  <c r="H103" i="3"/>
  <c r="H151" i="3"/>
  <c r="H227" i="3"/>
  <c r="E227" i="3"/>
  <c r="E21" i="3"/>
  <c r="E151" i="3"/>
  <c r="E103" i="3"/>
  <c r="E127" i="3"/>
  <c r="E80" i="3"/>
  <c r="B103" i="3"/>
  <c r="B80" i="3"/>
  <c r="B10" i="4"/>
  <c r="B21" i="3"/>
  <c r="D5" i="38"/>
  <c r="E5" i="38" s="1"/>
  <c r="B227" i="3"/>
  <c r="B151" i="3"/>
  <c r="B127" i="3"/>
  <c r="AI226" i="3"/>
  <c r="AI150" i="3"/>
  <c r="AI102" i="3"/>
  <c r="AI79" i="3"/>
  <c r="AI126" i="3"/>
  <c r="AF102" i="3"/>
  <c r="AF226" i="3"/>
  <c r="AF150" i="3"/>
  <c r="AF79" i="3"/>
  <c r="AF126" i="3"/>
  <c r="AC226" i="3"/>
  <c r="AC79" i="3"/>
  <c r="AC126" i="3"/>
  <c r="AC102" i="3"/>
  <c r="AC150" i="3"/>
  <c r="Z102" i="3"/>
  <c r="Z79" i="3"/>
  <c r="Z126" i="3"/>
  <c r="Z150" i="3"/>
  <c r="Z226" i="3"/>
  <c r="W79" i="3"/>
  <c r="W150" i="3"/>
  <c r="W102" i="3"/>
  <c r="W226" i="3"/>
  <c r="W126" i="3"/>
  <c r="T150" i="3"/>
  <c r="T126" i="3"/>
  <c r="T102" i="3"/>
  <c r="T79" i="3"/>
  <c r="T226" i="3"/>
  <c r="Q150" i="3"/>
  <c r="Q79" i="3"/>
  <c r="Q102" i="3"/>
  <c r="Q226" i="3"/>
  <c r="Q126" i="3"/>
  <c r="N226" i="3"/>
  <c r="N102" i="3"/>
  <c r="N150" i="3"/>
  <c r="N79" i="3"/>
  <c r="N126" i="3"/>
  <c r="K79" i="3"/>
  <c r="AO79" i="3" s="1"/>
  <c r="K150" i="3"/>
  <c r="AO150" i="3" s="1"/>
  <c r="K102" i="3"/>
  <c r="AO102" i="3" s="1"/>
  <c r="K226" i="3"/>
  <c r="AO226" i="3" s="1"/>
  <c r="K126" i="3"/>
  <c r="AO126" i="3" s="1"/>
  <c r="H20" i="3"/>
  <c r="H150" i="3"/>
  <c r="H102" i="3"/>
  <c r="H79" i="3"/>
  <c r="H226" i="3"/>
  <c r="H126" i="3"/>
  <c r="E150" i="3"/>
  <c r="E79" i="3"/>
  <c r="E126" i="3"/>
  <c r="E226" i="3"/>
  <c r="E102" i="3"/>
  <c r="E20" i="3"/>
  <c r="B79" i="3"/>
  <c r="B20" i="3"/>
  <c r="B126" i="3"/>
  <c r="B9" i="4"/>
  <c r="B226" i="3"/>
  <c r="D4" i="38"/>
  <c r="E4" i="38" s="1"/>
  <c r="B102" i="3"/>
  <c r="B150" i="3"/>
  <c r="AP296" i="3"/>
  <c r="AP295" i="3"/>
  <c r="O271" i="3"/>
  <c r="O270" i="3"/>
  <c r="O267" i="3"/>
  <c r="O265" i="3"/>
  <c r="O263" i="3"/>
  <c r="O233" i="3"/>
  <c r="O229" i="3"/>
  <c r="O104" i="3"/>
  <c r="O157" i="3"/>
  <c r="O153" i="3"/>
  <c r="O133" i="3"/>
  <c r="O131" i="3"/>
  <c r="O126" i="3"/>
  <c r="O105" i="3"/>
  <c r="O82" i="3"/>
  <c r="O109" i="3"/>
  <c r="P16" i="3"/>
  <c r="O129" i="3"/>
  <c r="P11" i="3"/>
  <c r="P9" i="3"/>
  <c r="C22" i="29"/>
  <c r="B20" i="29"/>
  <c r="B298" i="2"/>
  <c r="E298" i="2" s="1"/>
  <c r="H298" i="2" s="1"/>
  <c r="K298" i="2" s="1"/>
  <c r="N298" i="2" s="1"/>
  <c r="Q298" i="2" s="1"/>
  <c r="T298" i="2" s="1"/>
  <c r="W298" i="2" s="1"/>
  <c r="Z298" i="2" s="1"/>
  <c r="AC298" i="2" s="1"/>
  <c r="AF298" i="2" s="1"/>
  <c r="AI298" i="2" s="1"/>
  <c r="B320" i="1"/>
  <c r="B295" i="2"/>
  <c r="E295" i="2" s="1"/>
  <c r="H295" i="2" s="1"/>
  <c r="K295" i="2" s="1"/>
  <c r="N295" i="2" s="1"/>
  <c r="Q295" i="2" s="1"/>
  <c r="T295" i="2" s="1"/>
  <c r="AU294" i="1"/>
  <c r="B315" i="1"/>
  <c r="AM282" i="3"/>
  <c r="B284" i="2"/>
  <c r="E284" i="2" s="1"/>
  <c r="H284" i="2" s="1"/>
  <c r="K284" i="2" s="1"/>
  <c r="N284" i="2" s="1"/>
  <c r="Q284" i="2" s="1"/>
  <c r="T284" i="2" s="1"/>
  <c r="W284" i="2" s="1"/>
  <c r="Z284" i="2" s="1"/>
  <c r="AC284" i="2" s="1"/>
  <c r="AF284" i="2" s="1"/>
  <c r="AI284" i="2" s="1"/>
  <c r="B319" i="1"/>
  <c r="B283" i="2"/>
  <c r="E283" i="2" s="1"/>
  <c r="H283" i="2" s="1"/>
  <c r="K283" i="2" s="1"/>
  <c r="N283" i="2" s="1"/>
  <c r="Q283" i="2" s="1"/>
  <c r="T283" i="2" s="1"/>
  <c r="W283" i="2" s="1"/>
  <c r="Z283" i="2" s="1"/>
  <c r="AC283" i="2" s="1"/>
  <c r="AF283" i="2" s="1"/>
  <c r="AI283" i="2" s="1"/>
  <c r="B318" i="1"/>
  <c r="B282" i="2"/>
  <c r="E282" i="2" s="1"/>
  <c r="H282" i="2" s="1"/>
  <c r="K282" i="2" s="1"/>
  <c r="N282" i="2" s="1"/>
  <c r="Q282" i="2" s="1"/>
  <c r="T282" i="2" s="1"/>
  <c r="W282" i="2" s="1"/>
  <c r="Z282" i="2" s="1"/>
  <c r="AC282" i="2" s="1"/>
  <c r="AF282" i="2" s="1"/>
  <c r="AI282" i="2" s="1"/>
  <c r="B317" i="1"/>
  <c r="B316" i="1"/>
  <c r="B281" i="2"/>
  <c r="E281" i="2" s="1"/>
  <c r="H281" i="2" s="1"/>
  <c r="K281" i="2" s="1"/>
  <c r="B279" i="2"/>
  <c r="E279" i="2" s="1"/>
  <c r="H279" i="2" s="1"/>
  <c r="K279" i="2" s="1"/>
  <c r="B314" i="1"/>
  <c r="B278" i="2"/>
  <c r="E278" i="2" s="1"/>
  <c r="H278" i="2" s="1"/>
  <c r="K278" i="2" s="1"/>
  <c r="B313" i="1"/>
  <c r="N262" i="2"/>
  <c r="AI249" i="2"/>
  <c r="AI249" i="1"/>
  <c r="AC249" i="2"/>
  <c r="AC262" i="2" s="1"/>
  <c r="AC249" i="1"/>
  <c r="Z249" i="1"/>
  <c r="Z249" i="2"/>
  <c r="T249" i="1"/>
  <c r="T249" i="2"/>
  <c r="T262" i="2" s="1"/>
  <c r="Q249" i="2"/>
  <c r="Q249" i="1"/>
  <c r="K249" i="2"/>
  <c r="K249" i="1"/>
  <c r="AO249" i="1" s="1"/>
  <c r="AM249" i="1" s="1"/>
  <c r="H249" i="1"/>
  <c r="H249" i="2"/>
  <c r="E249" i="2"/>
  <c r="E249" i="1"/>
  <c r="B249" i="2"/>
  <c r="B249" i="1"/>
  <c r="AF249" i="4"/>
  <c r="AF262" i="4" s="1"/>
  <c r="AF249" i="3"/>
  <c r="AC249" i="4"/>
  <c r="AC262" i="4" s="1"/>
  <c r="AC249" i="3"/>
  <c r="Z249" i="4"/>
  <c r="Z249" i="3"/>
  <c r="W249" i="4"/>
  <c r="W249" i="3"/>
  <c r="Q249" i="4"/>
  <c r="Q249" i="3"/>
  <c r="N249" i="4"/>
  <c r="N249" i="3"/>
  <c r="H249" i="4"/>
  <c r="H249" i="3"/>
  <c r="E249" i="4"/>
  <c r="E249" i="3"/>
  <c r="B249" i="4"/>
  <c r="B249" i="3"/>
  <c r="K269" i="3"/>
  <c r="AO256" i="3"/>
  <c r="N262" i="1"/>
  <c r="Z269" i="2"/>
  <c r="T269" i="2"/>
  <c r="N269" i="2"/>
  <c r="AI262" i="2"/>
  <c r="Z262" i="2"/>
  <c r="AI269" i="2"/>
  <c r="AF269" i="2"/>
  <c r="AC269" i="2"/>
  <c r="W269" i="2"/>
  <c r="Q269" i="2"/>
  <c r="K269" i="2"/>
  <c r="AO269" i="2" s="1"/>
  <c r="AI269" i="1"/>
  <c r="Z269" i="1"/>
  <c r="N269" i="1"/>
  <c r="AF262" i="1"/>
  <c r="Q262" i="1"/>
  <c r="K262" i="1"/>
  <c r="AO262" i="1" s="1"/>
  <c r="AF269" i="1"/>
  <c r="W269" i="1"/>
  <c r="Q269" i="1"/>
  <c r="AI262" i="1"/>
  <c r="Z262" i="1"/>
  <c r="T262" i="1"/>
  <c r="AC269" i="1"/>
  <c r="T269" i="1"/>
  <c r="K269" i="1"/>
  <c r="AO269" i="1" s="1"/>
  <c r="AC262" i="1"/>
  <c r="W262" i="1"/>
  <c r="AO239" i="1"/>
  <c r="K265" i="1"/>
  <c r="AO265" i="1" s="1"/>
  <c r="H262" i="1"/>
  <c r="H236" i="2"/>
  <c r="H262" i="2" s="1"/>
  <c r="E236" i="2"/>
  <c r="E262" i="2" s="1"/>
  <c r="E262" i="1"/>
  <c r="B236" i="2"/>
  <c r="B262" i="2" s="1"/>
  <c r="B262" i="1"/>
  <c r="K268" i="3"/>
  <c r="AO268" i="3" s="1"/>
  <c r="AO242" i="3"/>
  <c r="AC228" i="1"/>
  <c r="Q228" i="1"/>
  <c r="E228" i="1"/>
  <c r="N136" i="33"/>
  <c r="V168" i="38" s="1"/>
  <c r="V164" i="38"/>
  <c r="V169" i="38" s="1"/>
  <c r="I11" i="45"/>
  <c r="I10" i="45"/>
  <c r="I8" i="45"/>
  <c r="K219" i="2"/>
  <c r="N125" i="28"/>
  <c r="AM204" i="1"/>
  <c r="AM191" i="1"/>
  <c r="N103" i="28"/>
  <c r="K173" i="2"/>
  <c r="N173" i="2" s="1"/>
  <c r="Q173" i="2" s="1"/>
  <c r="K160" i="2"/>
  <c r="N160" i="2" s="1"/>
  <c r="Q160" i="2" s="1"/>
  <c r="T160" i="2" s="1"/>
  <c r="W160" i="2" s="1"/>
  <c r="Z160" i="2" s="1"/>
  <c r="AC160" i="2" s="1"/>
  <c r="AF160" i="2" s="1"/>
  <c r="AI160" i="2" s="1"/>
  <c r="AL25" i="38"/>
  <c r="AL15" i="38"/>
  <c r="AL5" i="38"/>
  <c r="AF152" i="1"/>
  <c r="T152" i="1"/>
  <c r="H152" i="1"/>
  <c r="N59" i="28"/>
  <c r="AO119" i="3"/>
  <c r="K88" i="2"/>
  <c r="N26" i="28"/>
  <c r="Q41" i="2"/>
  <c r="T41" i="2" s="1"/>
  <c r="W41" i="2" s="1"/>
  <c r="Z41" i="2" s="1"/>
  <c r="AC41" i="2" s="1"/>
  <c r="AF41" i="2" s="1"/>
  <c r="AI41" i="2" s="1"/>
  <c r="V21" i="38"/>
  <c r="V26" i="38" s="1"/>
  <c r="N26" i="33"/>
  <c r="V25" i="38" s="1"/>
  <c r="K32" i="2"/>
  <c r="AI30" i="1"/>
  <c r="AI33" i="1" s="1"/>
  <c r="AI6" i="1"/>
  <c r="AF30" i="1"/>
  <c r="AF33" i="1" s="1"/>
  <c r="AF6" i="1"/>
  <c r="AC30" i="1"/>
  <c r="AC33" i="1" s="1"/>
  <c r="AC6" i="1"/>
  <c r="Z30" i="1"/>
  <c r="Z33" i="1" s="1"/>
  <c r="Z6" i="1"/>
  <c r="T30" i="1"/>
  <c r="T33" i="1" s="1"/>
  <c r="T6" i="1"/>
  <c r="Q30" i="1"/>
  <c r="Q33" i="1" s="1"/>
  <c r="Q6" i="1"/>
  <c r="N30" i="1"/>
  <c r="N33" i="1" s="1"/>
  <c r="N6" i="1"/>
  <c r="K30" i="1"/>
  <c r="K6" i="1"/>
  <c r="H6" i="1"/>
  <c r="H30" i="1"/>
  <c r="H33" i="1" s="1"/>
  <c r="E30" i="1"/>
  <c r="E33" i="1" s="1"/>
  <c r="E6" i="1"/>
  <c r="B6" i="1"/>
  <c r="B30" i="1"/>
  <c r="AI30" i="3"/>
  <c r="AI33" i="3" s="1"/>
  <c r="AI6" i="3"/>
  <c r="AC30" i="3"/>
  <c r="AC33" i="3" s="1"/>
  <c r="AC6" i="3"/>
  <c r="Z30" i="3"/>
  <c r="Z33" i="3" s="1"/>
  <c r="Z6" i="3"/>
  <c r="W30" i="3"/>
  <c r="W33" i="3" s="1"/>
  <c r="W6" i="3"/>
  <c r="Q30" i="3"/>
  <c r="Q33" i="3" s="1"/>
  <c r="Q6" i="3"/>
  <c r="AI129" i="1"/>
  <c r="AF129" i="1"/>
  <c r="AC129" i="1"/>
  <c r="Z129" i="1"/>
  <c r="W129" i="1"/>
  <c r="T129" i="1"/>
  <c r="Q129" i="1"/>
  <c r="N129" i="1"/>
  <c r="E129" i="1"/>
  <c r="AI133" i="1"/>
  <c r="AI109" i="1"/>
  <c r="AI157" i="1"/>
  <c r="AI86" i="1"/>
  <c r="AI233" i="1"/>
  <c r="AF233" i="1"/>
  <c r="AF133" i="1"/>
  <c r="AF157" i="1"/>
  <c r="AF109" i="1"/>
  <c r="AF86" i="1"/>
  <c r="AC133" i="1"/>
  <c r="AC233" i="1"/>
  <c r="AC109" i="1"/>
  <c r="AC157" i="1"/>
  <c r="AC86" i="1"/>
  <c r="Z86" i="1"/>
  <c r="Z233" i="1"/>
  <c r="Z157" i="1"/>
  <c r="Z109" i="1"/>
  <c r="Z133" i="1"/>
  <c r="W86" i="1"/>
  <c r="W233" i="1"/>
  <c r="W133" i="1"/>
  <c r="W109" i="1"/>
  <c r="W157" i="1"/>
  <c r="T233" i="1"/>
  <c r="T133" i="1"/>
  <c r="T86" i="1"/>
  <c r="T109" i="1"/>
  <c r="T157" i="1"/>
  <c r="Q86" i="1"/>
  <c r="Q233" i="1"/>
  <c r="Q133" i="1"/>
  <c r="Q109" i="1"/>
  <c r="Q157" i="1"/>
  <c r="N86" i="1"/>
  <c r="N133" i="1"/>
  <c r="N233" i="1"/>
  <c r="N109" i="1"/>
  <c r="N157" i="1"/>
  <c r="K86" i="1"/>
  <c r="AO86" i="1" s="1"/>
  <c r="K133" i="1"/>
  <c r="AO133" i="1" s="1"/>
  <c r="K233" i="1"/>
  <c r="AO233" i="1" s="1"/>
  <c r="K109" i="1"/>
  <c r="AO109" i="1" s="1"/>
  <c r="AO16" i="1"/>
  <c r="K157" i="1"/>
  <c r="AO157" i="1" s="1"/>
  <c r="H233" i="1"/>
  <c r="H109" i="1"/>
  <c r="H86" i="1"/>
  <c r="H133" i="1"/>
  <c r="H157" i="1"/>
  <c r="E86" i="1"/>
  <c r="E233" i="1"/>
  <c r="E109" i="1"/>
  <c r="E157" i="1"/>
  <c r="E133" i="1"/>
  <c r="B233" i="1"/>
  <c r="B16" i="2"/>
  <c r="B157" i="1"/>
  <c r="B86" i="1"/>
  <c r="B109" i="1"/>
  <c r="B133" i="1"/>
  <c r="AI232" i="1"/>
  <c r="AI156" i="1"/>
  <c r="AI85" i="1"/>
  <c r="AI132" i="1"/>
  <c r="AI108" i="1"/>
  <c r="AF132" i="1"/>
  <c r="AF108" i="1"/>
  <c r="AF85" i="1"/>
  <c r="AF156" i="1"/>
  <c r="AF232" i="1"/>
  <c r="AC85" i="1"/>
  <c r="AC156" i="1"/>
  <c r="AC108" i="1"/>
  <c r="AC232" i="1"/>
  <c r="AC132" i="1"/>
  <c r="Z85" i="1"/>
  <c r="Z232" i="1"/>
  <c r="Z132" i="1"/>
  <c r="Z156" i="1"/>
  <c r="Z108" i="1"/>
  <c r="W156" i="1"/>
  <c r="W85" i="1"/>
  <c r="W108" i="1"/>
  <c r="W232" i="1"/>
  <c r="W132" i="1"/>
  <c r="T85" i="1"/>
  <c r="T108" i="1"/>
  <c r="T132" i="1"/>
  <c r="T156" i="1"/>
  <c r="T232" i="1"/>
  <c r="Q85" i="1"/>
  <c r="Q232" i="1"/>
  <c r="Q132" i="1"/>
  <c r="Q156" i="1"/>
  <c r="Q108" i="1"/>
  <c r="N85" i="1"/>
  <c r="N132" i="1"/>
  <c r="N232" i="1"/>
  <c r="N156" i="1"/>
  <c r="N108" i="1"/>
  <c r="K85" i="1"/>
  <c r="AO85" i="1" s="1"/>
  <c r="K132" i="1"/>
  <c r="AO132" i="1" s="1"/>
  <c r="K108" i="1"/>
  <c r="AO108" i="1" s="1"/>
  <c r="K156" i="1"/>
  <c r="AO156" i="1" s="1"/>
  <c r="AO15" i="1"/>
  <c r="K232" i="1"/>
  <c r="AO232" i="1" s="1"/>
  <c r="H132" i="1"/>
  <c r="H232" i="1"/>
  <c r="H156" i="1"/>
  <c r="H108" i="1"/>
  <c r="H85" i="1"/>
  <c r="E85" i="1"/>
  <c r="E232" i="1"/>
  <c r="E108" i="1"/>
  <c r="E156" i="1"/>
  <c r="E132" i="1"/>
  <c r="B232" i="1"/>
  <c r="B15" i="2"/>
  <c r="D15" i="2" s="1"/>
  <c r="B156" i="1"/>
  <c r="B132" i="1"/>
  <c r="B85" i="1"/>
  <c r="B108" i="1"/>
  <c r="AI231" i="1"/>
  <c r="AI155" i="1"/>
  <c r="AI131" i="1"/>
  <c r="AI84" i="1"/>
  <c r="AI107" i="1"/>
  <c r="AF231" i="1"/>
  <c r="AF131" i="1"/>
  <c r="AF84" i="1"/>
  <c r="AF107" i="1"/>
  <c r="AF155" i="1"/>
  <c r="AC155" i="1"/>
  <c r="AC107" i="1"/>
  <c r="AC84" i="1"/>
  <c r="AC231" i="1"/>
  <c r="AC131" i="1"/>
  <c r="Z155" i="1"/>
  <c r="Z131" i="1"/>
  <c r="Z107" i="1"/>
  <c r="Z231" i="1"/>
  <c r="Z84" i="1"/>
  <c r="W155" i="1"/>
  <c r="W131" i="1"/>
  <c r="W84" i="1"/>
  <c r="W231" i="1"/>
  <c r="W107" i="1"/>
  <c r="T84" i="1"/>
  <c r="T131" i="1"/>
  <c r="T107" i="1"/>
  <c r="T231" i="1"/>
  <c r="T155" i="1"/>
  <c r="Q84" i="1"/>
  <c r="Q107" i="1"/>
  <c r="Q155" i="1"/>
  <c r="Q131" i="1"/>
  <c r="Q231" i="1"/>
  <c r="N231" i="1"/>
  <c r="N84" i="1"/>
  <c r="N107" i="1"/>
  <c r="N155" i="1"/>
  <c r="N131" i="1"/>
  <c r="K231" i="1"/>
  <c r="AO231" i="1" s="1"/>
  <c r="K131" i="1"/>
  <c r="AO131" i="1" s="1"/>
  <c r="K107" i="1"/>
  <c r="AO107" i="1" s="1"/>
  <c r="K155" i="1"/>
  <c r="AO155" i="1" s="1"/>
  <c r="K84" i="1"/>
  <c r="AO84" i="1" s="1"/>
  <c r="H131" i="1"/>
  <c r="H231" i="1"/>
  <c r="H107" i="1"/>
  <c r="H155" i="1"/>
  <c r="H84" i="1"/>
  <c r="E107" i="1"/>
  <c r="E131" i="1"/>
  <c r="E231" i="1"/>
  <c r="E155" i="1"/>
  <c r="E84" i="1"/>
  <c r="B84" i="1"/>
  <c r="B107" i="1"/>
  <c r="B131" i="1"/>
  <c r="B14" i="2"/>
  <c r="B155" i="1"/>
  <c r="B231" i="1"/>
  <c r="H106" i="1"/>
  <c r="H130" i="1"/>
  <c r="H83" i="1"/>
  <c r="H154" i="1"/>
  <c r="H230" i="1"/>
  <c r="E83" i="1"/>
  <c r="E154" i="1"/>
  <c r="E130" i="1"/>
  <c r="E230" i="1"/>
  <c r="E106" i="1"/>
  <c r="B106" i="1"/>
  <c r="B154" i="1"/>
  <c r="B130" i="1"/>
  <c r="B13" i="2"/>
  <c r="B83" i="1"/>
  <c r="B230" i="1"/>
  <c r="AI82" i="1"/>
  <c r="AI105" i="1"/>
  <c r="AI153" i="1"/>
  <c r="AI229" i="1"/>
  <c r="AF82" i="1"/>
  <c r="AF153" i="1"/>
  <c r="AF105" i="1"/>
  <c r="AF229" i="1"/>
  <c r="AC105" i="1"/>
  <c r="AC229" i="1"/>
  <c r="AC82" i="1"/>
  <c r="AC153" i="1"/>
  <c r="Z229" i="1"/>
  <c r="Z153" i="1"/>
  <c r="Z82" i="1"/>
  <c r="Z105" i="1"/>
  <c r="W105" i="1"/>
  <c r="W153" i="1"/>
  <c r="W82" i="1"/>
  <c r="W229" i="1"/>
  <c r="T153" i="1"/>
  <c r="T229" i="1"/>
  <c r="T105" i="1"/>
  <c r="T82" i="1"/>
  <c r="Q105" i="1"/>
  <c r="Q82" i="1"/>
  <c r="Q229" i="1"/>
  <c r="Q153" i="1"/>
  <c r="N153" i="1"/>
  <c r="N82" i="1"/>
  <c r="N105" i="1"/>
  <c r="N229" i="1"/>
  <c r="K153" i="1"/>
  <c r="AO153" i="1" s="1"/>
  <c r="K105" i="1"/>
  <c r="AO105" i="1" s="1"/>
  <c r="K82" i="1"/>
  <c r="AO82" i="1" s="1"/>
  <c r="K229" i="1"/>
  <c r="AO229" i="1" s="1"/>
  <c r="H82" i="1"/>
  <c r="H229" i="1"/>
  <c r="H153" i="1"/>
  <c r="H105" i="1"/>
  <c r="E153" i="1"/>
  <c r="E105" i="1"/>
  <c r="E229" i="1"/>
  <c r="E82" i="1"/>
  <c r="B12" i="2"/>
  <c r="B153" i="1"/>
  <c r="B229" i="1"/>
  <c r="B82" i="1"/>
  <c r="B105" i="1"/>
  <c r="AI227" i="1"/>
  <c r="AI151" i="1"/>
  <c r="AI127" i="1"/>
  <c r="AI80" i="1"/>
  <c r="AI103" i="1"/>
  <c r="AF80" i="1"/>
  <c r="AF151" i="1"/>
  <c r="AF227" i="1"/>
  <c r="AF103" i="1"/>
  <c r="AF127" i="1"/>
  <c r="AC227" i="1"/>
  <c r="AC151" i="1"/>
  <c r="AC103" i="1"/>
  <c r="AC127" i="1"/>
  <c r="AC80" i="1"/>
  <c r="Z227" i="1"/>
  <c r="Z103" i="1"/>
  <c r="Z80" i="1"/>
  <c r="Z151" i="1"/>
  <c r="Z127" i="1"/>
  <c r="W151" i="1"/>
  <c r="W103" i="1"/>
  <c r="W127" i="1"/>
  <c r="W227" i="1"/>
  <c r="W80" i="1"/>
  <c r="T151" i="1"/>
  <c r="T127" i="1"/>
  <c r="T80" i="1"/>
  <c r="T227" i="1"/>
  <c r="T103" i="1"/>
  <c r="Q127" i="1"/>
  <c r="Q151" i="1"/>
  <c r="Q80" i="1"/>
  <c r="Q103" i="1"/>
  <c r="Q227" i="1"/>
  <c r="N127" i="1"/>
  <c r="N227" i="1"/>
  <c r="N151" i="1"/>
  <c r="N80" i="1"/>
  <c r="N103" i="1"/>
  <c r="K127" i="1"/>
  <c r="AO127" i="1" s="1"/>
  <c r="K151" i="1"/>
  <c r="AO151" i="1" s="1"/>
  <c r="K103" i="1"/>
  <c r="AO103" i="1" s="1"/>
  <c r="AO10" i="1"/>
  <c r="K80" i="1"/>
  <c r="AO80" i="1" s="1"/>
  <c r="K227" i="1"/>
  <c r="AO227" i="1" s="1"/>
  <c r="H127" i="1"/>
  <c r="H227" i="1"/>
  <c r="H80" i="1"/>
  <c r="H151" i="1"/>
  <c r="H103" i="1"/>
  <c r="E127" i="1"/>
  <c r="E103" i="1"/>
  <c r="E151" i="1"/>
  <c r="E227" i="1"/>
  <c r="E80" i="1"/>
  <c r="B227" i="1"/>
  <c r="B127" i="1"/>
  <c r="B103" i="1"/>
  <c r="B10" i="2"/>
  <c r="B80" i="1"/>
  <c r="B151" i="1"/>
  <c r="AI126" i="1"/>
  <c r="AI150" i="1"/>
  <c r="AI102" i="1"/>
  <c r="AI226" i="1"/>
  <c r="AI79" i="1"/>
  <c r="AF126" i="1"/>
  <c r="AF226" i="1"/>
  <c r="AF102" i="1"/>
  <c r="AF150" i="1"/>
  <c r="AF79" i="1"/>
  <c r="AC102" i="1"/>
  <c r="AC226" i="1"/>
  <c r="AC79" i="1"/>
  <c r="AC126" i="1"/>
  <c r="AC150" i="1"/>
  <c r="Z150" i="1"/>
  <c r="Z226" i="1"/>
  <c r="Z102" i="1"/>
  <c r="Z126" i="1"/>
  <c r="Z79" i="1"/>
  <c r="W126" i="1"/>
  <c r="W102" i="1"/>
  <c r="W226" i="1"/>
  <c r="W150" i="1"/>
  <c r="W79" i="1"/>
  <c r="T150" i="1"/>
  <c r="T102" i="1"/>
  <c r="T126" i="1"/>
  <c r="T226" i="1"/>
  <c r="T79" i="1"/>
  <c r="Q102" i="1"/>
  <c r="Q226" i="1"/>
  <c r="Q126" i="1"/>
  <c r="Q79" i="1"/>
  <c r="Q150" i="1"/>
  <c r="N226" i="1"/>
  <c r="N102" i="1"/>
  <c r="N79" i="1"/>
  <c r="N150" i="1"/>
  <c r="N126" i="1"/>
  <c r="K102" i="1"/>
  <c r="AO102" i="1" s="1"/>
  <c r="K226" i="1"/>
  <c r="AO226" i="1" s="1"/>
  <c r="K79" i="1"/>
  <c r="AO79" i="1" s="1"/>
  <c r="K150" i="1"/>
  <c r="AO150" i="1" s="1"/>
  <c r="K126" i="1"/>
  <c r="AO126" i="1" s="1"/>
  <c r="H226" i="1"/>
  <c r="H102" i="1"/>
  <c r="H79" i="1"/>
  <c r="H150" i="1"/>
  <c r="H126" i="1"/>
  <c r="E226" i="1"/>
  <c r="E102" i="1"/>
  <c r="E150" i="1"/>
  <c r="E126" i="1"/>
  <c r="E79" i="1"/>
  <c r="B226" i="1"/>
  <c r="B102" i="1"/>
  <c r="B9" i="2"/>
  <c r="B150" i="1"/>
  <c r="B79" i="1"/>
  <c r="B126" i="1"/>
  <c r="O272" i="2"/>
  <c r="O289" i="2"/>
  <c r="O288" i="1"/>
  <c r="O272" i="1"/>
  <c r="O236" i="2"/>
  <c r="O262" i="2" s="1"/>
  <c r="O262" i="1"/>
  <c r="N124" i="30"/>
  <c r="AP202" i="1"/>
  <c r="N59" i="30"/>
  <c r="C112" i="1"/>
  <c r="C112" i="2" s="1"/>
  <c r="F112" i="2" s="1"/>
  <c r="I112" i="2" s="1"/>
  <c r="L112" i="2" s="1"/>
  <c r="O112" i="2" s="1"/>
  <c r="R112" i="2" s="1"/>
  <c r="U112" i="2" s="1"/>
  <c r="X112" i="2" s="1"/>
  <c r="AA112" i="2" s="1"/>
  <c r="AD112" i="2" s="1"/>
  <c r="AG112" i="2" s="1"/>
  <c r="AJ112" i="2" s="1"/>
  <c r="O109" i="1"/>
  <c r="O27" i="1"/>
  <c r="O86" i="1"/>
  <c r="O133" i="1"/>
  <c r="O233" i="1"/>
  <c r="O276" i="1" s="1"/>
  <c r="O157" i="1"/>
  <c r="O200" i="1" s="1"/>
  <c r="O232" i="1"/>
  <c r="O132" i="1"/>
  <c r="O85" i="1"/>
  <c r="O156" i="1"/>
  <c r="O108" i="1"/>
  <c r="O26" i="1"/>
  <c r="O155" i="1"/>
  <c r="O84" i="1"/>
  <c r="O131" i="1"/>
  <c r="O174" i="1" s="1"/>
  <c r="O107" i="1"/>
  <c r="O25" i="1"/>
  <c r="O231" i="1"/>
  <c r="O130" i="1"/>
  <c r="O106" i="1"/>
  <c r="O83" i="1"/>
  <c r="O154" i="1"/>
  <c r="O230" i="1"/>
  <c r="O24" i="1"/>
  <c r="O229" i="1"/>
  <c r="O105" i="1"/>
  <c r="O82" i="1"/>
  <c r="O23" i="1"/>
  <c r="O129" i="1"/>
  <c r="O153" i="1"/>
  <c r="O228" i="1"/>
  <c r="O128" i="1"/>
  <c r="O152" i="1"/>
  <c r="O104" i="1"/>
  <c r="O22" i="1"/>
  <c r="O81" i="1"/>
  <c r="O151" i="1"/>
  <c r="O21" i="1"/>
  <c r="O127" i="1"/>
  <c r="O80" i="1"/>
  <c r="O227" i="1"/>
  <c r="O103" i="1"/>
  <c r="O226" i="1"/>
  <c r="O150" i="1"/>
  <c r="O126" i="1"/>
  <c r="O79" i="1"/>
  <c r="O20" i="1"/>
  <c r="O102" i="1"/>
  <c r="AM74" i="3"/>
  <c r="AM57" i="3"/>
  <c r="AM56" i="3"/>
  <c r="AM46" i="3"/>
  <c r="AM139" i="3"/>
  <c r="AM48" i="3"/>
  <c r="AM55" i="1"/>
  <c r="AL74" i="1"/>
  <c r="AM69" i="1"/>
  <c r="AM67" i="1"/>
  <c r="AM65" i="1"/>
  <c r="AM63" i="1"/>
  <c r="AM61" i="1"/>
  <c r="AM59" i="1"/>
  <c r="AM57" i="1"/>
  <c r="AM48" i="1"/>
  <c r="AL46" i="1"/>
  <c r="AM46" i="1"/>
  <c r="AP51" i="4"/>
  <c r="T33" i="38"/>
  <c r="S33" i="38"/>
  <c r="Q33" i="38"/>
  <c r="O33" i="38"/>
  <c r="L263" i="3"/>
  <c r="F30" i="3"/>
  <c r="F33" i="3" s="1"/>
  <c r="F6" i="3"/>
  <c r="C30" i="3"/>
  <c r="C6" i="3"/>
  <c r="L133" i="3"/>
  <c r="L83" i="3"/>
  <c r="N185" i="30"/>
  <c r="N172" i="30"/>
  <c r="N113" i="30"/>
  <c r="C88" i="1"/>
  <c r="C88" i="2" s="1"/>
  <c r="I237" i="1"/>
  <c r="AP237" i="1" s="1"/>
  <c r="AP194" i="1"/>
  <c r="M98" i="38"/>
  <c r="M72" i="38"/>
  <c r="AL45" i="38"/>
  <c r="AP275" i="1"/>
  <c r="C275" i="2"/>
  <c r="F275" i="2" s="1"/>
  <c r="I275" i="2" s="1"/>
  <c r="L275" i="2" s="1"/>
  <c r="O275" i="2" s="1"/>
  <c r="R275" i="2" s="1"/>
  <c r="U275" i="2" s="1"/>
  <c r="X275" i="2" s="1"/>
  <c r="AA275" i="2" s="1"/>
  <c r="AD275" i="2" s="1"/>
  <c r="AG275" i="2" s="1"/>
  <c r="AJ275" i="2" s="1"/>
  <c r="N159" i="30"/>
  <c r="I272" i="2"/>
  <c r="I268" i="2"/>
  <c r="I271" i="1"/>
  <c r="I270" i="1"/>
  <c r="L289" i="2"/>
  <c r="L272" i="2"/>
  <c r="L288" i="1"/>
  <c r="L272" i="1"/>
  <c r="L236" i="2"/>
  <c r="L262" i="2" s="1"/>
  <c r="L262" i="1"/>
  <c r="F227" i="1"/>
  <c r="F229" i="1"/>
  <c r="AP186" i="1"/>
  <c r="C133" i="1"/>
  <c r="F132" i="1"/>
  <c r="AP31" i="1"/>
  <c r="L30" i="1"/>
  <c r="L33" i="1" s="1"/>
  <c r="L6" i="1"/>
  <c r="I30" i="1"/>
  <c r="AP30" i="1" s="1"/>
  <c r="I6" i="1"/>
  <c r="F30" i="1"/>
  <c r="F33" i="1" s="1"/>
  <c r="F6" i="1"/>
  <c r="C30" i="1"/>
  <c r="C6" i="1"/>
  <c r="I22" i="1"/>
  <c r="I33" i="1"/>
  <c r="C23" i="1"/>
  <c r="I228" i="1"/>
  <c r="I151" i="1"/>
  <c r="I103" i="1"/>
  <c r="I84" i="1"/>
  <c r="I81" i="1"/>
  <c r="L233" i="1"/>
  <c r="L276" i="1" s="1"/>
  <c r="L27" i="1"/>
  <c r="L109" i="1"/>
  <c r="L157" i="1"/>
  <c r="L200" i="1" s="1"/>
  <c r="L133" i="1"/>
  <c r="L86" i="1"/>
  <c r="L132" i="1"/>
  <c r="L156" i="1"/>
  <c r="L232" i="1"/>
  <c r="L108" i="1"/>
  <c r="L85" i="1"/>
  <c r="L26" i="1"/>
  <c r="L231" i="1"/>
  <c r="L155" i="1"/>
  <c r="L107" i="1"/>
  <c r="L131" i="1"/>
  <c r="L174" i="1" s="1"/>
  <c r="L84" i="1"/>
  <c r="L25" i="1"/>
  <c r="L130" i="1"/>
  <c r="L83" i="1"/>
  <c r="L230" i="1"/>
  <c r="L24" i="1"/>
  <c r="L106" i="1"/>
  <c r="L154" i="1"/>
  <c r="L229" i="1"/>
  <c r="L23" i="1"/>
  <c r="L129" i="1"/>
  <c r="L105" i="1"/>
  <c r="L153" i="1"/>
  <c r="L82" i="1"/>
  <c r="I23" i="1"/>
  <c r="I229" i="1"/>
  <c r="L228" i="1"/>
  <c r="L104" i="1"/>
  <c r="L152" i="1"/>
  <c r="L81" i="1"/>
  <c r="L128" i="1"/>
  <c r="L22" i="1"/>
  <c r="L151" i="1"/>
  <c r="L103" i="1"/>
  <c r="L80" i="1"/>
  <c r="L127" i="1"/>
  <c r="L227" i="1"/>
  <c r="L21" i="1"/>
  <c r="I227" i="1"/>
  <c r="I127" i="1"/>
  <c r="I21" i="1"/>
  <c r="L102" i="1"/>
  <c r="L150" i="1"/>
  <c r="L126" i="1"/>
  <c r="L226" i="1"/>
  <c r="L79" i="1"/>
  <c r="L20" i="1"/>
  <c r="I267" i="3"/>
  <c r="L271" i="3"/>
  <c r="L270" i="3"/>
  <c r="L272" i="3"/>
  <c r="L267" i="3"/>
  <c r="L231" i="3"/>
  <c r="L226" i="3"/>
  <c r="L106" i="3"/>
  <c r="L230" i="3"/>
  <c r="L227" i="3"/>
  <c r="L127" i="3"/>
  <c r="L156" i="3"/>
  <c r="L154" i="3"/>
  <c r="L152" i="3"/>
  <c r="L151" i="3"/>
  <c r="L150" i="3"/>
  <c r="I133" i="3"/>
  <c r="L126" i="3"/>
  <c r="L103" i="3"/>
  <c r="B268" i="4"/>
  <c r="H215" i="38" s="1"/>
  <c r="AE40" i="38" s="1"/>
  <c r="Q268" i="4"/>
  <c r="AF268" i="4"/>
  <c r="AC268" i="4"/>
  <c r="Z268" i="4"/>
  <c r="N268" i="4"/>
  <c r="E268" i="4"/>
  <c r="AI249" i="3"/>
  <c r="AI249" i="4"/>
  <c r="T249" i="3"/>
  <c r="T249" i="4"/>
  <c r="K249" i="3"/>
  <c r="K249" i="4"/>
  <c r="AT256" i="4"/>
  <c r="H129" i="1"/>
  <c r="AO118" i="1"/>
  <c r="B118" i="2"/>
  <c r="B129" i="1"/>
  <c r="K136" i="3"/>
  <c r="AO136" i="3" s="1"/>
  <c r="K31" i="4"/>
  <c r="N30" i="3"/>
  <c r="N33" i="3" s="1"/>
  <c r="N6" i="3"/>
  <c r="K6" i="3"/>
  <c r="K30" i="3"/>
  <c r="AI230" i="3"/>
  <c r="AI83" i="3"/>
  <c r="AI154" i="3"/>
  <c r="AI130" i="3"/>
  <c r="AI106" i="3"/>
  <c r="AF30" i="3"/>
  <c r="AF33" i="3" s="1"/>
  <c r="AF6" i="3"/>
  <c r="AF106" i="3"/>
  <c r="AF230" i="3"/>
  <c r="AF24" i="3"/>
  <c r="AF154" i="3"/>
  <c r="AF130" i="3"/>
  <c r="AF83" i="3"/>
  <c r="AC83" i="3"/>
  <c r="AC230" i="3"/>
  <c r="AC154" i="3"/>
  <c r="AC130" i="3"/>
  <c r="AC106" i="3"/>
  <c r="Z106" i="3"/>
  <c r="Z230" i="3"/>
  <c r="Z83" i="3"/>
  <c r="Z154" i="3"/>
  <c r="Z130" i="3"/>
  <c r="W230" i="3"/>
  <c r="W154" i="3"/>
  <c r="W130" i="3"/>
  <c r="W106" i="3"/>
  <c r="W83" i="3"/>
  <c r="V8" i="38"/>
  <c r="N4" i="33"/>
  <c r="V12" i="38" s="1"/>
  <c r="T6" i="3"/>
  <c r="T24" i="3" s="1"/>
  <c r="T30" i="3"/>
  <c r="T33" i="3" s="1"/>
  <c r="T230" i="3"/>
  <c r="T130" i="3"/>
  <c r="T106" i="3"/>
  <c r="T83" i="3"/>
  <c r="T154" i="3"/>
  <c r="Q106" i="3"/>
  <c r="Q230" i="3"/>
  <c r="Q154" i="3"/>
  <c r="Q130" i="3"/>
  <c r="Q83" i="3"/>
  <c r="P13" i="3"/>
  <c r="N154" i="3"/>
  <c r="N83" i="3"/>
  <c r="N130" i="3"/>
  <c r="N106" i="3"/>
  <c r="N24" i="3"/>
  <c r="N230" i="3"/>
  <c r="N25" i="3"/>
  <c r="N23" i="3"/>
  <c r="N22" i="3"/>
  <c r="N27" i="3"/>
  <c r="N21" i="3"/>
  <c r="N20" i="3"/>
  <c r="N26" i="3"/>
  <c r="K230" i="3"/>
  <c r="AO230" i="3" s="1"/>
  <c r="K106" i="3"/>
  <c r="AO106" i="3" s="1"/>
  <c r="K83" i="3"/>
  <c r="AO83" i="3" s="1"/>
  <c r="K24" i="3"/>
  <c r="K154" i="3"/>
  <c r="AO154" i="3" s="1"/>
  <c r="K130" i="3"/>
  <c r="AO130" i="3" s="1"/>
  <c r="K27" i="3"/>
  <c r="K26" i="3"/>
  <c r="K20" i="3"/>
  <c r="K25" i="3"/>
  <c r="K23" i="3"/>
  <c r="K22" i="3"/>
  <c r="K21" i="3"/>
  <c r="AL46" i="38"/>
  <c r="Z180" i="2"/>
  <c r="AC180" i="2" s="1"/>
  <c r="AF180" i="2" s="1"/>
  <c r="AI180" i="2" s="1"/>
  <c r="B13" i="43"/>
  <c r="B13" i="5"/>
  <c r="K129" i="1"/>
  <c r="B9" i="5"/>
  <c r="E9" i="5" s="1"/>
  <c r="B9" i="43"/>
  <c r="N15" i="28"/>
  <c r="AI230" i="1"/>
  <c r="AI83" i="1"/>
  <c r="AI130" i="1"/>
  <c r="AI106" i="1"/>
  <c r="AI154" i="1"/>
  <c r="AF230" i="1"/>
  <c r="AF130" i="1"/>
  <c r="AF106" i="1"/>
  <c r="AF154" i="1"/>
  <c r="AF83" i="1"/>
  <c r="AC83" i="1"/>
  <c r="AC230" i="1"/>
  <c r="AC106" i="1"/>
  <c r="AC130" i="1"/>
  <c r="AC154" i="1"/>
  <c r="Z230" i="1"/>
  <c r="Z83" i="1"/>
  <c r="Z130" i="1"/>
  <c r="Z154" i="1"/>
  <c r="Z106" i="1"/>
  <c r="W230" i="1"/>
  <c r="W130" i="1"/>
  <c r="W83" i="1"/>
  <c r="W106" i="1"/>
  <c r="W154" i="1"/>
  <c r="T230" i="1"/>
  <c r="T130" i="1"/>
  <c r="T154" i="1"/>
  <c r="T83" i="1"/>
  <c r="T106" i="1"/>
  <c r="Q106" i="1"/>
  <c r="Q83" i="1"/>
  <c r="Q230" i="1"/>
  <c r="Q154" i="1"/>
  <c r="Q130" i="1"/>
  <c r="N83" i="1"/>
  <c r="N130" i="1"/>
  <c r="N230" i="1"/>
  <c r="N106" i="1"/>
  <c r="N154" i="1"/>
  <c r="K154" i="1"/>
  <c r="AO154" i="1" s="1"/>
  <c r="K230" i="1"/>
  <c r="AO230" i="1" s="1"/>
  <c r="K83" i="1"/>
  <c r="AO83" i="1" s="1"/>
  <c r="K130" i="1"/>
  <c r="AO130" i="1" s="1"/>
  <c r="K106" i="1"/>
  <c r="AO106" i="1" s="1"/>
  <c r="W30" i="1"/>
  <c r="W33" i="1" s="1"/>
  <c r="N11" i="34"/>
  <c r="AP311" i="3"/>
  <c r="AP298" i="3"/>
  <c r="AP288" i="3"/>
  <c r="F298" i="2"/>
  <c r="I298" i="2" s="1"/>
  <c r="AO301" i="3"/>
  <c r="R33" i="38"/>
  <c r="P72" i="38"/>
  <c r="P98" i="38"/>
  <c r="M33" i="38"/>
  <c r="S72" i="38"/>
  <c r="S98" i="38"/>
  <c r="R72" i="38"/>
  <c r="R98" i="38"/>
  <c r="N33" i="38"/>
  <c r="T72" i="38"/>
  <c r="T98" i="38"/>
  <c r="P33" i="38"/>
  <c r="N72" i="38"/>
  <c r="N98" i="38"/>
  <c r="AJ3" i="1"/>
  <c r="AJ3" i="3"/>
  <c r="O3" i="1"/>
  <c r="O3" i="3"/>
  <c r="L3" i="3"/>
  <c r="AR3" i="3" s="1"/>
  <c r="L3" i="1"/>
  <c r="AJ33" i="3"/>
  <c r="AD3" i="1"/>
  <c r="AD3" i="3"/>
  <c r="X23" i="3"/>
  <c r="AG84" i="3"/>
  <c r="X4" i="3"/>
  <c r="AD152" i="3"/>
  <c r="X24" i="3"/>
  <c r="AJ24" i="3"/>
  <c r="U26" i="3"/>
  <c r="AG26" i="3"/>
  <c r="AD23" i="3"/>
  <c r="U103" i="3"/>
  <c r="AG103" i="3"/>
  <c r="R132" i="3"/>
  <c r="AD132" i="3"/>
  <c r="R153" i="3"/>
  <c r="AA155" i="3"/>
  <c r="X156" i="3"/>
  <c r="U157" i="3"/>
  <c r="O228" i="3"/>
  <c r="L266" i="3"/>
  <c r="X266" i="3"/>
  <c r="AJ266" i="3"/>
  <c r="U268" i="3"/>
  <c r="AG268" i="3"/>
  <c r="R270" i="3"/>
  <c r="AD270" i="3"/>
  <c r="AG267" i="4"/>
  <c r="U268" i="4"/>
  <c r="AA262" i="3"/>
  <c r="AJ23" i="3"/>
  <c r="P12" i="3"/>
  <c r="AJ25" i="3"/>
  <c r="AG30" i="3"/>
  <c r="AG33" i="3" s="1"/>
  <c r="O79" i="3"/>
  <c r="U104" i="3"/>
  <c r="AG104" i="3"/>
  <c r="X109" i="3"/>
  <c r="AJ109" i="3"/>
  <c r="O128" i="3"/>
  <c r="U131" i="3"/>
  <c r="AG131" i="3"/>
  <c r="R154" i="3"/>
  <c r="AP165" i="3"/>
  <c r="AP194" i="3"/>
  <c r="I236" i="3"/>
  <c r="R262" i="3"/>
  <c r="O272" i="3"/>
  <c r="AP283" i="3"/>
  <c r="AG236" i="4"/>
  <c r="AA262" i="4"/>
  <c r="O265" i="4"/>
  <c r="L266" i="4"/>
  <c r="X266" i="4"/>
  <c r="AD232" i="3"/>
  <c r="X21" i="3"/>
  <c r="U22" i="3"/>
  <c r="AG22" i="3"/>
  <c r="L85" i="3"/>
  <c r="O80" i="3"/>
  <c r="AA80" i="3"/>
  <c r="L81" i="3"/>
  <c r="X81" i="3"/>
  <c r="AJ81" i="3"/>
  <c r="U82" i="3"/>
  <c r="AG82" i="3"/>
  <c r="R84" i="3"/>
  <c r="AD84" i="3"/>
  <c r="O86" i="3"/>
  <c r="AA86" i="3"/>
  <c r="I126" i="3"/>
  <c r="L130" i="3"/>
  <c r="X130" i="3"/>
  <c r="R155" i="3"/>
  <c r="AD155" i="3"/>
  <c r="AA156" i="3"/>
  <c r="X157" i="3"/>
  <c r="AJ157" i="3"/>
  <c r="AD228" i="3"/>
  <c r="O230" i="3"/>
  <c r="AA230" i="3"/>
  <c r="L232" i="3"/>
  <c r="X232" i="3"/>
  <c r="AJ232" i="3"/>
  <c r="O266" i="3"/>
  <c r="AA266" i="3"/>
  <c r="L268" i="3"/>
  <c r="X268" i="3"/>
  <c r="AJ268" i="3"/>
  <c r="U270" i="3"/>
  <c r="AG270" i="3"/>
  <c r="R271" i="3"/>
  <c r="AD271" i="3"/>
  <c r="R232" i="3"/>
  <c r="AJ229" i="3"/>
  <c r="R269" i="4"/>
  <c r="AG3" i="3"/>
  <c r="L128" i="3"/>
  <c r="AG21" i="3"/>
  <c r="X25" i="3"/>
  <c r="R79" i="3"/>
  <c r="AD79" i="3"/>
  <c r="R85" i="3"/>
  <c r="L104" i="3"/>
  <c r="AD128" i="3"/>
  <c r="AA129" i="3"/>
  <c r="U154" i="3"/>
  <c r="AG154" i="3"/>
  <c r="O231" i="3"/>
  <c r="AA267" i="3"/>
  <c r="R272" i="3"/>
  <c r="AD272" i="3"/>
  <c r="L269" i="4"/>
  <c r="X269" i="4"/>
  <c r="AJ269" i="4"/>
  <c r="L270" i="4"/>
  <c r="X270" i="4"/>
  <c r="AG25" i="3"/>
  <c r="X128" i="3"/>
  <c r="AJ27" i="3"/>
  <c r="X26" i="3"/>
  <c r="O81" i="3"/>
  <c r="U84" i="3"/>
  <c r="R86" i="3"/>
  <c r="AD86" i="3"/>
  <c r="I127" i="3"/>
  <c r="O152" i="3"/>
  <c r="AJ154" i="3"/>
  <c r="AP168" i="3"/>
  <c r="R230" i="3"/>
  <c r="AG231" i="3"/>
  <c r="X272" i="3"/>
  <c r="AJ272" i="3"/>
  <c r="L271" i="4"/>
  <c r="X271" i="4"/>
  <c r="U272" i="4"/>
  <c r="G199" i="32"/>
  <c r="AA109" i="3"/>
  <c r="AA133" i="3"/>
  <c r="X229" i="3"/>
  <c r="AD25" i="3"/>
  <c r="AD27" i="3"/>
  <c r="AA33" i="3"/>
  <c r="U85" i="3"/>
  <c r="AG85" i="3"/>
  <c r="R109" i="3"/>
  <c r="AD109" i="3"/>
  <c r="AP118" i="3"/>
  <c r="AP220" i="3"/>
  <c r="AP254" i="3"/>
  <c r="R267" i="3"/>
  <c r="AD267" i="3"/>
  <c r="O269" i="3"/>
  <c r="AA269" i="3"/>
  <c r="I272" i="3"/>
  <c r="U272" i="3"/>
  <c r="AG272" i="3"/>
  <c r="AG262" i="4"/>
  <c r="U265" i="4"/>
  <c r="AG265" i="4"/>
  <c r="H199" i="32"/>
  <c r="R80" i="3"/>
  <c r="AA104" i="3"/>
  <c r="AA228" i="3"/>
  <c r="AA22" i="3"/>
  <c r="U226" i="3"/>
  <c r="U102" i="3"/>
  <c r="U20" i="3"/>
  <c r="U150" i="3"/>
  <c r="AG20" i="3"/>
  <c r="AG226" i="3"/>
  <c r="AG102" i="3"/>
  <c r="AG150" i="3"/>
  <c r="AA23" i="3"/>
  <c r="AA27" i="3"/>
  <c r="AA24" i="3"/>
  <c r="AA20" i="3"/>
  <c r="I130" i="3"/>
  <c r="O232" i="3"/>
  <c r="P15" i="3"/>
  <c r="AD80" i="3"/>
  <c r="L82" i="3"/>
  <c r="AA152" i="3"/>
  <c r="C249" i="4"/>
  <c r="C262" i="4" s="1"/>
  <c r="G220" i="38" s="1"/>
  <c r="C249" i="3"/>
  <c r="AG83" i="3"/>
  <c r="L236" i="3"/>
  <c r="L262" i="3" s="1"/>
  <c r="L236" i="4"/>
  <c r="L262" i="4" s="1"/>
  <c r="AJ20" i="3"/>
  <c r="AJ226" i="3"/>
  <c r="AJ150" i="3"/>
  <c r="AA81" i="3"/>
  <c r="X82" i="3"/>
  <c r="AJ133" i="3"/>
  <c r="R227" i="3"/>
  <c r="U83" i="3"/>
  <c r="O159" i="32"/>
  <c r="X249" i="3"/>
  <c r="X262" i="3" s="1"/>
  <c r="X249" i="4"/>
  <c r="AD26" i="3"/>
  <c r="U79" i="3"/>
  <c r="AG79" i="3"/>
  <c r="L105" i="3"/>
  <c r="AJ105" i="3"/>
  <c r="U106" i="3"/>
  <c r="U130" i="3"/>
  <c r="R3" i="3"/>
  <c r="AA128" i="3"/>
  <c r="L129" i="3"/>
  <c r="AJ129" i="3"/>
  <c r="O154" i="3"/>
  <c r="L155" i="3"/>
  <c r="L233" i="3"/>
  <c r="R127" i="3"/>
  <c r="L228" i="3"/>
  <c r="AP255" i="3"/>
  <c r="AL255" i="3" s="1"/>
  <c r="I268" i="3"/>
  <c r="O236" i="4"/>
  <c r="AP39" i="3"/>
  <c r="AL39" i="3" s="1"/>
  <c r="I154" i="3"/>
  <c r="AG262" i="3"/>
  <c r="AP259" i="3"/>
  <c r="L109" i="3"/>
  <c r="O156" i="3"/>
  <c r="L157" i="3"/>
  <c r="L229" i="3"/>
  <c r="L102" i="3"/>
  <c r="I80" i="3"/>
  <c r="O132" i="3"/>
  <c r="AA132" i="3"/>
  <c r="L153" i="3"/>
  <c r="X153" i="3"/>
  <c r="AJ153" i="3"/>
  <c r="AQ178" i="3"/>
  <c r="C178" i="4"/>
  <c r="AJ236" i="3"/>
  <c r="AJ262" i="3" s="1"/>
  <c r="AJ236" i="4"/>
  <c r="AJ262" i="4" s="1"/>
  <c r="X126" i="3"/>
  <c r="X20" i="3"/>
  <c r="AA26" i="3"/>
  <c r="AJ82" i="3"/>
  <c r="I84" i="3"/>
  <c r="AP41" i="3"/>
  <c r="X79" i="3"/>
  <c r="R131" i="3"/>
  <c r="AD131" i="3"/>
  <c r="AD227" i="3"/>
  <c r="I79" i="3"/>
  <c r="X105" i="3"/>
  <c r="AG106" i="3"/>
  <c r="AG130" i="3"/>
  <c r="AP205" i="3"/>
  <c r="L265" i="3"/>
  <c r="X265" i="3"/>
  <c r="AJ265" i="3"/>
  <c r="AG4" i="3"/>
  <c r="I232" i="3"/>
  <c r="AJ21" i="3"/>
  <c r="AD24" i="3"/>
  <c r="X27" i="3"/>
  <c r="L84" i="3"/>
  <c r="I86" i="3"/>
  <c r="L79" i="3"/>
  <c r="U81" i="3"/>
  <c r="X129" i="3"/>
  <c r="AP143" i="3"/>
  <c r="I156" i="3"/>
  <c r="AP209" i="3"/>
  <c r="X233" i="3"/>
  <c r="AJ233" i="3"/>
  <c r="U230" i="3"/>
  <c r="AA265" i="4"/>
  <c r="O127" i="3"/>
  <c r="O227" i="3"/>
  <c r="O151" i="3"/>
  <c r="R233" i="3"/>
  <c r="R133" i="3"/>
  <c r="O83" i="3"/>
  <c r="R103" i="3"/>
  <c r="AD103" i="3"/>
  <c r="U108" i="3"/>
  <c r="AG108" i="3"/>
  <c r="AJ102" i="3"/>
  <c r="O103" i="3"/>
  <c r="U126" i="3"/>
  <c r="AG126" i="3"/>
  <c r="AD127" i="3"/>
  <c r="U132" i="3"/>
  <c r="AG132" i="3"/>
  <c r="U152" i="3"/>
  <c r="AG152" i="3"/>
  <c r="AD153" i="3"/>
  <c r="AJ4" i="3"/>
  <c r="R226" i="3"/>
  <c r="R150" i="3"/>
  <c r="AD226" i="3"/>
  <c r="AD150" i="3"/>
  <c r="P10" i="3"/>
  <c r="AA21" i="3"/>
  <c r="AJ228" i="3"/>
  <c r="AJ152" i="3"/>
  <c r="AJ128" i="3"/>
  <c r="I129" i="3"/>
  <c r="C231" i="3"/>
  <c r="O107" i="3"/>
  <c r="AG24" i="3"/>
  <c r="L107" i="3"/>
  <c r="X107" i="3"/>
  <c r="AJ107" i="3"/>
  <c r="X102" i="3"/>
  <c r="I105" i="3"/>
  <c r="L131" i="3"/>
  <c r="X131" i="3"/>
  <c r="AJ131" i="3"/>
  <c r="L132" i="3"/>
  <c r="X151" i="3"/>
  <c r="AJ151" i="3"/>
  <c r="X150" i="3"/>
  <c r="C111" i="38"/>
  <c r="C166" i="4"/>
  <c r="X227" i="3"/>
  <c r="AJ227" i="3"/>
  <c r="I20" i="3"/>
  <c r="AP9" i="3"/>
  <c r="U105" i="3"/>
  <c r="U23" i="3"/>
  <c r="AG23" i="3"/>
  <c r="AG129" i="3"/>
  <c r="P14" i="3"/>
  <c r="AA25" i="3"/>
  <c r="AA131" i="3"/>
  <c r="U27" i="3"/>
  <c r="AG27" i="3"/>
  <c r="AJ26" i="3"/>
  <c r="AA79" i="3"/>
  <c r="AD83" i="3"/>
  <c r="O85" i="3"/>
  <c r="AA85" i="3"/>
  <c r="R83" i="3"/>
  <c r="O84" i="3"/>
  <c r="I103" i="3"/>
  <c r="R105" i="3"/>
  <c r="AD105" i="3"/>
  <c r="O106" i="3"/>
  <c r="AA106" i="3"/>
  <c r="L108" i="3"/>
  <c r="AA107" i="3"/>
  <c r="AJ126" i="3"/>
  <c r="O155" i="3"/>
  <c r="O150" i="3"/>
  <c r="AA150" i="3"/>
  <c r="X154" i="3"/>
  <c r="AD156" i="3"/>
  <c r="U232" i="3"/>
  <c r="AG232" i="3"/>
  <c r="X230" i="3"/>
  <c r="O262" i="3"/>
  <c r="F266" i="4"/>
  <c r="I231" i="3"/>
  <c r="L80" i="3"/>
  <c r="X80" i="3"/>
  <c r="AJ80" i="3"/>
  <c r="R82" i="3"/>
  <c r="AD82" i="3"/>
  <c r="O108" i="3"/>
  <c r="AA108" i="3"/>
  <c r="O130" i="3"/>
  <c r="AA130" i="3"/>
  <c r="R151" i="3"/>
  <c r="AD151" i="3"/>
  <c r="I155" i="3"/>
  <c r="AP203" i="3"/>
  <c r="U228" i="3"/>
  <c r="AG228" i="3"/>
  <c r="U262" i="3"/>
  <c r="L269" i="3"/>
  <c r="X269" i="3"/>
  <c r="AJ269" i="3"/>
  <c r="I128" i="3"/>
  <c r="AD22" i="3"/>
  <c r="L86" i="3"/>
  <c r="X86" i="3"/>
  <c r="AJ86" i="3"/>
  <c r="O102" i="3"/>
  <c r="AA102" i="3"/>
  <c r="R107" i="3"/>
  <c r="AD107" i="3"/>
  <c r="U128" i="3"/>
  <c r="AG128" i="3"/>
  <c r="R129" i="3"/>
  <c r="AD129" i="3"/>
  <c r="AQ182" i="3"/>
  <c r="C182" i="4"/>
  <c r="G127" i="38" s="1"/>
  <c r="U127" i="38" s="1"/>
  <c r="AP208" i="3"/>
  <c r="O226" i="3"/>
  <c r="AA226" i="3"/>
  <c r="I229" i="3"/>
  <c r="AP218" i="3"/>
  <c r="R231" i="3"/>
  <c r="AA233" i="3"/>
  <c r="C265" i="3"/>
  <c r="C212" i="38" s="1"/>
  <c r="C270" i="3"/>
  <c r="C217" i="38" s="1"/>
  <c r="I265" i="3"/>
  <c r="O268" i="3"/>
  <c r="AA268" i="3"/>
  <c r="U271" i="3"/>
  <c r="AG271" i="3"/>
  <c r="E3" i="30"/>
  <c r="I106" i="3"/>
  <c r="AP97" i="3"/>
  <c r="AP163" i="3"/>
  <c r="AM163" i="3" s="1"/>
  <c r="AP169" i="3"/>
  <c r="AP178" i="3"/>
  <c r="AL178" i="3" s="1"/>
  <c r="AP191" i="3"/>
  <c r="AD231" i="3"/>
  <c r="I262" i="4"/>
  <c r="AA269" i="4"/>
  <c r="O270" i="4"/>
  <c r="AA270" i="4"/>
  <c r="I199" i="32"/>
  <c r="F3" i="30"/>
  <c r="I85" i="3"/>
  <c r="AP91" i="3"/>
  <c r="AP173" i="3"/>
  <c r="AP192" i="3"/>
  <c r="I230" i="3"/>
  <c r="F270" i="3"/>
  <c r="C42" i="4"/>
  <c r="O271" i="4"/>
  <c r="AA271" i="4"/>
  <c r="N48" i="32"/>
  <c r="N91" i="32"/>
  <c r="R92" i="32" s="1"/>
  <c r="R93" i="32" s="1"/>
  <c r="J199" i="32"/>
  <c r="AP216" i="3"/>
  <c r="AP279" i="3"/>
  <c r="C180" i="4"/>
  <c r="L267" i="4"/>
  <c r="X267" i="4"/>
  <c r="N15" i="32"/>
  <c r="AP122" i="3"/>
  <c r="AP140" i="3"/>
  <c r="AP176" i="3"/>
  <c r="AM176" i="3" s="1"/>
  <c r="AP195" i="3"/>
  <c r="I227" i="3"/>
  <c r="AP219" i="3"/>
  <c r="F268" i="3"/>
  <c r="AP281" i="3"/>
  <c r="AS255" i="4"/>
  <c r="AT255" i="4" s="1"/>
  <c r="R272" i="4"/>
  <c r="L98" i="38"/>
  <c r="L72" i="38"/>
  <c r="L33" i="38"/>
  <c r="N182" i="38"/>
  <c r="AL45" i="3"/>
  <c r="AM51" i="3"/>
  <c r="AM55" i="3"/>
  <c r="AM59" i="3"/>
  <c r="AM63" i="3"/>
  <c r="AM67" i="3"/>
  <c r="AL73" i="3"/>
  <c r="AM121" i="3"/>
  <c r="AM204" i="3"/>
  <c r="AM222" i="3"/>
  <c r="AM11" i="3"/>
  <c r="AL28" i="3"/>
  <c r="AM180" i="3"/>
  <c r="AL47" i="3"/>
  <c r="AL29" i="3"/>
  <c r="AM38" i="3"/>
  <c r="AL46" i="3"/>
  <c r="AM144" i="3"/>
  <c r="AM177" i="3"/>
  <c r="AM190" i="3"/>
  <c r="AM54" i="3"/>
  <c r="AM66" i="3"/>
  <c r="AM98" i="3"/>
  <c r="AM141" i="3"/>
  <c r="AM164" i="3"/>
  <c r="AM170" i="3"/>
  <c r="AM179" i="3"/>
  <c r="AM215" i="3"/>
  <c r="AM257" i="3"/>
  <c r="AM73" i="3"/>
  <c r="AM116" i="3"/>
  <c r="AM178" i="3"/>
  <c r="AM193" i="3"/>
  <c r="AM253" i="3"/>
  <c r="AM115" i="3"/>
  <c r="AM202" i="3"/>
  <c r="AM207" i="3"/>
  <c r="AM252" i="3"/>
  <c r="AM284" i="3"/>
  <c r="AM50" i="3"/>
  <c r="AM58" i="3"/>
  <c r="AM62" i="3"/>
  <c r="AM70" i="3"/>
  <c r="AM120" i="3"/>
  <c r="AM42" i="3"/>
  <c r="AM92" i="3"/>
  <c r="AM94" i="3"/>
  <c r="AM117" i="3"/>
  <c r="AM166" i="3"/>
  <c r="AM181" i="3"/>
  <c r="AM189" i="3"/>
  <c r="AM221" i="3"/>
  <c r="AM285" i="3"/>
  <c r="AM258" i="3"/>
  <c r="AM69" i="3"/>
  <c r="AM75" i="3"/>
  <c r="AM217" i="3"/>
  <c r="AM50" i="1"/>
  <c r="AM54" i="1"/>
  <c r="AM58" i="1"/>
  <c r="AM62" i="1"/>
  <c r="AM66" i="1"/>
  <c r="AM75" i="1"/>
  <c r="AL70" i="1"/>
  <c r="AM196" i="1"/>
  <c r="AM206" i="1"/>
  <c r="AM279" i="1"/>
  <c r="AL297" i="1"/>
  <c r="AM256" i="1"/>
  <c r="AM295" i="1"/>
  <c r="AM306" i="1"/>
  <c r="AL29" i="1"/>
  <c r="AM73" i="1"/>
  <c r="AM139" i="1"/>
  <c r="AM192" i="1"/>
  <c r="AM208" i="1"/>
  <c r="AM252" i="1"/>
  <c r="AM290" i="1"/>
  <c r="AM307" i="1"/>
  <c r="AM36" i="1"/>
  <c r="AM56" i="1"/>
  <c r="AM60" i="1"/>
  <c r="AM64" i="1"/>
  <c r="AL68" i="1"/>
  <c r="AM74" i="1"/>
  <c r="AM281" i="1"/>
  <c r="AM308" i="1"/>
  <c r="AM52" i="1"/>
  <c r="AM190" i="1"/>
  <c r="AM195" i="1"/>
  <c r="AM203" i="1"/>
  <c r="AM294" i="1"/>
  <c r="AM309" i="1"/>
  <c r="C301" i="3"/>
  <c r="C280" i="4"/>
  <c r="F280" i="4" s="1"/>
  <c r="I280" i="4" s="1"/>
  <c r="L280" i="4" s="1"/>
  <c r="O280" i="4" s="1"/>
  <c r="R280" i="4" s="1"/>
  <c r="U280" i="4" s="1"/>
  <c r="AS280" i="4" s="1"/>
  <c r="C272" i="3"/>
  <c r="C219" i="38" s="1"/>
  <c r="F262" i="4"/>
  <c r="F265" i="4"/>
  <c r="F267" i="4"/>
  <c r="F268" i="4"/>
  <c r="F269" i="4"/>
  <c r="F271" i="4"/>
  <c r="I266" i="3"/>
  <c r="C265" i="4"/>
  <c r="G212" i="38" s="1"/>
  <c r="AD10" i="38" s="1"/>
  <c r="C269" i="4"/>
  <c r="G216" i="38" s="1"/>
  <c r="C270" i="4"/>
  <c r="G217" i="38" s="1"/>
  <c r="I272" i="4"/>
  <c r="F266" i="3"/>
  <c r="I267" i="4"/>
  <c r="I268" i="4"/>
  <c r="I269" i="4"/>
  <c r="F272" i="3"/>
  <c r="I271" i="4"/>
  <c r="I265" i="4"/>
  <c r="N146" i="32"/>
  <c r="F263" i="3"/>
  <c r="N135" i="32"/>
  <c r="AP212" i="3"/>
  <c r="AM212" i="3" s="1"/>
  <c r="AP206" i="3"/>
  <c r="AM206" i="3" s="1"/>
  <c r="N124" i="32"/>
  <c r="AP199" i="3"/>
  <c r="AM199" i="3" s="1"/>
  <c r="C179" i="4"/>
  <c r="G124" i="38" s="1"/>
  <c r="U124" i="38" s="1"/>
  <c r="C177" i="4"/>
  <c r="F177" i="4" s="1"/>
  <c r="I177" i="4" s="1"/>
  <c r="L177" i="4" s="1"/>
  <c r="O177" i="4" s="1"/>
  <c r="R177" i="4" s="1"/>
  <c r="U177" i="4" s="1"/>
  <c r="X177" i="4" s="1"/>
  <c r="AA177" i="4" s="1"/>
  <c r="AD177" i="4" s="1"/>
  <c r="AG177" i="4" s="1"/>
  <c r="AJ177" i="4" s="1"/>
  <c r="C181" i="4"/>
  <c r="C183" i="4"/>
  <c r="G128" i="38" s="1"/>
  <c r="U128" i="38" s="1"/>
  <c r="C176" i="4"/>
  <c r="G121" i="38" s="1"/>
  <c r="C114" i="38"/>
  <c r="C160" i="3"/>
  <c r="I157" i="3"/>
  <c r="AP142" i="3"/>
  <c r="AM142" i="3" s="1"/>
  <c r="AP146" i="3"/>
  <c r="AL146" i="3" s="1"/>
  <c r="N70" i="32"/>
  <c r="N59" i="32"/>
  <c r="N37" i="32"/>
  <c r="AP36" i="3"/>
  <c r="AM36" i="3" s="1"/>
  <c r="AP40" i="3"/>
  <c r="F31" i="4"/>
  <c r="I31" i="4" s="1"/>
  <c r="AP31" i="3"/>
  <c r="AM31" i="3" s="1"/>
  <c r="I24" i="3"/>
  <c r="I25" i="3"/>
  <c r="I27" i="3"/>
  <c r="I26" i="3"/>
  <c r="I23" i="3"/>
  <c r="I83" i="3"/>
  <c r="I102" i="3"/>
  <c r="I131" i="3"/>
  <c r="I152" i="3"/>
  <c r="I226" i="3"/>
  <c r="I104" i="3"/>
  <c r="I228" i="3"/>
  <c r="I22" i="3"/>
  <c r="I30" i="3"/>
  <c r="I33" i="3" s="1"/>
  <c r="I82" i="3"/>
  <c r="I109" i="3"/>
  <c r="I151" i="3"/>
  <c r="I233" i="3"/>
  <c r="C4" i="1"/>
  <c r="D199" i="32"/>
  <c r="F154" i="3"/>
  <c r="I132" i="3"/>
  <c r="I153" i="3"/>
  <c r="F151" i="3"/>
  <c r="F4" i="3"/>
  <c r="F228" i="3"/>
  <c r="I21" i="3"/>
  <c r="I81" i="3"/>
  <c r="I108" i="3"/>
  <c r="I150" i="3"/>
  <c r="F85" i="3"/>
  <c r="I107" i="3"/>
  <c r="I307" i="2"/>
  <c r="L307" i="2" s="1"/>
  <c r="O307" i="2" s="1"/>
  <c r="R307" i="2" s="1"/>
  <c r="O12" i="31"/>
  <c r="O16" i="31"/>
  <c r="F304" i="2"/>
  <c r="I304" i="2" s="1"/>
  <c r="L304" i="2" s="1"/>
  <c r="F311" i="2"/>
  <c r="I311" i="2" s="1"/>
  <c r="L311" i="2" s="1"/>
  <c r="N2" i="31"/>
  <c r="F293" i="2"/>
  <c r="I293" i="2" s="1"/>
  <c r="L293" i="2" s="1"/>
  <c r="F294" i="2"/>
  <c r="I294" i="2" s="1"/>
  <c r="L294" i="2" s="1"/>
  <c r="AL294" i="1"/>
  <c r="P3" i="31"/>
  <c r="F291" i="2"/>
  <c r="I291" i="2" s="1"/>
  <c r="L291" i="2" s="1"/>
  <c r="O291" i="2" s="1"/>
  <c r="R291" i="2" s="1"/>
  <c r="U291" i="2" s="1"/>
  <c r="X291" i="2" s="1"/>
  <c r="AA291" i="2" s="1"/>
  <c r="AD291" i="2" s="1"/>
  <c r="AG291" i="2" s="1"/>
  <c r="AJ291" i="2" s="1"/>
  <c r="F287" i="1"/>
  <c r="AP287" i="1" s="1"/>
  <c r="AL287" i="1" s="1"/>
  <c r="F296" i="2"/>
  <c r="I296" i="2" s="1"/>
  <c r="L296" i="2" s="1"/>
  <c r="F292" i="2"/>
  <c r="I292" i="2" s="1"/>
  <c r="I3" i="3"/>
  <c r="I3" i="1"/>
  <c r="F268" i="1"/>
  <c r="I267" i="1"/>
  <c r="I302" i="2"/>
  <c r="I262" i="1"/>
  <c r="C265" i="1"/>
  <c r="C269" i="2"/>
  <c r="C266" i="1"/>
  <c r="AP255" i="1"/>
  <c r="AM255" i="1" s="1"/>
  <c r="AP268" i="1"/>
  <c r="AP265" i="1"/>
  <c r="AP239" i="1"/>
  <c r="AL239" i="1" s="1"/>
  <c r="I272" i="1"/>
  <c r="AP241" i="1"/>
  <c r="F265" i="2"/>
  <c r="AP265" i="2" s="1"/>
  <c r="F271" i="2"/>
  <c r="AP271" i="2" s="1"/>
  <c r="I236" i="2"/>
  <c r="I262" i="2" s="1"/>
  <c r="F267" i="2"/>
  <c r="F269" i="2"/>
  <c r="AP243" i="1"/>
  <c r="I230" i="1"/>
  <c r="F226" i="1"/>
  <c r="N135" i="30"/>
  <c r="AP207" i="1"/>
  <c r="C186" i="1"/>
  <c r="C186" i="2" s="1"/>
  <c r="F186" i="2" s="1"/>
  <c r="I186" i="2" s="1"/>
  <c r="L186" i="2" s="1"/>
  <c r="O186" i="2" s="1"/>
  <c r="R186" i="2" s="1"/>
  <c r="U186" i="2" s="1"/>
  <c r="X186" i="2" s="1"/>
  <c r="AA186" i="2" s="1"/>
  <c r="AD186" i="2" s="1"/>
  <c r="AG186" i="2" s="1"/>
  <c r="AJ186" i="2" s="1"/>
  <c r="AP166" i="1"/>
  <c r="N91" i="30"/>
  <c r="Q91" i="30" s="1"/>
  <c r="C150" i="1"/>
  <c r="I155" i="1"/>
  <c r="AP136" i="1"/>
  <c r="AP144" i="1"/>
  <c r="AM144" i="1" s="1"/>
  <c r="N80" i="30"/>
  <c r="I157" i="1"/>
  <c r="I200" i="1" s="1"/>
  <c r="F157" i="1"/>
  <c r="F200" i="1" s="1"/>
  <c r="I156" i="1"/>
  <c r="I152" i="1"/>
  <c r="C155" i="1"/>
  <c r="F154" i="1"/>
  <c r="N70" i="30"/>
  <c r="F128" i="1"/>
  <c r="N37" i="30"/>
  <c r="AP137" i="1"/>
  <c r="I82" i="1"/>
  <c r="AP32" i="1"/>
  <c r="I79" i="1"/>
  <c r="N26" i="30"/>
  <c r="I4" i="3"/>
  <c r="I4" i="1"/>
  <c r="I85" i="1"/>
  <c r="I106" i="1"/>
  <c r="I130" i="1"/>
  <c r="I154" i="1"/>
  <c r="I226" i="1"/>
  <c r="I86" i="1"/>
  <c r="I102" i="1"/>
  <c r="I105" i="1"/>
  <c r="I126" i="1"/>
  <c r="I129" i="1"/>
  <c r="I150" i="1"/>
  <c r="I153" i="1"/>
  <c r="I80" i="1"/>
  <c r="I83" i="1"/>
  <c r="I104" i="1"/>
  <c r="I128" i="1"/>
  <c r="I233" i="1"/>
  <c r="I276" i="1" s="1"/>
  <c r="I109" i="1"/>
  <c r="I133" i="1"/>
  <c r="I232" i="1"/>
  <c r="I108" i="1"/>
  <c r="I132" i="1"/>
  <c r="I231" i="1"/>
  <c r="I107" i="1"/>
  <c r="I131" i="1"/>
  <c r="I174" i="1" s="1"/>
  <c r="N4" i="30"/>
  <c r="L182" i="38"/>
  <c r="R156" i="38"/>
  <c r="R195" i="38"/>
  <c r="S143" i="38"/>
  <c r="O117" i="38"/>
  <c r="T182" i="38"/>
  <c r="Q117" i="38"/>
  <c r="P169" i="38"/>
  <c r="Q169" i="38"/>
  <c r="L117" i="38"/>
  <c r="T117" i="38"/>
  <c r="Q182" i="38"/>
  <c r="R182" i="38"/>
  <c r="N130" i="38"/>
  <c r="AP18" i="4"/>
  <c r="AO17" i="4"/>
  <c r="H270" i="4"/>
  <c r="T270" i="4"/>
  <c r="AR270" i="4" s="1"/>
  <c r="AR257" i="4"/>
  <c r="AF270" i="4"/>
  <c r="R262" i="4"/>
  <c r="AD262" i="4"/>
  <c r="R265" i="4"/>
  <c r="AD265" i="4"/>
  <c r="O266" i="4"/>
  <c r="AF272" i="4"/>
  <c r="U267" i="4"/>
  <c r="AS254" i="4"/>
  <c r="AT254" i="4" s="1"/>
  <c r="H265" i="4"/>
  <c r="T265" i="4"/>
  <c r="AR265" i="4" s="1"/>
  <c r="AF265" i="4"/>
  <c r="K267" i="4"/>
  <c r="W267" i="4"/>
  <c r="AD268" i="4"/>
  <c r="B269" i="4"/>
  <c r="H216" i="38" s="1"/>
  <c r="AE50" i="38" s="1"/>
  <c r="N269" i="4"/>
  <c r="Z269" i="4"/>
  <c r="AB269" i="4" s="1"/>
  <c r="I270" i="4"/>
  <c r="U270" i="4"/>
  <c r="AG270" i="4"/>
  <c r="E271" i="4"/>
  <c r="Q271" i="4"/>
  <c r="AC271" i="4"/>
  <c r="L272" i="4"/>
  <c r="X272" i="4"/>
  <c r="AJ272" i="4"/>
  <c r="E266" i="4"/>
  <c r="Q266" i="4"/>
  <c r="AC266" i="4"/>
  <c r="AJ267" i="4"/>
  <c r="H268" i="4"/>
  <c r="T268" i="4"/>
  <c r="AR268" i="4" s="1"/>
  <c r="K270" i="4"/>
  <c r="W270" i="4"/>
  <c r="R271" i="4"/>
  <c r="AD271" i="4"/>
  <c r="B272" i="4"/>
  <c r="H219" i="38" s="1"/>
  <c r="N272" i="4"/>
  <c r="Z272" i="4"/>
  <c r="K265" i="4"/>
  <c r="W265" i="4"/>
  <c r="AI265" i="4"/>
  <c r="R266" i="4"/>
  <c r="AD266" i="4"/>
  <c r="B267" i="4"/>
  <c r="H214" i="38" s="1"/>
  <c r="N267" i="4"/>
  <c r="Z267" i="4"/>
  <c r="AG268" i="4"/>
  <c r="Q269" i="4"/>
  <c r="AJ270" i="4"/>
  <c r="H271" i="4"/>
  <c r="T271" i="4"/>
  <c r="AR271" i="4" s="1"/>
  <c r="AT271" i="4" s="1"/>
  <c r="O272" i="4"/>
  <c r="AA272" i="4"/>
  <c r="AS259" i="4"/>
  <c r="AT259" i="4" s="1"/>
  <c r="L265" i="4"/>
  <c r="X265" i="4"/>
  <c r="AJ265" i="4"/>
  <c r="H266" i="4"/>
  <c r="T266" i="4"/>
  <c r="AR266" i="4" s="1"/>
  <c r="AF266" i="4"/>
  <c r="O267" i="4"/>
  <c r="AA267" i="4"/>
  <c r="K268" i="4"/>
  <c r="W268" i="4"/>
  <c r="AI268" i="4"/>
  <c r="AD269" i="4"/>
  <c r="B270" i="4"/>
  <c r="H217" i="38" s="1"/>
  <c r="AE80" i="38" s="1"/>
  <c r="N270" i="4"/>
  <c r="Z270" i="4"/>
  <c r="AG271" i="4"/>
  <c r="Q272" i="4"/>
  <c r="C271" i="4"/>
  <c r="G218" i="38" s="1"/>
  <c r="AD70" i="38" s="1"/>
  <c r="I266" i="4"/>
  <c r="U266" i="4"/>
  <c r="AG266" i="4"/>
  <c r="E267" i="4"/>
  <c r="Q267" i="4"/>
  <c r="AC267" i="4"/>
  <c r="L268" i="4"/>
  <c r="X268" i="4"/>
  <c r="AJ268" i="4"/>
  <c r="H269" i="4"/>
  <c r="T269" i="4"/>
  <c r="AR269" i="4" s="1"/>
  <c r="AF269" i="4"/>
  <c r="K271" i="4"/>
  <c r="W271" i="4"/>
  <c r="AD272" i="4"/>
  <c r="K266" i="4"/>
  <c r="W266" i="4"/>
  <c r="R267" i="4"/>
  <c r="AD267" i="4"/>
  <c r="U269" i="4"/>
  <c r="AG269" i="4"/>
  <c r="E270" i="4"/>
  <c r="Q270" i="4"/>
  <c r="AC270" i="4"/>
  <c r="AJ271" i="4"/>
  <c r="H272" i="4"/>
  <c r="T272" i="4"/>
  <c r="AR272" i="4" s="1"/>
  <c r="Q265" i="4"/>
  <c r="AJ266" i="4"/>
  <c r="H267" i="4"/>
  <c r="T267" i="4"/>
  <c r="AR267" i="4" s="1"/>
  <c r="O268" i="4"/>
  <c r="AA268" i="4"/>
  <c r="K269" i="4"/>
  <c r="W269" i="4"/>
  <c r="AI269" i="4"/>
  <c r="R270" i="4"/>
  <c r="AD270" i="4"/>
  <c r="B271" i="4"/>
  <c r="H218" i="38" s="1"/>
  <c r="AE70" i="38" s="1"/>
  <c r="N271" i="4"/>
  <c r="Z271" i="4"/>
  <c r="AG272" i="4"/>
  <c r="S169" i="38"/>
  <c r="P13" i="38"/>
  <c r="N169" i="38"/>
  <c r="P182" i="38"/>
  <c r="S26" i="38"/>
  <c r="R13" i="38"/>
  <c r="L52" i="38"/>
  <c r="S13" i="38"/>
  <c r="O26" i="38"/>
  <c r="S208" i="38"/>
  <c r="O13" i="38"/>
  <c r="R26" i="38"/>
  <c r="Q52" i="38"/>
  <c r="R95" i="38"/>
  <c r="M97" i="38"/>
  <c r="M99" i="38"/>
  <c r="M100" i="38"/>
  <c r="N101" i="38"/>
  <c r="Q102" i="38"/>
  <c r="S103" i="38"/>
  <c r="I24" i="5"/>
  <c r="S71" i="38"/>
  <c r="O73" i="38"/>
  <c r="P74" i="38"/>
  <c r="S75" i="38"/>
  <c r="L76" i="38"/>
  <c r="T76" i="38"/>
  <c r="N77" i="38"/>
  <c r="AI85" i="38"/>
  <c r="O65" i="38"/>
  <c r="M208" i="38"/>
  <c r="M9" i="5"/>
  <c r="T52" i="38"/>
  <c r="O32" i="38"/>
  <c r="O38" i="38"/>
  <c r="O91" i="38"/>
  <c r="L31" i="38"/>
  <c r="T31" i="38"/>
  <c r="Q34" i="38"/>
  <c r="L35" i="38"/>
  <c r="T35" i="38"/>
  <c r="M36" i="38"/>
  <c r="N37" i="38"/>
  <c r="L70" i="38"/>
  <c r="T70" i="38"/>
  <c r="L96" i="38"/>
  <c r="T96" i="38"/>
  <c r="Q13" i="38"/>
  <c r="P26" i="38"/>
  <c r="M31" i="38"/>
  <c r="P32" i="38"/>
  <c r="R34" i="38"/>
  <c r="M35" i="38"/>
  <c r="N36" i="38"/>
  <c r="O37" i="38"/>
  <c r="P38" i="38"/>
  <c r="M52" i="38"/>
  <c r="P69" i="38"/>
  <c r="M70" i="38"/>
  <c r="L71" i="38"/>
  <c r="T71" i="38"/>
  <c r="P73" i="38"/>
  <c r="Q74" i="38"/>
  <c r="L75" i="38"/>
  <c r="T75" i="38"/>
  <c r="M76" i="38"/>
  <c r="O77" i="38"/>
  <c r="AJ85" i="38"/>
  <c r="S95" i="38"/>
  <c r="M96" i="38"/>
  <c r="N97" i="38"/>
  <c r="N99" i="38"/>
  <c r="N100" i="38"/>
  <c r="O101" i="38"/>
  <c r="R102" i="38"/>
  <c r="L103" i="38"/>
  <c r="T103" i="38"/>
  <c r="P117" i="38"/>
  <c r="O130" i="38"/>
  <c r="L143" i="38"/>
  <c r="T143" i="38"/>
  <c r="S156" i="38"/>
  <c r="R169" i="38"/>
  <c r="S195" i="38"/>
  <c r="L208" i="38"/>
  <c r="T208" i="38"/>
  <c r="Q26" i="38"/>
  <c r="N31" i="38"/>
  <c r="Q32" i="38"/>
  <c r="S34" i="38"/>
  <c r="N35" i="38"/>
  <c r="O36" i="38"/>
  <c r="P37" i="38"/>
  <c r="Q38" i="38"/>
  <c r="N52" i="38"/>
  <c r="Q69" i="38"/>
  <c r="N70" i="38"/>
  <c r="M71" i="38"/>
  <c r="Q73" i="38"/>
  <c r="R74" i="38"/>
  <c r="M75" i="38"/>
  <c r="N76" i="38"/>
  <c r="P77" i="38"/>
  <c r="AI84" i="38"/>
  <c r="AI87" i="38"/>
  <c r="L95" i="38"/>
  <c r="T95" i="38"/>
  <c r="N96" i="38"/>
  <c r="O97" i="38"/>
  <c r="O99" i="38"/>
  <c r="O100" i="38"/>
  <c r="P101" i="38"/>
  <c r="S102" i="38"/>
  <c r="M103" i="38"/>
  <c r="P130" i="38"/>
  <c r="M143" i="38"/>
  <c r="L156" i="38"/>
  <c r="T156" i="38"/>
  <c r="S182" i="38"/>
  <c r="L195" i="38"/>
  <c r="T195" i="38"/>
  <c r="C6" i="5"/>
  <c r="O31" i="38"/>
  <c r="R32" i="38"/>
  <c r="L34" i="38"/>
  <c r="T34" i="38"/>
  <c r="O35" i="38"/>
  <c r="P36" i="38"/>
  <c r="Q37" i="38"/>
  <c r="R38" i="38"/>
  <c r="O52" i="38"/>
  <c r="R69" i="38"/>
  <c r="O70" i="38"/>
  <c r="N71" i="38"/>
  <c r="R73" i="38"/>
  <c r="S74" i="38"/>
  <c r="N75" i="38"/>
  <c r="O76" i="38"/>
  <c r="Q77" i="38"/>
  <c r="AJ87" i="38"/>
  <c r="M95" i="38"/>
  <c r="O96" i="38"/>
  <c r="P97" i="38"/>
  <c r="P99" i="38"/>
  <c r="P100" i="38"/>
  <c r="Q101" i="38"/>
  <c r="L102" i="38"/>
  <c r="T102" i="38"/>
  <c r="N103" i="38"/>
  <c r="R117" i="38"/>
  <c r="Q130" i="38"/>
  <c r="N143" i="38"/>
  <c r="M156" i="38"/>
  <c r="L169" i="38"/>
  <c r="T169" i="38"/>
  <c r="M195" i="38"/>
  <c r="N208" i="38"/>
  <c r="L13" i="38"/>
  <c r="T13" i="38"/>
  <c r="AP6" i="38"/>
  <c r="P31" i="38"/>
  <c r="S32" i="38"/>
  <c r="M34" i="38"/>
  <c r="P35" i="38"/>
  <c r="Q36" i="38"/>
  <c r="R37" i="38"/>
  <c r="S38" i="38"/>
  <c r="P52" i="38"/>
  <c r="S69" i="38"/>
  <c r="P70" i="38"/>
  <c r="O71" i="38"/>
  <c r="S73" i="38"/>
  <c r="L74" i="38"/>
  <c r="T74" i="38"/>
  <c r="O75" i="38"/>
  <c r="P76" i="38"/>
  <c r="R77" i="38"/>
  <c r="N95" i="38"/>
  <c r="P96" i="38"/>
  <c r="Q97" i="38"/>
  <c r="Q99" i="38"/>
  <c r="Q100" i="38"/>
  <c r="R101" i="38"/>
  <c r="M102" i="38"/>
  <c r="O103" i="38"/>
  <c r="S117" i="38"/>
  <c r="R130" i="38"/>
  <c r="O143" i="38"/>
  <c r="N156" i="38"/>
  <c r="M169" i="38"/>
  <c r="M182" i="38"/>
  <c r="N195" i="38"/>
  <c r="O208" i="38"/>
  <c r="M13" i="38"/>
  <c r="L26" i="38"/>
  <c r="T26" i="38"/>
  <c r="Q31" i="38"/>
  <c r="L32" i="38"/>
  <c r="T32" i="38"/>
  <c r="N34" i="38"/>
  <c r="Q35" i="38"/>
  <c r="R36" i="38"/>
  <c r="S37" i="38"/>
  <c r="L38" i="38"/>
  <c r="T38" i="38"/>
  <c r="L69" i="38"/>
  <c r="T69" i="38"/>
  <c r="Q70" i="38"/>
  <c r="P71" i="38"/>
  <c r="L73" i="38"/>
  <c r="T73" i="38"/>
  <c r="M74" i="38"/>
  <c r="P75" i="38"/>
  <c r="Q76" i="38"/>
  <c r="S77" i="38"/>
  <c r="AI86" i="38"/>
  <c r="Q96" i="38"/>
  <c r="R97" i="38"/>
  <c r="R99" i="38"/>
  <c r="R100" i="38"/>
  <c r="S101" i="38"/>
  <c r="N102" i="38"/>
  <c r="P103" i="38"/>
  <c r="S130" i="38"/>
  <c r="P143" i="38"/>
  <c r="O156" i="38"/>
  <c r="O195" i="38"/>
  <c r="P208" i="38"/>
  <c r="C10" i="5"/>
  <c r="N13" i="38"/>
  <c r="M26" i="38"/>
  <c r="R31" i="38"/>
  <c r="M32" i="38"/>
  <c r="O34" i="38"/>
  <c r="R35" i="38"/>
  <c r="S36" i="38"/>
  <c r="L37" i="38"/>
  <c r="T37" i="38"/>
  <c r="M38" i="38"/>
  <c r="R52" i="38"/>
  <c r="M69" i="38"/>
  <c r="R70" i="38"/>
  <c r="Q71" i="38"/>
  <c r="M73" i="38"/>
  <c r="N74" i="38"/>
  <c r="Q75" i="38"/>
  <c r="R76" i="38"/>
  <c r="L77" i="38"/>
  <c r="T77" i="38"/>
  <c r="AJ86" i="38"/>
  <c r="P95" i="38"/>
  <c r="R96" i="38"/>
  <c r="S97" i="38"/>
  <c r="S99" i="38"/>
  <c r="S100" i="38"/>
  <c r="L101" i="38"/>
  <c r="T101" i="38"/>
  <c r="O102" i="38"/>
  <c r="Q103" i="38"/>
  <c r="M117" i="38"/>
  <c r="L130" i="38"/>
  <c r="T130" i="38"/>
  <c r="Q143" i="38"/>
  <c r="P156" i="38"/>
  <c r="O169" i="38"/>
  <c r="O182" i="38"/>
  <c r="P195" i="38"/>
  <c r="Q208" i="38"/>
  <c r="C14" i="5"/>
  <c r="N26" i="38"/>
  <c r="S31" i="38"/>
  <c r="N32" i="38"/>
  <c r="P34" i="38"/>
  <c r="S35" i="38"/>
  <c r="L36" i="38"/>
  <c r="T36" i="38"/>
  <c r="M37" i="38"/>
  <c r="N38" i="38"/>
  <c r="S52" i="38"/>
  <c r="N69" i="38"/>
  <c r="S70" i="38"/>
  <c r="R71" i="38"/>
  <c r="N73" i="38"/>
  <c r="O74" i="38"/>
  <c r="R75" i="38"/>
  <c r="S76" i="38"/>
  <c r="M77" i="38"/>
  <c r="Q95" i="38"/>
  <c r="S96" i="38"/>
  <c r="L97" i="38"/>
  <c r="T97" i="38"/>
  <c r="L99" i="38"/>
  <c r="T99" i="38"/>
  <c r="L100" i="38"/>
  <c r="T100" i="38"/>
  <c r="M101" i="38"/>
  <c r="P102" i="38"/>
  <c r="R103" i="38"/>
  <c r="N117" i="38"/>
  <c r="M130" i="38"/>
  <c r="R143" i="38"/>
  <c r="Q156" i="38"/>
  <c r="Q195" i="38"/>
  <c r="R208" i="38"/>
  <c r="C18" i="5"/>
  <c r="P65" i="38"/>
  <c r="O69" i="38"/>
  <c r="AJ84" i="38"/>
  <c r="P91" i="38"/>
  <c r="O95" i="38"/>
  <c r="I10" i="5"/>
  <c r="C20" i="5"/>
  <c r="Q65" i="38"/>
  <c r="Q91" i="38"/>
  <c r="I6" i="5"/>
  <c r="R65" i="38"/>
  <c r="R91" i="38"/>
  <c r="I20" i="5"/>
  <c r="S65" i="38"/>
  <c r="S91" i="38"/>
  <c r="L65" i="38"/>
  <c r="T65" i="38"/>
  <c r="L91" i="38"/>
  <c r="T91" i="38"/>
  <c r="M8" i="5"/>
  <c r="I14" i="5"/>
  <c r="C24" i="5"/>
  <c r="M65" i="38"/>
  <c r="M91" i="38"/>
  <c r="N65" i="38"/>
  <c r="N91" i="38"/>
  <c r="N16" i="5"/>
  <c r="N301" i="2"/>
  <c r="Q301" i="2" s="1"/>
  <c r="T301" i="2" s="1"/>
  <c r="W301" i="2" s="1"/>
  <c r="Z301" i="2" s="1"/>
  <c r="AC301" i="2" s="1"/>
  <c r="AF301" i="2" s="1"/>
  <c r="AI301" i="2" s="1"/>
  <c r="AL300" i="1"/>
  <c r="AM305" i="1"/>
  <c r="D23" i="29"/>
  <c r="B293" i="2"/>
  <c r="E293" i="2" s="1"/>
  <c r="H293" i="2" s="1"/>
  <c r="K293" i="2" s="1"/>
  <c r="N293" i="2" s="1"/>
  <c r="Q293" i="2" s="1"/>
  <c r="T293" i="2" s="1"/>
  <c r="W293" i="2" s="1"/>
  <c r="Z293" i="2" s="1"/>
  <c r="AC293" i="2" s="1"/>
  <c r="AF293" i="2" s="1"/>
  <c r="AI293" i="2" s="1"/>
  <c r="AK27" i="38" s="1"/>
  <c r="AL27" i="38" s="1"/>
  <c r="E305" i="4"/>
  <c r="H305" i="4" s="1"/>
  <c r="K305" i="4" s="1"/>
  <c r="N305" i="4" s="1"/>
  <c r="Q305" i="4" s="1"/>
  <c r="H200" i="38"/>
  <c r="AM308" i="3"/>
  <c r="E205" i="38"/>
  <c r="B304" i="4"/>
  <c r="B308" i="4"/>
  <c r="D203" i="38"/>
  <c r="E206" i="38"/>
  <c r="AM310" i="3"/>
  <c r="B310" i="4"/>
  <c r="B307" i="4"/>
  <c r="D200" i="38"/>
  <c r="E200" i="38"/>
  <c r="E202" i="38"/>
  <c r="B309" i="4"/>
  <c r="AL305" i="3"/>
  <c r="AM307" i="3"/>
  <c r="B311" i="4"/>
  <c r="H178" i="38"/>
  <c r="AE78" i="38" s="1"/>
  <c r="E296" i="4"/>
  <c r="H296" i="4" s="1"/>
  <c r="K296" i="4" s="1"/>
  <c r="N296" i="4" s="1"/>
  <c r="D178" i="38"/>
  <c r="AA78" i="38" s="1"/>
  <c r="AA88" i="38" s="1"/>
  <c r="B298" i="4"/>
  <c r="B295" i="4"/>
  <c r="AM297" i="3"/>
  <c r="B297" i="4"/>
  <c r="B294" i="4"/>
  <c r="B291" i="4"/>
  <c r="H173" i="38" s="1"/>
  <c r="AE8" i="38" s="1"/>
  <c r="AM291" i="3"/>
  <c r="B293" i="4"/>
  <c r="AL292" i="3"/>
  <c r="B292" i="4"/>
  <c r="B20" i="35"/>
  <c r="N2" i="35"/>
  <c r="F301" i="2"/>
  <c r="I301" i="2" s="1"/>
  <c r="L301" i="2" s="1"/>
  <c r="O301" i="2" s="1"/>
  <c r="R301" i="2" s="1"/>
  <c r="U301" i="2" s="1"/>
  <c r="X301" i="2" s="1"/>
  <c r="AA301" i="2" s="1"/>
  <c r="AD301" i="2" s="1"/>
  <c r="AG301" i="2" s="1"/>
  <c r="AJ301" i="2" s="1"/>
  <c r="O14" i="31"/>
  <c r="C318" i="1"/>
  <c r="O19" i="31"/>
  <c r="F305" i="2"/>
  <c r="I305" i="2" s="1"/>
  <c r="L305" i="2" s="1"/>
  <c r="O305" i="2" s="1"/>
  <c r="R305" i="2" s="1"/>
  <c r="U305" i="2" s="1"/>
  <c r="X305" i="2" s="1"/>
  <c r="AA305" i="2" s="1"/>
  <c r="AD305" i="2" s="1"/>
  <c r="AG305" i="2" s="1"/>
  <c r="AJ305" i="2" s="1"/>
  <c r="F306" i="2"/>
  <c r="I306" i="2" s="1"/>
  <c r="L306" i="2" s="1"/>
  <c r="O306" i="2" s="1"/>
  <c r="R306" i="2" s="1"/>
  <c r="U306" i="2" s="1"/>
  <c r="X306" i="2" s="1"/>
  <c r="AA306" i="2" s="1"/>
  <c r="AD306" i="2" s="1"/>
  <c r="AG306" i="2" s="1"/>
  <c r="AJ306" i="2" s="1"/>
  <c r="C314" i="1"/>
  <c r="F309" i="2"/>
  <c r="I309" i="2" s="1"/>
  <c r="L309" i="2" s="1"/>
  <c r="O309" i="2" s="1"/>
  <c r="R309" i="2" s="1"/>
  <c r="U309" i="2" s="1"/>
  <c r="X309" i="2" s="1"/>
  <c r="AA309" i="2" s="1"/>
  <c r="AD309" i="2" s="1"/>
  <c r="AG309" i="2" s="1"/>
  <c r="AJ309" i="2" s="1"/>
  <c r="N11" i="31"/>
  <c r="F310" i="2"/>
  <c r="I310" i="2" s="1"/>
  <c r="L310" i="2" s="1"/>
  <c r="AM300" i="1"/>
  <c r="F308" i="2"/>
  <c r="I308" i="2" s="1"/>
  <c r="C320" i="1"/>
  <c r="C316" i="1"/>
  <c r="AM292" i="1"/>
  <c r="AL292" i="1"/>
  <c r="AM293" i="1"/>
  <c r="AL293" i="1"/>
  <c r="AM291" i="1"/>
  <c r="AL291" i="1"/>
  <c r="P5" i="31"/>
  <c r="O13" i="31"/>
  <c r="F297" i="2"/>
  <c r="I297" i="2" s="1"/>
  <c r="L297" i="2" s="1"/>
  <c r="AL290" i="1"/>
  <c r="O15" i="31"/>
  <c r="AM297" i="1"/>
  <c r="G204" i="38"/>
  <c r="F309" i="4"/>
  <c r="F304" i="4"/>
  <c r="G199" i="38"/>
  <c r="AM304" i="3"/>
  <c r="AL304" i="3"/>
  <c r="C305" i="4"/>
  <c r="E201" i="38"/>
  <c r="C307" i="4"/>
  <c r="C204" i="38"/>
  <c r="E204" i="38" s="1"/>
  <c r="C310" i="4"/>
  <c r="C306" i="4"/>
  <c r="C199" i="38"/>
  <c r="E199" i="38" s="1"/>
  <c r="C308" i="4"/>
  <c r="C311" i="4"/>
  <c r="AP309" i="3"/>
  <c r="AM309" i="3" s="1"/>
  <c r="AM306" i="3"/>
  <c r="C203" i="38"/>
  <c r="E203" i="38" s="1"/>
  <c r="N2" i="34"/>
  <c r="AL294" i="3"/>
  <c r="AM294" i="3"/>
  <c r="F291" i="4"/>
  <c r="G173" i="38"/>
  <c r="G174" i="38"/>
  <c r="F292" i="4"/>
  <c r="Z68" i="38"/>
  <c r="AB68" i="38" s="1"/>
  <c r="E179" i="38"/>
  <c r="G178" i="38"/>
  <c r="F296" i="4"/>
  <c r="F298" i="4"/>
  <c r="G180" i="38"/>
  <c r="F294" i="4"/>
  <c r="G176" i="38"/>
  <c r="F295" i="4"/>
  <c r="G177" i="38"/>
  <c r="AB28" i="38"/>
  <c r="C177" i="38"/>
  <c r="C293" i="4"/>
  <c r="C297" i="4"/>
  <c r="C173" i="38"/>
  <c r="C180" i="38"/>
  <c r="C288" i="4"/>
  <c r="C178" i="38"/>
  <c r="AL291" i="3"/>
  <c r="C174" i="38"/>
  <c r="AL297" i="3"/>
  <c r="C176" i="38"/>
  <c r="AM292" i="3"/>
  <c r="AM305" i="3"/>
  <c r="AL308" i="3"/>
  <c r="AL310" i="3"/>
  <c r="AM37" i="3"/>
  <c r="AM93" i="3"/>
  <c r="AL50" i="3"/>
  <c r="AL52" i="3"/>
  <c r="AL54" i="3"/>
  <c r="AL56" i="3"/>
  <c r="AL58" i="3"/>
  <c r="AL60" i="3"/>
  <c r="AL62" i="3"/>
  <c r="AL64" i="3"/>
  <c r="AL66" i="3"/>
  <c r="AL68" i="3"/>
  <c r="AL70" i="3"/>
  <c r="AL74" i="3"/>
  <c r="AM145" i="3"/>
  <c r="AM280" i="3"/>
  <c r="AL307" i="3"/>
  <c r="AM43" i="3"/>
  <c r="AM95" i="3"/>
  <c r="AL51" i="3"/>
  <c r="AL53" i="3"/>
  <c r="AL55" i="3"/>
  <c r="AL57" i="3"/>
  <c r="AL59" i="3"/>
  <c r="AL61" i="3"/>
  <c r="AL63" i="3"/>
  <c r="AL65" i="3"/>
  <c r="AL67" i="3"/>
  <c r="AM278" i="3"/>
  <c r="AL285" i="3"/>
  <c r="Z59" i="38"/>
  <c r="G187" i="38"/>
  <c r="F279" i="4"/>
  <c r="I279" i="4" s="1"/>
  <c r="Z79" i="38"/>
  <c r="Z39" i="38"/>
  <c r="Z69" i="38"/>
  <c r="F278" i="4"/>
  <c r="I278" i="4" s="1"/>
  <c r="L278" i="4" s="1"/>
  <c r="O278" i="4" s="1"/>
  <c r="R278" i="4" s="1"/>
  <c r="U278" i="4" s="1"/>
  <c r="G186" i="38"/>
  <c r="C282" i="4"/>
  <c r="AP275" i="3"/>
  <c r="C285" i="4"/>
  <c r="C186" i="38"/>
  <c r="Z9" i="38" s="1"/>
  <c r="C190" i="38"/>
  <c r="C283" i="4"/>
  <c r="C187" i="38"/>
  <c r="AL278" i="3"/>
  <c r="AL280" i="3"/>
  <c r="AL282" i="3"/>
  <c r="AL284" i="3"/>
  <c r="C281" i="4"/>
  <c r="C284" i="4"/>
  <c r="N185" i="32"/>
  <c r="N172" i="32"/>
  <c r="AL253" i="3"/>
  <c r="AL257" i="3"/>
  <c r="F269" i="3"/>
  <c r="F267" i="3"/>
  <c r="N159" i="32"/>
  <c r="AL252" i="3"/>
  <c r="AL258" i="3"/>
  <c r="C268" i="4"/>
  <c r="G215" i="38" s="1"/>
  <c r="F265" i="3"/>
  <c r="F271" i="3"/>
  <c r="C266" i="3"/>
  <c r="F270" i="4"/>
  <c r="C216" i="38"/>
  <c r="C214" i="38"/>
  <c r="C218" i="38"/>
  <c r="C215" i="38"/>
  <c r="AD20" i="38"/>
  <c r="AD30" i="38"/>
  <c r="AD60" i="38"/>
  <c r="C213" i="38"/>
  <c r="AP243" i="3"/>
  <c r="AP245" i="3"/>
  <c r="G160" i="38"/>
  <c r="F215" i="4"/>
  <c r="I215" i="4" s="1"/>
  <c r="L215" i="4" s="1"/>
  <c r="O215" i="4" s="1"/>
  <c r="R215" i="4" s="1"/>
  <c r="U215" i="4" s="1"/>
  <c r="X215" i="4" s="1"/>
  <c r="AA215" i="4" s="1"/>
  <c r="AD215" i="4" s="1"/>
  <c r="F222" i="4"/>
  <c r="I222" i="4" s="1"/>
  <c r="G167" i="38"/>
  <c r="F216" i="4"/>
  <c r="I216" i="4" s="1"/>
  <c r="G161" i="38"/>
  <c r="G162" i="38"/>
  <c r="F217" i="4"/>
  <c r="I217" i="4" s="1"/>
  <c r="L217" i="4" s="1"/>
  <c r="O217" i="4" s="1"/>
  <c r="R217" i="4" s="1"/>
  <c r="U217" i="4" s="1"/>
  <c r="X217" i="4" s="1"/>
  <c r="AA217" i="4" s="1"/>
  <c r="AD217" i="4" s="1"/>
  <c r="G166" i="38"/>
  <c r="F221" i="4"/>
  <c r="I221" i="4" s="1"/>
  <c r="L221" i="4" s="1"/>
  <c r="O221" i="4" s="1"/>
  <c r="R221" i="4" s="1"/>
  <c r="U221" i="4" s="1"/>
  <c r="X221" i="4" s="1"/>
  <c r="AA221" i="4" s="1"/>
  <c r="AD221" i="4" s="1"/>
  <c r="AL215" i="3"/>
  <c r="AL217" i="3"/>
  <c r="AL221" i="3"/>
  <c r="C263" i="3"/>
  <c r="C161" i="38"/>
  <c r="C167" i="38"/>
  <c r="C212" i="4"/>
  <c r="C218" i="4"/>
  <c r="C220" i="4"/>
  <c r="F233" i="3"/>
  <c r="C162" i="38"/>
  <c r="C168" i="38"/>
  <c r="AL222" i="3"/>
  <c r="C160" i="38"/>
  <c r="C166" i="38"/>
  <c r="C219" i="4"/>
  <c r="G149" i="38"/>
  <c r="F204" i="4"/>
  <c r="I204" i="4" s="1"/>
  <c r="L204" i="4" s="1"/>
  <c r="O204" i="4" s="1"/>
  <c r="R204" i="4" s="1"/>
  <c r="U204" i="4" s="1"/>
  <c r="X204" i="4" s="1"/>
  <c r="AA204" i="4" s="1"/>
  <c r="AD204" i="4" s="1"/>
  <c r="AG204" i="4" s="1"/>
  <c r="AJ204" i="4" s="1"/>
  <c r="E22" i="52" s="1"/>
  <c r="F203" i="4"/>
  <c r="I203" i="4" s="1"/>
  <c r="L203" i="4" s="1"/>
  <c r="O203" i="4" s="1"/>
  <c r="G148" i="38"/>
  <c r="F207" i="4"/>
  <c r="I207" i="4" s="1"/>
  <c r="L207" i="4" s="1"/>
  <c r="O207" i="4" s="1"/>
  <c r="R207" i="4" s="1"/>
  <c r="U207" i="4" s="1"/>
  <c r="X207" i="4" s="1"/>
  <c r="AA207" i="4" s="1"/>
  <c r="AD207" i="4" s="1"/>
  <c r="AG207" i="4" s="1"/>
  <c r="AJ207" i="4" s="1"/>
  <c r="E25" i="52" s="1"/>
  <c r="G152" i="38"/>
  <c r="AL202" i="3"/>
  <c r="AL204" i="3"/>
  <c r="C148" i="38"/>
  <c r="C152" i="38"/>
  <c r="C155" i="38"/>
  <c r="C149" i="38"/>
  <c r="AL207" i="3"/>
  <c r="C199" i="4"/>
  <c r="C202" i="4"/>
  <c r="C205" i="4"/>
  <c r="C206" i="4"/>
  <c r="C208" i="4"/>
  <c r="C209" i="4"/>
  <c r="G142" i="38"/>
  <c r="F186" i="4"/>
  <c r="I186" i="4" s="1"/>
  <c r="Z37" i="38"/>
  <c r="F196" i="4"/>
  <c r="I196" i="4" s="1"/>
  <c r="L196" i="4" s="1"/>
  <c r="O196" i="4" s="1"/>
  <c r="R196" i="4" s="1"/>
  <c r="U196" i="4" s="1"/>
  <c r="X196" i="4" s="1"/>
  <c r="AA196" i="4" s="1"/>
  <c r="AD196" i="4" s="1"/>
  <c r="AG196" i="4" s="1"/>
  <c r="AJ196" i="4" s="1"/>
  <c r="G141" i="38"/>
  <c r="G134" i="38"/>
  <c r="F189" i="4"/>
  <c r="I189" i="4" s="1"/>
  <c r="Z47" i="38"/>
  <c r="Z17" i="38"/>
  <c r="F194" i="4"/>
  <c r="I194" i="4" s="1"/>
  <c r="L194" i="4" s="1"/>
  <c r="O194" i="4" s="1"/>
  <c r="R194" i="4" s="1"/>
  <c r="U194" i="4" s="1"/>
  <c r="X194" i="4" s="1"/>
  <c r="AA194" i="4" s="1"/>
  <c r="AD194" i="4" s="1"/>
  <c r="AG194" i="4" s="1"/>
  <c r="AJ194" i="4" s="1"/>
  <c r="G139" i="38"/>
  <c r="F191" i="4"/>
  <c r="I191" i="4" s="1"/>
  <c r="L191" i="4" s="1"/>
  <c r="O191" i="4" s="1"/>
  <c r="R191" i="4" s="1"/>
  <c r="U191" i="4" s="1"/>
  <c r="X191" i="4" s="1"/>
  <c r="AA191" i="4" s="1"/>
  <c r="AD191" i="4" s="1"/>
  <c r="AG191" i="4" s="1"/>
  <c r="AJ191" i="4" s="1"/>
  <c r="G136" i="38"/>
  <c r="Z67" i="38"/>
  <c r="C141" i="38"/>
  <c r="N113" i="32"/>
  <c r="C136" i="38"/>
  <c r="AL190" i="3"/>
  <c r="AL196" i="3"/>
  <c r="C139" i="38"/>
  <c r="AP186" i="3"/>
  <c r="C134" i="38"/>
  <c r="C142" i="38"/>
  <c r="C190" i="4"/>
  <c r="C192" i="4"/>
  <c r="C193" i="4"/>
  <c r="C195" i="4"/>
  <c r="AL189" i="3"/>
  <c r="AL193" i="3"/>
  <c r="AL180" i="3"/>
  <c r="C123" i="38"/>
  <c r="C128" i="38"/>
  <c r="F173" i="4"/>
  <c r="I173" i="4" s="1"/>
  <c r="L173" i="4" s="1"/>
  <c r="O173" i="4" s="1"/>
  <c r="R173" i="4" s="1"/>
  <c r="U173" i="4" s="1"/>
  <c r="X173" i="4" s="1"/>
  <c r="AA173" i="4" s="1"/>
  <c r="AD173" i="4" s="1"/>
  <c r="AG173" i="4" s="1"/>
  <c r="AJ173" i="4" s="1"/>
  <c r="C121" i="38"/>
  <c r="N102" i="32"/>
  <c r="C124" i="38"/>
  <c r="AL177" i="3"/>
  <c r="AL179" i="3"/>
  <c r="AL181" i="3"/>
  <c r="AL183" i="3"/>
  <c r="C122" i="38"/>
  <c r="C125" i="38"/>
  <c r="C126" i="38"/>
  <c r="C127" i="38"/>
  <c r="G110" i="38"/>
  <c r="F165" i="4"/>
  <c r="I165" i="4" s="1"/>
  <c r="F169" i="4"/>
  <c r="I169" i="4" s="1"/>
  <c r="G114" i="38"/>
  <c r="G115" i="38"/>
  <c r="F170" i="4"/>
  <c r="I170" i="4" s="1"/>
  <c r="G109" i="38"/>
  <c r="F164" i="4"/>
  <c r="I164" i="4" s="1"/>
  <c r="AL164" i="3"/>
  <c r="AL166" i="3"/>
  <c r="AL170" i="3"/>
  <c r="C167" i="4"/>
  <c r="C109" i="38"/>
  <c r="AP160" i="3"/>
  <c r="C168" i="4"/>
  <c r="C112" i="38"/>
  <c r="C115" i="38"/>
  <c r="C110" i="38"/>
  <c r="C163" i="4"/>
  <c r="Z15" i="38"/>
  <c r="Z75" i="38"/>
  <c r="F141" i="4"/>
  <c r="I141" i="4" s="1"/>
  <c r="L141" i="4" s="1"/>
  <c r="O141" i="4" s="1"/>
  <c r="R141" i="4" s="1"/>
  <c r="U141" i="4" s="1"/>
  <c r="X141" i="4" s="1"/>
  <c r="G84" i="38"/>
  <c r="Z65" i="38"/>
  <c r="G85" i="38"/>
  <c r="F142" i="4"/>
  <c r="I142" i="4" s="1"/>
  <c r="L142" i="4" s="1"/>
  <c r="O142" i="4" s="1"/>
  <c r="R142" i="4" s="1"/>
  <c r="U142" i="4" s="1"/>
  <c r="X142" i="4" s="1"/>
  <c r="G89" i="38"/>
  <c r="F146" i="4"/>
  <c r="I146" i="4" s="1"/>
  <c r="L146" i="4" s="1"/>
  <c r="O146" i="4" s="1"/>
  <c r="R146" i="4" s="1"/>
  <c r="U146" i="4" s="1"/>
  <c r="X146" i="4" s="1"/>
  <c r="Z5" i="38"/>
  <c r="C140" i="4"/>
  <c r="C84" i="38"/>
  <c r="C97" i="38" s="1"/>
  <c r="N80" i="32"/>
  <c r="AL144" i="3"/>
  <c r="C145" i="4"/>
  <c r="C85" i="38"/>
  <c r="C98" i="38" s="1"/>
  <c r="AP136" i="3"/>
  <c r="C139" i="4"/>
  <c r="C144" i="4"/>
  <c r="AL139" i="3"/>
  <c r="AL141" i="3"/>
  <c r="AL145" i="3"/>
  <c r="C89" i="38"/>
  <c r="C86" i="38"/>
  <c r="C143" i="4"/>
  <c r="G62" i="38"/>
  <c r="F121" i="4"/>
  <c r="F118" i="4"/>
  <c r="G59" i="38"/>
  <c r="F116" i="4"/>
  <c r="I116" i="4" s="1"/>
  <c r="L116" i="4" s="1"/>
  <c r="O116" i="4" s="1"/>
  <c r="R116" i="4" s="1"/>
  <c r="U116" i="4" s="1"/>
  <c r="X116" i="4" s="1"/>
  <c r="G57" i="38"/>
  <c r="AL116" i="3"/>
  <c r="AL120" i="3"/>
  <c r="C112" i="4"/>
  <c r="C119" i="4"/>
  <c r="C62" i="38"/>
  <c r="AP112" i="3"/>
  <c r="C122" i="4"/>
  <c r="C117" i="4"/>
  <c r="C120" i="4"/>
  <c r="C59" i="38"/>
  <c r="AL115" i="3"/>
  <c r="AL117" i="3"/>
  <c r="AL121" i="3"/>
  <c r="C115" i="4"/>
  <c r="C60" i="38"/>
  <c r="C57" i="38"/>
  <c r="F88" i="4"/>
  <c r="G51" i="38"/>
  <c r="G50" i="38"/>
  <c r="F98" i="4"/>
  <c r="G47" i="38"/>
  <c r="F95" i="4"/>
  <c r="F96" i="4"/>
  <c r="G48" i="38"/>
  <c r="C92" i="4"/>
  <c r="C48" i="38"/>
  <c r="AL92" i="3"/>
  <c r="AL94" i="3"/>
  <c r="AL96" i="3"/>
  <c r="AL98" i="3"/>
  <c r="C97" i="4"/>
  <c r="C94" i="4"/>
  <c r="C50" i="38"/>
  <c r="C91" i="4"/>
  <c r="C47" i="38"/>
  <c r="C51" i="38"/>
  <c r="AL93" i="3"/>
  <c r="AL95" i="3"/>
  <c r="C93" i="4"/>
  <c r="G18" i="38"/>
  <c r="F37" i="4"/>
  <c r="F38" i="4"/>
  <c r="G19" i="38"/>
  <c r="G24" i="38"/>
  <c r="F43" i="4"/>
  <c r="C39" i="4"/>
  <c r="C18" i="38"/>
  <c r="C24" i="38"/>
  <c r="AL37" i="3"/>
  <c r="AL43" i="3"/>
  <c r="C36" i="4"/>
  <c r="C19" i="38"/>
  <c r="F82" i="3"/>
  <c r="C41" i="4"/>
  <c r="C32" i="3"/>
  <c r="C21" i="38"/>
  <c r="AL38" i="3"/>
  <c r="AL42" i="3"/>
  <c r="C40" i="4"/>
  <c r="N26" i="32"/>
  <c r="D31" i="4"/>
  <c r="F80" i="3"/>
  <c r="C86" i="3"/>
  <c r="C107" i="3"/>
  <c r="F109" i="3"/>
  <c r="C131" i="3"/>
  <c r="F133" i="3"/>
  <c r="C155" i="3"/>
  <c r="F157" i="3"/>
  <c r="C229" i="3"/>
  <c r="F231" i="3"/>
  <c r="C9" i="4"/>
  <c r="C11" i="4"/>
  <c r="Z14" i="38"/>
  <c r="C96" i="38"/>
  <c r="C8" i="38"/>
  <c r="C13" i="4"/>
  <c r="AP15" i="3"/>
  <c r="C81" i="3"/>
  <c r="F83" i="3"/>
  <c r="C102" i="3"/>
  <c r="F104" i="3"/>
  <c r="C126" i="3"/>
  <c r="F128" i="3"/>
  <c r="C150" i="3"/>
  <c r="F152" i="3"/>
  <c r="F226" i="3"/>
  <c r="C232" i="3"/>
  <c r="C84" i="3"/>
  <c r="F86" i="3"/>
  <c r="C105" i="3"/>
  <c r="F107" i="3"/>
  <c r="C129" i="3"/>
  <c r="F131" i="3"/>
  <c r="C153" i="3"/>
  <c r="F155" i="3"/>
  <c r="C227" i="3"/>
  <c r="F229" i="3"/>
  <c r="Z34" i="38"/>
  <c r="C33" i="38"/>
  <c r="AP14" i="3"/>
  <c r="C11" i="38"/>
  <c r="C16" i="4"/>
  <c r="C79" i="3"/>
  <c r="F81" i="3"/>
  <c r="F102" i="3"/>
  <c r="C108" i="3"/>
  <c r="F126" i="3"/>
  <c r="C132" i="3"/>
  <c r="F150" i="3"/>
  <c r="C230" i="3"/>
  <c r="F232" i="3"/>
  <c r="C233" i="3"/>
  <c r="C69" i="38"/>
  <c r="C95" i="38"/>
  <c r="Z4" i="38"/>
  <c r="AP10" i="3"/>
  <c r="C82" i="3"/>
  <c r="F84" i="3"/>
  <c r="C103" i="3"/>
  <c r="F105" i="3"/>
  <c r="C127" i="3"/>
  <c r="F129" i="3"/>
  <c r="C151" i="3"/>
  <c r="F153" i="3"/>
  <c r="F227" i="3"/>
  <c r="C12" i="4"/>
  <c r="AP6" i="3"/>
  <c r="AP13" i="3"/>
  <c r="C10" i="38"/>
  <c r="C15" i="4"/>
  <c r="F79" i="3"/>
  <c r="C85" i="3"/>
  <c r="C106" i="3"/>
  <c r="F108" i="3"/>
  <c r="C130" i="3"/>
  <c r="F132" i="3"/>
  <c r="C154" i="3"/>
  <c r="F156" i="3"/>
  <c r="C228" i="3"/>
  <c r="F230" i="3"/>
  <c r="C10" i="4"/>
  <c r="C71" i="38"/>
  <c r="Z24" i="38"/>
  <c r="AL11" i="3"/>
  <c r="C80" i="3"/>
  <c r="F103" i="3"/>
  <c r="C109" i="3"/>
  <c r="F127" i="3"/>
  <c r="C133" i="3"/>
  <c r="C157" i="3"/>
  <c r="AP12" i="3"/>
  <c r="C9" i="38"/>
  <c r="C14" i="4"/>
  <c r="AP16" i="3"/>
  <c r="C83" i="3"/>
  <c r="C104" i="3"/>
  <c r="F106" i="3"/>
  <c r="C128" i="3"/>
  <c r="F130" i="3"/>
  <c r="C152" i="3"/>
  <c r="C226" i="3"/>
  <c r="N4" i="32"/>
  <c r="AP44" i="4"/>
  <c r="AP46" i="4"/>
  <c r="AP48" i="4"/>
  <c r="AO53" i="4"/>
  <c r="AO49" i="4"/>
  <c r="AO51" i="4"/>
  <c r="AP49" i="4"/>
  <c r="AP302" i="4"/>
  <c r="AP289" i="4"/>
  <c r="AO302" i="4"/>
  <c r="AP276" i="4"/>
  <c r="AO276" i="4"/>
  <c r="AP255" i="4"/>
  <c r="AO254" i="4"/>
  <c r="AP174" i="4"/>
  <c r="AP99" i="4"/>
  <c r="AP256" i="4"/>
  <c r="AO255" i="4"/>
  <c r="AP246" i="4"/>
  <c r="AP244" i="4"/>
  <c r="AP242" i="4"/>
  <c r="AP240" i="4"/>
  <c r="AP237" i="4"/>
  <c r="AO174" i="4"/>
  <c r="AO99" i="4"/>
  <c r="AP75" i="4"/>
  <c r="AP73" i="4"/>
  <c r="AP69" i="4"/>
  <c r="AP67" i="4"/>
  <c r="AP65" i="4"/>
  <c r="AP63" i="4"/>
  <c r="AP61" i="4"/>
  <c r="AP59" i="4"/>
  <c r="AP57" i="4"/>
  <c r="AP55" i="4"/>
  <c r="AP53" i="4"/>
  <c r="AP257" i="4"/>
  <c r="AO256" i="4"/>
  <c r="AO246" i="4"/>
  <c r="AO244" i="4"/>
  <c r="AO242" i="4"/>
  <c r="AO240" i="4"/>
  <c r="AO237" i="4"/>
  <c r="AP213" i="4"/>
  <c r="AP187" i="4"/>
  <c r="AP123" i="4"/>
  <c r="AO75" i="4"/>
  <c r="AO73" i="4"/>
  <c r="AO69" i="4"/>
  <c r="AO67" i="4"/>
  <c r="AO65" i="4"/>
  <c r="AO63" i="4"/>
  <c r="AO61" i="4"/>
  <c r="AO59" i="4"/>
  <c r="AO57" i="4"/>
  <c r="AO55" i="4"/>
  <c r="AP258" i="4"/>
  <c r="AO257" i="4"/>
  <c r="AP250" i="4"/>
  <c r="AO213" i="4"/>
  <c r="AO187" i="4"/>
  <c r="AO123" i="4"/>
  <c r="AP259" i="4"/>
  <c r="AO258" i="4"/>
  <c r="AO250" i="4"/>
  <c r="AP200" i="4"/>
  <c r="AP147" i="4"/>
  <c r="AO87" i="4"/>
  <c r="AO259" i="4"/>
  <c r="AP252" i="4"/>
  <c r="AP245" i="4"/>
  <c r="AP243" i="4"/>
  <c r="AP241" i="4"/>
  <c r="AP239" i="4"/>
  <c r="AO200" i="4"/>
  <c r="AO147" i="4"/>
  <c r="AP74" i="4"/>
  <c r="AP70" i="4"/>
  <c r="AP68" i="4"/>
  <c r="AP66" i="4"/>
  <c r="AP64" i="4"/>
  <c r="AP62" i="4"/>
  <c r="AP60" i="4"/>
  <c r="AP58" i="4"/>
  <c r="AP56" i="4"/>
  <c r="AP54" i="4"/>
  <c r="AP253" i="4"/>
  <c r="AO252" i="4"/>
  <c r="AO245" i="4"/>
  <c r="AO243" i="4"/>
  <c r="AO241" i="4"/>
  <c r="AO239" i="4"/>
  <c r="AP161" i="4"/>
  <c r="AO74" i="4"/>
  <c r="AO70" i="4"/>
  <c r="AO68" i="4"/>
  <c r="AO66" i="4"/>
  <c r="AO64" i="4"/>
  <c r="AO62" i="4"/>
  <c r="AO60" i="4"/>
  <c r="AO58" i="4"/>
  <c r="AO56" i="4"/>
  <c r="AO54" i="4"/>
  <c r="AO52" i="4"/>
  <c r="AO263" i="4"/>
  <c r="AP254" i="4"/>
  <c r="AO253" i="4"/>
  <c r="AO161" i="4"/>
  <c r="AO4" i="4"/>
  <c r="AO28" i="4"/>
  <c r="AO45" i="4"/>
  <c r="AO47" i="4"/>
  <c r="AP28" i="4"/>
  <c r="AL28" i="4" s="1"/>
  <c r="AP45" i="4"/>
  <c r="AP47" i="4"/>
  <c r="AO50" i="4"/>
  <c r="AP52" i="4"/>
  <c r="AO29" i="4"/>
  <c r="AP50" i="4"/>
  <c r="AO3" i="4"/>
  <c r="AO18" i="4"/>
  <c r="AP29" i="4"/>
  <c r="AL29" i="4" s="1"/>
  <c r="AO44" i="4"/>
  <c r="AO46" i="4"/>
  <c r="AO48" i="4"/>
  <c r="AO17" i="2"/>
  <c r="AO29" i="2"/>
  <c r="AO37" i="2"/>
  <c r="AP44" i="2"/>
  <c r="AP46" i="2"/>
  <c r="AP48" i="2"/>
  <c r="AO96" i="2"/>
  <c r="AO116" i="2"/>
  <c r="AP123" i="2"/>
  <c r="AO136" i="2"/>
  <c r="AO141" i="2"/>
  <c r="AO166" i="2"/>
  <c r="AO181" i="2"/>
  <c r="AO187" i="2"/>
  <c r="AO196" i="2"/>
  <c r="AO203" i="2"/>
  <c r="AO218" i="2"/>
  <c r="AO239" i="2"/>
  <c r="AP254" i="2"/>
  <c r="AP257" i="2"/>
  <c r="AO304" i="2"/>
  <c r="AO306" i="2"/>
  <c r="AO310" i="2"/>
  <c r="AL51" i="1"/>
  <c r="AL53" i="1"/>
  <c r="AL55" i="1"/>
  <c r="AL57" i="1"/>
  <c r="AL59" i="1"/>
  <c r="AL61" i="1"/>
  <c r="AL63" i="1"/>
  <c r="AL65" i="1"/>
  <c r="AL67" i="1"/>
  <c r="AL69" i="1"/>
  <c r="AL73" i="1"/>
  <c r="AL75" i="1"/>
  <c r="AM143" i="1"/>
  <c r="AP17" i="2"/>
  <c r="AP29" i="2"/>
  <c r="AL29" i="2" s="1"/>
  <c r="AO42" i="2"/>
  <c r="AO49" i="2"/>
  <c r="AO51" i="2"/>
  <c r="AO53" i="2"/>
  <c r="AO55" i="2"/>
  <c r="AO57" i="2"/>
  <c r="AO59" i="2"/>
  <c r="AO61" i="2"/>
  <c r="AO63" i="2"/>
  <c r="AO65" i="2"/>
  <c r="AO67" i="2"/>
  <c r="AO69" i="2"/>
  <c r="AO73" i="2"/>
  <c r="AO75" i="2"/>
  <c r="AO89" i="2"/>
  <c r="AO93" i="2"/>
  <c r="AO121" i="2"/>
  <c r="AO137" i="2"/>
  <c r="AO146" i="2"/>
  <c r="AO163" i="2"/>
  <c r="AO178" i="2"/>
  <c r="AO193" i="2"/>
  <c r="AO208" i="2"/>
  <c r="AO215" i="2"/>
  <c r="AO240" i="2"/>
  <c r="AP249" i="2"/>
  <c r="AO250" i="2"/>
  <c r="AO258" i="2"/>
  <c r="AO268" i="2"/>
  <c r="AO297" i="2"/>
  <c r="AO301" i="2"/>
  <c r="AM283" i="1"/>
  <c r="AL295" i="1"/>
  <c r="AL303" i="1"/>
  <c r="AL305" i="1"/>
  <c r="AL307" i="1"/>
  <c r="AL309" i="1"/>
  <c r="AO18" i="2"/>
  <c r="AO39" i="2"/>
  <c r="AP49" i="2"/>
  <c r="AP51" i="2"/>
  <c r="AP53" i="2"/>
  <c r="AP55" i="2"/>
  <c r="AP57" i="2"/>
  <c r="AP59" i="2"/>
  <c r="AP61" i="2"/>
  <c r="AP63" i="2"/>
  <c r="AP65" i="2"/>
  <c r="AP67" i="2"/>
  <c r="AP69" i="2"/>
  <c r="AP73" i="2"/>
  <c r="AP75" i="2"/>
  <c r="AO87" i="2"/>
  <c r="AP89" i="2"/>
  <c r="AO98" i="2"/>
  <c r="AO143" i="2"/>
  <c r="AO147" i="2"/>
  <c r="AO168" i="2"/>
  <c r="AO174" i="2"/>
  <c r="AO183" i="2"/>
  <c r="AO190" i="2"/>
  <c r="AO205" i="2"/>
  <c r="AO220" i="2"/>
  <c r="AO241" i="2"/>
  <c r="AO252" i="2"/>
  <c r="AO255" i="2"/>
  <c r="AP258" i="2"/>
  <c r="AO267" i="2"/>
  <c r="AO283" i="2"/>
  <c r="AO292" i="2"/>
  <c r="AO294" i="2"/>
  <c r="AO296" i="2"/>
  <c r="AM193" i="1"/>
  <c r="AM253" i="1"/>
  <c r="AP18" i="2"/>
  <c r="AO36" i="2"/>
  <c r="AO45" i="2"/>
  <c r="AO47" i="2"/>
  <c r="AP87" i="2"/>
  <c r="AO95" i="2"/>
  <c r="AO99" i="2"/>
  <c r="AO115" i="2"/>
  <c r="AO140" i="2"/>
  <c r="AP147" i="2"/>
  <c r="AO160" i="2"/>
  <c r="AO165" i="2"/>
  <c r="AO180" i="2"/>
  <c r="AO195" i="2"/>
  <c r="AO202" i="2"/>
  <c r="AO217" i="2"/>
  <c r="AO242" i="2"/>
  <c r="AP252" i="2"/>
  <c r="AP255" i="2"/>
  <c r="AO266" i="2"/>
  <c r="AO275" i="2"/>
  <c r="AO280" i="2"/>
  <c r="AO289" i="2"/>
  <c r="AO4" i="2"/>
  <c r="AO41" i="2"/>
  <c r="AP45" i="2"/>
  <c r="AP47" i="2"/>
  <c r="AO92" i="2"/>
  <c r="AP99" i="2"/>
  <c r="AO112" i="2"/>
  <c r="AO120" i="2"/>
  <c r="AO145" i="2"/>
  <c r="AO161" i="2"/>
  <c r="AO170" i="2"/>
  <c r="AO177" i="2"/>
  <c r="AO192" i="2"/>
  <c r="AO207" i="2"/>
  <c r="AO222" i="2"/>
  <c r="AO243" i="2"/>
  <c r="AO256" i="2"/>
  <c r="AO259" i="2"/>
  <c r="AO265" i="2"/>
  <c r="AO276" i="2"/>
  <c r="AO285" i="2"/>
  <c r="AO305" i="2"/>
  <c r="AO307" i="2"/>
  <c r="AO309" i="2"/>
  <c r="AO311" i="2"/>
  <c r="AM12" i="1"/>
  <c r="AL50" i="1"/>
  <c r="AL52" i="1"/>
  <c r="AL54" i="1"/>
  <c r="AL56" i="1"/>
  <c r="AL58" i="1"/>
  <c r="AL60" i="1"/>
  <c r="AL62" i="1"/>
  <c r="AL64" i="1"/>
  <c r="AL66" i="1"/>
  <c r="AM141" i="1"/>
  <c r="AM205" i="1"/>
  <c r="AM254" i="1"/>
  <c r="AM285" i="1"/>
  <c r="AO28" i="2"/>
  <c r="AO38" i="2"/>
  <c r="AO50" i="2"/>
  <c r="AO52" i="2"/>
  <c r="AO54" i="2"/>
  <c r="AO56" i="2"/>
  <c r="AO58" i="2"/>
  <c r="AO60" i="2"/>
  <c r="AO62" i="2"/>
  <c r="AO64" i="2"/>
  <c r="AO66" i="2"/>
  <c r="AO68" i="2"/>
  <c r="AO70" i="2"/>
  <c r="AO74" i="2"/>
  <c r="AO97" i="2"/>
  <c r="AO113" i="2"/>
  <c r="AO142" i="2"/>
  <c r="AO167" i="2"/>
  <c r="AO182" i="2"/>
  <c r="AO189" i="2"/>
  <c r="AO204" i="2"/>
  <c r="AO244" i="2"/>
  <c r="AO253" i="2"/>
  <c r="AP256" i="2"/>
  <c r="AP259" i="2"/>
  <c r="AO263" i="2"/>
  <c r="AO272" i="2"/>
  <c r="AO282" i="2"/>
  <c r="AO298" i="2"/>
  <c r="AO302" i="2"/>
  <c r="AL296" i="1"/>
  <c r="AL304" i="1"/>
  <c r="AL306" i="1"/>
  <c r="AL308" i="1"/>
  <c r="AL310" i="1"/>
  <c r="AP28" i="2"/>
  <c r="AL28" i="2" s="1"/>
  <c r="AO43" i="2"/>
  <c r="AP50" i="2"/>
  <c r="AP52" i="2"/>
  <c r="AP54" i="2"/>
  <c r="AP56" i="2"/>
  <c r="AP58" i="2"/>
  <c r="AP60" i="2"/>
  <c r="AP62" i="2"/>
  <c r="AP64" i="2"/>
  <c r="AP66" i="2"/>
  <c r="AP68" i="2"/>
  <c r="AP70" i="2"/>
  <c r="AP74" i="2"/>
  <c r="AO94" i="2"/>
  <c r="AP113" i="2"/>
  <c r="AO122" i="2"/>
  <c r="AO139" i="2"/>
  <c r="AO164" i="2"/>
  <c r="AO179" i="2"/>
  <c r="AO194" i="2"/>
  <c r="AO200" i="2"/>
  <c r="AO209" i="2"/>
  <c r="AO216" i="2"/>
  <c r="AP270" i="2"/>
  <c r="AO245" i="2"/>
  <c r="AP253" i="2"/>
  <c r="AO271" i="2"/>
  <c r="AO291" i="2"/>
  <c r="AO293" i="2"/>
  <c r="AO295" i="2"/>
  <c r="AO3" i="2"/>
  <c r="AO40" i="2"/>
  <c r="AO44" i="2"/>
  <c r="AO46" i="2"/>
  <c r="AO48" i="2"/>
  <c r="AO91" i="2"/>
  <c r="AO119" i="2"/>
  <c r="AO123" i="2"/>
  <c r="AO144" i="2"/>
  <c r="AO169" i="2"/>
  <c r="AO176" i="2"/>
  <c r="AO191" i="2"/>
  <c r="AO206" i="2"/>
  <c r="AO221" i="2"/>
  <c r="AO237" i="2"/>
  <c r="AO246" i="2"/>
  <c r="AO254" i="2"/>
  <c r="AO257" i="2"/>
  <c r="AO270" i="2"/>
  <c r="AO284" i="2"/>
  <c r="AO288" i="2"/>
  <c r="F282" i="2"/>
  <c r="I282" i="2" s="1"/>
  <c r="L282" i="2" s="1"/>
  <c r="O282" i="2" s="1"/>
  <c r="R282" i="2" s="1"/>
  <c r="U282" i="2" s="1"/>
  <c r="X282" i="2" s="1"/>
  <c r="AA282" i="2" s="1"/>
  <c r="AD282" i="2" s="1"/>
  <c r="AG282" i="2" s="1"/>
  <c r="AJ282" i="2" s="1"/>
  <c r="F278" i="2"/>
  <c r="I278" i="2" s="1"/>
  <c r="F280" i="2"/>
  <c r="I280" i="2" s="1"/>
  <c r="C315" i="1"/>
  <c r="C279" i="2"/>
  <c r="C281" i="2"/>
  <c r="C283" i="2"/>
  <c r="C285" i="2"/>
  <c r="AP278" i="1"/>
  <c r="AP280" i="1"/>
  <c r="AP282" i="1"/>
  <c r="AP284" i="1"/>
  <c r="AL279" i="1"/>
  <c r="AL281" i="1"/>
  <c r="AL283" i="1"/>
  <c r="AL285" i="1"/>
  <c r="C313" i="1"/>
  <c r="C317" i="1"/>
  <c r="C284" i="2"/>
  <c r="F3" i="3"/>
  <c r="F3" i="1"/>
  <c r="AM257" i="1"/>
  <c r="AL257" i="1"/>
  <c r="AM258" i="1"/>
  <c r="AL258" i="1"/>
  <c r="C3" i="3"/>
  <c r="C3" i="1"/>
  <c r="AP259" i="1"/>
  <c r="AL252" i="1"/>
  <c r="AL254" i="1"/>
  <c r="AL256" i="1"/>
  <c r="AL249" i="1"/>
  <c r="F268" i="2"/>
  <c r="AL253" i="1"/>
  <c r="C262" i="2"/>
  <c r="AP240" i="1"/>
  <c r="AP242" i="1"/>
  <c r="AP244" i="1"/>
  <c r="AP246" i="1"/>
  <c r="C271" i="1"/>
  <c r="F236" i="2"/>
  <c r="F262" i="2" s="1"/>
  <c r="C262" i="1"/>
  <c r="AP240" i="2"/>
  <c r="AP242" i="2"/>
  <c r="AP244" i="2"/>
  <c r="AP246" i="2"/>
  <c r="C272" i="2"/>
  <c r="C288" i="1"/>
  <c r="F288" i="1"/>
  <c r="F272" i="2"/>
  <c r="AP236" i="1"/>
  <c r="AP239" i="2"/>
  <c r="AP241" i="2"/>
  <c r="AP243" i="2"/>
  <c r="AP245" i="2"/>
  <c r="C212" i="1"/>
  <c r="C212" i="2" s="1"/>
  <c r="AP215" i="1"/>
  <c r="AL215" i="1" s="1"/>
  <c r="AP219" i="1"/>
  <c r="AL219" i="1" s="1"/>
  <c r="AP216" i="1"/>
  <c r="AM216" i="1" s="1"/>
  <c r="AP220" i="1"/>
  <c r="AM220" i="1" s="1"/>
  <c r="AP212" i="1"/>
  <c r="AP217" i="1"/>
  <c r="AL217" i="1" s="1"/>
  <c r="AP221" i="1"/>
  <c r="AL221" i="1" s="1"/>
  <c r="AP218" i="1"/>
  <c r="AM218" i="1" s="1"/>
  <c r="AP222" i="1"/>
  <c r="AM222" i="1" s="1"/>
  <c r="F215" i="2"/>
  <c r="I215" i="2" s="1"/>
  <c r="L215" i="2" s="1"/>
  <c r="O215" i="2" s="1"/>
  <c r="R215" i="2" s="1"/>
  <c r="U215" i="2" s="1"/>
  <c r="X215" i="2" s="1"/>
  <c r="AA215" i="2" s="1"/>
  <c r="AD215" i="2" s="1"/>
  <c r="AG215" i="2" s="1"/>
  <c r="AJ215" i="2" s="1"/>
  <c r="F219" i="2"/>
  <c r="I219" i="2" s="1"/>
  <c r="L219" i="2" s="1"/>
  <c r="O219" i="2" s="1"/>
  <c r="R219" i="2" s="1"/>
  <c r="U219" i="2" s="1"/>
  <c r="X219" i="2" s="1"/>
  <c r="AA219" i="2" s="1"/>
  <c r="AD219" i="2" s="1"/>
  <c r="AG219" i="2" s="1"/>
  <c r="AJ219" i="2" s="1"/>
  <c r="F216" i="2"/>
  <c r="I216" i="2" s="1"/>
  <c r="L216" i="2" s="1"/>
  <c r="O216" i="2" s="1"/>
  <c r="R216" i="2" s="1"/>
  <c r="U216" i="2" s="1"/>
  <c r="X216" i="2" s="1"/>
  <c r="AA216" i="2" s="1"/>
  <c r="AD216" i="2" s="1"/>
  <c r="AG216" i="2" s="1"/>
  <c r="AJ216" i="2" s="1"/>
  <c r="F212" i="2"/>
  <c r="I212" i="2" s="1"/>
  <c r="L212" i="2" s="1"/>
  <c r="O212" i="2" s="1"/>
  <c r="R212" i="2" s="1"/>
  <c r="U212" i="2" s="1"/>
  <c r="X212" i="2" s="1"/>
  <c r="AA212" i="2" s="1"/>
  <c r="AD212" i="2" s="1"/>
  <c r="AG212" i="2" s="1"/>
  <c r="AJ212" i="2" s="1"/>
  <c r="D212" i="2"/>
  <c r="F217" i="2"/>
  <c r="I217" i="2" s="1"/>
  <c r="F221" i="2"/>
  <c r="I221" i="2" s="1"/>
  <c r="F218" i="2"/>
  <c r="I218" i="2" s="1"/>
  <c r="L218" i="2" s="1"/>
  <c r="O218" i="2" s="1"/>
  <c r="R218" i="2" s="1"/>
  <c r="F222" i="2"/>
  <c r="I222" i="2" s="1"/>
  <c r="L222" i="2" s="1"/>
  <c r="O222" i="2" s="1"/>
  <c r="R222" i="2" s="1"/>
  <c r="U222" i="2" s="1"/>
  <c r="X222" i="2" s="1"/>
  <c r="AA222" i="2" s="1"/>
  <c r="AD222" i="2" s="1"/>
  <c r="AG222" i="2" s="1"/>
  <c r="AJ222" i="2" s="1"/>
  <c r="C220" i="2"/>
  <c r="F202" i="2"/>
  <c r="I202" i="2" s="1"/>
  <c r="F206" i="2"/>
  <c r="I206" i="2" s="1"/>
  <c r="F203" i="2"/>
  <c r="I203" i="2" s="1"/>
  <c r="L203" i="2" s="1"/>
  <c r="O203" i="2" s="1"/>
  <c r="R203" i="2" s="1"/>
  <c r="U203" i="2" s="1"/>
  <c r="X203" i="2" s="1"/>
  <c r="AA203" i="2" s="1"/>
  <c r="AD203" i="2" s="1"/>
  <c r="AG203" i="2" s="1"/>
  <c r="AJ203" i="2" s="1"/>
  <c r="C250" i="2"/>
  <c r="F207" i="2"/>
  <c r="F199" i="2"/>
  <c r="I199" i="2" s="1"/>
  <c r="L199" i="2" s="1"/>
  <c r="O199" i="2" s="1"/>
  <c r="R199" i="2" s="1"/>
  <c r="U199" i="2" s="1"/>
  <c r="X199" i="2" s="1"/>
  <c r="AA199" i="2" s="1"/>
  <c r="AD199" i="2" s="1"/>
  <c r="AG199" i="2" s="1"/>
  <c r="AJ199" i="2" s="1"/>
  <c r="AP199" i="2"/>
  <c r="F204" i="2"/>
  <c r="I204" i="2" s="1"/>
  <c r="L204" i="2" s="1"/>
  <c r="O204" i="2" s="1"/>
  <c r="R204" i="2" s="1"/>
  <c r="U204" i="2" s="1"/>
  <c r="X204" i="2" s="1"/>
  <c r="AA204" i="2" s="1"/>
  <c r="AD204" i="2" s="1"/>
  <c r="AG204" i="2" s="1"/>
  <c r="AJ204" i="2" s="1"/>
  <c r="F208" i="2"/>
  <c r="I208" i="2" s="1"/>
  <c r="L208" i="2" s="1"/>
  <c r="O208" i="2" s="1"/>
  <c r="R208" i="2" s="1"/>
  <c r="U208" i="2" s="1"/>
  <c r="X208" i="2" s="1"/>
  <c r="AA208" i="2" s="1"/>
  <c r="AD208" i="2" s="1"/>
  <c r="AG208" i="2" s="1"/>
  <c r="AJ208" i="2" s="1"/>
  <c r="F205" i="2"/>
  <c r="I205" i="2" s="1"/>
  <c r="L205" i="2" s="1"/>
  <c r="O205" i="2" s="1"/>
  <c r="R205" i="2" s="1"/>
  <c r="U205" i="2" s="1"/>
  <c r="X205" i="2" s="1"/>
  <c r="AA205" i="2" s="1"/>
  <c r="AD205" i="2" s="1"/>
  <c r="AG205" i="2" s="1"/>
  <c r="AJ205" i="2" s="1"/>
  <c r="F209" i="2"/>
  <c r="I209" i="2" s="1"/>
  <c r="L209" i="2" s="1"/>
  <c r="O209" i="2" s="1"/>
  <c r="R209" i="2" s="1"/>
  <c r="U209" i="2" s="1"/>
  <c r="X209" i="2" s="1"/>
  <c r="AA209" i="2" s="1"/>
  <c r="AD209" i="2" s="1"/>
  <c r="AG209" i="2" s="1"/>
  <c r="AJ209" i="2" s="1"/>
  <c r="AL204" i="1"/>
  <c r="AL206" i="1"/>
  <c r="AL208" i="1"/>
  <c r="AP199" i="1"/>
  <c r="AL203" i="1"/>
  <c r="AL205" i="1"/>
  <c r="AL209" i="1"/>
  <c r="C250" i="1"/>
  <c r="AP250" i="1" s="1"/>
  <c r="F192" i="2"/>
  <c r="I192" i="2" s="1"/>
  <c r="L192" i="2" s="1"/>
  <c r="O192" i="2" s="1"/>
  <c r="R192" i="2" s="1"/>
  <c r="F196" i="2"/>
  <c r="I196" i="2" s="1"/>
  <c r="L196" i="2" s="1"/>
  <c r="O196" i="2" s="1"/>
  <c r="R196" i="2" s="1"/>
  <c r="U196" i="2" s="1"/>
  <c r="X196" i="2" s="1"/>
  <c r="AA196" i="2" s="1"/>
  <c r="AD196" i="2" s="1"/>
  <c r="AG196" i="2" s="1"/>
  <c r="AJ196" i="2" s="1"/>
  <c r="F189" i="2"/>
  <c r="I189" i="2" s="1"/>
  <c r="F193" i="2"/>
  <c r="I193" i="2" s="1"/>
  <c r="F190" i="2"/>
  <c r="I190" i="2" s="1"/>
  <c r="L190" i="2" s="1"/>
  <c r="O190" i="2" s="1"/>
  <c r="R190" i="2" s="1"/>
  <c r="U190" i="2" s="1"/>
  <c r="X190" i="2" s="1"/>
  <c r="AA190" i="2" s="1"/>
  <c r="AD190" i="2" s="1"/>
  <c r="AG190" i="2" s="1"/>
  <c r="AJ190" i="2" s="1"/>
  <c r="F191" i="2"/>
  <c r="I191" i="2" s="1"/>
  <c r="F195" i="2"/>
  <c r="I195" i="2" s="1"/>
  <c r="AL189" i="1"/>
  <c r="AL191" i="1"/>
  <c r="AL193" i="1"/>
  <c r="AL195" i="1"/>
  <c r="C194" i="2"/>
  <c r="AL190" i="1"/>
  <c r="AL192" i="1"/>
  <c r="AL196" i="1"/>
  <c r="N102" i="30"/>
  <c r="AP168" i="1"/>
  <c r="AM168" i="1" s="1"/>
  <c r="AP165" i="1"/>
  <c r="AP169" i="1"/>
  <c r="AM169" i="1" s="1"/>
  <c r="C166" i="2"/>
  <c r="AP164" i="1"/>
  <c r="AM164" i="1" s="1"/>
  <c r="AP163" i="1"/>
  <c r="AM163" i="1" s="1"/>
  <c r="AP167" i="1"/>
  <c r="AM167" i="1" s="1"/>
  <c r="AP179" i="1"/>
  <c r="AM179" i="1" s="1"/>
  <c r="AP176" i="1"/>
  <c r="AM176" i="1" s="1"/>
  <c r="AP180" i="1"/>
  <c r="AM180" i="1" s="1"/>
  <c r="AP177" i="1"/>
  <c r="AM177" i="1" s="1"/>
  <c r="AP181" i="1"/>
  <c r="AM181" i="1" s="1"/>
  <c r="AP173" i="1"/>
  <c r="AM173" i="1" s="1"/>
  <c r="AP178" i="1"/>
  <c r="AM178" i="1" s="1"/>
  <c r="AM183" i="1"/>
  <c r="AL183" i="1"/>
  <c r="F179" i="2"/>
  <c r="I179" i="2" s="1"/>
  <c r="L179" i="2" s="1"/>
  <c r="O179" i="2" s="1"/>
  <c r="R179" i="2" s="1"/>
  <c r="U179" i="2" s="1"/>
  <c r="X179" i="2" s="1"/>
  <c r="AA179" i="2" s="1"/>
  <c r="AD179" i="2" s="1"/>
  <c r="AG179" i="2" s="1"/>
  <c r="AJ179" i="2" s="1"/>
  <c r="F176" i="2"/>
  <c r="I176" i="2" s="1"/>
  <c r="L176" i="2" s="1"/>
  <c r="O176" i="2" s="1"/>
  <c r="R176" i="2" s="1"/>
  <c r="U176" i="2" s="1"/>
  <c r="X176" i="2" s="1"/>
  <c r="AA176" i="2" s="1"/>
  <c r="AD176" i="2" s="1"/>
  <c r="AG176" i="2" s="1"/>
  <c r="AJ176" i="2" s="1"/>
  <c r="F180" i="2"/>
  <c r="I180" i="2" s="1"/>
  <c r="F177" i="2"/>
  <c r="I177" i="2" s="1"/>
  <c r="L177" i="2" s="1"/>
  <c r="O177" i="2" s="1"/>
  <c r="R177" i="2" s="1"/>
  <c r="U177" i="2" s="1"/>
  <c r="X177" i="2" s="1"/>
  <c r="AA177" i="2" s="1"/>
  <c r="AD177" i="2" s="1"/>
  <c r="AG177" i="2" s="1"/>
  <c r="AJ177" i="2" s="1"/>
  <c r="F181" i="2"/>
  <c r="I181" i="2" s="1"/>
  <c r="L181" i="2" s="1"/>
  <c r="O181" i="2" s="1"/>
  <c r="R181" i="2" s="1"/>
  <c r="U181" i="2" s="1"/>
  <c r="X181" i="2" s="1"/>
  <c r="AA181" i="2" s="1"/>
  <c r="AD181" i="2" s="1"/>
  <c r="AG181" i="2" s="1"/>
  <c r="AJ181" i="2" s="1"/>
  <c r="F173" i="2"/>
  <c r="I173" i="2" s="1"/>
  <c r="L173" i="2" s="1"/>
  <c r="O173" i="2" s="1"/>
  <c r="R173" i="2" s="1"/>
  <c r="U173" i="2" s="1"/>
  <c r="X173" i="2" s="1"/>
  <c r="AA173" i="2" s="1"/>
  <c r="AD173" i="2" s="1"/>
  <c r="AG173" i="2" s="1"/>
  <c r="AJ173" i="2" s="1"/>
  <c r="F178" i="2"/>
  <c r="I178" i="2" s="1"/>
  <c r="AM182" i="1"/>
  <c r="AL182" i="1"/>
  <c r="AL180" i="1"/>
  <c r="C182" i="2"/>
  <c r="D169" i="2" s="1"/>
  <c r="AL177" i="1"/>
  <c r="C183" i="2"/>
  <c r="F163" i="2"/>
  <c r="I163" i="2" s="1"/>
  <c r="L163" i="2" s="1"/>
  <c r="O163" i="2" s="1"/>
  <c r="D163" i="2"/>
  <c r="D167" i="2"/>
  <c r="F167" i="2"/>
  <c r="I167" i="2" s="1"/>
  <c r="L167" i="2" s="1"/>
  <c r="O167" i="2" s="1"/>
  <c r="R167" i="2" s="1"/>
  <c r="U167" i="2" s="1"/>
  <c r="X167" i="2" s="1"/>
  <c r="AA167" i="2" s="1"/>
  <c r="AD167" i="2" s="1"/>
  <c r="AG167" i="2" s="1"/>
  <c r="AJ167" i="2" s="1"/>
  <c r="D164" i="2"/>
  <c r="F164" i="2"/>
  <c r="I164" i="2" s="1"/>
  <c r="L164" i="2" s="1"/>
  <c r="O164" i="2" s="1"/>
  <c r="R164" i="2" s="1"/>
  <c r="U164" i="2" s="1"/>
  <c r="X164" i="2" s="1"/>
  <c r="AA164" i="2" s="1"/>
  <c r="AD164" i="2" s="1"/>
  <c r="AG164" i="2" s="1"/>
  <c r="AJ164" i="2" s="1"/>
  <c r="F168" i="2"/>
  <c r="I168" i="2" s="1"/>
  <c r="L168" i="2" s="1"/>
  <c r="O168" i="2" s="1"/>
  <c r="R168" i="2" s="1"/>
  <c r="U168" i="2" s="1"/>
  <c r="X168" i="2" s="1"/>
  <c r="AA168" i="2" s="1"/>
  <c r="AD168" i="2" s="1"/>
  <c r="AG168" i="2" s="1"/>
  <c r="AJ168" i="2" s="1"/>
  <c r="D168" i="2"/>
  <c r="F160" i="2"/>
  <c r="I160" i="2" s="1"/>
  <c r="F165" i="2"/>
  <c r="I165" i="2" s="1"/>
  <c r="D165" i="2"/>
  <c r="F169" i="2"/>
  <c r="I169" i="2" s="1"/>
  <c r="L169" i="2" s="1"/>
  <c r="O169" i="2" s="1"/>
  <c r="R169" i="2" s="1"/>
  <c r="U169" i="2" s="1"/>
  <c r="X169" i="2" s="1"/>
  <c r="AA169" i="2" s="1"/>
  <c r="AD169" i="2" s="1"/>
  <c r="AG169" i="2" s="1"/>
  <c r="AJ169" i="2" s="1"/>
  <c r="D166" i="2"/>
  <c r="AP160" i="1"/>
  <c r="F166" i="2"/>
  <c r="I166" i="2" s="1"/>
  <c r="L166" i="2" s="1"/>
  <c r="O166" i="2" s="1"/>
  <c r="R166" i="2" s="1"/>
  <c r="U166" i="2" s="1"/>
  <c r="X166" i="2" s="1"/>
  <c r="AA166" i="2" s="1"/>
  <c r="AD166" i="2" s="1"/>
  <c r="AG166" i="2" s="1"/>
  <c r="AJ166" i="2" s="1"/>
  <c r="C170" i="2"/>
  <c r="AP170" i="1"/>
  <c r="F141" i="2"/>
  <c r="I141" i="2" s="1"/>
  <c r="L141" i="2" s="1"/>
  <c r="O141" i="2" s="1"/>
  <c r="R141" i="2" s="1"/>
  <c r="U141" i="2" s="1"/>
  <c r="X141" i="2" s="1"/>
  <c r="AA141" i="2" s="1"/>
  <c r="AD141" i="2" s="1"/>
  <c r="AG141" i="2" s="1"/>
  <c r="AJ141" i="2" s="1"/>
  <c r="F145" i="2"/>
  <c r="I145" i="2" s="1"/>
  <c r="L145" i="2" s="1"/>
  <c r="O145" i="2" s="1"/>
  <c r="R145" i="2" s="1"/>
  <c r="U145" i="2" s="1"/>
  <c r="X145" i="2" s="1"/>
  <c r="AA145" i="2" s="1"/>
  <c r="AD145" i="2" s="1"/>
  <c r="AG145" i="2" s="1"/>
  <c r="AJ145" i="2" s="1"/>
  <c r="F142" i="2"/>
  <c r="I142" i="2" s="1"/>
  <c r="L142" i="2" s="1"/>
  <c r="O142" i="2" s="1"/>
  <c r="R142" i="2" s="1"/>
  <c r="F146" i="2"/>
  <c r="I146" i="2" s="1"/>
  <c r="L146" i="2" s="1"/>
  <c r="O146" i="2" s="1"/>
  <c r="R146" i="2" s="1"/>
  <c r="U146" i="2" s="1"/>
  <c r="X146" i="2" s="1"/>
  <c r="AA146" i="2" s="1"/>
  <c r="AD146" i="2" s="1"/>
  <c r="AG146" i="2" s="1"/>
  <c r="AJ146" i="2" s="1"/>
  <c r="F139" i="2"/>
  <c r="I139" i="2" s="1"/>
  <c r="L139" i="2" s="1"/>
  <c r="O139" i="2" s="1"/>
  <c r="R139" i="2" s="1"/>
  <c r="U139" i="2" s="1"/>
  <c r="X139" i="2" s="1"/>
  <c r="AA139" i="2" s="1"/>
  <c r="AD139" i="2" s="1"/>
  <c r="AG139" i="2" s="1"/>
  <c r="AJ139" i="2" s="1"/>
  <c r="F143" i="2"/>
  <c r="I143" i="2" s="1"/>
  <c r="L143" i="2" s="1"/>
  <c r="O143" i="2" s="1"/>
  <c r="R143" i="2" s="1"/>
  <c r="U143" i="2" s="1"/>
  <c r="X143" i="2" s="1"/>
  <c r="AA143" i="2" s="1"/>
  <c r="AD143" i="2" s="1"/>
  <c r="AG143" i="2" s="1"/>
  <c r="AJ143" i="2" s="1"/>
  <c r="F140" i="2"/>
  <c r="I140" i="2" s="1"/>
  <c r="L140" i="2" s="1"/>
  <c r="O140" i="2" s="1"/>
  <c r="R140" i="2" s="1"/>
  <c r="U140" i="2" s="1"/>
  <c r="X140" i="2" s="1"/>
  <c r="AA140" i="2" s="1"/>
  <c r="AD140" i="2" s="1"/>
  <c r="AG140" i="2" s="1"/>
  <c r="AJ140" i="2" s="1"/>
  <c r="F144" i="2"/>
  <c r="C187" i="2"/>
  <c r="AP146" i="1"/>
  <c r="C187" i="1"/>
  <c r="AL139" i="1"/>
  <c r="AL141" i="1"/>
  <c r="AL143" i="1"/>
  <c r="C136" i="2"/>
  <c r="AL140" i="1"/>
  <c r="AL142" i="1"/>
  <c r="AP117" i="1"/>
  <c r="AM117" i="1" s="1"/>
  <c r="AP121" i="1"/>
  <c r="AM121" i="1" s="1"/>
  <c r="AP118" i="1"/>
  <c r="AP122" i="1"/>
  <c r="AM122" i="1" s="1"/>
  <c r="AP115" i="1"/>
  <c r="AM115" i="1" s="1"/>
  <c r="AP119" i="1"/>
  <c r="AM119" i="1" s="1"/>
  <c r="AP116" i="1"/>
  <c r="AM116" i="1" s="1"/>
  <c r="AP120" i="1"/>
  <c r="AM120" i="1" s="1"/>
  <c r="F117" i="2"/>
  <c r="I117" i="2" s="1"/>
  <c r="L117" i="2" s="1"/>
  <c r="O117" i="2" s="1"/>
  <c r="R117" i="2" s="1"/>
  <c r="U117" i="2" s="1"/>
  <c r="X117" i="2" s="1"/>
  <c r="AA117" i="2" s="1"/>
  <c r="AD117" i="2" s="1"/>
  <c r="AG117" i="2" s="1"/>
  <c r="AJ117" i="2" s="1"/>
  <c r="F121" i="2"/>
  <c r="I121" i="2" s="1"/>
  <c r="L121" i="2" s="1"/>
  <c r="O121" i="2" s="1"/>
  <c r="R121" i="2" s="1"/>
  <c r="U121" i="2" s="1"/>
  <c r="X121" i="2" s="1"/>
  <c r="AA121" i="2" s="1"/>
  <c r="AD121" i="2" s="1"/>
  <c r="AG121" i="2" s="1"/>
  <c r="AJ121" i="2" s="1"/>
  <c r="F118" i="2"/>
  <c r="C161" i="2"/>
  <c r="F122" i="2"/>
  <c r="I122" i="2" s="1"/>
  <c r="F115" i="2"/>
  <c r="I115" i="2" s="1"/>
  <c r="F119" i="2"/>
  <c r="I119" i="2" s="1"/>
  <c r="L119" i="2" s="1"/>
  <c r="O119" i="2" s="1"/>
  <c r="F116" i="2"/>
  <c r="I116" i="2" s="1"/>
  <c r="L116" i="2" s="1"/>
  <c r="O116" i="2" s="1"/>
  <c r="R116" i="2" s="1"/>
  <c r="U116" i="2" s="1"/>
  <c r="X116" i="2" s="1"/>
  <c r="AA116" i="2" s="1"/>
  <c r="AD116" i="2" s="1"/>
  <c r="AG116" i="2" s="1"/>
  <c r="AJ116" i="2" s="1"/>
  <c r="F120" i="2"/>
  <c r="I120" i="2" s="1"/>
  <c r="L120" i="2" s="1"/>
  <c r="O120" i="2" s="1"/>
  <c r="R120" i="2" s="1"/>
  <c r="U120" i="2" s="1"/>
  <c r="X120" i="2" s="1"/>
  <c r="AA120" i="2" s="1"/>
  <c r="AD120" i="2" s="1"/>
  <c r="AG120" i="2" s="1"/>
  <c r="AJ120" i="2" s="1"/>
  <c r="AP112" i="1"/>
  <c r="C161" i="1"/>
  <c r="AP161" i="1" s="1"/>
  <c r="AP91" i="1"/>
  <c r="AL91" i="1" s="1"/>
  <c r="AP95" i="1"/>
  <c r="AL95" i="1" s="1"/>
  <c r="AP92" i="1"/>
  <c r="AM92" i="1" s="1"/>
  <c r="AP96" i="1"/>
  <c r="AP93" i="1"/>
  <c r="AL93" i="1" s="1"/>
  <c r="AP97" i="1"/>
  <c r="AL97" i="1" s="1"/>
  <c r="AP88" i="1"/>
  <c r="AM88" i="1" s="1"/>
  <c r="AP94" i="1"/>
  <c r="AM94" i="1" s="1"/>
  <c r="AP98" i="1"/>
  <c r="AM98" i="1" s="1"/>
  <c r="F91" i="2"/>
  <c r="I91" i="2" s="1"/>
  <c r="L91" i="2" s="1"/>
  <c r="O91" i="2" s="1"/>
  <c r="R91" i="2" s="1"/>
  <c r="U91" i="2" s="1"/>
  <c r="X91" i="2" s="1"/>
  <c r="AA91" i="2" s="1"/>
  <c r="AD91" i="2" s="1"/>
  <c r="AG91" i="2" s="1"/>
  <c r="AJ91" i="2" s="1"/>
  <c r="F95" i="2"/>
  <c r="I95" i="2" s="1"/>
  <c r="L95" i="2" s="1"/>
  <c r="O95" i="2" s="1"/>
  <c r="R95" i="2" s="1"/>
  <c r="U95" i="2" s="1"/>
  <c r="X95" i="2" s="1"/>
  <c r="AA95" i="2" s="1"/>
  <c r="AD95" i="2" s="1"/>
  <c r="AG95" i="2" s="1"/>
  <c r="AJ95" i="2" s="1"/>
  <c r="F92" i="2"/>
  <c r="I92" i="2" s="1"/>
  <c r="L92" i="2" s="1"/>
  <c r="O92" i="2" s="1"/>
  <c r="R92" i="2" s="1"/>
  <c r="U92" i="2" s="1"/>
  <c r="X92" i="2" s="1"/>
  <c r="AA92" i="2" s="1"/>
  <c r="AD92" i="2" s="1"/>
  <c r="AG92" i="2" s="1"/>
  <c r="AJ92" i="2" s="1"/>
  <c r="F96" i="2"/>
  <c r="I96" i="2" s="1"/>
  <c r="F93" i="2"/>
  <c r="I93" i="2" s="1"/>
  <c r="L93" i="2" s="1"/>
  <c r="O93" i="2" s="1"/>
  <c r="R93" i="2" s="1"/>
  <c r="U93" i="2" s="1"/>
  <c r="X93" i="2" s="1"/>
  <c r="AA93" i="2" s="1"/>
  <c r="AD93" i="2" s="1"/>
  <c r="AG93" i="2" s="1"/>
  <c r="AJ93" i="2" s="1"/>
  <c r="F97" i="2"/>
  <c r="I97" i="2" s="1"/>
  <c r="L97" i="2" s="1"/>
  <c r="O97" i="2" s="1"/>
  <c r="R97" i="2" s="1"/>
  <c r="U97" i="2" s="1"/>
  <c r="X97" i="2" s="1"/>
  <c r="AA97" i="2" s="1"/>
  <c r="AD97" i="2" s="1"/>
  <c r="AG97" i="2" s="1"/>
  <c r="AJ97" i="2" s="1"/>
  <c r="F98" i="2"/>
  <c r="I98" i="2" s="1"/>
  <c r="L98" i="2" s="1"/>
  <c r="O98" i="2" s="1"/>
  <c r="R98" i="2" s="1"/>
  <c r="U98" i="2" s="1"/>
  <c r="X98" i="2" s="1"/>
  <c r="AA98" i="2" s="1"/>
  <c r="AD98" i="2" s="1"/>
  <c r="AG98" i="2" s="1"/>
  <c r="AJ98" i="2" s="1"/>
  <c r="C94" i="2"/>
  <c r="AP41" i="1"/>
  <c r="AM41" i="1" s="1"/>
  <c r="AP43" i="1"/>
  <c r="AM43" i="1" s="1"/>
  <c r="AP40" i="1"/>
  <c r="AP37" i="1"/>
  <c r="AP38" i="1"/>
  <c r="AM38" i="1" s="1"/>
  <c r="C36" i="2"/>
  <c r="AP42" i="1"/>
  <c r="AM42" i="1" s="1"/>
  <c r="AP39" i="1"/>
  <c r="F37" i="2"/>
  <c r="I37" i="2" s="1"/>
  <c r="L37" i="2" s="1"/>
  <c r="O37" i="2" s="1"/>
  <c r="F41" i="2"/>
  <c r="I41" i="2" s="1"/>
  <c r="F39" i="2"/>
  <c r="I39" i="2" s="1"/>
  <c r="L39" i="2" s="1"/>
  <c r="O39" i="2" s="1"/>
  <c r="R39" i="2" s="1"/>
  <c r="U39" i="2" s="1"/>
  <c r="X39" i="2" s="1"/>
  <c r="AA39" i="2" s="1"/>
  <c r="AD39" i="2" s="1"/>
  <c r="AG39" i="2" s="1"/>
  <c r="AJ39" i="2" s="1"/>
  <c r="F43" i="2"/>
  <c r="I43" i="2" s="1"/>
  <c r="C32" i="2"/>
  <c r="F38" i="2"/>
  <c r="I38" i="2" s="1"/>
  <c r="L38" i="2" s="1"/>
  <c r="O38" i="2" s="1"/>
  <c r="R38" i="2" s="1"/>
  <c r="U38" i="2" s="1"/>
  <c r="X38" i="2" s="1"/>
  <c r="AA38" i="2" s="1"/>
  <c r="AD38" i="2" s="1"/>
  <c r="AG38" i="2" s="1"/>
  <c r="AJ38" i="2" s="1"/>
  <c r="F40" i="2"/>
  <c r="I40" i="2" s="1"/>
  <c r="L40" i="2" s="1"/>
  <c r="O40" i="2" s="1"/>
  <c r="R40" i="2" s="1"/>
  <c r="U40" i="2" s="1"/>
  <c r="X40" i="2" s="1"/>
  <c r="AA40" i="2" s="1"/>
  <c r="AD40" i="2" s="1"/>
  <c r="AG40" i="2" s="1"/>
  <c r="AJ40" i="2" s="1"/>
  <c r="F42" i="2"/>
  <c r="I42" i="2" s="1"/>
  <c r="L42" i="2" s="1"/>
  <c r="O42" i="2" s="1"/>
  <c r="R42" i="2" s="1"/>
  <c r="U42" i="2" s="1"/>
  <c r="X42" i="2" s="1"/>
  <c r="AA42" i="2" s="1"/>
  <c r="AD42" i="2" s="1"/>
  <c r="AG42" i="2" s="1"/>
  <c r="AJ42" i="2" s="1"/>
  <c r="AL36" i="1"/>
  <c r="N15" i="30"/>
  <c r="F31" i="2"/>
  <c r="I31" i="2" s="1"/>
  <c r="C232" i="2"/>
  <c r="C85" i="2"/>
  <c r="C132" i="2"/>
  <c r="C156" i="2"/>
  <c r="C108" i="2"/>
  <c r="F15" i="2"/>
  <c r="C128" i="2"/>
  <c r="C152" i="2"/>
  <c r="C104" i="2"/>
  <c r="C228" i="2"/>
  <c r="C81" i="2"/>
  <c r="F11" i="2"/>
  <c r="AP13" i="1"/>
  <c r="AP15" i="1"/>
  <c r="C79" i="1"/>
  <c r="F83" i="1"/>
  <c r="F102" i="1"/>
  <c r="C126" i="1"/>
  <c r="F130" i="1"/>
  <c r="F150" i="1"/>
  <c r="F228" i="1"/>
  <c r="C230" i="1"/>
  <c r="F232" i="1"/>
  <c r="AL12" i="1"/>
  <c r="C84" i="1"/>
  <c r="F86" i="1"/>
  <c r="C103" i="1"/>
  <c r="C105" i="1"/>
  <c r="F107" i="1"/>
  <c r="C131" i="1"/>
  <c r="F133" i="1"/>
  <c r="C151" i="1"/>
  <c r="C153" i="1"/>
  <c r="F155" i="1"/>
  <c r="C233" i="1"/>
  <c r="C14" i="2"/>
  <c r="F79" i="1"/>
  <c r="C108" i="1"/>
  <c r="F126" i="1"/>
  <c r="C156" i="1"/>
  <c r="C226" i="1"/>
  <c r="F230" i="1"/>
  <c r="C10" i="2"/>
  <c r="AP9" i="1"/>
  <c r="C80" i="1"/>
  <c r="C82" i="1"/>
  <c r="F84" i="1"/>
  <c r="F103" i="1"/>
  <c r="C104" i="1"/>
  <c r="F105" i="1"/>
  <c r="C127" i="1"/>
  <c r="C129" i="1"/>
  <c r="F131" i="1"/>
  <c r="F174" i="1" s="1"/>
  <c r="F151" i="1"/>
  <c r="C152" i="1"/>
  <c r="F153" i="1"/>
  <c r="C231" i="1"/>
  <c r="F233" i="1"/>
  <c r="F276" i="1" s="1"/>
  <c r="C13" i="2"/>
  <c r="AP14" i="1"/>
  <c r="AP16" i="1"/>
  <c r="C85" i="1"/>
  <c r="F104" i="1"/>
  <c r="C106" i="1"/>
  <c r="F108" i="1"/>
  <c r="C132" i="1"/>
  <c r="F152" i="1"/>
  <c r="C154" i="1"/>
  <c r="F156" i="1"/>
  <c r="C9" i="2"/>
  <c r="F80" i="1"/>
  <c r="C81" i="1"/>
  <c r="F82" i="1"/>
  <c r="C109" i="1"/>
  <c r="F127" i="1"/>
  <c r="C128" i="1"/>
  <c r="F129" i="1"/>
  <c r="C157" i="1"/>
  <c r="C227" i="1"/>
  <c r="C229" i="1"/>
  <c r="F231" i="1"/>
  <c r="C12" i="2"/>
  <c r="C16" i="2"/>
  <c r="F81" i="1"/>
  <c r="C83" i="1"/>
  <c r="F85" i="1"/>
  <c r="C102" i="1"/>
  <c r="F106" i="1"/>
  <c r="C130" i="1"/>
  <c r="C232" i="1"/>
  <c r="AP10" i="1"/>
  <c r="C86" i="1"/>
  <c r="C107" i="1"/>
  <c r="F109" i="1"/>
  <c r="C228" i="1"/>
  <c r="B199" i="32"/>
  <c r="C199" i="32"/>
  <c r="AM296" i="1"/>
  <c r="AO31" i="1"/>
  <c r="B31" i="2"/>
  <c r="W27" i="1"/>
  <c r="W24" i="1"/>
  <c r="W22" i="1"/>
  <c r="W21" i="1"/>
  <c r="W26" i="1"/>
  <c r="W23" i="1"/>
  <c r="W20" i="1"/>
  <c r="W25" i="1"/>
  <c r="K81" i="1"/>
  <c r="W81" i="1"/>
  <c r="AI81" i="1"/>
  <c r="E104" i="1"/>
  <c r="Q104" i="1"/>
  <c r="AC104" i="1"/>
  <c r="E128" i="1"/>
  <c r="Q128" i="1"/>
  <c r="AC128" i="1"/>
  <c r="K152" i="1"/>
  <c r="W152" i="1"/>
  <c r="AI152" i="1"/>
  <c r="H228" i="1"/>
  <c r="T228" i="1"/>
  <c r="AF228" i="1"/>
  <c r="AO11" i="1"/>
  <c r="B81" i="1"/>
  <c r="N81" i="1"/>
  <c r="Z81" i="1"/>
  <c r="H104" i="1"/>
  <c r="T104" i="1"/>
  <c r="AF104" i="1"/>
  <c r="H128" i="1"/>
  <c r="AO128" i="1" s="1"/>
  <c r="T128" i="1"/>
  <c r="AF128" i="1"/>
  <c r="B152" i="1"/>
  <c r="N152" i="1"/>
  <c r="Z152" i="1"/>
  <c r="K228" i="1"/>
  <c r="W228" i="1"/>
  <c r="AI228" i="1"/>
  <c r="E81" i="1"/>
  <c r="Q81" i="1"/>
  <c r="AC81" i="1"/>
  <c r="K104" i="1"/>
  <c r="W104" i="1"/>
  <c r="AI104" i="1"/>
  <c r="E152" i="1"/>
  <c r="Q152" i="1"/>
  <c r="AC152" i="1"/>
  <c r="B228" i="1"/>
  <c r="N228" i="1"/>
  <c r="Z228" i="1"/>
  <c r="B11" i="2"/>
  <c r="H81" i="1"/>
  <c r="T81" i="1"/>
  <c r="AF81" i="1"/>
  <c r="B104" i="1"/>
  <c r="AO104" i="1" s="1"/>
  <c r="N104" i="1"/>
  <c r="Z104" i="1"/>
  <c r="AA98" i="38"/>
  <c r="AB98" i="38" s="1"/>
  <c r="E181" i="38"/>
  <c r="D23" i="35"/>
  <c r="C20" i="35"/>
  <c r="E175" i="38"/>
  <c r="E288" i="3"/>
  <c r="AO288" i="3" s="1"/>
  <c r="B288" i="4"/>
  <c r="N11" i="35"/>
  <c r="B29" i="35"/>
  <c r="E306" i="4"/>
  <c r="H306" i="4" s="1"/>
  <c r="K306" i="4" s="1"/>
  <c r="N306" i="4" s="1"/>
  <c r="Q306" i="4" s="1"/>
  <c r="T306" i="4" s="1"/>
  <c r="W306" i="4" s="1"/>
  <c r="C29" i="35"/>
  <c r="H201" i="38"/>
  <c r="B301" i="4"/>
  <c r="AL306" i="3"/>
  <c r="Y10" i="51"/>
  <c r="Y6" i="51"/>
  <c r="Y7" i="51"/>
  <c r="Y11" i="51"/>
  <c r="T12" i="51"/>
  <c r="G57" i="51" s="1"/>
  <c r="L54" i="51"/>
  <c r="X262" i="4" l="1"/>
  <c r="AP249" i="4"/>
  <c r="AB265" i="4"/>
  <c r="N26" i="46"/>
  <c r="M26" i="46"/>
  <c r="N27" i="46"/>
  <c r="M27" i="46"/>
  <c r="N25" i="46"/>
  <c r="M25" i="46"/>
  <c r="N20" i="46"/>
  <c r="M20" i="46"/>
  <c r="N21" i="46"/>
  <c r="M21" i="46"/>
  <c r="N22" i="46"/>
  <c r="M22" i="46"/>
  <c r="N24" i="46"/>
  <c r="M24" i="46"/>
  <c r="N23" i="46"/>
  <c r="M23" i="46"/>
  <c r="I40" i="46"/>
  <c r="H40" i="46"/>
  <c r="J39" i="46"/>
  <c r="K39" i="46"/>
  <c r="J38" i="46"/>
  <c r="K38" i="46"/>
  <c r="H34" i="46"/>
  <c r="I34" i="46"/>
  <c r="D34" i="46"/>
  <c r="E34" i="46"/>
  <c r="J36" i="46"/>
  <c r="K36" i="46"/>
  <c r="J34" i="46"/>
  <c r="K34" i="46"/>
  <c r="H37" i="46"/>
  <c r="I37" i="46"/>
  <c r="H36" i="46"/>
  <c r="I36" i="46"/>
  <c r="E36" i="46"/>
  <c r="D36" i="46"/>
  <c r="G38" i="46"/>
  <c r="F38" i="46"/>
  <c r="F37" i="46"/>
  <c r="G37" i="46"/>
  <c r="G36" i="46"/>
  <c r="F36" i="46"/>
  <c r="I38" i="46"/>
  <c r="H38" i="46"/>
  <c r="F34" i="46"/>
  <c r="G34" i="46"/>
  <c r="F40" i="46"/>
  <c r="G40" i="46"/>
  <c r="I39" i="46"/>
  <c r="H39" i="46"/>
  <c r="K37" i="46"/>
  <c r="J37" i="46"/>
  <c r="E40" i="46"/>
  <c r="D40" i="46"/>
  <c r="D35" i="46"/>
  <c r="E35" i="46"/>
  <c r="K35" i="46"/>
  <c r="J35" i="46"/>
  <c r="I35" i="46"/>
  <c r="H35" i="46"/>
  <c r="F35" i="46"/>
  <c r="G35" i="46"/>
  <c r="G33" i="46"/>
  <c r="F33" i="46"/>
  <c r="G39" i="46"/>
  <c r="F39" i="46"/>
  <c r="D37" i="46"/>
  <c r="E37" i="46"/>
  <c r="D38" i="46"/>
  <c r="E38" i="46"/>
  <c r="H33" i="46"/>
  <c r="I33" i="46"/>
  <c r="E39" i="46"/>
  <c r="D39" i="46"/>
  <c r="E33" i="46"/>
  <c r="D33" i="46"/>
  <c r="K33" i="46"/>
  <c r="J33" i="46"/>
  <c r="J40" i="46"/>
  <c r="K40" i="46"/>
  <c r="AP270" i="1"/>
  <c r="AP269" i="2"/>
  <c r="AP266" i="1"/>
  <c r="AM40" i="1"/>
  <c r="AL40" i="1"/>
  <c r="AL293" i="3"/>
  <c r="AM293" i="3"/>
  <c r="N19" i="46"/>
  <c r="M19" i="46"/>
  <c r="M6" i="46"/>
  <c r="O11" i="46"/>
  <c r="J6" i="46"/>
  <c r="L11" i="46"/>
  <c r="R21" i="3"/>
  <c r="R22" i="3"/>
  <c r="R23" i="3"/>
  <c r="R20" i="3"/>
  <c r="O20" i="3"/>
  <c r="O24" i="3"/>
  <c r="O23" i="3"/>
  <c r="O22" i="3"/>
  <c r="AM266" i="2"/>
  <c r="AM267" i="2"/>
  <c r="AS268" i="4"/>
  <c r="N23" i="52"/>
  <c r="O23" i="52" s="1"/>
  <c r="AS272" i="4"/>
  <c r="N27" i="52"/>
  <c r="AS265" i="4"/>
  <c r="AT265" i="4" s="1"/>
  <c r="N20" i="52"/>
  <c r="AS267" i="4"/>
  <c r="AT267" i="4" s="1"/>
  <c r="N22" i="52"/>
  <c r="AS270" i="4"/>
  <c r="AT270" i="4" s="1"/>
  <c r="N25" i="52"/>
  <c r="AS266" i="4"/>
  <c r="AT266" i="4" s="1"/>
  <c r="N21" i="52"/>
  <c r="O21" i="52" s="1"/>
  <c r="AS269" i="4"/>
  <c r="N24" i="52"/>
  <c r="O9" i="46"/>
  <c r="R24" i="3"/>
  <c r="R27" i="3"/>
  <c r="R25" i="3"/>
  <c r="R26" i="3"/>
  <c r="O27" i="3"/>
  <c r="O21" i="3"/>
  <c r="O25" i="3"/>
  <c r="AP302" i="2"/>
  <c r="AM269" i="1"/>
  <c r="AL269" i="1"/>
  <c r="AM165" i="1"/>
  <c r="AL165" i="1"/>
  <c r="AP187" i="1"/>
  <c r="AM145" i="1"/>
  <c r="AL145" i="1"/>
  <c r="U307" i="2"/>
  <c r="X307" i="2" s="1"/>
  <c r="AA307" i="2" s="1"/>
  <c r="AD307" i="2" s="1"/>
  <c r="AG307" i="2" s="1"/>
  <c r="AJ307" i="2" s="1"/>
  <c r="AP307" i="2"/>
  <c r="AP288" i="1"/>
  <c r="AL241" i="1"/>
  <c r="AP262" i="1"/>
  <c r="AT268" i="4"/>
  <c r="G123" i="38"/>
  <c r="U123" i="38" s="1"/>
  <c r="W123" i="38" s="1"/>
  <c r="F178" i="4"/>
  <c r="I178" i="4" s="1"/>
  <c r="L178" i="4" s="1"/>
  <c r="O178" i="4" s="1"/>
  <c r="R178" i="4" s="1"/>
  <c r="U178" i="4" s="1"/>
  <c r="X178" i="4" s="1"/>
  <c r="AA178" i="4" s="1"/>
  <c r="AD178" i="4" s="1"/>
  <c r="AG178" i="4" s="1"/>
  <c r="AJ178" i="4" s="1"/>
  <c r="G111" i="38"/>
  <c r="U111" i="38" s="1"/>
  <c r="W111" i="38" s="1"/>
  <c r="F166" i="4"/>
  <c r="I166" i="4" s="1"/>
  <c r="L166" i="4" s="1"/>
  <c r="L14" i="46"/>
  <c r="O7" i="3"/>
  <c r="AF262" i="3"/>
  <c r="AC262" i="3"/>
  <c r="Z262" i="4"/>
  <c r="Z262" i="3"/>
  <c r="W262" i="4"/>
  <c r="W262" i="3"/>
  <c r="Q262" i="4"/>
  <c r="AO262" i="4" s="1"/>
  <c r="Q262" i="3"/>
  <c r="AO262" i="3" s="1"/>
  <c r="N262" i="4"/>
  <c r="N262" i="3"/>
  <c r="H262" i="4"/>
  <c r="J262" i="4" s="1"/>
  <c r="E262" i="4"/>
  <c r="E262" i="3"/>
  <c r="B262" i="4"/>
  <c r="H220" i="38" s="1"/>
  <c r="B262" i="3"/>
  <c r="D220" i="38" s="1"/>
  <c r="AA100" i="38" s="1"/>
  <c r="V38" i="38"/>
  <c r="AI262" i="3"/>
  <c r="AI262" i="4"/>
  <c r="T262" i="3"/>
  <c r="T262" i="4"/>
  <c r="K262" i="3"/>
  <c r="AM241" i="1"/>
  <c r="AB270" i="4"/>
  <c r="AO271" i="4"/>
  <c r="AO266" i="4"/>
  <c r="AT272" i="4"/>
  <c r="AO269" i="4"/>
  <c r="AP263" i="3"/>
  <c r="AL254" i="2"/>
  <c r="AM212" i="1"/>
  <c r="F26" i="46"/>
  <c r="T308" i="2"/>
  <c r="W308" i="2" s="1"/>
  <c r="Z308" i="2" s="1"/>
  <c r="AC308" i="2" s="1"/>
  <c r="AF308" i="2" s="1"/>
  <c r="AI308" i="2" s="1"/>
  <c r="AO308" i="2"/>
  <c r="AM245" i="1"/>
  <c r="AL245" i="1"/>
  <c r="Q262" i="2"/>
  <c r="AO262" i="2" s="1"/>
  <c r="AO236" i="2"/>
  <c r="T117" i="2"/>
  <c r="W117" i="2" s="1"/>
  <c r="Z117" i="2" s="1"/>
  <c r="AC117" i="2" s="1"/>
  <c r="AF117" i="2" s="1"/>
  <c r="AI117" i="2" s="1"/>
  <c r="AO117" i="2"/>
  <c r="AM246" i="3"/>
  <c r="AL246" i="3"/>
  <c r="AL244" i="3"/>
  <c r="AM244" i="3"/>
  <c r="AM241" i="3"/>
  <c r="AL241" i="3"/>
  <c r="AL240" i="3"/>
  <c r="AM240" i="3"/>
  <c r="AL239" i="3"/>
  <c r="AM239" i="3"/>
  <c r="T186" i="2"/>
  <c r="W186" i="2" s="1"/>
  <c r="Z186" i="2" s="1"/>
  <c r="AC186" i="2" s="1"/>
  <c r="AF186" i="2" s="1"/>
  <c r="AI186" i="2" s="1"/>
  <c r="AO186" i="2"/>
  <c r="C136" i="4"/>
  <c r="C90" i="38"/>
  <c r="L26" i="3"/>
  <c r="L23" i="3"/>
  <c r="T173" i="2"/>
  <c r="W173" i="2" s="1"/>
  <c r="Z173" i="2" s="1"/>
  <c r="AC173" i="2" s="1"/>
  <c r="AF173" i="2" s="1"/>
  <c r="AI173" i="2" s="1"/>
  <c r="AO173" i="2"/>
  <c r="F21" i="3"/>
  <c r="F24" i="3"/>
  <c r="F27" i="3"/>
  <c r="F22" i="3"/>
  <c r="F26" i="3"/>
  <c r="C30" i="4"/>
  <c r="F30" i="4" s="1"/>
  <c r="C89" i="3"/>
  <c r="AP89" i="3" s="1"/>
  <c r="C21" i="3"/>
  <c r="C22" i="3"/>
  <c r="C6" i="4"/>
  <c r="C12" i="38"/>
  <c r="C24" i="3"/>
  <c r="C23" i="3"/>
  <c r="C26" i="3"/>
  <c r="C20" i="3"/>
  <c r="C25" i="3"/>
  <c r="C27" i="3"/>
  <c r="C116" i="38"/>
  <c r="E116" i="38" s="1"/>
  <c r="C160" i="4"/>
  <c r="T305" i="4"/>
  <c r="W305" i="4" s="1"/>
  <c r="AO305" i="4"/>
  <c r="F24" i="46"/>
  <c r="L8" i="46"/>
  <c r="F13" i="46"/>
  <c r="AO272" i="4"/>
  <c r="AO6" i="38"/>
  <c r="C7" i="3"/>
  <c r="AO269" i="3"/>
  <c r="AP289" i="2"/>
  <c r="AO6" i="3"/>
  <c r="AP269" i="3"/>
  <c r="AP262" i="4"/>
  <c r="AF10" i="38"/>
  <c r="AO267" i="4"/>
  <c r="AO265" i="4"/>
  <c r="AO270" i="4"/>
  <c r="E167" i="38"/>
  <c r="E166" i="38"/>
  <c r="E50" i="38"/>
  <c r="E24" i="38"/>
  <c r="AO152" i="1"/>
  <c r="AO228" i="1"/>
  <c r="C194" i="38"/>
  <c r="C275" i="4"/>
  <c r="L22" i="3"/>
  <c r="L20" i="3"/>
  <c r="L25" i="3"/>
  <c r="L27" i="3"/>
  <c r="L21" i="3"/>
  <c r="E146" i="4"/>
  <c r="H146" i="4" s="1"/>
  <c r="K146" i="4" s="1"/>
  <c r="H89" i="38"/>
  <c r="D43" i="4"/>
  <c r="H24" i="38"/>
  <c r="E43" i="4"/>
  <c r="H43" i="4" s="1"/>
  <c r="H23" i="38"/>
  <c r="E42" i="4"/>
  <c r="H42" i="4" s="1"/>
  <c r="H20" i="38"/>
  <c r="H33" i="38" s="1"/>
  <c r="E39" i="4"/>
  <c r="H39" i="4" s="1"/>
  <c r="AL256" i="3"/>
  <c r="AM256" i="3"/>
  <c r="B17" i="43"/>
  <c r="B17" i="5"/>
  <c r="AI27" i="1"/>
  <c r="AI22" i="1"/>
  <c r="AC23" i="1"/>
  <c r="AC26" i="1"/>
  <c r="Z24" i="1"/>
  <c r="Z21" i="1"/>
  <c r="Q26" i="1"/>
  <c r="AO26" i="1" s="1"/>
  <c r="Q23" i="1"/>
  <c r="N21" i="1"/>
  <c r="N24" i="1"/>
  <c r="AO30" i="1"/>
  <c r="K33" i="1"/>
  <c r="AO33" i="1" s="1"/>
  <c r="K22" i="1"/>
  <c r="K27" i="1"/>
  <c r="E26" i="1"/>
  <c r="E23" i="1"/>
  <c r="B24" i="1"/>
  <c r="B21" i="1"/>
  <c r="D88" i="2"/>
  <c r="F88" i="2"/>
  <c r="I88" i="2" s="1"/>
  <c r="L88" i="2" s="1"/>
  <c r="O88" i="2" s="1"/>
  <c r="R88" i="2" s="1"/>
  <c r="AL220" i="3"/>
  <c r="AM220" i="3"/>
  <c r="AP236" i="4"/>
  <c r="O262" i="4"/>
  <c r="H175" i="38"/>
  <c r="AE28" i="38" s="1"/>
  <c r="E293" i="4"/>
  <c r="H293" i="4" s="1"/>
  <c r="K293" i="4" s="1"/>
  <c r="N293" i="4" s="1"/>
  <c r="Q293" i="4" s="1"/>
  <c r="U218" i="2"/>
  <c r="X218" i="2" s="1"/>
  <c r="AA218" i="2" s="1"/>
  <c r="AD218" i="2" s="1"/>
  <c r="AG218" i="2" s="1"/>
  <c r="AJ218" i="2" s="1"/>
  <c r="AP218" i="2"/>
  <c r="V117" i="38"/>
  <c r="T212" i="2"/>
  <c r="W212" i="2" s="1"/>
  <c r="Z212" i="2" s="1"/>
  <c r="AC212" i="2" s="1"/>
  <c r="AF212" i="2" s="1"/>
  <c r="AI212" i="2" s="1"/>
  <c r="AO212" i="2"/>
  <c r="B16" i="43"/>
  <c r="B16" i="5"/>
  <c r="AL165" i="3"/>
  <c r="AM165" i="3"/>
  <c r="C207" i="38"/>
  <c r="E207" i="38" s="1"/>
  <c r="C301" i="4"/>
  <c r="F275" i="4"/>
  <c r="I275" i="4" s="1"/>
  <c r="L275" i="4" s="1"/>
  <c r="O275" i="4" s="1"/>
  <c r="R275" i="4" s="1"/>
  <c r="G194" i="38"/>
  <c r="AD99" i="38" s="1"/>
  <c r="O12" i="46"/>
  <c r="AL218" i="3"/>
  <c r="AM218" i="3"/>
  <c r="AL216" i="3"/>
  <c r="AM216" i="3"/>
  <c r="AL192" i="3"/>
  <c r="AM192" i="3"/>
  <c r="AM182" i="3"/>
  <c r="AL182" i="3"/>
  <c r="C33" i="3"/>
  <c r="AP126" i="3"/>
  <c r="AM126" i="3" s="1"/>
  <c r="F8" i="46"/>
  <c r="L24" i="3"/>
  <c r="L7" i="3"/>
  <c r="F20" i="3"/>
  <c r="F25" i="3"/>
  <c r="F23" i="3"/>
  <c r="R295" i="2"/>
  <c r="U295" i="2" s="1"/>
  <c r="X295" i="2" s="1"/>
  <c r="AA295" i="2" s="1"/>
  <c r="AD295" i="2" s="1"/>
  <c r="AG295" i="2" s="1"/>
  <c r="AJ295" i="2" s="1"/>
  <c r="AP295" i="2"/>
  <c r="AM207" i="1"/>
  <c r="AL207" i="1"/>
  <c r="Q93" i="30"/>
  <c r="X91" i="30"/>
  <c r="V91" i="30"/>
  <c r="R163" i="2"/>
  <c r="AM166" i="1"/>
  <c r="AL166" i="1"/>
  <c r="L21" i="46"/>
  <c r="AP271" i="3"/>
  <c r="AP270" i="3"/>
  <c r="AP266" i="4"/>
  <c r="AP268" i="3"/>
  <c r="O26" i="46"/>
  <c r="O27" i="46"/>
  <c r="AL203" i="3"/>
  <c r="AM203" i="3"/>
  <c r="R203" i="4"/>
  <c r="U203" i="4" s="1"/>
  <c r="X203" i="4" s="1"/>
  <c r="AA203" i="4" s="1"/>
  <c r="AD203" i="4" s="1"/>
  <c r="AG203" i="4" s="1"/>
  <c r="AJ203" i="4" s="1"/>
  <c r="E21" i="52" s="1"/>
  <c r="AP203" i="4"/>
  <c r="AM88" i="3"/>
  <c r="AL88" i="3"/>
  <c r="R119" i="2"/>
  <c r="U119" i="2" s="1"/>
  <c r="X119" i="2" s="1"/>
  <c r="AA119" i="2" s="1"/>
  <c r="AD119" i="2" s="1"/>
  <c r="AG119" i="2" s="1"/>
  <c r="AJ119" i="2" s="1"/>
  <c r="AP119" i="2"/>
  <c r="R37" i="2"/>
  <c r="U37" i="2" s="1"/>
  <c r="X37" i="2" s="1"/>
  <c r="AA37" i="2" s="1"/>
  <c r="AD37" i="2" s="1"/>
  <c r="AG37" i="2" s="1"/>
  <c r="AJ37" i="2" s="1"/>
  <c r="AP37" i="2"/>
  <c r="AL143" i="3"/>
  <c r="Q296" i="4"/>
  <c r="AM143" i="3"/>
  <c r="AM40" i="3"/>
  <c r="AL51" i="4"/>
  <c r="AM167" i="3"/>
  <c r="AL167" i="3"/>
  <c r="AM295" i="3"/>
  <c r="AL295" i="3"/>
  <c r="AM194" i="3"/>
  <c r="AL194" i="3"/>
  <c r="AM168" i="3"/>
  <c r="AL168" i="3"/>
  <c r="AM9" i="3"/>
  <c r="AL9" i="3"/>
  <c r="AM169" i="3"/>
  <c r="AL169" i="3"/>
  <c r="B226" i="4"/>
  <c r="E127" i="38"/>
  <c r="E124" i="38"/>
  <c r="E123" i="38"/>
  <c r="E122" i="38"/>
  <c r="E121" i="38"/>
  <c r="H90" i="38"/>
  <c r="AE95" i="38" s="1"/>
  <c r="E136" i="4"/>
  <c r="H136" i="4" s="1"/>
  <c r="E145" i="4"/>
  <c r="H145" i="4" s="1"/>
  <c r="K145" i="4" s="1"/>
  <c r="H88" i="38"/>
  <c r="AE65" i="38" s="1"/>
  <c r="H87" i="38"/>
  <c r="AE75" i="38" s="1"/>
  <c r="E144" i="4"/>
  <c r="H144" i="4" s="1"/>
  <c r="E142" i="4"/>
  <c r="H142" i="4" s="1"/>
  <c r="H85" i="38"/>
  <c r="E140" i="4"/>
  <c r="H140" i="4" s="1"/>
  <c r="H83" i="38"/>
  <c r="H62" i="38"/>
  <c r="E121" i="4"/>
  <c r="H121" i="4" s="1"/>
  <c r="H61" i="38"/>
  <c r="E120" i="4"/>
  <c r="H120" i="4" s="1"/>
  <c r="H59" i="38"/>
  <c r="E118" i="4"/>
  <c r="H118" i="4" s="1"/>
  <c r="E116" i="4"/>
  <c r="H116" i="4" s="1"/>
  <c r="H57" i="38"/>
  <c r="I57" i="38" s="1"/>
  <c r="H48" i="38"/>
  <c r="E96" i="4"/>
  <c r="E93" i="4"/>
  <c r="H93" i="4" s="1"/>
  <c r="K93" i="4" s="1"/>
  <c r="N93" i="4" s="1"/>
  <c r="Q93" i="4" s="1"/>
  <c r="T93" i="4" s="1"/>
  <c r="W93" i="4" s="1"/>
  <c r="Z93" i="4" s="1"/>
  <c r="AC93" i="4" s="1"/>
  <c r="AF93" i="4" s="1"/>
  <c r="H45" i="38"/>
  <c r="N38" i="4"/>
  <c r="Q38" i="4" s="1"/>
  <c r="N199" i="2"/>
  <c r="Q199" i="2" s="1"/>
  <c r="T199" i="2" s="1"/>
  <c r="W199" i="2" s="1"/>
  <c r="Z199" i="2" s="1"/>
  <c r="AC199" i="2" s="1"/>
  <c r="AF199" i="2" s="1"/>
  <c r="AI199" i="2" s="1"/>
  <c r="AO199" i="2"/>
  <c r="AM301" i="3"/>
  <c r="AL301" i="3"/>
  <c r="E285" i="4"/>
  <c r="H285" i="4" s="1"/>
  <c r="K285" i="4" s="1"/>
  <c r="H193" i="38"/>
  <c r="AE59" i="38" s="1"/>
  <c r="E284" i="4"/>
  <c r="H284" i="4" s="1"/>
  <c r="K284" i="4" s="1"/>
  <c r="H192" i="38"/>
  <c r="AE69" i="38" s="1"/>
  <c r="E283" i="4"/>
  <c r="H283" i="4" s="1"/>
  <c r="K283" i="4" s="1"/>
  <c r="H191" i="38"/>
  <c r="AE79" i="38" s="1"/>
  <c r="E281" i="4"/>
  <c r="H281" i="4" s="1"/>
  <c r="K281" i="4" s="1"/>
  <c r="H189" i="38"/>
  <c r="AE39" i="38" s="1"/>
  <c r="E278" i="4"/>
  <c r="H278" i="4" s="1"/>
  <c r="K278" i="4" s="1"/>
  <c r="H186" i="38"/>
  <c r="H194" i="38"/>
  <c r="E275" i="4"/>
  <c r="H275" i="4" s="1"/>
  <c r="K275" i="4" s="1"/>
  <c r="V194" i="38"/>
  <c r="O186" i="33"/>
  <c r="AA59" i="38"/>
  <c r="AB59" i="38" s="1"/>
  <c r="E193" i="38"/>
  <c r="AA69" i="38"/>
  <c r="E192" i="38"/>
  <c r="AA79" i="38"/>
  <c r="AB79" i="38" s="1"/>
  <c r="E191" i="38"/>
  <c r="H190" i="38"/>
  <c r="AE49" i="38" s="1"/>
  <c r="E282" i="4"/>
  <c r="H282" i="4" s="1"/>
  <c r="K282" i="4" s="1"/>
  <c r="AA39" i="38"/>
  <c r="AB39" i="38" s="1"/>
  <c r="E189" i="38"/>
  <c r="H188" i="38"/>
  <c r="AE29" i="38" s="1"/>
  <c r="E280" i="4"/>
  <c r="H280" i="4" s="1"/>
  <c r="K280" i="4" s="1"/>
  <c r="H187" i="38"/>
  <c r="E279" i="4"/>
  <c r="H279" i="4" s="1"/>
  <c r="K279" i="4" s="1"/>
  <c r="AT257" i="4"/>
  <c r="AR251" i="4"/>
  <c r="AE20" i="38"/>
  <c r="AF20" i="38" s="1"/>
  <c r="I213" i="38"/>
  <c r="AE60" i="38"/>
  <c r="I219" i="38"/>
  <c r="AE30" i="38"/>
  <c r="AF30" i="38" s="1"/>
  <c r="I214" i="38"/>
  <c r="E218" i="4"/>
  <c r="H218" i="4" s="1"/>
  <c r="K218" i="4" s="1"/>
  <c r="H163" i="38"/>
  <c r="E217" i="4"/>
  <c r="H217" i="4" s="1"/>
  <c r="K217" i="4" s="1"/>
  <c r="H162" i="38"/>
  <c r="I162" i="38" s="1"/>
  <c r="E216" i="4"/>
  <c r="H161" i="38"/>
  <c r="I161" i="38" s="1"/>
  <c r="E212" i="4"/>
  <c r="H212" i="4" s="1"/>
  <c r="K212" i="4" s="1"/>
  <c r="H168" i="38"/>
  <c r="E161" i="38"/>
  <c r="E162" i="38"/>
  <c r="E168" i="38"/>
  <c r="E160" i="38"/>
  <c r="H167" i="38"/>
  <c r="I167" i="38" s="1"/>
  <c r="E222" i="4"/>
  <c r="H222" i="4" s="1"/>
  <c r="H166" i="38"/>
  <c r="I166" i="38" s="1"/>
  <c r="E221" i="4"/>
  <c r="H165" i="38"/>
  <c r="E220" i="4"/>
  <c r="H220" i="4" s="1"/>
  <c r="H164" i="38"/>
  <c r="E219" i="4"/>
  <c r="H219" i="4" s="1"/>
  <c r="H160" i="38"/>
  <c r="I160" i="38" s="1"/>
  <c r="E215" i="4"/>
  <c r="H215" i="4" s="1"/>
  <c r="E208" i="4"/>
  <c r="H208" i="4" s="1"/>
  <c r="K208" i="4" s="1"/>
  <c r="H153" i="38"/>
  <c r="E206" i="4"/>
  <c r="H206" i="4" s="1"/>
  <c r="K206" i="4" s="1"/>
  <c r="H151" i="38"/>
  <c r="E205" i="4"/>
  <c r="H205" i="4" s="1"/>
  <c r="K205" i="4" s="1"/>
  <c r="H150" i="38"/>
  <c r="E204" i="4"/>
  <c r="H204" i="4" s="1"/>
  <c r="K204" i="4" s="1"/>
  <c r="H149" i="38"/>
  <c r="I149" i="38" s="1"/>
  <c r="E202" i="4"/>
  <c r="H202" i="4" s="1"/>
  <c r="K202" i="4" s="1"/>
  <c r="H147" i="38"/>
  <c r="E199" i="4"/>
  <c r="H199" i="4" s="1"/>
  <c r="K199" i="4" s="1"/>
  <c r="H155" i="38"/>
  <c r="E148" i="38"/>
  <c r="E152" i="38"/>
  <c r="E155" i="38"/>
  <c r="E149" i="38"/>
  <c r="H154" i="38"/>
  <c r="E209" i="4"/>
  <c r="H209" i="4" s="1"/>
  <c r="K209" i="4" s="1"/>
  <c r="H152" i="38"/>
  <c r="I152" i="38" s="1"/>
  <c r="E207" i="4"/>
  <c r="H207" i="4" s="1"/>
  <c r="K207" i="4" s="1"/>
  <c r="E203" i="4"/>
  <c r="H203" i="4" s="1"/>
  <c r="K203" i="4" s="1"/>
  <c r="H148" i="38"/>
  <c r="I148" i="38" s="1"/>
  <c r="AA67" i="38"/>
  <c r="AB67" i="38" s="1"/>
  <c r="E140" i="38"/>
  <c r="E192" i="4"/>
  <c r="H192" i="4" s="1"/>
  <c r="K192" i="4" s="1"/>
  <c r="H137" i="38"/>
  <c r="AE37" i="38" s="1"/>
  <c r="E190" i="4"/>
  <c r="H190" i="4" s="1"/>
  <c r="K190" i="4" s="1"/>
  <c r="H135" i="38"/>
  <c r="AE17" i="38" s="1"/>
  <c r="E189" i="4"/>
  <c r="H189" i="4" s="1"/>
  <c r="K189" i="4" s="1"/>
  <c r="H134" i="38"/>
  <c r="E186" i="4"/>
  <c r="H186" i="4" s="1"/>
  <c r="K186" i="4" s="1"/>
  <c r="H142" i="38"/>
  <c r="AA87" i="38"/>
  <c r="H141" i="38"/>
  <c r="E196" i="4"/>
  <c r="H196" i="4" s="1"/>
  <c r="K196" i="4" s="1"/>
  <c r="H140" i="38"/>
  <c r="AE67" i="38" s="1"/>
  <c r="E195" i="4"/>
  <c r="H195" i="4" s="1"/>
  <c r="K195" i="4" s="1"/>
  <c r="H139" i="38"/>
  <c r="E194" i="4"/>
  <c r="H194" i="4" s="1"/>
  <c r="K194" i="4" s="1"/>
  <c r="H138" i="38"/>
  <c r="AE47" i="38" s="1"/>
  <c r="E193" i="4"/>
  <c r="H193" i="4" s="1"/>
  <c r="K193" i="4" s="1"/>
  <c r="AA47" i="38"/>
  <c r="AB47" i="38" s="1"/>
  <c r="E138" i="38"/>
  <c r="AA37" i="38"/>
  <c r="AB37" i="38" s="1"/>
  <c r="E137" i="38"/>
  <c r="H136" i="38"/>
  <c r="E191" i="4"/>
  <c r="H191" i="4" s="1"/>
  <c r="K191" i="4" s="1"/>
  <c r="AA17" i="38"/>
  <c r="AB17" i="38" s="1"/>
  <c r="E135" i="38"/>
  <c r="E173" i="4"/>
  <c r="H173" i="4" s="1"/>
  <c r="K173" i="4" s="1"/>
  <c r="H129" i="38"/>
  <c r="I129" i="38" s="1"/>
  <c r="E183" i="4"/>
  <c r="H183" i="4" s="1"/>
  <c r="K183" i="4" s="1"/>
  <c r="H128" i="38"/>
  <c r="E181" i="4"/>
  <c r="H181" i="4" s="1"/>
  <c r="K181" i="4" s="1"/>
  <c r="H126" i="38"/>
  <c r="E180" i="4"/>
  <c r="H180" i="4" s="1"/>
  <c r="K180" i="4" s="1"/>
  <c r="H125" i="38"/>
  <c r="E178" i="4"/>
  <c r="H178" i="4" s="1"/>
  <c r="H123" i="38"/>
  <c r="I123" i="38" s="1"/>
  <c r="H127" i="38"/>
  <c r="I127" i="38" s="1"/>
  <c r="E182" i="4"/>
  <c r="H182" i="4" s="1"/>
  <c r="K182" i="4" s="1"/>
  <c r="H124" i="38"/>
  <c r="I124" i="38" s="1"/>
  <c r="E179" i="4"/>
  <c r="H179" i="4" s="1"/>
  <c r="K179" i="4" s="1"/>
  <c r="E177" i="4"/>
  <c r="H177" i="4" s="1"/>
  <c r="K177" i="4" s="1"/>
  <c r="H122" i="38"/>
  <c r="H121" i="38"/>
  <c r="I121" i="38" s="1"/>
  <c r="E176" i="4"/>
  <c r="H176" i="4" s="1"/>
  <c r="K176" i="4" s="1"/>
  <c r="E170" i="4"/>
  <c r="H170" i="4" s="1"/>
  <c r="K170" i="4" s="1"/>
  <c r="H115" i="38"/>
  <c r="I115" i="38" s="1"/>
  <c r="E169" i="4"/>
  <c r="H169" i="4" s="1"/>
  <c r="K169" i="4" s="1"/>
  <c r="H114" i="38"/>
  <c r="I114" i="38" s="1"/>
  <c r="E167" i="4"/>
  <c r="H167" i="4" s="1"/>
  <c r="K167" i="4" s="1"/>
  <c r="H112" i="38"/>
  <c r="E165" i="4"/>
  <c r="H165" i="4" s="1"/>
  <c r="K165" i="4" s="1"/>
  <c r="H110" i="38"/>
  <c r="I110" i="38" s="1"/>
  <c r="E163" i="4"/>
  <c r="H163" i="4" s="1"/>
  <c r="K163" i="4" s="1"/>
  <c r="H108" i="38"/>
  <c r="E111" i="38"/>
  <c r="E114" i="38"/>
  <c r="E109" i="38"/>
  <c r="E112" i="38"/>
  <c r="E115" i="38"/>
  <c r="E110" i="38"/>
  <c r="V116" i="38"/>
  <c r="T92" i="32"/>
  <c r="H116" i="38"/>
  <c r="E160" i="4"/>
  <c r="H160" i="4" s="1"/>
  <c r="K160" i="4" s="1"/>
  <c r="H113" i="38"/>
  <c r="E168" i="4"/>
  <c r="H168" i="4" s="1"/>
  <c r="K168" i="4" s="1"/>
  <c r="H111" i="38"/>
  <c r="I111" i="38" s="1"/>
  <c r="E166" i="4"/>
  <c r="H166" i="4" s="1"/>
  <c r="K166" i="4" s="1"/>
  <c r="H109" i="38"/>
  <c r="I109" i="38" s="1"/>
  <c r="E164" i="4"/>
  <c r="H164" i="4" s="1"/>
  <c r="AA65" i="38"/>
  <c r="E88" i="38"/>
  <c r="AA75" i="38"/>
  <c r="AB75" i="38" s="1"/>
  <c r="E87" i="38"/>
  <c r="H86" i="38"/>
  <c r="AE45" i="38" s="1"/>
  <c r="E143" i="4"/>
  <c r="H143" i="4" s="1"/>
  <c r="E141" i="4"/>
  <c r="H141" i="4" s="1"/>
  <c r="K141" i="4" s="1"/>
  <c r="H84" i="38"/>
  <c r="AA15" i="38"/>
  <c r="AB15" i="38" s="1"/>
  <c r="E83" i="38"/>
  <c r="AA5" i="38"/>
  <c r="AB5" i="38" s="1"/>
  <c r="E82" i="38"/>
  <c r="E139" i="4"/>
  <c r="H139" i="4" s="1"/>
  <c r="H82" i="38"/>
  <c r="AE5" i="38" s="1"/>
  <c r="E122" i="4"/>
  <c r="H122" i="4" s="1"/>
  <c r="K122" i="4" s="1"/>
  <c r="H63" i="38"/>
  <c r="E119" i="4"/>
  <c r="H119" i="4" s="1"/>
  <c r="K119" i="4" s="1"/>
  <c r="H60" i="38"/>
  <c r="E115" i="4"/>
  <c r="H115" i="4" s="1"/>
  <c r="K115" i="4" s="1"/>
  <c r="H56" i="38"/>
  <c r="E62" i="38"/>
  <c r="E59" i="38"/>
  <c r="E60" i="38"/>
  <c r="E57" i="38"/>
  <c r="H64" i="38"/>
  <c r="E112" i="4"/>
  <c r="H112" i="4" s="1"/>
  <c r="K112" i="4" s="1"/>
  <c r="H58" i="38"/>
  <c r="E117" i="4"/>
  <c r="H117" i="4" s="1"/>
  <c r="K117" i="4" s="1"/>
  <c r="AM119" i="3"/>
  <c r="AL119" i="3"/>
  <c r="E95" i="4"/>
  <c r="H47" i="38"/>
  <c r="I47" i="38" s="1"/>
  <c r="H44" i="38"/>
  <c r="E92" i="4"/>
  <c r="H92" i="4" s="1"/>
  <c r="H51" i="38"/>
  <c r="I51" i="38" s="1"/>
  <c r="E88" i="4"/>
  <c r="E48" i="38"/>
  <c r="E47" i="38"/>
  <c r="E51" i="38"/>
  <c r="AO93" i="4"/>
  <c r="E98" i="4"/>
  <c r="H50" i="38"/>
  <c r="I50" i="38" s="1"/>
  <c r="E97" i="4"/>
  <c r="H97" i="4" s="1"/>
  <c r="K97" i="4" s="1"/>
  <c r="H49" i="38"/>
  <c r="E94" i="4"/>
  <c r="H94" i="4" s="1"/>
  <c r="K94" i="4" s="1"/>
  <c r="H46" i="38"/>
  <c r="E91" i="4"/>
  <c r="H91" i="4" s="1"/>
  <c r="K91" i="4" s="1"/>
  <c r="H43" i="38"/>
  <c r="E41" i="4"/>
  <c r="H41" i="4" s="1"/>
  <c r="K41" i="4" s="1"/>
  <c r="H22" i="38"/>
  <c r="E37" i="4"/>
  <c r="H37" i="4" s="1"/>
  <c r="K37" i="4" s="1"/>
  <c r="H18" i="38"/>
  <c r="I18" i="38" s="1"/>
  <c r="E36" i="4"/>
  <c r="H36" i="4" s="1"/>
  <c r="K36" i="4" s="1"/>
  <c r="N36" i="4" s="1"/>
  <c r="H17" i="38"/>
  <c r="E18" i="38"/>
  <c r="E19" i="38"/>
  <c r="E21" i="38"/>
  <c r="H21" i="38"/>
  <c r="E40" i="4"/>
  <c r="H40" i="4" s="1"/>
  <c r="H19" i="38"/>
  <c r="I19" i="38" s="1"/>
  <c r="D38" i="4"/>
  <c r="H25" i="38"/>
  <c r="E32" i="4"/>
  <c r="H32" i="4" s="1"/>
  <c r="F7" i="3"/>
  <c r="B86" i="4"/>
  <c r="B157" i="4"/>
  <c r="B133" i="4"/>
  <c r="B233" i="4"/>
  <c r="H11" i="38"/>
  <c r="B108" i="4"/>
  <c r="B85" i="4"/>
  <c r="B156" i="4"/>
  <c r="E15" i="4"/>
  <c r="H15" i="4" s="1"/>
  <c r="H156" i="4" s="1"/>
  <c r="B132" i="4"/>
  <c r="B131" i="4"/>
  <c r="B107" i="4"/>
  <c r="B155" i="4"/>
  <c r="B84" i="4"/>
  <c r="E14" i="4"/>
  <c r="E231" i="4" s="1"/>
  <c r="B106" i="4"/>
  <c r="B130" i="4"/>
  <c r="B83" i="4"/>
  <c r="B229" i="4"/>
  <c r="B129" i="4"/>
  <c r="H7" i="38"/>
  <c r="B105" i="4"/>
  <c r="B153" i="4"/>
  <c r="B152" i="4"/>
  <c r="B81" i="4"/>
  <c r="B128" i="4"/>
  <c r="W25" i="3"/>
  <c r="W21" i="3"/>
  <c r="W26" i="3"/>
  <c r="W23" i="3"/>
  <c r="W20" i="3"/>
  <c r="W22" i="3"/>
  <c r="Q27" i="3"/>
  <c r="AO27" i="3" s="1"/>
  <c r="Q23" i="3"/>
  <c r="AO23" i="3" s="1"/>
  <c r="Q21" i="3"/>
  <c r="AO21" i="3" s="1"/>
  <c r="Q25" i="3"/>
  <c r="AO25" i="3" s="1"/>
  <c r="Q22" i="3"/>
  <c r="AO22" i="3" s="1"/>
  <c r="Q26" i="3"/>
  <c r="AO26" i="3" s="1"/>
  <c r="Q24" i="3"/>
  <c r="AO24" i="3" s="1"/>
  <c r="Q20" i="3"/>
  <c r="AO20" i="3" s="1"/>
  <c r="B103" i="4"/>
  <c r="H5" i="38"/>
  <c r="H96" i="38" s="1"/>
  <c r="B227" i="4"/>
  <c r="E10" i="4"/>
  <c r="H10" i="4" s="1"/>
  <c r="B80" i="4"/>
  <c r="B127" i="4"/>
  <c r="B151" i="4"/>
  <c r="B150" i="4"/>
  <c r="B102" i="4"/>
  <c r="B79" i="4"/>
  <c r="B126" i="4"/>
  <c r="V69" i="38"/>
  <c r="V95" i="38"/>
  <c r="B33" i="3"/>
  <c r="B89" i="3"/>
  <c r="B30" i="4"/>
  <c r="B6" i="4"/>
  <c r="D12" i="38"/>
  <c r="D37" i="38"/>
  <c r="AA54" i="38"/>
  <c r="D76" i="38"/>
  <c r="AA56" i="38" s="1"/>
  <c r="D102" i="38"/>
  <c r="B109" i="4"/>
  <c r="E16" i="4"/>
  <c r="D36" i="38"/>
  <c r="AA64" i="38"/>
  <c r="D75" i="38"/>
  <c r="AA66" i="38" s="1"/>
  <c r="D101" i="38"/>
  <c r="D35" i="38"/>
  <c r="D74" i="38"/>
  <c r="AA76" i="38" s="1"/>
  <c r="AA74" i="38"/>
  <c r="D100" i="38"/>
  <c r="E13" i="4"/>
  <c r="E154" i="4" s="1"/>
  <c r="H8" i="38"/>
  <c r="H99" i="38" s="1"/>
  <c r="D34" i="38"/>
  <c r="AA44" i="38"/>
  <c r="D73" i="38"/>
  <c r="AA46" i="38" s="1"/>
  <c r="D99" i="38"/>
  <c r="E12" i="4"/>
  <c r="B82" i="4"/>
  <c r="D33" i="38"/>
  <c r="E33" i="38" s="1"/>
  <c r="AA34" i="38"/>
  <c r="AB34" i="38" s="1"/>
  <c r="D72" i="38"/>
  <c r="D98" i="38"/>
  <c r="E98" i="38" s="1"/>
  <c r="E11" i="4"/>
  <c r="B104" i="4"/>
  <c r="B228" i="4"/>
  <c r="H6" i="38"/>
  <c r="AA24" i="38"/>
  <c r="AB24" i="38" s="1"/>
  <c r="D32" i="38"/>
  <c r="D71" i="38"/>
  <c r="D97" i="38"/>
  <c r="E97" i="38" s="1"/>
  <c r="AA14" i="38"/>
  <c r="AB14" i="38" s="1"/>
  <c r="D31" i="38"/>
  <c r="D70" i="38"/>
  <c r="D96" i="38"/>
  <c r="E96" i="38" s="1"/>
  <c r="E9" i="4"/>
  <c r="H4" i="38"/>
  <c r="H95" i="38" s="1"/>
  <c r="AA4" i="38"/>
  <c r="AB4" i="38" s="1"/>
  <c r="D69" i="38"/>
  <c r="D95" i="38"/>
  <c r="E95" i="38" s="1"/>
  <c r="H10" i="38"/>
  <c r="B232" i="4"/>
  <c r="H9" i="38"/>
  <c r="B231" i="4"/>
  <c r="B154" i="4"/>
  <c r="B230" i="4"/>
  <c r="E80" i="4"/>
  <c r="AE54" i="38"/>
  <c r="H76" i="38"/>
  <c r="AE56" i="38" s="1"/>
  <c r="AE34" i="38"/>
  <c r="AL311" i="3"/>
  <c r="AM311" i="3"/>
  <c r="AL296" i="3"/>
  <c r="AM296" i="3"/>
  <c r="AM298" i="3"/>
  <c r="AL298" i="3"/>
  <c r="AP236" i="3"/>
  <c r="D22" i="29"/>
  <c r="C20" i="29"/>
  <c r="N281" i="2"/>
  <c r="Q281" i="2" s="1"/>
  <c r="T281" i="2" s="1"/>
  <c r="W281" i="2" s="1"/>
  <c r="Z281" i="2" s="1"/>
  <c r="AC281" i="2" s="1"/>
  <c r="AF281" i="2" s="1"/>
  <c r="AI281" i="2" s="1"/>
  <c r="AO281" i="2"/>
  <c r="N279" i="2"/>
  <c r="Q279" i="2" s="1"/>
  <c r="T279" i="2" s="1"/>
  <c r="W279" i="2" s="1"/>
  <c r="Z279" i="2" s="1"/>
  <c r="AC279" i="2" s="1"/>
  <c r="AF279" i="2" s="1"/>
  <c r="AI279" i="2" s="1"/>
  <c r="AO279" i="2"/>
  <c r="N278" i="2"/>
  <c r="Q278" i="2" s="1"/>
  <c r="T278" i="2" s="1"/>
  <c r="W278" i="2" s="1"/>
  <c r="Z278" i="2" s="1"/>
  <c r="AC278" i="2" s="1"/>
  <c r="AF278" i="2" s="1"/>
  <c r="AI278" i="2" s="1"/>
  <c r="AO278" i="2"/>
  <c r="H262" i="3"/>
  <c r="AO249" i="3"/>
  <c r="K262" i="2"/>
  <c r="AO249" i="2"/>
  <c r="K262" i="4"/>
  <c r="AO249" i="4"/>
  <c r="AM239" i="1"/>
  <c r="AO268" i="4"/>
  <c r="AL242" i="3"/>
  <c r="AM242" i="3"/>
  <c r="N219" i="2"/>
  <c r="Q219" i="2" s="1"/>
  <c r="E13" i="5"/>
  <c r="D13" i="5"/>
  <c r="AM118" i="1"/>
  <c r="N88" i="2"/>
  <c r="Q88" i="2" s="1"/>
  <c r="T88" i="2" s="1"/>
  <c r="W88" i="2" s="1"/>
  <c r="Z88" i="2" s="1"/>
  <c r="AC88" i="2" s="1"/>
  <c r="AF88" i="2" s="1"/>
  <c r="AI88" i="2" s="1"/>
  <c r="AO88" i="2"/>
  <c r="N32" i="2"/>
  <c r="Q32" i="2" s="1"/>
  <c r="T32" i="2" s="1"/>
  <c r="W32" i="2" s="1"/>
  <c r="Z32" i="2" s="1"/>
  <c r="AC32" i="2" s="1"/>
  <c r="AF32" i="2" s="1"/>
  <c r="AI32" i="2" s="1"/>
  <c r="AO32" i="2"/>
  <c r="N31" i="4"/>
  <c r="Q31" i="4" s="1"/>
  <c r="AO31" i="4"/>
  <c r="AI24" i="1"/>
  <c r="AI20" i="1"/>
  <c r="AI26" i="1"/>
  <c r="AI21" i="1"/>
  <c r="AI25" i="1"/>
  <c r="AI23" i="1"/>
  <c r="AF20" i="1"/>
  <c r="AF22" i="1"/>
  <c r="AC24" i="3"/>
  <c r="AC25" i="3"/>
  <c r="AC22" i="3"/>
  <c r="AC21" i="3"/>
  <c r="AC20" i="3"/>
  <c r="AC23" i="3"/>
  <c r="AC27" i="3"/>
  <c r="AC26" i="3"/>
  <c r="Z24" i="3"/>
  <c r="Z21" i="3"/>
  <c r="Z23" i="3"/>
  <c r="Z22" i="3"/>
  <c r="Z20" i="3"/>
  <c r="Z27" i="3"/>
  <c r="Z26" i="3"/>
  <c r="Z25" i="3"/>
  <c r="W24" i="3"/>
  <c r="W27" i="3"/>
  <c r="V73" i="38"/>
  <c r="V13" i="38"/>
  <c r="V34" i="38"/>
  <c r="V99" i="38"/>
  <c r="AF25" i="1"/>
  <c r="AF24" i="1"/>
  <c r="AF21" i="1"/>
  <c r="AF26" i="1"/>
  <c r="AF27" i="1"/>
  <c r="AF23" i="1"/>
  <c r="AC20" i="1"/>
  <c r="AC25" i="1"/>
  <c r="AC27" i="1"/>
  <c r="AC22" i="1"/>
  <c r="AC24" i="1"/>
  <c r="AC21" i="1"/>
  <c r="Z26" i="1"/>
  <c r="Z23" i="1"/>
  <c r="Z25" i="1"/>
  <c r="Z20" i="1"/>
  <c r="Z22" i="1"/>
  <c r="Z27" i="1"/>
  <c r="T25" i="1"/>
  <c r="T22" i="1"/>
  <c r="T21" i="1"/>
  <c r="T26" i="1"/>
  <c r="T20" i="1"/>
  <c r="T27" i="1"/>
  <c r="T23" i="1"/>
  <c r="T24" i="1"/>
  <c r="Q20" i="1"/>
  <c r="Q25" i="1"/>
  <c r="Q27" i="1"/>
  <c r="AO27" i="1" s="1"/>
  <c r="Q21" i="1"/>
  <c r="AO21" i="1" s="1"/>
  <c r="Q24" i="1"/>
  <c r="Q22" i="1"/>
  <c r="AO22" i="1" s="1"/>
  <c r="N26" i="1"/>
  <c r="N23" i="1"/>
  <c r="N27" i="1"/>
  <c r="N22" i="1"/>
  <c r="N25" i="1"/>
  <c r="N20" i="1"/>
  <c r="K24" i="1"/>
  <c r="K23" i="1"/>
  <c r="AO6" i="1"/>
  <c r="K25" i="1"/>
  <c r="K26" i="1"/>
  <c r="K21" i="1"/>
  <c r="K20" i="1"/>
  <c r="AO20" i="1" s="1"/>
  <c r="H25" i="1"/>
  <c r="H22" i="1"/>
  <c r="H26" i="1"/>
  <c r="H27" i="1"/>
  <c r="H24" i="1"/>
  <c r="AO24" i="1" s="1"/>
  <c r="H21" i="1"/>
  <c r="H20" i="1"/>
  <c r="H23" i="1"/>
  <c r="E20" i="1"/>
  <c r="E25" i="1"/>
  <c r="E21" i="1"/>
  <c r="E24" i="1"/>
  <c r="E22" i="1"/>
  <c r="E27" i="1"/>
  <c r="B26" i="1"/>
  <c r="B27" i="1"/>
  <c r="B22" i="1"/>
  <c r="B20" i="1"/>
  <c r="B25" i="1"/>
  <c r="AO25" i="1" s="1"/>
  <c r="B23" i="1"/>
  <c r="B6" i="2"/>
  <c r="B33" i="1"/>
  <c r="B30" i="2"/>
  <c r="AI20" i="3"/>
  <c r="AI23" i="3"/>
  <c r="AI24" i="3"/>
  <c r="AI26" i="3"/>
  <c r="AI21" i="3"/>
  <c r="AI22" i="3"/>
  <c r="AI25" i="3"/>
  <c r="AI27" i="3"/>
  <c r="E16" i="2"/>
  <c r="B86" i="2"/>
  <c r="B133" i="2"/>
  <c r="B157" i="2"/>
  <c r="B233" i="2"/>
  <c r="B109" i="2"/>
  <c r="E15" i="2"/>
  <c r="G15" i="2" s="1"/>
  <c r="B85" i="2"/>
  <c r="B108" i="2"/>
  <c r="B156" i="2"/>
  <c r="B232" i="2"/>
  <c r="B132" i="2"/>
  <c r="E14" i="2"/>
  <c r="B84" i="2"/>
  <c r="B107" i="2"/>
  <c r="B155" i="2"/>
  <c r="B231" i="2"/>
  <c r="B131" i="2"/>
  <c r="E13" i="2"/>
  <c r="B83" i="2"/>
  <c r="B106" i="2"/>
  <c r="B154" i="2"/>
  <c r="B230" i="2"/>
  <c r="B130" i="2"/>
  <c r="E12" i="2"/>
  <c r="B82" i="2"/>
  <c r="B105" i="2"/>
  <c r="B153" i="2"/>
  <c r="B229" i="2"/>
  <c r="E10" i="2"/>
  <c r="B80" i="2"/>
  <c r="B103" i="2"/>
  <c r="B227" i="2"/>
  <c r="B127" i="2"/>
  <c r="B151" i="2"/>
  <c r="E9" i="2"/>
  <c r="B79" i="2"/>
  <c r="B102" i="2"/>
  <c r="B150" i="2"/>
  <c r="B226" i="2"/>
  <c r="B126" i="2"/>
  <c r="AO129" i="1"/>
  <c r="K33" i="3"/>
  <c r="AO33" i="3" s="1"/>
  <c r="AO30" i="3"/>
  <c r="O304" i="2"/>
  <c r="R304" i="2" s="1"/>
  <c r="U304" i="2" s="1"/>
  <c r="X304" i="2" s="1"/>
  <c r="AA304" i="2" s="1"/>
  <c r="AD304" i="2" s="1"/>
  <c r="AG304" i="2" s="1"/>
  <c r="AJ304" i="2" s="1"/>
  <c r="AP304" i="2"/>
  <c r="O311" i="2"/>
  <c r="R311" i="2" s="1"/>
  <c r="U311" i="2" s="1"/>
  <c r="X311" i="2" s="1"/>
  <c r="AA311" i="2" s="1"/>
  <c r="AD311" i="2" s="1"/>
  <c r="AG311" i="2" s="1"/>
  <c r="AJ311" i="2" s="1"/>
  <c r="AP311" i="2"/>
  <c r="O310" i="2"/>
  <c r="R310" i="2" s="1"/>
  <c r="U310" i="2" s="1"/>
  <c r="X310" i="2" s="1"/>
  <c r="AA310" i="2" s="1"/>
  <c r="AD310" i="2" s="1"/>
  <c r="AG310" i="2" s="1"/>
  <c r="AJ310" i="2" s="1"/>
  <c r="AP310" i="2"/>
  <c r="O293" i="2"/>
  <c r="R293" i="2" s="1"/>
  <c r="U293" i="2" s="1"/>
  <c r="X293" i="2" s="1"/>
  <c r="AA293" i="2" s="1"/>
  <c r="AD293" i="2" s="1"/>
  <c r="AG293" i="2" s="1"/>
  <c r="AJ293" i="2" s="1"/>
  <c r="AP293" i="2"/>
  <c r="O294" i="2"/>
  <c r="R294" i="2" s="1"/>
  <c r="U294" i="2" s="1"/>
  <c r="X294" i="2" s="1"/>
  <c r="AA294" i="2" s="1"/>
  <c r="AD294" i="2" s="1"/>
  <c r="AG294" i="2" s="1"/>
  <c r="AJ294" i="2" s="1"/>
  <c r="AP294" i="2"/>
  <c r="O296" i="2"/>
  <c r="R296" i="2" s="1"/>
  <c r="U296" i="2" s="1"/>
  <c r="X296" i="2" s="1"/>
  <c r="AA296" i="2" s="1"/>
  <c r="AD296" i="2" s="1"/>
  <c r="AG296" i="2" s="1"/>
  <c r="AJ296" i="2" s="1"/>
  <c r="AP296" i="2"/>
  <c r="O297" i="2"/>
  <c r="AM275" i="1"/>
  <c r="AL275" i="1"/>
  <c r="AP272" i="1"/>
  <c r="AM243" i="1"/>
  <c r="AL243" i="1"/>
  <c r="AM202" i="1"/>
  <c r="AL202" i="1"/>
  <c r="AM96" i="1"/>
  <c r="AL96" i="1"/>
  <c r="AM205" i="3"/>
  <c r="AL205" i="3"/>
  <c r="AM209" i="3"/>
  <c r="AL209" i="3"/>
  <c r="AM191" i="3"/>
  <c r="AL191" i="3"/>
  <c r="AM140" i="3"/>
  <c r="AL140" i="3"/>
  <c r="AM195" i="3"/>
  <c r="AL195" i="3"/>
  <c r="AM254" i="3"/>
  <c r="AL254" i="3"/>
  <c r="AP249" i="3"/>
  <c r="C262" i="3"/>
  <c r="C220" i="38" s="1"/>
  <c r="AM259" i="3"/>
  <c r="AL259" i="3"/>
  <c r="AM208" i="3"/>
  <c r="AL208" i="3"/>
  <c r="F11" i="46"/>
  <c r="L292" i="2"/>
  <c r="L278" i="2"/>
  <c r="O278" i="2" s="1"/>
  <c r="R278" i="2" s="1"/>
  <c r="U278" i="2" s="1"/>
  <c r="X278" i="2" s="1"/>
  <c r="AA278" i="2" s="1"/>
  <c r="AD278" i="2" s="1"/>
  <c r="AG278" i="2" s="1"/>
  <c r="AJ278" i="2" s="1"/>
  <c r="AP278" i="2"/>
  <c r="AL267" i="1"/>
  <c r="AM267" i="1"/>
  <c r="AL268" i="1"/>
  <c r="AM268" i="1"/>
  <c r="AL265" i="1"/>
  <c r="AM265" i="1"/>
  <c r="L206" i="2"/>
  <c r="O206" i="2" s="1"/>
  <c r="R206" i="2" s="1"/>
  <c r="U206" i="2" s="1"/>
  <c r="X206" i="2" s="1"/>
  <c r="AA206" i="2" s="1"/>
  <c r="AD206" i="2" s="1"/>
  <c r="AG206" i="2" s="1"/>
  <c r="AJ206" i="2" s="1"/>
  <c r="AP206" i="2"/>
  <c r="L160" i="2"/>
  <c r="O160" i="2" s="1"/>
  <c r="R160" i="2" s="1"/>
  <c r="U160" i="2" s="1"/>
  <c r="X160" i="2" s="1"/>
  <c r="AA160" i="2" s="1"/>
  <c r="AD160" i="2" s="1"/>
  <c r="AG160" i="2" s="1"/>
  <c r="AJ160" i="2" s="1"/>
  <c r="AP160" i="2"/>
  <c r="L165" i="2"/>
  <c r="O165" i="2" s="1"/>
  <c r="R165" i="2" s="1"/>
  <c r="U165" i="2" s="1"/>
  <c r="X165" i="2" s="1"/>
  <c r="AA165" i="2" s="1"/>
  <c r="AD165" i="2" s="1"/>
  <c r="AG165" i="2" s="1"/>
  <c r="AJ165" i="2" s="1"/>
  <c r="AP165" i="2"/>
  <c r="L96" i="2"/>
  <c r="O96" i="2" s="1"/>
  <c r="R96" i="2" s="1"/>
  <c r="U96" i="2" s="1"/>
  <c r="X96" i="2" s="1"/>
  <c r="AA96" i="2" s="1"/>
  <c r="AD96" i="2" s="1"/>
  <c r="AG96" i="2" s="1"/>
  <c r="AJ96" i="2" s="1"/>
  <c r="AP96" i="2"/>
  <c r="AM194" i="1"/>
  <c r="AL194" i="1"/>
  <c r="AL186" i="1"/>
  <c r="AM186" i="1"/>
  <c r="L189" i="2"/>
  <c r="O189" i="2" s="1"/>
  <c r="R189" i="2" s="1"/>
  <c r="U189" i="2" s="1"/>
  <c r="X189" i="2" s="1"/>
  <c r="AA189" i="2" s="1"/>
  <c r="AD189" i="2" s="1"/>
  <c r="AG189" i="2" s="1"/>
  <c r="AJ189" i="2" s="1"/>
  <c r="AP189" i="2"/>
  <c r="L31" i="2"/>
  <c r="O31" i="2" s="1"/>
  <c r="R31" i="2" s="1"/>
  <c r="U31" i="2" s="1"/>
  <c r="X31" i="2" s="1"/>
  <c r="AA31" i="2" s="1"/>
  <c r="AD31" i="2" s="1"/>
  <c r="AG31" i="2" s="1"/>
  <c r="AJ31" i="2" s="1"/>
  <c r="AP31" i="2"/>
  <c r="AL32" i="1"/>
  <c r="AM32" i="1"/>
  <c r="L43" i="2"/>
  <c r="O43" i="2" s="1"/>
  <c r="R43" i="2" s="1"/>
  <c r="U43" i="2" s="1"/>
  <c r="X43" i="2" s="1"/>
  <c r="AA43" i="2" s="1"/>
  <c r="AD43" i="2" s="1"/>
  <c r="AG43" i="2" s="1"/>
  <c r="AJ43" i="2" s="1"/>
  <c r="AP43" i="2"/>
  <c r="L308" i="2"/>
  <c r="O308" i="2" s="1"/>
  <c r="R308" i="2" s="1"/>
  <c r="U308" i="2" s="1"/>
  <c r="X308" i="2" s="1"/>
  <c r="AA308" i="2" s="1"/>
  <c r="AD308" i="2" s="1"/>
  <c r="AG308" i="2" s="1"/>
  <c r="AJ308" i="2" s="1"/>
  <c r="AP308" i="2"/>
  <c r="L298" i="2"/>
  <c r="O298" i="2" s="1"/>
  <c r="L280" i="2"/>
  <c r="O280" i="2" s="1"/>
  <c r="R280" i="2" s="1"/>
  <c r="U280" i="2" s="1"/>
  <c r="X280" i="2" s="1"/>
  <c r="AA280" i="2" s="1"/>
  <c r="AD280" i="2" s="1"/>
  <c r="AG280" i="2" s="1"/>
  <c r="AJ280" i="2" s="1"/>
  <c r="AP280" i="2"/>
  <c r="AL252" i="2"/>
  <c r="AL256" i="2"/>
  <c r="AP271" i="1"/>
  <c r="AL258" i="2"/>
  <c r="AP268" i="2"/>
  <c r="AL270" i="1"/>
  <c r="AM270" i="1"/>
  <c r="AM272" i="1"/>
  <c r="AL272" i="1"/>
  <c r="L217" i="2"/>
  <c r="O217" i="2" s="1"/>
  <c r="R217" i="2" s="1"/>
  <c r="U217" i="2" s="1"/>
  <c r="X217" i="2" s="1"/>
  <c r="AA217" i="2" s="1"/>
  <c r="AD217" i="2" s="1"/>
  <c r="AG217" i="2" s="1"/>
  <c r="AJ217" i="2" s="1"/>
  <c r="AP217" i="2"/>
  <c r="L221" i="2"/>
  <c r="O221" i="2" s="1"/>
  <c r="R221" i="2" s="1"/>
  <c r="U221" i="2" s="1"/>
  <c r="X221" i="2" s="1"/>
  <c r="AA221" i="2" s="1"/>
  <c r="AD221" i="2" s="1"/>
  <c r="AG221" i="2" s="1"/>
  <c r="AJ221" i="2" s="1"/>
  <c r="AP221" i="2"/>
  <c r="L202" i="2"/>
  <c r="O202" i="2" s="1"/>
  <c r="R202" i="2" s="1"/>
  <c r="U202" i="2" s="1"/>
  <c r="X202" i="2" s="1"/>
  <c r="AA202" i="2" s="1"/>
  <c r="AD202" i="2" s="1"/>
  <c r="AG202" i="2" s="1"/>
  <c r="AJ202" i="2" s="1"/>
  <c r="AP202" i="2"/>
  <c r="L193" i="2"/>
  <c r="O193" i="2" s="1"/>
  <c r="R193" i="2" s="1"/>
  <c r="U193" i="2" s="1"/>
  <c r="X193" i="2" s="1"/>
  <c r="AA193" i="2" s="1"/>
  <c r="AD193" i="2" s="1"/>
  <c r="AG193" i="2" s="1"/>
  <c r="AJ193" i="2" s="1"/>
  <c r="AP193" i="2"/>
  <c r="L191" i="2"/>
  <c r="O191" i="2" s="1"/>
  <c r="R191" i="2" s="1"/>
  <c r="U191" i="2" s="1"/>
  <c r="X191" i="2" s="1"/>
  <c r="AA191" i="2" s="1"/>
  <c r="AD191" i="2" s="1"/>
  <c r="AG191" i="2" s="1"/>
  <c r="AJ191" i="2" s="1"/>
  <c r="AP191" i="2"/>
  <c r="L195" i="2"/>
  <c r="O195" i="2" s="1"/>
  <c r="R195" i="2" s="1"/>
  <c r="U195" i="2" s="1"/>
  <c r="L180" i="2"/>
  <c r="O180" i="2" s="1"/>
  <c r="R180" i="2" s="1"/>
  <c r="U180" i="2" s="1"/>
  <c r="X180" i="2" s="1"/>
  <c r="AA180" i="2" s="1"/>
  <c r="AD180" i="2" s="1"/>
  <c r="AG180" i="2" s="1"/>
  <c r="AJ180" i="2" s="1"/>
  <c r="AP180" i="2"/>
  <c r="L178" i="2"/>
  <c r="O178" i="2" s="1"/>
  <c r="R178" i="2" s="1"/>
  <c r="U178" i="2" s="1"/>
  <c r="X178" i="2" s="1"/>
  <c r="AA178" i="2" s="1"/>
  <c r="AD178" i="2" s="1"/>
  <c r="AG178" i="2" s="1"/>
  <c r="AJ178" i="2" s="1"/>
  <c r="AP178" i="2"/>
  <c r="AM136" i="1"/>
  <c r="AL136" i="1"/>
  <c r="L122" i="2"/>
  <c r="O122" i="2" s="1"/>
  <c r="R122" i="2" s="1"/>
  <c r="U122" i="2" s="1"/>
  <c r="X122" i="2" s="1"/>
  <c r="AA122" i="2" s="1"/>
  <c r="AD122" i="2" s="1"/>
  <c r="AG122" i="2" s="1"/>
  <c r="AJ122" i="2" s="1"/>
  <c r="AP122" i="2"/>
  <c r="L115" i="2"/>
  <c r="O115" i="2" s="1"/>
  <c r="L41" i="2"/>
  <c r="O41" i="2" s="1"/>
  <c r="R41" i="2" s="1"/>
  <c r="U41" i="2" s="1"/>
  <c r="X41" i="2" s="1"/>
  <c r="AA41" i="2" s="1"/>
  <c r="AD41" i="2" s="1"/>
  <c r="AG41" i="2" s="1"/>
  <c r="AJ41" i="2" s="1"/>
  <c r="AP41" i="2"/>
  <c r="AP6" i="1"/>
  <c r="I27" i="1"/>
  <c r="I25" i="1"/>
  <c r="AP25" i="1" s="1"/>
  <c r="I20" i="1"/>
  <c r="AP20" i="1" s="1"/>
  <c r="I26" i="1"/>
  <c r="AP26" i="1" s="1"/>
  <c r="I24" i="1"/>
  <c r="AP24" i="1" s="1"/>
  <c r="F25" i="1"/>
  <c r="F22" i="1"/>
  <c r="F23" i="1"/>
  <c r="F20" i="1"/>
  <c r="F27" i="1"/>
  <c r="F26" i="1"/>
  <c r="F21" i="1"/>
  <c r="F24" i="1"/>
  <c r="C30" i="2"/>
  <c r="C33" i="1"/>
  <c r="C21" i="1"/>
  <c r="C24" i="1"/>
  <c r="C25" i="1"/>
  <c r="C22" i="1"/>
  <c r="C20" i="1"/>
  <c r="C26" i="1"/>
  <c r="C27" i="1"/>
  <c r="C6" i="2"/>
  <c r="AP21" i="1"/>
  <c r="AP22" i="1"/>
  <c r="AP227" i="1"/>
  <c r="AM227" i="1" s="1"/>
  <c r="AP133" i="1"/>
  <c r="AM133" i="1" s="1"/>
  <c r="AP27" i="1"/>
  <c r="AP231" i="1"/>
  <c r="AM231" i="1" s="1"/>
  <c r="AP154" i="1"/>
  <c r="AM154" i="1" s="1"/>
  <c r="AP229" i="1"/>
  <c r="AM229" i="1" s="1"/>
  <c r="AP23" i="1"/>
  <c r="AP230" i="1"/>
  <c r="AM230" i="1" s="1"/>
  <c r="AP130" i="1"/>
  <c r="AM130" i="1" s="1"/>
  <c r="AP150" i="1"/>
  <c r="AM150" i="1" s="1"/>
  <c r="AP129" i="1"/>
  <c r="AP128" i="1"/>
  <c r="AM128" i="1" s="1"/>
  <c r="AP155" i="1"/>
  <c r="AM155" i="1" s="1"/>
  <c r="AP226" i="1"/>
  <c r="AM226" i="1" s="1"/>
  <c r="AP127" i="1"/>
  <c r="AM127" i="1" s="1"/>
  <c r="AP132" i="1"/>
  <c r="AM132" i="1" s="1"/>
  <c r="AP83" i="1"/>
  <c r="AM83" i="1" s="1"/>
  <c r="AL283" i="3"/>
  <c r="AM283" i="3"/>
  <c r="AM279" i="3"/>
  <c r="AL279" i="3"/>
  <c r="AL281" i="3"/>
  <c r="AM281" i="3"/>
  <c r="L279" i="4"/>
  <c r="O279" i="4" s="1"/>
  <c r="R279" i="4" s="1"/>
  <c r="U279" i="4" s="1"/>
  <c r="I216" i="38"/>
  <c r="AD50" i="38"/>
  <c r="AF50" i="38" s="1"/>
  <c r="I217" i="38"/>
  <c r="AD80" i="38"/>
  <c r="AP272" i="4"/>
  <c r="AP267" i="4"/>
  <c r="AP271" i="4"/>
  <c r="AP265" i="4"/>
  <c r="AM219" i="3"/>
  <c r="AL219" i="3"/>
  <c r="L222" i="4"/>
  <c r="O222" i="4" s="1"/>
  <c r="R222" i="4" s="1"/>
  <c r="U222" i="4" s="1"/>
  <c r="X222" i="4" s="1"/>
  <c r="AA222" i="4" s="1"/>
  <c r="AD222" i="4" s="1"/>
  <c r="AP222" i="4"/>
  <c r="L216" i="4"/>
  <c r="O216" i="4" s="1"/>
  <c r="R216" i="4" s="1"/>
  <c r="U216" i="4" s="1"/>
  <c r="X216" i="4" s="1"/>
  <c r="AA216" i="4" s="1"/>
  <c r="AD216" i="4" s="1"/>
  <c r="AP216" i="4"/>
  <c r="L186" i="4"/>
  <c r="O186" i="4" s="1"/>
  <c r="R186" i="4" s="1"/>
  <c r="U186" i="4" s="1"/>
  <c r="L189" i="4"/>
  <c r="O189" i="4" s="1"/>
  <c r="F180" i="4"/>
  <c r="I180" i="4" s="1"/>
  <c r="G125" i="38"/>
  <c r="U125" i="38" s="1"/>
  <c r="AM173" i="3"/>
  <c r="AL173" i="3"/>
  <c r="F181" i="4"/>
  <c r="I181" i="4" s="1"/>
  <c r="G126" i="38"/>
  <c r="U126" i="38" s="1"/>
  <c r="U121" i="38"/>
  <c r="W121" i="38" s="1"/>
  <c r="AP133" i="3"/>
  <c r="AM133" i="3" s="1"/>
  <c r="AM122" i="3"/>
  <c r="AL122" i="3"/>
  <c r="AM118" i="3"/>
  <c r="AL118" i="3"/>
  <c r="AM97" i="3"/>
  <c r="AL97" i="3"/>
  <c r="AM91" i="3"/>
  <c r="AL91" i="3"/>
  <c r="I13" i="46"/>
  <c r="AL41" i="3"/>
  <c r="AM41" i="3"/>
  <c r="G23" i="38"/>
  <c r="F42" i="4"/>
  <c r="I42" i="4" s="1"/>
  <c r="D42" i="4"/>
  <c r="L31" i="4"/>
  <c r="O31" i="4" s="1"/>
  <c r="R31" i="4" s="1"/>
  <c r="U31" i="4" s="1"/>
  <c r="X31" i="4" s="1"/>
  <c r="AP23" i="3"/>
  <c r="AP26" i="3"/>
  <c r="F9" i="46"/>
  <c r="F4" i="2"/>
  <c r="F4" i="4" s="1"/>
  <c r="C4" i="2"/>
  <c r="C4" i="4" s="1"/>
  <c r="I4" i="2"/>
  <c r="AB268" i="4"/>
  <c r="I215" i="38"/>
  <c r="AT269" i="4"/>
  <c r="E118" i="2"/>
  <c r="B129" i="2"/>
  <c r="AF23" i="3"/>
  <c r="AF25" i="3"/>
  <c r="AF27" i="3"/>
  <c r="AF21" i="3"/>
  <c r="AF22" i="3"/>
  <c r="AF20" i="3"/>
  <c r="AF26" i="3"/>
  <c r="V103" i="38"/>
  <c r="V77" i="38"/>
  <c r="T22" i="3"/>
  <c r="T21" i="3"/>
  <c r="T26" i="3"/>
  <c r="T23" i="3"/>
  <c r="T25" i="3"/>
  <c r="T27" i="3"/>
  <c r="T20" i="3"/>
  <c r="D13" i="43"/>
  <c r="E13" i="43"/>
  <c r="D9" i="5"/>
  <c r="B12" i="5"/>
  <c r="D9" i="43"/>
  <c r="E9" i="43"/>
  <c r="B12" i="43"/>
  <c r="AO81" i="1"/>
  <c r="L27" i="46"/>
  <c r="I26" i="46"/>
  <c r="I27" i="46"/>
  <c r="O11" i="31"/>
  <c r="I262" i="3"/>
  <c r="AP262" i="3" s="1"/>
  <c r="AP156" i="3"/>
  <c r="AM156" i="3" s="1"/>
  <c r="AL163" i="3"/>
  <c r="AM255" i="3"/>
  <c r="AS264" i="4"/>
  <c r="AP116" i="4"/>
  <c r="F182" i="4"/>
  <c r="I182" i="4" s="1"/>
  <c r="G122" i="38"/>
  <c r="U122" i="38" s="1"/>
  <c r="L12" i="46"/>
  <c r="F10" i="46"/>
  <c r="AP141" i="4"/>
  <c r="F179" i="4"/>
  <c r="I179" i="4" s="1"/>
  <c r="AB267" i="4"/>
  <c r="L9" i="46"/>
  <c r="I10" i="46"/>
  <c r="I11" i="46"/>
  <c r="AL176" i="3"/>
  <c r="AP272" i="3"/>
  <c r="O14" i="46"/>
  <c r="AP194" i="4"/>
  <c r="AP22" i="3"/>
  <c r="AP24" i="3"/>
  <c r="F176" i="4"/>
  <c r="I176" i="4" s="1"/>
  <c r="L176" i="4" s="1"/>
  <c r="O176" i="4" s="1"/>
  <c r="R176" i="4" s="1"/>
  <c r="O4" i="1"/>
  <c r="O4" i="3"/>
  <c r="L4" i="1"/>
  <c r="L4" i="3"/>
  <c r="AP4" i="3" s="1"/>
  <c r="AM4" i="3" s="1"/>
  <c r="AP3" i="3"/>
  <c r="AM3" i="3" s="1"/>
  <c r="AP268" i="4"/>
  <c r="AP196" i="4"/>
  <c r="V93" i="32"/>
  <c r="I212" i="38"/>
  <c r="AM39" i="3"/>
  <c r="AP30" i="3"/>
  <c r="V92" i="32"/>
  <c r="AB271" i="4"/>
  <c r="AP131" i="3"/>
  <c r="AM131" i="3" s="1"/>
  <c r="AP215" i="4"/>
  <c r="AP177" i="4"/>
  <c r="AP20" i="3"/>
  <c r="C72" i="38"/>
  <c r="Z36" i="38" s="1"/>
  <c r="AP33" i="3"/>
  <c r="F183" i="4"/>
  <c r="I183" i="4" s="1"/>
  <c r="AP266" i="3"/>
  <c r="AP265" i="3"/>
  <c r="AL212" i="3"/>
  <c r="AL36" i="3"/>
  <c r="AM146" i="3"/>
  <c r="AL31" i="3"/>
  <c r="AL266" i="2"/>
  <c r="AL98" i="1"/>
  <c r="AM95" i="1"/>
  <c r="AM256" i="2"/>
  <c r="AM270" i="2"/>
  <c r="AL179" i="1"/>
  <c r="AL167" i="1"/>
  <c r="AL255" i="1"/>
  <c r="AM252" i="2"/>
  <c r="AM91" i="1"/>
  <c r="AL176" i="1"/>
  <c r="AM219" i="1"/>
  <c r="AM258" i="2"/>
  <c r="I25" i="46"/>
  <c r="I23" i="46"/>
  <c r="AP280" i="4"/>
  <c r="X280" i="4"/>
  <c r="AA280" i="4" s="1"/>
  <c r="AD280" i="4" s="1"/>
  <c r="AG280" i="4" s="1"/>
  <c r="AJ280" i="4" s="1"/>
  <c r="G188" i="38"/>
  <c r="U188" i="38" s="1"/>
  <c r="AP269" i="4"/>
  <c r="AP270" i="4"/>
  <c r="AD40" i="38"/>
  <c r="AF40" i="38" s="1"/>
  <c r="AP267" i="3"/>
  <c r="AM267" i="3" s="1"/>
  <c r="AP221" i="4"/>
  <c r="O13" i="46"/>
  <c r="O7" i="46"/>
  <c r="O8" i="46"/>
  <c r="AL206" i="3"/>
  <c r="AP207" i="4"/>
  <c r="AL199" i="3"/>
  <c r="AP173" i="4"/>
  <c r="AP178" i="4"/>
  <c r="AP142" i="4"/>
  <c r="AL142" i="3"/>
  <c r="L13" i="46"/>
  <c r="L10" i="46"/>
  <c r="C70" i="38"/>
  <c r="Z16" i="38" s="1"/>
  <c r="AP129" i="3"/>
  <c r="AM129" i="3" s="1"/>
  <c r="AP128" i="3"/>
  <c r="AM128" i="3" s="1"/>
  <c r="I118" i="4"/>
  <c r="I121" i="4"/>
  <c r="I43" i="4"/>
  <c r="I7" i="46"/>
  <c r="I37" i="4"/>
  <c r="L37" i="4" s="1"/>
  <c r="O37" i="4" s="1"/>
  <c r="R37" i="4" s="1"/>
  <c r="U37" i="4" s="1"/>
  <c r="X37" i="4" s="1"/>
  <c r="AA37" i="4" s="1"/>
  <c r="AL40" i="3"/>
  <c r="I8" i="46"/>
  <c r="I38" i="4"/>
  <c r="F7" i="46"/>
  <c r="AP130" i="3"/>
  <c r="AM130" i="3" s="1"/>
  <c r="AP25" i="3"/>
  <c r="AP127" i="3"/>
  <c r="AM127" i="3" s="1"/>
  <c r="AP27" i="3"/>
  <c r="F14" i="46"/>
  <c r="AP21" i="3"/>
  <c r="AP132" i="3"/>
  <c r="AM132" i="3" s="1"/>
  <c r="AP231" i="3"/>
  <c r="AM231" i="3" s="1"/>
  <c r="AP301" i="2"/>
  <c r="AP309" i="2"/>
  <c r="AP305" i="2"/>
  <c r="AL305" i="2" s="1"/>
  <c r="AP291" i="2"/>
  <c r="AM287" i="1"/>
  <c r="F288" i="2"/>
  <c r="AP275" i="2"/>
  <c r="AP282" i="2"/>
  <c r="AP272" i="2"/>
  <c r="AP262" i="2"/>
  <c r="AM271" i="2"/>
  <c r="AL271" i="2"/>
  <c r="AM265" i="2"/>
  <c r="AL265" i="2"/>
  <c r="AL270" i="2"/>
  <c r="AL267" i="2"/>
  <c r="AP236" i="2"/>
  <c r="AP215" i="2"/>
  <c r="AP212" i="2"/>
  <c r="AP222" i="2"/>
  <c r="AP216" i="2"/>
  <c r="AL222" i="1"/>
  <c r="AP232" i="1"/>
  <c r="AM232" i="1" s="1"/>
  <c r="AP219" i="2"/>
  <c r="AP208" i="2"/>
  <c r="AP205" i="2"/>
  <c r="AM205" i="2" s="1"/>
  <c r="AP203" i="2"/>
  <c r="AP204" i="2"/>
  <c r="AP209" i="2"/>
  <c r="AP190" i="2"/>
  <c r="AP196" i="2"/>
  <c r="AM196" i="2" s="1"/>
  <c r="AP186" i="2"/>
  <c r="AP173" i="2"/>
  <c r="AP176" i="2"/>
  <c r="AM176" i="2" s="1"/>
  <c r="AP181" i="2"/>
  <c r="AP179" i="2"/>
  <c r="AP177" i="2"/>
  <c r="AM177" i="2" s="1"/>
  <c r="AP169" i="2"/>
  <c r="AP168" i="2"/>
  <c r="AP166" i="2"/>
  <c r="AP164" i="2"/>
  <c r="AL164" i="1"/>
  <c r="AL169" i="1"/>
  <c r="AP167" i="2"/>
  <c r="AM167" i="2" s="1"/>
  <c r="AL144" i="1"/>
  <c r="AP151" i="1"/>
  <c r="AM151" i="1" s="1"/>
  <c r="AP153" i="1"/>
  <c r="AM153" i="1" s="1"/>
  <c r="AP145" i="2"/>
  <c r="AP141" i="2"/>
  <c r="AP139" i="2"/>
  <c r="AL139" i="2" s="1"/>
  <c r="AP146" i="2"/>
  <c r="AP143" i="2"/>
  <c r="AM143" i="2" s="1"/>
  <c r="AP140" i="2"/>
  <c r="AM140" i="2" s="1"/>
  <c r="AP112" i="2"/>
  <c r="AP121" i="2"/>
  <c r="AP120" i="2"/>
  <c r="AP117" i="2"/>
  <c r="AL122" i="1"/>
  <c r="AL119" i="1"/>
  <c r="AP116" i="2"/>
  <c r="AL115" i="1"/>
  <c r="AP106" i="1"/>
  <c r="AM106" i="1" s="1"/>
  <c r="AP107" i="1"/>
  <c r="AM107" i="1" s="1"/>
  <c r="AP102" i="1"/>
  <c r="AM102" i="1" s="1"/>
  <c r="AP97" i="2"/>
  <c r="AM97" i="2" s="1"/>
  <c r="AP95" i="2"/>
  <c r="AP92" i="2"/>
  <c r="AM92" i="2" s="1"/>
  <c r="AP103" i="1"/>
  <c r="AM103" i="1" s="1"/>
  <c r="AP93" i="2"/>
  <c r="AL93" i="2" s="1"/>
  <c r="AP91" i="2"/>
  <c r="AM91" i="2" s="1"/>
  <c r="AM97" i="1"/>
  <c r="AP108" i="1"/>
  <c r="AM108" i="1" s="1"/>
  <c r="AP98" i="2"/>
  <c r="AM98" i="2" s="1"/>
  <c r="AP86" i="1"/>
  <c r="AM86" i="1" s="1"/>
  <c r="AP39" i="2"/>
  <c r="AP38" i="2"/>
  <c r="AP40" i="2"/>
  <c r="AP33" i="1"/>
  <c r="AP85" i="1"/>
  <c r="AM85" i="1" s="1"/>
  <c r="AP84" i="1"/>
  <c r="AM84" i="1" s="1"/>
  <c r="AP42" i="2"/>
  <c r="AP104" i="1"/>
  <c r="AM104" i="1" s="1"/>
  <c r="AP109" i="1"/>
  <c r="AM109" i="1" s="1"/>
  <c r="AP126" i="1"/>
  <c r="AM126" i="1" s="1"/>
  <c r="AP152" i="1"/>
  <c r="AP81" i="1"/>
  <c r="AP82" i="1"/>
  <c r="AM82" i="1" s="1"/>
  <c r="AP228" i="1"/>
  <c r="AP80" i="1"/>
  <c r="AM80" i="1" s="1"/>
  <c r="AP156" i="1"/>
  <c r="AM156" i="1" s="1"/>
  <c r="AP105" i="1"/>
  <c r="AM105" i="1" s="1"/>
  <c r="AP79" i="1"/>
  <c r="AM79" i="1" s="1"/>
  <c r="I294" i="4"/>
  <c r="I304" i="4"/>
  <c r="AR264" i="4"/>
  <c r="AP204" i="4"/>
  <c r="AF70" i="38"/>
  <c r="I298" i="4"/>
  <c r="I291" i="4"/>
  <c r="I309" i="4"/>
  <c r="AB272" i="4"/>
  <c r="I218" i="38"/>
  <c r="I296" i="4"/>
  <c r="AE15" i="38"/>
  <c r="I292" i="4"/>
  <c r="E291" i="4"/>
  <c r="AS251" i="4"/>
  <c r="AE35" i="38"/>
  <c r="AP191" i="4"/>
  <c r="AP146" i="4"/>
  <c r="I295" i="4"/>
  <c r="K136" i="4"/>
  <c r="M14" i="43"/>
  <c r="E23" i="29"/>
  <c r="H203" i="38"/>
  <c r="E308" i="4"/>
  <c r="H206" i="38"/>
  <c r="E311" i="4"/>
  <c r="H199" i="38"/>
  <c r="E304" i="4"/>
  <c r="H202" i="38"/>
  <c r="E307" i="4"/>
  <c r="H205" i="38"/>
  <c r="E310" i="4"/>
  <c r="AO306" i="4"/>
  <c r="H204" i="38"/>
  <c r="E309" i="4"/>
  <c r="Z305" i="4"/>
  <c r="AC305" i="4" s="1"/>
  <c r="AF305" i="4" s="1"/>
  <c r="AI305" i="4" s="1"/>
  <c r="AR305" i="4"/>
  <c r="H177" i="38"/>
  <c r="AE48" i="38" s="1"/>
  <c r="E295" i="4"/>
  <c r="H180" i="38"/>
  <c r="AE58" i="38" s="1"/>
  <c r="E298" i="4"/>
  <c r="H176" i="38"/>
  <c r="AE38" i="38" s="1"/>
  <c r="E294" i="4"/>
  <c r="H179" i="38"/>
  <c r="AE68" i="38" s="1"/>
  <c r="E297" i="4"/>
  <c r="E292" i="4"/>
  <c r="H174" i="38"/>
  <c r="AE18" i="38" s="1"/>
  <c r="AP306" i="2"/>
  <c r="AL309" i="3"/>
  <c r="L24" i="46"/>
  <c r="F308" i="4"/>
  <c r="G203" i="38"/>
  <c r="U199" i="38"/>
  <c r="I199" i="38"/>
  <c r="F306" i="4"/>
  <c r="G201" i="38"/>
  <c r="U201" i="38" s="1"/>
  <c r="F305" i="4"/>
  <c r="G200" i="38"/>
  <c r="F311" i="4"/>
  <c r="G206" i="38"/>
  <c r="G205" i="38"/>
  <c r="F310" i="4"/>
  <c r="F307" i="4"/>
  <c r="G202" i="38"/>
  <c r="I204" i="38"/>
  <c r="U204" i="38"/>
  <c r="W204" i="38" s="1"/>
  <c r="I24" i="46"/>
  <c r="E174" i="38"/>
  <c r="Z18" i="38"/>
  <c r="AB18" i="38" s="1"/>
  <c r="Z78" i="38"/>
  <c r="AB78" i="38" s="1"/>
  <c r="E178" i="38"/>
  <c r="AD38" i="38"/>
  <c r="U176" i="38"/>
  <c r="I176" i="38"/>
  <c r="I177" i="38"/>
  <c r="AD48" i="38"/>
  <c r="AF48" i="38" s="1"/>
  <c r="U177" i="38"/>
  <c r="W177" i="38" s="1"/>
  <c r="G181" i="38"/>
  <c r="AD98" i="38" s="1"/>
  <c r="F288" i="4"/>
  <c r="U174" i="38"/>
  <c r="W174" i="38" s="1"/>
  <c r="AD18" i="38"/>
  <c r="I174" i="38"/>
  <c r="E180" i="38"/>
  <c r="Z58" i="38"/>
  <c r="Z48" i="38"/>
  <c r="AB48" i="38" s="1"/>
  <c r="E177" i="38"/>
  <c r="AD58" i="38"/>
  <c r="U180" i="38"/>
  <c r="W180" i="38" s="1"/>
  <c r="I173" i="38"/>
  <c r="AD8" i="38"/>
  <c r="AF8" i="38" s="1"/>
  <c r="U173" i="38"/>
  <c r="E173" i="38"/>
  <c r="Z8" i="38"/>
  <c r="AB8" i="38" s="1"/>
  <c r="F297" i="4"/>
  <c r="G179" i="38"/>
  <c r="E176" i="38"/>
  <c r="Z38" i="38"/>
  <c r="AB38" i="38" s="1"/>
  <c r="F293" i="4"/>
  <c r="G175" i="38"/>
  <c r="AD78" i="38"/>
  <c r="AF78" i="38" s="1"/>
  <c r="U178" i="38"/>
  <c r="W178" i="38" s="1"/>
  <c r="I178" i="38"/>
  <c r="F281" i="4"/>
  <c r="G189" i="38"/>
  <c r="G191" i="38"/>
  <c r="F283" i="4"/>
  <c r="U186" i="38"/>
  <c r="AD9" i="38"/>
  <c r="E190" i="38"/>
  <c r="Z49" i="38"/>
  <c r="AB49" i="38" s="1"/>
  <c r="X278" i="4"/>
  <c r="AS278" i="4"/>
  <c r="G193" i="38"/>
  <c r="F285" i="4"/>
  <c r="U187" i="38"/>
  <c r="W187" i="38" s="1"/>
  <c r="AD19" i="38"/>
  <c r="AM275" i="3"/>
  <c r="AL275" i="3"/>
  <c r="G192" i="38"/>
  <c r="F284" i="4"/>
  <c r="Z19" i="38"/>
  <c r="AB19" i="38" s="1"/>
  <c r="E187" i="38"/>
  <c r="G190" i="38"/>
  <c r="F282" i="4"/>
  <c r="Z89" i="38"/>
  <c r="AD100" i="38"/>
  <c r="Z40" i="38"/>
  <c r="AB40" i="38" s="1"/>
  <c r="E215" i="38"/>
  <c r="E217" i="38"/>
  <c r="Z80" i="38"/>
  <c r="AB80" i="38" s="1"/>
  <c r="AL245" i="3"/>
  <c r="AM245" i="3"/>
  <c r="E218" i="38"/>
  <c r="Z70" i="38"/>
  <c r="AB70" i="38" s="1"/>
  <c r="Z30" i="38"/>
  <c r="AB30" i="38" s="1"/>
  <c r="E214" i="38"/>
  <c r="AL243" i="3"/>
  <c r="AM243" i="3"/>
  <c r="E216" i="38"/>
  <c r="Z50" i="38"/>
  <c r="AB50" i="38" s="1"/>
  <c r="Z60" i="38"/>
  <c r="E219" i="38"/>
  <c r="Z20" i="38"/>
  <c r="AB20" i="38" s="1"/>
  <c r="E213" i="38"/>
  <c r="E212" i="38"/>
  <c r="Z10" i="38"/>
  <c r="AB10" i="38" s="1"/>
  <c r="U162" i="38"/>
  <c r="W162" i="38" s="1"/>
  <c r="G168" i="38"/>
  <c r="F212" i="4"/>
  <c r="D212" i="4"/>
  <c r="AP217" i="4"/>
  <c r="U161" i="38"/>
  <c r="W161" i="38" s="1"/>
  <c r="AG217" i="4"/>
  <c r="AJ217" i="4" s="1"/>
  <c r="N9" i="52" s="1"/>
  <c r="AS217" i="4"/>
  <c r="G164" i="38"/>
  <c r="F219" i="4"/>
  <c r="U167" i="38"/>
  <c r="W167" i="38" s="1"/>
  <c r="G165" i="38"/>
  <c r="F220" i="4"/>
  <c r="C263" i="4"/>
  <c r="AG221" i="4"/>
  <c r="AJ221" i="4" s="1"/>
  <c r="N13" i="52" s="1"/>
  <c r="AS221" i="4"/>
  <c r="AS215" i="4"/>
  <c r="AG215" i="4"/>
  <c r="AJ215" i="4" s="1"/>
  <c r="N7" i="52" s="1"/>
  <c r="F218" i="4"/>
  <c r="G163" i="38"/>
  <c r="U163" i="38" s="1"/>
  <c r="U166" i="38"/>
  <c r="W166" i="38" s="1"/>
  <c r="U160" i="38"/>
  <c r="F202" i="4"/>
  <c r="G147" i="38"/>
  <c r="U152" i="38"/>
  <c r="W152" i="38" s="1"/>
  <c r="F199" i="4"/>
  <c r="G155" i="38"/>
  <c r="D25" i="52"/>
  <c r="U148" i="38"/>
  <c r="W148" i="38" s="1"/>
  <c r="F209" i="4"/>
  <c r="G154" i="38"/>
  <c r="G153" i="38"/>
  <c r="F208" i="4"/>
  <c r="F206" i="4"/>
  <c r="G151" i="38"/>
  <c r="D22" i="52"/>
  <c r="F205" i="4"/>
  <c r="G150" i="38"/>
  <c r="U150" i="38" s="1"/>
  <c r="U149" i="38"/>
  <c r="W149" i="38" s="1"/>
  <c r="F193" i="4"/>
  <c r="G138" i="38"/>
  <c r="AD27" i="38"/>
  <c r="U136" i="38"/>
  <c r="W136" i="38" s="1"/>
  <c r="G137" i="38"/>
  <c r="F192" i="4"/>
  <c r="U134" i="38"/>
  <c r="AD7" i="38"/>
  <c r="F190" i="4"/>
  <c r="G135" i="38"/>
  <c r="AD77" i="38"/>
  <c r="U139" i="38"/>
  <c r="W139" i="38" s="1"/>
  <c r="AD57" i="38"/>
  <c r="U141" i="38"/>
  <c r="W141" i="38" s="1"/>
  <c r="Z97" i="38"/>
  <c r="AB97" i="38" s="1"/>
  <c r="E142" i="38"/>
  <c r="E136" i="38"/>
  <c r="Z27" i="38"/>
  <c r="AB27" i="38" s="1"/>
  <c r="Z7" i="38"/>
  <c r="AB7" i="38" s="1"/>
  <c r="E134" i="38"/>
  <c r="AM186" i="3"/>
  <c r="AL186" i="3"/>
  <c r="E141" i="38"/>
  <c r="Z57" i="38"/>
  <c r="E139" i="38"/>
  <c r="Z77" i="38"/>
  <c r="AB77" i="38" s="1"/>
  <c r="F195" i="4"/>
  <c r="G140" i="38"/>
  <c r="AD97" i="38"/>
  <c r="W124" i="38"/>
  <c r="F163" i="4"/>
  <c r="G108" i="38"/>
  <c r="L170" i="4"/>
  <c r="F168" i="4"/>
  <c r="G113" i="38"/>
  <c r="U115" i="38"/>
  <c r="W115" i="38" s="1"/>
  <c r="L164" i="4"/>
  <c r="U114" i="38"/>
  <c r="W114" i="38" s="1"/>
  <c r="AL160" i="3"/>
  <c r="AM160" i="3"/>
  <c r="U109" i="38"/>
  <c r="W109" i="38" s="1"/>
  <c r="L169" i="4"/>
  <c r="L165" i="4"/>
  <c r="G112" i="38"/>
  <c r="F167" i="4"/>
  <c r="U110" i="38"/>
  <c r="W110" i="38" s="1"/>
  <c r="G86" i="38"/>
  <c r="F143" i="4"/>
  <c r="AS146" i="4"/>
  <c r="AA146" i="4"/>
  <c r="AD25" i="38"/>
  <c r="U84" i="38"/>
  <c r="W84" i="38" s="1"/>
  <c r="Z45" i="38"/>
  <c r="AB45" i="38" s="1"/>
  <c r="E86" i="38"/>
  <c r="F144" i="4"/>
  <c r="G87" i="38"/>
  <c r="U89" i="38"/>
  <c r="W89" i="38" s="1"/>
  <c r="AD55" i="38"/>
  <c r="AS141" i="4"/>
  <c r="AA141" i="4"/>
  <c r="F139" i="4"/>
  <c r="G82" i="38"/>
  <c r="AS142" i="4"/>
  <c r="AA142" i="4"/>
  <c r="AL136" i="3"/>
  <c r="AM136" i="3"/>
  <c r="E84" i="38"/>
  <c r="Z25" i="38"/>
  <c r="AB25" i="38" s="1"/>
  <c r="I85" i="38"/>
  <c r="U85" i="38"/>
  <c r="AD35" i="38"/>
  <c r="E89" i="38"/>
  <c r="Z55" i="38"/>
  <c r="Z35" i="38"/>
  <c r="AB35" i="38" s="1"/>
  <c r="E85" i="38"/>
  <c r="G83" i="38"/>
  <c r="F140" i="4"/>
  <c r="G88" i="38"/>
  <c r="F145" i="4"/>
  <c r="G58" i="38"/>
  <c r="F117" i="4"/>
  <c r="G56" i="38"/>
  <c r="F115" i="4"/>
  <c r="F122" i="4"/>
  <c r="G63" i="38"/>
  <c r="AM112" i="3"/>
  <c r="AL112" i="3"/>
  <c r="U57" i="38"/>
  <c r="W57" i="38" s="1"/>
  <c r="AS116" i="4"/>
  <c r="AA116" i="4"/>
  <c r="AD116" i="4" s="1"/>
  <c r="AG116" i="4" s="1"/>
  <c r="AJ116" i="4" s="1"/>
  <c r="G60" i="38"/>
  <c r="F119" i="4"/>
  <c r="U59" i="38"/>
  <c r="I59" i="38"/>
  <c r="G64" i="38"/>
  <c r="F112" i="4"/>
  <c r="D112" i="4"/>
  <c r="F120" i="4"/>
  <c r="G61" i="38"/>
  <c r="I62" i="38"/>
  <c r="U62" i="38"/>
  <c r="W62" i="38" s="1"/>
  <c r="G46" i="38"/>
  <c r="F94" i="4"/>
  <c r="I48" i="38"/>
  <c r="U48" i="38"/>
  <c r="W48" i="38" s="1"/>
  <c r="G49" i="38"/>
  <c r="F97" i="4"/>
  <c r="I96" i="4"/>
  <c r="L96" i="4" s="1"/>
  <c r="O96" i="4" s="1"/>
  <c r="R96" i="4" s="1"/>
  <c r="U96" i="4" s="1"/>
  <c r="X96" i="4" s="1"/>
  <c r="AA96" i="4" s="1"/>
  <c r="I95" i="4"/>
  <c r="U47" i="38"/>
  <c r="W47" i="38" s="1"/>
  <c r="I98" i="4"/>
  <c r="U50" i="38"/>
  <c r="W50" i="38" s="1"/>
  <c r="F91" i="4"/>
  <c r="G43" i="38"/>
  <c r="F93" i="4"/>
  <c r="G45" i="38"/>
  <c r="G44" i="38"/>
  <c r="F92" i="4"/>
  <c r="I88" i="4"/>
  <c r="G17" i="38"/>
  <c r="F36" i="4"/>
  <c r="D36" i="4"/>
  <c r="U19" i="38"/>
  <c r="W19" i="38" s="1"/>
  <c r="C32" i="38"/>
  <c r="G20" i="38"/>
  <c r="F39" i="4"/>
  <c r="D39" i="4"/>
  <c r="C32" i="4"/>
  <c r="AP32" i="3"/>
  <c r="C25" i="38"/>
  <c r="C31" i="38"/>
  <c r="G21" i="38"/>
  <c r="D40" i="4"/>
  <c r="F40" i="4"/>
  <c r="U18" i="38"/>
  <c r="W18" i="38" s="1"/>
  <c r="F41" i="4"/>
  <c r="D41" i="4"/>
  <c r="G22" i="38"/>
  <c r="U24" i="38"/>
  <c r="W24" i="38" s="1"/>
  <c r="AM12" i="3"/>
  <c r="AL12" i="3"/>
  <c r="AN12" i="3" s="1"/>
  <c r="AP85" i="3"/>
  <c r="AM85" i="3" s="1"/>
  <c r="AP103" i="3"/>
  <c r="AM103" i="3" s="1"/>
  <c r="AP81" i="3"/>
  <c r="AM81" i="3" s="1"/>
  <c r="AP157" i="3"/>
  <c r="AM157" i="3" s="1"/>
  <c r="AP228" i="3"/>
  <c r="AM228" i="3" s="1"/>
  <c r="G7" i="38"/>
  <c r="C129" i="4"/>
  <c r="C153" i="4"/>
  <c r="C229" i="4"/>
  <c r="F12" i="4"/>
  <c r="D12" i="4"/>
  <c r="C82" i="4"/>
  <c r="C105" i="4"/>
  <c r="AP155" i="3"/>
  <c r="AM155" i="3" s="1"/>
  <c r="AP104" i="3"/>
  <c r="AM104" i="3" s="1"/>
  <c r="AP82" i="3"/>
  <c r="AM82" i="3" s="1"/>
  <c r="Z6" i="38"/>
  <c r="AP108" i="3"/>
  <c r="AM108" i="3" s="1"/>
  <c r="G11" i="38"/>
  <c r="C133" i="4"/>
  <c r="C157" i="4"/>
  <c r="C233" i="4"/>
  <c r="F16" i="4"/>
  <c r="F315" i="4" s="1"/>
  <c r="C86" i="4"/>
  <c r="C109" i="4"/>
  <c r="AP150" i="3"/>
  <c r="AM150" i="3" s="1"/>
  <c r="AP83" i="3"/>
  <c r="AM83" i="3" s="1"/>
  <c r="AP154" i="3"/>
  <c r="AM154" i="3" s="1"/>
  <c r="C76" i="38"/>
  <c r="E11" i="38"/>
  <c r="Z54" i="38"/>
  <c r="C102" i="38"/>
  <c r="C37" i="38"/>
  <c r="AP105" i="3"/>
  <c r="AM105" i="3" s="1"/>
  <c r="AM15" i="3"/>
  <c r="AL15" i="3"/>
  <c r="AN15" i="3" s="1"/>
  <c r="AP109" i="3"/>
  <c r="AM109" i="3" s="1"/>
  <c r="AP151" i="3"/>
  <c r="AM151" i="3" s="1"/>
  <c r="AP233" i="3"/>
  <c r="AM233" i="3" s="1"/>
  <c r="AL14" i="3"/>
  <c r="AN14" i="3" s="1"/>
  <c r="AM14" i="3"/>
  <c r="C130" i="4"/>
  <c r="G8" i="38"/>
  <c r="C154" i="4"/>
  <c r="C230" i="4"/>
  <c r="F13" i="4"/>
  <c r="C83" i="4"/>
  <c r="C106" i="4"/>
  <c r="G6" i="38"/>
  <c r="C128" i="4"/>
  <c r="C152" i="4"/>
  <c r="C228" i="4"/>
  <c r="C81" i="4"/>
  <c r="C104" i="4"/>
  <c r="F11" i="4"/>
  <c r="AP226" i="3"/>
  <c r="AM226" i="3" s="1"/>
  <c r="AM16" i="3"/>
  <c r="AL16" i="3"/>
  <c r="AN16" i="3" s="1"/>
  <c r="Z26" i="38"/>
  <c r="C132" i="4"/>
  <c r="G10" i="38"/>
  <c r="C156" i="4"/>
  <c r="C232" i="4"/>
  <c r="C85" i="4"/>
  <c r="F15" i="4"/>
  <c r="C108" i="4"/>
  <c r="AP79" i="3"/>
  <c r="AM79" i="3" s="1"/>
  <c r="AP227" i="3"/>
  <c r="AM227" i="3" s="1"/>
  <c r="AP84" i="3"/>
  <c r="AM84" i="3" s="1"/>
  <c r="C73" i="38"/>
  <c r="C99" i="38"/>
  <c r="Z44" i="38"/>
  <c r="C34" i="38"/>
  <c r="E8" i="38"/>
  <c r="C150" i="4"/>
  <c r="C226" i="4"/>
  <c r="G4" i="38"/>
  <c r="C126" i="4"/>
  <c r="C79" i="4"/>
  <c r="C102" i="4"/>
  <c r="F9" i="4"/>
  <c r="AP107" i="3"/>
  <c r="AM107" i="3" s="1"/>
  <c r="AP152" i="3"/>
  <c r="AM152" i="3" s="1"/>
  <c r="C131" i="4"/>
  <c r="G9" i="38"/>
  <c r="C155" i="4"/>
  <c r="C231" i="4"/>
  <c r="F14" i="4"/>
  <c r="C84" i="4"/>
  <c r="C107" i="4"/>
  <c r="AP80" i="3"/>
  <c r="AM80" i="3" s="1"/>
  <c r="Z64" i="38"/>
  <c r="C101" i="38"/>
  <c r="C36" i="38"/>
  <c r="E10" i="38"/>
  <c r="C75" i="38"/>
  <c r="AM10" i="3"/>
  <c r="AL10" i="3"/>
  <c r="AP230" i="3"/>
  <c r="AM230" i="3" s="1"/>
  <c r="AP102" i="3"/>
  <c r="AM102" i="3" s="1"/>
  <c r="AP86" i="3"/>
  <c r="AM86" i="3" s="1"/>
  <c r="Z74" i="38"/>
  <c r="C35" i="38"/>
  <c r="C100" i="38"/>
  <c r="C74" i="38"/>
  <c r="E9" i="38"/>
  <c r="G5" i="38"/>
  <c r="C151" i="4"/>
  <c r="C227" i="4"/>
  <c r="C127" i="4"/>
  <c r="C80" i="4"/>
  <c r="C103" i="4"/>
  <c r="F10" i="4"/>
  <c r="AP106" i="3"/>
  <c r="AM106" i="3" s="1"/>
  <c r="AM13" i="3"/>
  <c r="AL13" i="3"/>
  <c r="AN13" i="3" s="1"/>
  <c r="AP153" i="3"/>
  <c r="AM153" i="3" s="1"/>
  <c r="AP232" i="3"/>
  <c r="AM232" i="3" s="1"/>
  <c r="AP229" i="3"/>
  <c r="AM229" i="3" s="1"/>
  <c r="AL116" i="1"/>
  <c r="AL168" i="1"/>
  <c r="AM64" i="2"/>
  <c r="AL64" i="2"/>
  <c r="AL73" i="2"/>
  <c r="AM73" i="2"/>
  <c r="AL55" i="2"/>
  <c r="AM55" i="2"/>
  <c r="AM254" i="2"/>
  <c r="AM60" i="4"/>
  <c r="AL60" i="4"/>
  <c r="AL245" i="4"/>
  <c r="AM245" i="4"/>
  <c r="AM258" i="4"/>
  <c r="AL258" i="4"/>
  <c r="AM59" i="4"/>
  <c r="AL59" i="4"/>
  <c r="AM242" i="4"/>
  <c r="AL242" i="4"/>
  <c r="AL43" i="1"/>
  <c r="AL117" i="1"/>
  <c r="AL178" i="1"/>
  <c r="AM253" i="2"/>
  <c r="AL253" i="2"/>
  <c r="AM62" i="2"/>
  <c r="AL62" i="2"/>
  <c r="AL69" i="2"/>
  <c r="AM69" i="2"/>
  <c r="AL53" i="2"/>
  <c r="AM53" i="2"/>
  <c r="AM52" i="4"/>
  <c r="AL52" i="4"/>
  <c r="AL62" i="4"/>
  <c r="AM62" i="4"/>
  <c r="AM61" i="4"/>
  <c r="AL61" i="4"/>
  <c r="AM244" i="4"/>
  <c r="AL244" i="4"/>
  <c r="AM60" i="2"/>
  <c r="AL60" i="2"/>
  <c r="AL67" i="2"/>
  <c r="AM67" i="2"/>
  <c r="AL51" i="2"/>
  <c r="AM51" i="2"/>
  <c r="AL64" i="4"/>
  <c r="AM64" i="4"/>
  <c r="AL252" i="4"/>
  <c r="AM252" i="4"/>
  <c r="AM63" i="4"/>
  <c r="AL63" i="4"/>
  <c r="AM246" i="4"/>
  <c r="AL246" i="4"/>
  <c r="AM93" i="1"/>
  <c r="AL220" i="1"/>
  <c r="AM58" i="2"/>
  <c r="AL58" i="2"/>
  <c r="AL65" i="2"/>
  <c r="AM65" i="2"/>
  <c r="AM253" i="4"/>
  <c r="AL253" i="4"/>
  <c r="AL66" i="4"/>
  <c r="AM66" i="4"/>
  <c r="AM65" i="4"/>
  <c r="AL65" i="4"/>
  <c r="AL163" i="1"/>
  <c r="AM74" i="2"/>
  <c r="AL74" i="2"/>
  <c r="AM56" i="2"/>
  <c r="AL56" i="2"/>
  <c r="AM259" i="2"/>
  <c r="AL259" i="2"/>
  <c r="AM47" i="2"/>
  <c r="AL47" i="2"/>
  <c r="AL63" i="2"/>
  <c r="AM63" i="2"/>
  <c r="AM48" i="2"/>
  <c r="AL48" i="2"/>
  <c r="AM50" i="4"/>
  <c r="AL50" i="4"/>
  <c r="AL68" i="4"/>
  <c r="AM68" i="4"/>
  <c r="AM257" i="4"/>
  <c r="AL257" i="4"/>
  <c r="AM67" i="4"/>
  <c r="AL67" i="4"/>
  <c r="AM256" i="4"/>
  <c r="AL256" i="4"/>
  <c r="AM70" i="2"/>
  <c r="AL70" i="2"/>
  <c r="AM54" i="2"/>
  <c r="AL54" i="2"/>
  <c r="AM45" i="2"/>
  <c r="AL45" i="2"/>
  <c r="AL61" i="2"/>
  <c r="AM61" i="2"/>
  <c r="AM46" i="2"/>
  <c r="AL46" i="2"/>
  <c r="AM54" i="4"/>
  <c r="AL54" i="4"/>
  <c r="AL70" i="4"/>
  <c r="AM70" i="4"/>
  <c r="AL239" i="4"/>
  <c r="AM239" i="4"/>
  <c r="AM53" i="4"/>
  <c r="AL53" i="4"/>
  <c r="AM69" i="4"/>
  <c r="AL69" i="4"/>
  <c r="AL92" i="1"/>
  <c r="AL120" i="1"/>
  <c r="AM215" i="1"/>
  <c r="AM68" i="2"/>
  <c r="AL68" i="2"/>
  <c r="AM52" i="2"/>
  <c r="AL52" i="2"/>
  <c r="AL59" i="2"/>
  <c r="AM59" i="2"/>
  <c r="AM47" i="4"/>
  <c r="AL47" i="4"/>
  <c r="AM56" i="4"/>
  <c r="AL56" i="4"/>
  <c r="AL74" i="4"/>
  <c r="AM74" i="4"/>
  <c r="AL241" i="4"/>
  <c r="AM241" i="4"/>
  <c r="AM55" i="4"/>
  <c r="AL55" i="4"/>
  <c r="AM73" i="4"/>
  <c r="AL73" i="4"/>
  <c r="AM255" i="4"/>
  <c r="AL255" i="4"/>
  <c r="AM48" i="4"/>
  <c r="AL48" i="4"/>
  <c r="AM51" i="4"/>
  <c r="AL41" i="1"/>
  <c r="AL88" i="1"/>
  <c r="AL121" i="1"/>
  <c r="AL118" i="1"/>
  <c r="AM66" i="2"/>
  <c r="AL66" i="2"/>
  <c r="AM50" i="2"/>
  <c r="AL50" i="2"/>
  <c r="AM255" i="2"/>
  <c r="AL255" i="2"/>
  <c r="AL75" i="2"/>
  <c r="AM75" i="2"/>
  <c r="AL57" i="2"/>
  <c r="AM57" i="2"/>
  <c r="AM257" i="2"/>
  <c r="AL257" i="2"/>
  <c r="AM45" i="4"/>
  <c r="AL45" i="4"/>
  <c r="AM254" i="4"/>
  <c r="AL254" i="4"/>
  <c r="AM58" i="4"/>
  <c r="AL58" i="4"/>
  <c r="AL243" i="4"/>
  <c r="AM243" i="4"/>
  <c r="AM259" i="4"/>
  <c r="AL259" i="4"/>
  <c r="AL57" i="4"/>
  <c r="AM57" i="4"/>
  <c r="AM75" i="4"/>
  <c r="AL75" i="4"/>
  <c r="AM240" i="4"/>
  <c r="AL240" i="4"/>
  <c r="AM46" i="4"/>
  <c r="AL46" i="4"/>
  <c r="F285" i="2"/>
  <c r="I285" i="2" s="1"/>
  <c r="F283" i="2"/>
  <c r="I283" i="2" s="1"/>
  <c r="L283" i="2" s="1"/>
  <c r="O283" i="2" s="1"/>
  <c r="R283" i="2" s="1"/>
  <c r="U283" i="2" s="1"/>
  <c r="X283" i="2" s="1"/>
  <c r="AA283" i="2" s="1"/>
  <c r="AD283" i="2" s="1"/>
  <c r="AG283" i="2" s="1"/>
  <c r="AJ283" i="2" s="1"/>
  <c r="F281" i="2"/>
  <c r="I281" i="2" s="1"/>
  <c r="L281" i="2" s="1"/>
  <c r="O281" i="2" s="1"/>
  <c r="R281" i="2" s="1"/>
  <c r="U281" i="2" s="1"/>
  <c r="X281" i="2" s="1"/>
  <c r="AA281" i="2" s="1"/>
  <c r="AD281" i="2" s="1"/>
  <c r="AG281" i="2" s="1"/>
  <c r="AJ281" i="2" s="1"/>
  <c r="F279" i="2"/>
  <c r="I279" i="2" s="1"/>
  <c r="F284" i="2"/>
  <c r="I284" i="2" s="1"/>
  <c r="L284" i="2" s="1"/>
  <c r="O284" i="2" s="1"/>
  <c r="R284" i="2" s="1"/>
  <c r="U284" i="2" s="1"/>
  <c r="X284" i="2" s="1"/>
  <c r="AA284" i="2" s="1"/>
  <c r="AD284" i="2" s="1"/>
  <c r="AG284" i="2" s="1"/>
  <c r="AJ284" i="2" s="1"/>
  <c r="AL284" i="1"/>
  <c r="AM284" i="1"/>
  <c r="AL282" i="1"/>
  <c r="AM282" i="1"/>
  <c r="AL278" i="1"/>
  <c r="AM278" i="1"/>
  <c r="AL280" i="1"/>
  <c r="AM280" i="1"/>
  <c r="AM259" i="1"/>
  <c r="AL259" i="1"/>
  <c r="AD3" i="2"/>
  <c r="AD3" i="4" s="1"/>
  <c r="R3" i="2"/>
  <c r="R3" i="4" s="1"/>
  <c r="F3" i="2"/>
  <c r="F3" i="4" s="1"/>
  <c r="AA3" i="2"/>
  <c r="AA3" i="4" s="1"/>
  <c r="O3" i="2"/>
  <c r="O3" i="4" s="1"/>
  <c r="C3" i="2"/>
  <c r="AJ3" i="2"/>
  <c r="AJ3" i="4" s="1"/>
  <c r="X3" i="2"/>
  <c r="X3" i="4" s="1"/>
  <c r="L3" i="2"/>
  <c r="L3" i="4" s="1"/>
  <c r="AG3" i="2"/>
  <c r="AG3" i="4" s="1"/>
  <c r="U3" i="2"/>
  <c r="U3" i="4" s="1"/>
  <c r="I3" i="2"/>
  <c r="I3" i="4" s="1"/>
  <c r="AP3" i="1"/>
  <c r="AM243" i="2"/>
  <c r="AL243" i="2"/>
  <c r="AL246" i="2"/>
  <c r="AM246" i="2"/>
  <c r="AM241" i="2"/>
  <c r="AL241" i="2"/>
  <c r="AL244" i="2"/>
  <c r="AM244" i="2"/>
  <c r="AM239" i="2"/>
  <c r="AL239" i="2"/>
  <c r="AL242" i="2"/>
  <c r="AM242" i="2"/>
  <c r="AM246" i="1"/>
  <c r="AL246" i="1"/>
  <c r="AM236" i="1"/>
  <c r="AL236" i="1"/>
  <c r="AL240" i="2"/>
  <c r="AM240" i="2"/>
  <c r="AM244" i="1"/>
  <c r="AL244" i="1"/>
  <c r="AM245" i="2"/>
  <c r="AL245" i="2"/>
  <c r="AM242" i="1"/>
  <c r="AL242" i="1"/>
  <c r="AM240" i="1"/>
  <c r="AL240" i="1"/>
  <c r="AM221" i="1"/>
  <c r="AL212" i="1"/>
  <c r="AM217" i="1"/>
  <c r="AL216" i="1"/>
  <c r="AL218" i="1"/>
  <c r="C263" i="2"/>
  <c r="F220" i="2"/>
  <c r="AM199" i="1"/>
  <c r="AL199" i="1"/>
  <c r="F250" i="2"/>
  <c r="I207" i="2"/>
  <c r="F194" i="2"/>
  <c r="C237" i="2"/>
  <c r="S192" i="2"/>
  <c r="U192" i="2"/>
  <c r="X192" i="2" s="1"/>
  <c r="AL173" i="1"/>
  <c r="AL181" i="1"/>
  <c r="F182" i="2"/>
  <c r="I182" i="2" s="1"/>
  <c r="F183" i="2"/>
  <c r="I183" i="2" s="1"/>
  <c r="L183" i="2" s="1"/>
  <c r="O183" i="2" s="1"/>
  <c r="R183" i="2" s="1"/>
  <c r="U183" i="2" s="1"/>
  <c r="X183" i="2" s="1"/>
  <c r="AA183" i="2" s="1"/>
  <c r="AD183" i="2" s="1"/>
  <c r="AG183" i="2" s="1"/>
  <c r="AJ183" i="2" s="1"/>
  <c r="F170" i="2"/>
  <c r="C213" i="2"/>
  <c r="D170" i="2"/>
  <c r="AL160" i="1"/>
  <c r="AM160" i="1"/>
  <c r="AM170" i="1"/>
  <c r="AL170" i="1"/>
  <c r="S142" i="2"/>
  <c r="U142" i="2"/>
  <c r="AM146" i="1"/>
  <c r="AL146" i="1"/>
  <c r="F136" i="2"/>
  <c r="I136" i="2" s="1"/>
  <c r="L136" i="2" s="1"/>
  <c r="O136" i="2" s="1"/>
  <c r="R136" i="2" s="1"/>
  <c r="U136" i="2" s="1"/>
  <c r="X136" i="2" s="1"/>
  <c r="AA136" i="2" s="1"/>
  <c r="AD136" i="2" s="1"/>
  <c r="AG136" i="2" s="1"/>
  <c r="AJ136" i="2" s="1"/>
  <c r="F187" i="2"/>
  <c r="I144" i="2"/>
  <c r="AM112" i="1"/>
  <c r="AL112" i="1"/>
  <c r="I118" i="2"/>
  <c r="F161" i="2"/>
  <c r="AL94" i="1"/>
  <c r="F94" i="2"/>
  <c r="C137" i="2"/>
  <c r="F36" i="2"/>
  <c r="I36" i="2" s="1"/>
  <c r="AM39" i="1"/>
  <c r="AL39" i="1"/>
  <c r="AL42" i="1"/>
  <c r="AL38" i="1"/>
  <c r="AM37" i="1"/>
  <c r="AL37" i="1"/>
  <c r="F32" i="2"/>
  <c r="D32" i="2"/>
  <c r="C130" i="2"/>
  <c r="C154" i="2"/>
  <c r="C106" i="2"/>
  <c r="C230" i="2"/>
  <c r="C83" i="2"/>
  <c r="F13" i="2"/>
  <c r="D13" i="2"/>
  <c r="F132" i="2"/>
  <c r="F156" i="2"/>
  <c r="F108" i="2"/>
  <c r="F232" i="2"/>
  <c r="F85" i="2"/>
  <c r="I15" i="2"/>
  <c r="AM15" i="1"/>
  <c r="AL15" i="1"/>
  <c r="C133" i="2"/>
  <c r="C157" i="2"/>
  <c r="C109" i="2"/>
  <c r="C233" i="2"/>
  <c r="C86" i="2"/>
  <c r="D16" i="2"/>
  <c r="F16" i="2"/>
  <c r="AP157" i="1"/>
  <c r="AM157" i="1" s="1"/>
  <c r="C200" i="1"/>
  <c r="AP200" i="1" s="1"/>
  <c r="C276" i="1"/>
  <c r="AP276" i="1" s="1"/>
  <c r="AP233" i="1"/>
  <c r="AM233" i="1" s="1"/>
  <c r="AM13" i="1"/>
  <c r="AL13" i="1"/>
  <c r="C105" i="2"/>
  <c r="C229" i="2"/>
  <c r="C82" i="2"/>
  <c r="C129" i="2"/>
  <c r="C153" i="2"/>
  <c r="D12" i="2"/>
  <c r="F12" i="2"/>
  <c r="C126" i="2"/>
  <c r="C150" i="2"/>
  <c r="C102" i="2"/>
  <c r="C226" i="2"/>
  <c r="C79" i="2"/>
  <c r="F9" i="2"/>
  <c r="D9" i="2"/>
  <c r="AM9" i="1"/>
  <c r="AL9" i="1"/>
  <c r="F128" i="2"/>
  <c r="F152" i="2"/>
  <c r="F104" i="2"/>
  <c r="F228" i="2"/>
  <c r="F81" i="2"/>
  <c r="I11" i="2"/>
  <c r="AM10" i="1"/>
  <c r="AL10" i="1"/>
  <c r="AM16" i="1"/>
  <c r="AL16" i="1"/>
  <c r="C103" i="2"/>
  <c r="C227" i="2"/>
  <c r="C80" i="2"/>
  <c r="C127" i="2"/>
  <c r="C151" i="2"/>
  <c r="F10" i="2"/>
  <c r="D10" i="2"/>
  <c r="C131" i="2"/>
  <c r="C155" i="2"/>
  <c r="C107" i="2"/>
  <c r="C231" i="2"/>
  <c r="C84" i="2"/>
  <c r="F14" i="2"/>
  <c r="D14" i="2"/>
  <c r="AM14" i="1"/>
  <c r="AL14" i="1"/>
  <c r="C174" i="1"/>
  <c r="AP174" i="1" s="1"/>
  <c r="AP131" i="1"/>
  <c r="AM131" i="1" s="1"/>
  <c r="D31" i="2"/>
  <c r="E31" i="2"/>
  <c r="H31" i="2" s="1"/>
  <c r="K31" i="2" s="1"/>
  <c r="N31" i="2" s="1"/>
  <c r="Q31" i="2" s="1"/>
  <c r="T31" i="2" s="1"/>
  <c r="W31" i="2" s="1"/>
  <c r="AO31" i="2"/>
  <c r="AM31" i="1"/>
  <c r="AL31" i="1"/>
  <c r="B152" i="2"/>
  <c r="D11" i="2"/>
  <c r="B228" i="2"/>
  <c r="B81" i="2"/>
  <c r="B128" i="2"/>
  <c r="B104" i="2"/>
  <c r="E11" i="2"/>
  <c r="AL11" i="1"/>
  <c r="AM11" i="1"/>
  <c r="E23" i="35"/>
  <c r="D20" i="35"/>
  <c r="H181" i="38"/>
  <c r="E288" i="4"/>
  <c r="H288" i="4" s="1"/>
  <c r="K288" i="4" s="1"/>
  <c r="N288" i="4" s="1"/>
  <c r="Q288" i="4" s="1"/>
  <c r="AL288" i="3"/>
  <c r="AM288" i="3"/>
  <c r="D29" i="35"/>
  <c r="E301" i="4"/>
  <c r="H301" i="4" s="1"/>
  <c r="K301" i="4" s="1"/>
  <c r="N301" i="4" s="1"/>
  <c r="Q301" i="4" s="1"/>
  <c r="H207" i="38"/>
  <c r="AR306" i="4"/>
  <c r="Z306" i="4"/>
  <c r="AC306" i="4" s="1"/>
  <c r="AF306" i="4" s="1"/>
  <c r="AI306" i="4" s="1"/>
  <c r="Y8" i="51"/>
  <c r="Y12" i="51" s="1"/>
  <c r="L20" i="51"/>
  <c r="AA278" i="4" l="1"/>
  <c r="AD278" i="4" s="1"/>
  <c r="AG278" i="4" s="1"/>
  <c r="AJ278" i="4" s="1"/>
  <c r="AP278" i="4"/>
  <c r="AA31" i="4"/>
  <c r="AD31" i="4" s="1"/>
  <c r="AG31" i="4" s="1"/>
  <c r="AJ31" i="4" s="1"/>
  <c r="AP31" i="4"/>
  <c r="AM269" i="2"/>
  <c r="AL269" i="2"/>
  <c r="AL266" i="1"/>
  <c r="AM266" i="1"/>
  <c r="AA192" i="2"/>
  <c r="AD192" i="2" s="1"/>
  <c r="AG192" i="2" s="1"/>
  <c r="AJ192" i="2" s="1"/>
  <c r="AP192" i="2"/>
  <c r="O24" i="52"/>
  <c r="D21" i="52"/>
  <c r="X186" i="4"/>
  <c r="AM262" i="1"/>
  <c r="AL262" i="1"/>
  <c r="X195" i="2"/>
  <c r="AA195" i="2" s="1"/>
  <c r="AD195" i="2" s="1"/>
  <c r="AG195" i="2" s="1"/>
  <c r="AJ195" i="2" s="1"/>
  <c r="AP195" i="2"/>
  <c r="X142" i="2"/>
  <c r="AA142" i="2" s="1"/>
  <c r="AD142" i="2" s="1"/>
  <c r="AG142" i="2" s="1"/>
  <c r="AJ142" i="2" s="1"/>
  <c r="AP142" i="2"/>
  <c r="AM307" i="2"/>
  <c r="AL307" i="2"/>
  <c r="U163" i="2"/>
  <c r="X163" i="2" s="1"/>
  <c r="AA163" i="2" s="1"/>
  <c r="AD163" i="2" s="1"/>
  <c r="AG163" i="2" s="1"/>
  <c r="AJ163" i="2" s="1"/>
  <c r="AP163" i="2"/>
  <c r="B19" i="43"/>
  <c r="B19" i="5"/>
  <c r="F136" i="4"/>
  <c r="G90" i="38"/>
  <c r="H102" i="38"/>
  <c r="AL27" i="3"/>
  <c r="AL23" i="3"/>
  <c r="AL21" i="3"/>
  <c r="AL25" i="3"/>
  <c r="AL22" i="3"/>
  <c r="AL26" i="3"/>
  <c r="AL24" i="3"/>
  <c r="AL20" i="3"/>
  <c r="D30" i="4"/>
  <c r="E12" i="38"/>
  <c r="AO23" i="1"/>
  <c r="AL23" i="1" s="1"/>
  <c r="AM173" i="2"/>
  <c r="AM117" i="2"/>
  <c r="AM33" i="1"/>
  <c r="AM152" i="1"/>
  <c r="AL269" i="4"/>
  <c r="AM270" i="4"/>
  <c r="AL212" i="2"/>
  <c r="AM228" i="1"/>
  <c r="AE100" i="38"/>
  <c r="AF100" i="38" s="1"/>
  <c r="I220" i="38"/>
  <c r="E90" i="38"/>
  <c r="Z95" i="38"/>
  <c r="AB95" i="38" s="1"/>
  <c r="C103" i="38"/>
  <c r="C89" i="4"/>
  <c r="F6" i="4"/>
  <c r="G12" i="38"/>
  <c r="C27" i="4"/>
  <c r="C23" i="4"/>
  <c r="C21" i="4"/>
  <c r="C25" i="4"/>
  <c r="C20" i="4"/>
  <c r="C26" i="4"/>
  <c r="C22" i="4"/>
  <c r="C24" i="4"/>
  <c r="C77" i="38"/>
  <c r="Z96" i="38" s="1"/>
  <c r="Z94" i="38"/>
  <c r="G116" i="38"/>
  <c r="I116" i="38" s="1"/>
  <c r="F160" i="4"/>
  <c r="I160" i="4" s="1"/>
  <c r="L160" i="4" s="1"/>
  <c r="O160" i="4" s="1"/>
  <c r="R160" i="4" s="1"/>
  <c r="U160" i="4" s="1"/>
  <c r="X160" i="4" s="1"/>
  <c r="AA160" i="4" s="1"/>
  <c r="AD160" i="4" s="1"/>
  <c r="AG160" i="4" s="1"/>
  <c r="AJ160" i="4" s="1"/>
  <c r="AL6" i="3"/>
  <c r="AM6" i="3"/>
  <c r="AM269" i="3"/>
  <c r="AL269" i="3"/>
  <c r="E194" i="38"/>
  <c r="Z99" i="38"/>
  <c r="AB99" i="38" s="1"/>
  <c r="AE55" i="38"/>
  <c r="AE85" i="38" s="1"/>
  <c r="I89" i="38"/>
  <c r="I24" i="38"/>
  <c r="H37" i="38"/>
  <c r="D17" i="43"/>
  <c r="E17" i="43"/>
  <c r="E17" i="5"/>
  <c r="D17" i="5"/>
  <c r="AM30" i="1"/>
  <c r="AL30" i="1"/>
  <c r="U88" i="2"/>
  <c r="AL236" i="4"/>
  <c r="AM236" i="4"/>
  <c r="AM218" i="2"/>
  <c r="AL218" i="2"/>
  <c r="G207" i="38"/>
  <c r="I207" i="38" s="1"/>
  <c r="F301" i="4"/>
  <c r="AS222" i="4"/>
  <c r="AG222" i="4"/>
  <c r="AJ222" i="4" s="1"/>
  <c r="N14" i="52" s="1"/>
  <c r="AO293" i="4"/>
  <c r="T293" i="4"/>
  <c r="W293" i="4" s="1"/>
  <c r="Z293" i="4" s="1"/>
  <c r="AC293" i="4" s="1"/>
  <c r="AF35" i="38"/>
  <c r="E16" i="43"/>
  <c r="D16" i="43"/>
  <c r="E16" i="5"/>
  <c r="D16" i="5"/>
  <c r="U275" i="4"/>
  <c r="X93" i="30"/>
  <c r="V93" i="30"/>
  <c r="T296" i="4"/>
  <c r="W296" i="4" s="1"/>
  <c r="Z296" i="4" s="1"/>
  <c r="AC296" i="4" s="1"/>
  <c r="AO296" i="4"/>
  <c r="T38" i="4"/>
  <c r="W38" i="4" s="1"/>
  <c r="AO38" i="4"/>
  <c r="E22" i="29"/>
  <c r="D20" i="29"/>
  <c r="T219" i="2"/>
  <c r="W219" i="2" s="1"/>
  <c r="Z219" i="2" s="1"/>
  <c r="AC219" i="2" s="1"/>
  <c r="AF219" i="2" s="1"/>
  <c r="AI219" i="2" s="1"/>
  <c r="G9" i="45" s="1"/>
  <c r="I9" i="45" s="1"/>
  <c r="AO219" i="2"/>
  <c r="E220" i="38"/>
  <c r="Z100" i="38"/>
  <c r="AB100" i="38" s="1"/>
  <c r="AS279" i="4"/>
  <c r="X279" i="4"/>
  <c r="U176" i="4"/>
  <c r="X176" i="4" s="1"/>
  <c r="AA176" i="4" s="1"/>
  <c r="AD176" i="4" s="1"/>
  <c r="AG176" i="4" s="1"/>
  <c r="AJ176" i="4" s="1"/>
  <c r="T31" i="4"/>
  <c r="W31" i="4" s="1"/>
  <c r="Z31" i="4" s="1"/>
  <c r="AC31" i="4" s="1"/>
  <c r="AF31" i="4" s="1"/>
  <c r="AI31" i="4" s="1"/>
  <c r="H4" i="43" s="1"/>
  <c r="B23" i="5"/>
  <c r="B23" i="43"/>
  <c r="B8" i="5"/>
  <c r="B8" i="43"/>
  <c r="O25" i="46"/>
  <c r="R189" i="4"/>
  <c r="U189" i="4" s="1"/>
  <c r="X189" i="4" s="1"/>
  <c r="AA189" i="4" s="1"/>
  <c r="AD189" i="4" s="1"/>
  <c r="AG189" i="4" s="1"/>
  <c r="AJ189" i="4" s="1"/>
  <c r="AP189" i="4"/>
  <c r="AL295" i="2"/>
  <c r="AM295" i="2"/>
  <c r="R297" i="2"/>
  <c r="U297" i="2" s="1"/>
  <c r="X297" i="2" s="1"/>
  <c r="AA297" i="2" s="1"/>
  <c r="AD297" i="2" s="1"/>
  <c r="AG297" i="2" s="1"/>
  <c r="AJ297" i="2" s="1"/>
  <c r="AP297" i="2"/>
  <c r="R298" i="2"/>
  <c r="U298" i="2" s="1"/>
  <c r="X298" i="2" s="1"/>
  <c r="AA298" i="2" s="1"/>
  <c r="AD298" i="2" s="1"/>
  <c r="AG298" i="2" s="1"/>
  <c r="AJ298" i="2" s="1"/>
  <c r="AP298" i="2"/>
  <c r="AL22" i="1"/>
  <c r="AM271" i="3"/>
  <c r="AL271" i="3"/>
  <c r="AM270" i="3"/>
  <c r="AL270" i="3"/>
  <c r="AM266" i="4"/>
  <c r="AL266" i="4"/>
  <c r="AM268" i="3"/>
  <c r="AL268" i="3"/>
  <c r="AM236" i="3"/>
  <c r="AL236" i="3"/>
  <c r="R115" i="2"/>
  <c r="U115" i="2" s="1"/>
  <c r="X115" i="2" s="1"/>
  <c r="AA115" i="2" s="1"/>
  <c r="AD115" i="2" s="1"/>
  <c r="AG115" i="2" s="1"/>
  <c r="AJ115" i="2" s="1"/>
  <c r="AP115" i="2"/>
  <c r="AM119" i="2"/>
  <c r="AL119" i="2"/>
  <c r="AM37" i="2"/>
  <c r="AL37" i="2"/>
  <c r="AR296" i="4"/>
  <c r="AF296" i="4"/>
  <c r="AI296" i="4" s="1"/>
  <c r="AL21" i="1"/>
  <c r="AM278" i="2"/>
  <c r="AL278" i="2"/>
  <c r="AM280" i="2"/>
  <c r="AL280" i="2"/>
  <c r="AM272" i="2"/>
  <c r="AL272" i="2"/>
  <c r="AE97" i="38"/>
  <c r="AF97" i="38" s="1"/>
  <c r="I142" i="38"/>
  <c r="N173" i="4"/>
  <c r="Q173" i="4" s="1"/>
  <c r="AO173" i="4"/>
  <c r="N141" i="4"/>
  <c r="Q141" i="4" s="1"/>
  <c r="T141" i="4" s="1"/>
  <c r="W141" i="4" s="1"/>
  <c r="AO141" i="4"/>
  <c r="H96" i="4"/>
  <c r="K96" i="4" s="1"/>
  <c r="G96" i="4"/>
  <c r="AE88" i="38"/>
  <c r="AF60" i="38"/>
  <c r="AE90" i="38"/>
  <c r="B22" i="43"/>
  <c r="B22" i="5"/>
  <c r="AM199" i="2"/>
  <c r="AL199" i="2"/>
  <c r="AE19" i="38"/>
  <c r="AF19" i="38" s="1"/>
  <c r="I187" i="38"/>
  <c r="N285" i="4"/>
  <c r="Q285" i="4" s="1"/>
  <c r="N284" i="4"/>
  <c r="Q284" i="4" s="1"/>
  <c r="N283" i="4"/>
  <c r="Q283" i="4" s="1"/>
  <c r="N281" i="4"/>
  <c r="Q281" i="4" s="1"/>
  <c r="N278" i="4"/>
  <c r="Q278" i="4" s="1"/>
  <c r="N275" i="4"/>
  <c r="Q275" i="4" s="1"/>
  <c r="AA89" i="38"/>
  <c r="AB89" i="38" s="1"/>
  <c r="AB69" i="38"/>
  <c r="N282" i="4"/>
  <c r="Q282" i="4" s="1"/>
  <c r="N280" i="4"/>
  <c r="Q280" i="4" s="1"/>
  <c r="N279" i="4"/>
  <c r="Q279" i="4" s="1"/>
  <c r="AE89" i="38"/>
  <c r="AE9" i="38"/>
  <c r="AF9" i="38" s="1"/>
  <c r="I186" i="38"/>
  <c r="AE99" i="38"/>
  <c r="AF99" i="38" s="1"/>
  <c r="I194" i="38"/>
  <c r="N217" i="4"/>
  <c r="I168" i="38"/>
  <c r="H216" i="4"/>
  <c r="E227" i="4"/>
  <c r="N212" i="4"/>
  <c r="Q212" i="4" s="1"/>
  <c r="T212" i="4" s="1"/>
  <c r="W212" i="4" s="1"/>
  <c r="Z212" i="4" s="1"/>
  <c r="AC212" i="4" s="1"/>
  <c r="AF212" i="4" s="1"/>
  <c r="AI212" i="4" s="1"/>
  <c r="AO212" i="4"/>
  <c r="E232" i="4"/>
  <c r="H221" i="4"/>
  <c r="N208" i="4"/>
  <c r="Q208" i="4" s="1"/>
  <c r="N206" i="4"/>
  <c r="Q206" i="4" s="1"/>
  <c r="N205" i="4"/>
  <c r="Q205" i="4" s="1"/>
  <c r="N204" i="4"/>
  <c r="N202" i="4"/>
  <c r="Q202" i="4" s="1"/>
  <c r="N199" i="4"/>
  <c r="Q199" i="4" s="1"/>
  <c r="N209" i="4"/>
  <c r="Q209" i="4" s="1"/>
  <c r="N207" i="4"/>
  <c r="N203" i="4"/>
  <c r="I155" i="38"/>
  <c r="AE7" i="38"/>
  <c r="AF7" i="38" s="1"/>
  <c r="I134" i="38"/>
  <c r="AE57" i="38"/>
  <c r="AF57" i="38" s="1"/>
  <c r="I141" i="38"/>
  <c r="AE77" i="38"/>
  <c r="I139" i="38"/>
  <c r="AE27" i="38"/>
  <c r="AF27" i="38" s="1"/>
  <c r="I136" i="38"/>
  <c r="N192" i="4"/>
  <c r="Q192" i="4" s="1"/>
  <c r="N190" i="4"/>
  <c r="Q190" i="4" s="1"/>
  <c r="N189" i="4"/>
  <c r="Q189" i="4" s="1"/>
  <c r="N186" i="4"/>
  <c r="Q186" i="4" s="1"/>
  <c r="AO186" i="4" s="1"/>
  <c r="N196" i="4"/>
  <c r="Q196" i="4" s="1"/>
  <c r="N195" i="4"/>
  <c r="Q195" i="4" s="1"/>
  <c r="N194" i="4"/>
  <c r="Q194" i="4" s="1"/>
  <c r="N193" i="4"/>
  <c r="Q193" i="4" s="1"/>
  <c r="N191" i="4"/>
  <c r="Q191" i="4" s="1"/>
  <c r="N183" i="4"/>
  <c r="Q183" i="4" s="1"/>
  <c r="N181" i="4"/>
  <c r="Q181" i="4" s="1"/>
  <c r="N180" i="4"/>
  <c r="Q180" i="4" s="1"/>
  <c r="N182" i="4"/>
  <c r="Q182" i="4" s="1"/>
  <c r="N179" i="4"/>
  <c r="Q179" i="4" s="1"/>
  <c r="N177" i="4"/>
  <c r="Q177" i="4" s="1"/>
  <c r="N176" i="4"/>
  <c r="Q176" i="4" s="1"/>
  <c r="K178" i="4"/>
  <c r="J165" i="4"/>
  <c r="N170" i="4"/>
  <c r="Q170" i="4" s="1"/>
  <c r="N169" i="4"/>
  <c r="Q169" i="4" s="1"/>
  <c r="N167" i="4"/>
  <c r="Q167" i="4" s="1"/>
  <c r="N165" i="4"/>
  <c r="Q165" i="4" s="1"/>
  <c r="N163" i="4"/>
  <c r="Q163" i="4" s="1"/>
  <c r="N168" i="4"/>
  <c r="Q168" i="4" s="1"/>
  <c r="J170" i="4"/>
  <c r="T93" i="32"/>
  <c r="W93" i="32" s="1"/>
  <c r="W92" i="32"/>
  <c r="N160" i="4"/>
  <c r="Q160" i="4" s="1"/>
  <c r="AO160" i="4"/>
  <c r="N166" i="4"/>
  <c r="Q166" i="4" s="1"/>
  <c r="T166" i="4" s="1"/>
  <c r="W166" i="4" s="1"/>
  <c r="Z166" i="4" s="1"/>
  <c r="AC166" i="4" s="1"/>
  <c r="AF166" i="4" s="1"/>
  <c r="AI166" i="4" s="1"/>
  <c r="AO166" i="4"/>
  <c r="K164" i="4"/>
  <c r="J164" i="4"/>
  <c r="AB65" i="38"/>
  <c r="AA85" i="38"/>
  <c r="AE25" i="38"/>
  <c r="AF25" i="38" s="1"/>
  <c r="I84" i="38"/>
  <c r="I64" i="38"/>
  <c r="N122" i="4"/>
  <c r="Q122" i="4" s="1"/>
  <c r="N119" i="4"/>
  <c r="Q119" i="4" s="1"/>
  <c r="N117" i="4"/>
  <c r="Q117" i="4" s="1"/>
  <c r="N115" i="4"/>
  <c r="Q115" i="4" s="1"/>
  <c r="AO115" i="4" s="1"/>
  <c r="H95" i="4"/>
  <c r="G95" i="4"/>
  <c r="H88" i="4"/>
  <c r="G88" i="4"/>
  <c r="AR93" i="4"/>
  <c r="AI93" i="4"/>
  <c r="H98" i="4"/>
  <c r="K98" i="4" s="1"/>
  <c r="G98" i="4"/>
  <c r="N94" i="4"/>
  <c r="Q94" i="4" s="1"/>
  <c r="AO94" i="4" s="1"/>
  <c r="N97" i="4"/>
  <c r="Q97" i="4" s="1"/>
  <c r="N91" i="4"/>
  <c r="Q91" i="4" s="1"/>
  <c r="N41" i="4"/>
  <c r="Q41" i="4" s="1"/>
  <c r="AO41" i="4" s="1"/>
  <c r="N37" i="4"/>
  <c r="Q37" i="4" s="1"/>
  <c r="AO37" i="4" s="1"/>
  <c r="E36" i="38"/>
  <c r="E35" i="38"/>
  <c r="E101" i="38"/>
  <c r="AB74" i="38"/>
  <c r="E100" i="38"/>
  <c r="E156" i="4"/>
  <c r="E85" i="4"/>
  <c r="H72" i="38"/>
  <c r="AE36" i="38" s="1"/>
  <c r="H98" i="38"/>
  <c r="E315" i="4"/>
  <c r="AB44" i="38"/>
  <c r="E34" i="38"/>
  <c r="AB64" i="38"/>
  <c r="E108" i="4"/>
  <c r="E132" i="4"/>
  <c r="E155" i="4"/>
  <c r="H14" i="4"/>
  <c r="E107" i="4"/>
  <c r="E84" i="4"/>
  <c r="E131" i="4"/>
  <c r="E103" i="4"/>
  <c r="E127" i="4"/>
  <c r="E151" i="4"/>
  <c r="H70" i="38"/>
  <c r="AE16" i="38" s="1"/>
  <c r="H31" i="38"/>
  <c r="AE14" i="38"/>
  <c r="E99" i="38"/>
  <c r="E86" i="4"/>
  <c r="E233" i="4"/>
  <c r="E230" i="4"/>
  <c r="E106" i="4"/>
  <c r="E83" i="4"/>
  <c r="E129" i="4"/>
  <c r="E153" i="4"/>
  <c r="E82" i="4"/>
  <c r="E150" i="4"/>
  <c r="E226" i="4"/>
  <c r="AE64" i="38"/>
  <c r="H101" i="38"/>
  <c r="H75" i="38"/>
  <c r="AE66" i="38" s="1"/>
  <c r="H36" i="38"/>
  <c r="AE74" i="38"/>
  <c r="H100" i="38"/>
  <c r="H35" i="38"/>
  <c r="H74" i="38"/>
  <c r="AE76" i="38" s="1"/>
  <c r="E30" i="4"/>
  <c r="B33" i="4"/>
  <c r="B27" i="4"/>
  <c r="B25" i="4"/>
  <c r="B22" i="4"/>
  <c r="B20" i="4"/>
  <c r="B26" i="4"/>
  <c r="B24" i="4"/>
  <c r="B21" i="4"/>
  <c r="B23" i="4"/>
  <c r="B89" i="4"/>
  <c r="E6" i="4"/>
  <c r="H12" i="38"/>
  <c r="D38" i="38"/>
  <c r="D77" i="38"/>
  <c r="AA94" i="38"/>
  <c r="D103" i="38"/>
  <c r="E133" i="4"/>
  <c r="E109" i="4"/>
  <c r="E157" i="4"/>
  <c r="H16" i="4"/>
  <c r="H13" i="4"/>
  <c r="E130" i="4"/>
  <c r="H73" i="38"/>
  <c r="AE46" i="38" s="1"/>
  <c r="H34" i="38"/>
  <c r="AE44" i="38"/>
  <c r="E229" i="4"/>
  <c r="E105" i="4"/>
  <c r="H12" i="4"/>
  <c r="E152" i="4"/>
  <c r="H11" i="4"/>
  <c r="E104" i="4"/>
  <c r="E81" i="4"/>
  <c r="E128" i="4"/>
  <c r="E228" i="4"/>
  <c r="H71" i="38"/>
  <c r="AE26" i="38" s="1"/>
  <c r="H32" i="38"/>
  <c r="AE24" i="38"/>
  <c r="H97" i="38"/>
  <c r="E126" i="4"/>
  <c r="E102" i="4"/>
  <c r="E79" i="4"/>
  <c r="H9" i="4"/>
  <c r="H69" i="38"/>
  <c r="AE6" i="38" s="1"/>
  <c r="AE4" i="38"/>
  <c r="AA84" i="38"/>
  <c r="E32" i="38"/>
  <c r="E31" i="38"/>
  <c r="E102" i="38"/>
  <c r="E37" i="38"/>
  <c r="AA36" i="38"/>
  <c r="AB36" i="38" s="1"/>
  <c r="E72" i="38"/>
  <c r="AA26" i="38"/>
  <c r="AB26" i="38" s="1"/>
  <c r="E71" i="38"/>
  <c r="AA16" i="38"/>
  <c r="AB16" i="38" s="1"/>
  <c r="E70" i="38"/>
  <c r="AA6" i="38"/>
  <c r="AB6" i="38" s="1"/>
  <c r="E69" i="38"/>
  <c r="O22" i="46"/>
  <c r="O21" i="46"/>
  <c r="AG216" i="4"/>
  <c r="AJ216" i="4" s="1"/>
  <c r="N8" i="52" s="1"/>
  <c r="AS216" i="4"/>
  <c r="O170" i="4"/>
  <c r="R170" i="4" s="1"/>
  <c r="U170" i="4" s="1"/>
  <c r="X170" i="4" s="1"/>
  <c r="AA170" i="4" s="1"/>
  <c r="AD170" i="4" s="1"/>
  <c r="AG170" i="4" s="1"/>
  <c r="AJ170" i="4" s="1"/>
  <c r="AP170" i="4"/>
  <c r="O166" i="4"/>
  <c r="R166" i="4" s="1"/>
  <c r="U166" i="4" s="1"/>
  <c r="X166" i="4" s="1"/>
  <c r="AA166" i="4" s="1"/>
  <c r="AD166" i="4" s="1"/>
  <c r="AG166" i="4" s="1"/>
  <c r="AJ166" i="4" s="1"/>
  <c r="AP166" i="4"/>
  <c r="O164" i="4"/>
  <c r="R164" i="4" s="1"/>
  <c r="U164" i="4" s="1"/>
  <c r="X164" i="4" s="1"/>
  <c r="AA164" i="4" s="1"/>
  <c r="AD164" i="4" s="1"/>
  <c r="AG164" i="4" s="1"/>
  <c r="AJ164" i="4" s="1"/>
  <c r="AP164" i="4"/>
  <c r="O169" i="4"/>
  <c r="R169" i="4" s="1"/>
  <c r="U169" i="4" s="1"/>
  <c r="X169" i="4" s="1"/>
  <c r="AA169" i="4" s="1"/>
  <c r="AD169" i="4" s="1"/>
  <c r="AG169" i="4" s="1"/>
  <c r="AJ169" i="4" s="1"/>
  <c r="AP169" i="4"/>
  <c r="O165" i="4"/>
  <c r="R165" i="4" s="1"/>
  <c r="U165" i="4" s="1"/>
  <c r="X165" i="4" s="1"/>
  <c r="AA165" i="4" s="1"/>
  <c r="AD165" i="4" s="1"/>
  <c r="AG165" i="4" s="1"/>
  <c r="AJ165" i="4" s="1"/>
  <c r="AP165" i="4"/>
  <c r="AM249" i="2"/>
  <c r="AL249" i="2"/>
  <c r="AL249" i="4"/>
  <c r="AM249" i="4"/>
  <c r="AM262" i="4"/>
  <c r="AL262" i="4"/>
  <c r="B5" i="5"/>
  <c r="B5" i="43"/>
  <c r="AL25" i="1"/>
  <c r="AL26" i="1"/>
  <c r="AL24" i="1"/>
  <c r="D30" i="2"/>
  <c r="AL27" i="1"/>
  <c r="AM129" i="1"/>
  <c r="B25" i="2"/>
  <c r="B26" i="2"/>
  <c r="E6" i="2"/>
  <c r="B24" i="2"/>
  <c r="B22" i="2"/>
  <c r="B20" i="2"/>
  <c r="B27" i="2"/>
  <c r="B23" i="2"/>
  <c r="B21" i="2"/>
  <c r="B33" i="2"/>
  <c r="E30" i="2"/>
  <c r="H16" i="2"/>
  <c r="E157" i="2"/>
  <c r="E233" i="2"/>
  <c r="E133" i="2"/>
  <c r="E86" i="2"/>
  <c r="E109" i="2"/>
  <c r="H15" i="2"/>
  <c r="E85" i="2"/>
  <c r="E156" i="2"/>
  <c r="E232" i="2"/>
  <c r="E108" i="2"/>
  <c r="E132" i="2"/>
  <c r="H14" i="2"/>
  <c r="E84" i="2"/>
  <c r="E155" i="2"/>
  <c r="E231" i="2"/>
  <c r="E107" i="2"/>
  <c r="E131" i="2"/>
  <c r="H13" i="2"/>
  <c r="E83" i="2"/>
  <c r="E154" i="2"/>
  <c r="E230" i="2"/>
  <c r="E106" i="2"/>
  <c r="E130" i="2"/>
  <c r="H12" i="2"/>
  <c r="E82" i="2"/>
  <c r="E153" i="2"/>
  <c r="E229" i="2"/>
  <c r="E105" i="2"/>
  <c r="H10" i="2"/>
  <c r="E80" i="2"/>
  <c r="E127" i="2"/>
  <c r="E151" i="2"/>
  <c r="E227" i="2"/>
  <c r="E103" i="2"/>
  <c r="H9" i="2"/>
  <c r="E79" i="2"/>
  <c r="E126" i="2"/>
  <c r="E226" i="2"/>
  <c r="E102" i="2"/>
  <c r="E150" i="2"/>
  <c r="AM30" i="3"/>
  <c r="AM33" i="3"/>
  <c r="AM304" i="2"/>
  <c r="AL304" i="2"/>
  <c r="AM311" i="2"/>
  <c r="AL311" i="2"/>
  <c r="AM310" i="2"/>
  <c r="AL310" i="2"/>
  <c r="AM291" i="2"/>
  <c r="AL291" i="2"/>
  <c r="AM293" i="2"/>
  <c r="AL293" i="2"/>
  <c r="AM294" i="2"/>
  <c r="AL294" i="2"/>
  <c r="AM296" i="2"/>
  <c r="AL296" i="2"/>
  <c r="O292" i="2"/>
  <c r="R292" i="2" s="1"/>
  <c r="U292" i="2" s="1"/>
  <c r="X292" i="2" s="1"/>
  <c r="AA292" i="2" s="1"/>
  <c r="AD292" i="2" s="1"/>
  <c r="AG292" i="2" s="1"/>
  <c r="AJ292" i="2" s="1"/>
  <c r="AP292" i="2"/>
  <c r="AM282" i="2"/>
  <c r="AL282" i="2"/>
  <c r="AL271" i="1"/>
  <c r="AM271" i="1"/>
  <c r="AM215" i="2"/>
  <c r="AL215" i="2"/>
  <c r="AM216" i="2"/>
  <c r="AL216" i="2"/>
  <c r="AM160" i="2"/>
  <c r="AL160" i="2"/>
  <c r="AM165" i="2"/>
  <c r="AL165" i="2"/>
  <c r="AL169" i="2"/>
  <c r="AM169" i="2"/>
  <c r="AM168" i="2"/>
  <c r="AL168" i="2"/>
  <c r="AL122" i="2"/>
  <c r="AM122" i="2"/>
  <c r="AM112" i="2"/>
  <c r="AL112" i="2"/>
  <c r="AM121" i="2"/>
  <c r="AL121" i="2"/>
  <c r="AM120" i="2"/>
  <c r="AL120" i="2"/>
  <c r="AM96" i="2"/>
  <c r="AL96" i="2"/>
  <c r="X4" i="2"/>
  <c r="X4" i="4" s="1"/>
  <c r="AP4" i="1"/>
  <c r="AL249" i="3"/>
  <c r="AM249" i="3"/>
  <c r="AM266" i="3"/>
  <c r="AL266" i="3"/>
  <c r="AM265" i="3"/>
  <c r="AL265" i="3"/>
  <c r="AM81" i="1"/>
  <c r="L180" i="4"/>
  <c r="O180" i="4" s="1"/>
  <c r="AL301" i="2"/>
  <c r="AM301" i="2"/>
  <c r="AM308" i="2"/>
  <c r="AL308" i="2"/>
  <c r="L279" i="2"/>
  <c r="O279" i="2" s="1"/>
  <c r="R279" i="2" s="1"/>
  <c r="U279" i="2" s="1"/>
  <c r="X279" i="2" s="1"/>
  <c r="AA279" i="2" s="1"/>
  <c r="AD279" i="2" s="1"/>
  <c r="AG279" i="2" s="1"/>
  <c r="AJ279" i="2" s="1"/>
  <c r="AP279" i="2"/>
  <c r="AL206" i="2"/>
  <c r="AM206" i="2"/>
  <c r="AM180" i="2"/>
  <c r="AL180" i="2"/>
  <c r="L36" i="2"/>
  <c r="O36" i="2" s="1"/>
  <c r="R36" i="2" s="1"/>
  <c r="U36" i="2" s="1"/>
  <c r="X36" i="2" s="1"/>
  <c r="AM268" i="2"/>
  <c r="AL268" i="2"/>
  <c r="AM236" i="2"/>
  <c r="AL236" i="2"/>
  <c r="AM222" i="2"/>
  <c r="AL222" i="2"/>
  <c r="AM189" i="2"/>
  <c r="AL189" i="2"/>
  <c r="AL193" i="2"/>
  <c r="AM193" i="2"/>
  <c r="AM191" i="2"/>
  <c r="AL191" i="2"/>
  <c r="AM190" i="2"/>
  <c r="AL190" i="2"/>
  <c r="AM186" i="2"/>
  <c r="AL186" i="2"/>
  <c r="AL178" i="2"/>
  <c r="AM178" i="2"/>
  <c r="AL164" i="2"/>
  <c r="AM164" i="2"/>
  <c r="AM43" i="2"/>
  <c r="AL43" i="2"/>
  <c r="AL41" i="2"/>
  <c r="AM41" i="2"/>
  <c r="AL20" i="1"/>
  <c r="AM309" i="2"/>
  <c r="AL309" i="2"/>
  <c r="AM306" i="2"/>
  <c r="AL306" i="2"/>
  <c r="L285" i="2"/>
  <c r="O285" i="2" s="1"/>
  <c r="R285" i="2" s="1"/>
  <c r="U285" i="2" s="1"/>
  <c r="X285" i="2" s="1"/>
  <c r="AA285" i="2" s="1"/>
  <c r="AD285" i="2" s="1"/>
  <c r="AG285" i="2" s="1"/>
  <c r="AJ285" i="2" s="1"/>
  <c r="AP285" i="2"/>
  <c r="AL262" i="2"/>
  <c r="AM262" i="2"/>
  <c r="AM217" i="2"/>
  <c r="AL217" i="2"/>
  <c r="AM221" i="2"/>
  <c r="AL221" i="2"/>
  <c r="AM202" i="2"/>
  <c r="AL202" i="2"/>
  <c r="AL208" i="2"/>
  <c r="AM208" i="2"/>
  <c r="AL203" i="2"/>
  <c r="AM203" i="2"/>
  <c r="AM204" i="2"/>
  <c r="AL204" i="2"/>
  <c r="AL209" i="2"/>
  <c r="AM209" i="2"/>
  <c r="AM181" i="2"/>
  <c r="AL181" i="2"/>
  <c r="AM179" i="2"/>
  <c r="AL179" i="2"/>
  <c r="L182" i="2"/>
  <c r="O182" i="2" s="1"/>
  <c r="R182" i="2" s="1"/>
  <c r="U182" i="2" s="1"/>
  <c r="AM145" i="2"/>
  <c r="AL145" i="2"/>
  <c r="AM141" i="2"/>
  <c r="AL141" i="2"/>
  <c r="AL146" i="2"/>
  <c r="AM146" i="2"/>
  <c r="AM116" i="2"/>
  <c r="AL116" i="2"/>
  <c r="AM95" i="2"/>
  <c r="AL95" i="2"/>
  <c r="AM39" i="2"/>
  <c r="AL39" i="2"/>
  <c r="C33" i="2"/>
  <c r="F30" i="2"/>
  <c r="AM6" i="1"/>
  <c r="AL6" i="1"/>
  <c r="C27" i="2"/>
  <c r="C26" i="2"/>
  <c r="C23" i="2"/>
  <c r="C21" i="2"/>
  <c r="C22" i="2"/>
  <c r="F6" i="2"/>
  <c r="C24" i="2"/>
  <c r="C20" i="2"/>
  <c r="C25" i="2"/>
  <c r="L304" i="4"/>
  <c r="L294" i="4"/>
  <c r="L291" i="4"/>
  <c r="L292" i="4"/>
  <c r="L295" i="4"/>
  <c r="AM272" i="4"/>
  <c r="AL272" i="4"/>
  <c r="AM267" i="4"/>
  <c r="AL267" i="4"/>
  <c r="O20" i="52"/>
  <c r="O27" i="52"/>
  <c r="O22" i="52"/>
  <c r="O26" i="52"/>
  <c r="AF80" i="38"/>
  <c r="AD90" i="38"/>
  <c r="AM271" i="4"/>
  <c r="AL271" i="4"/>
  <c r="AM265" i="4"/>
  <c r="AL265" i="4"/>
  <c r="AL262" i="3"/>
  <c r="AM262" i="3"/>
  <c r="AL272" i="3"/>
  <c r="AM272" i="3"/>
  <c r="AM268" i="4"/>
  <c r="AL268" i="4"/>
  <c r="L181" i="4"/>
  <c r="O181" i="4" s="1"/>
  <c r="R181" i="4" s="1"/>
  <c r="U181" i="4" s="1"/>
  <c r="X181" i="4" s="1"/>
  <c r="AA181" i="4" s="1"/>
  <c r="AD181" i="4" s="1"/>
  <c r="AG181" i="4" s="1"/>
  <c r="AJ181" i="4" s="1"/>
  <c r="AP181" i="4"/>
  <c r="L182" i="4"/>
  <c r="O182" i="4" s="1"/>
  <c r="R182" i="4" s="1"/>
  <c r="U182" i="4" s="1"/>
  <c r="X182" i="4" s="1"/>
  <c r="AA182" i="4" s="1"/>
  <c r="AD182" i="4" s="1"/>
  <c r="AG182" i="4" s="1"/>
  <c r="AJ182" i="4" s="1"/>
  <c r="AP182" i="4"/>
  <c r="L179" i="4"/>
  <c r="J166" i="4"/>
  <c r="U23" i="38"/>
  <c r="W23" i="38" s="1"/>
  <c r="I23" i="38"/>
  <c r="I6" i="46"/>
  <c r="I4" i="4"/>
  <c r="U4" i="2"/>
  <c r="U4" i="4" s="1"/>
  <c r="O23" i="46"/>
  <c r="E129" i="2"/>
  <c r="H118" i="2"/>
  <c r="D12" i="5"/>
  <c r="E12" i="5"/>
  <c r="D12" i="43"/>
  <c r="E12" i="43"/>
  <c r="L309" i="4"/>
  <c r="L296" i="4"/>
  <c r="L298" i="4"/>
  <c r="W122" i="38"/>
  <c r="U129" i="38" a="1"/>
  <c r="U129" i="38" s="1"/>
  <c r="W129" i="38" s="1"/>
  <c r="J169" i="4"/>
  <c r="AP37" i="4"/>
  <c r="I122" i="38"/>
  <c r="AL4" i="3"/>
  <c r="AS37" i="4"/>
  <c r="AP176" i="4"/>
  <c r="AV121" i="4"/>
  <c r="AM269" i="4"/>
  <c r="AD29" i="38"/>
  <c r="O4" i="2"/>
  <c r="O4" i="4" s="1"/>
  <c r="L38" i="4"/>
  <c r="O38" i="4" s="1"/>
  <c r="R38" i="4" s="1"/>
  <c r="U38" i="4" s="1"/>
  <c r="X38" i="4" s="1"/>
  <c r="AP38" i="4"/>
  <c r="L121" i="4"/>
  <c r="O121" i="4" s="1"/>
  <c r="R121" i="4" s="1"/>
  <c r="U121" i="4" s="1"/>
  <c r="X121" i="4" s="1"/>
  <c r="AP121" i="4"/>
  <c r="AA4" i="2"/>
  <c r="AA4" i="4" s="1"/>
  <c r="AG4" i="2"/>
  <c r="AG4" i="4" s="1"/>
  <c r="L4" i="2"/>
  <c r="AP96" i="4"/>
  <c r="AV41" i="4"/>
  <c r="L42" i="4"/>
  <c r="O42" i="4" s="1"/>
  <c r="R42" i="4" s="1"/>
  <c r="U42" i="4" s="1"/>
  <c r="X42" i="4" s="1"/>
  <c r="AP42" i="4"/>
  <c r="AL3" i="3"/>
  <c r="AL270" i="4"/>
  <c r="L95" i="4"/>
  <c r="O95" i="4" s="1"/>
  <c r="R95" i="4" s="1"/>
  <c r="AV122" i="4"/>
  <c r="AD4" i="2"/>
  <c r="AD4" i="4" s="1"/>
  <c r="L118" i="4"/>
  <c r="O118" i="4" s="1"/>
  <c r="R4" i="2"/>
  <c r="R4" i="4" s="1"/>
  <c r="L43" i="4"/>
  <c r="O43" i="4" s="1"/>
  <c r="R43" i="4" s="1"/>
  <c r="U43" i="4" s="1"/>
  <c r="X43" i="4" s="1"/>
  <c r="AP43" i="4"/>
  <c r="AL30" i="3"/>
  <c r="L88" i="4"/>
  <c r="O88" i="4" s="1"/>
  <c r="R88" i="4" s="1"/>
  <c r="L183" i="4"/>
  <c r="O183" i="4" s="1"/>
  <c r="R183" i="4" s="1"/>
  <c r="U183" i="4" s="1"/>
  <c r="X183" i="4" s="1"/>
  <c r="AA183" i="4" s="1"/>
  <c r="AD183" i="4" s="1"/>
  <c r="AG183" i="4" s="1"/>
  <c r="AJ183" i="4" s="1"/>
  <c r="AP183" i="4"/>
  <c r="L98" i="4"/>
  <c r="O98" i="4" s="1"/>
  <c r="R98" i="4" s="1"/>
  <c r="U98" i="4" s="1"/>
  <c r="X98" i="4" s="1"/>
  <c r="AA98" i="4" s="1"/>
  <c r="AD98" i="4" s="1"/>
  <c r="AG98" i="4" s="1"/>
  <c r="AP98" i="4"/>
  <c r="AJ4" i="2"/>
  <c r="AJ4" i="4" s="1"/>
  <c r="O6" i="46"/>
  <c r="AL97" i="2"/>
  <c r="AL98" i="2"/>
  <c r="AM139" i="2"/>
  <c r="AL176" i="2"/>
  <c r="AL117" i="2"/>
  <c r="AL205" i="2"/>
  <c r="AM212" i="2"/>
  <c r="AM93" i="2"/>
  <c r="AL173" i="2"/>
  <c r="AL196" i="2"/>
  <c r="AM305" i="2"/>
  <c r="L19" i="46"/>
  <c r="I19" i="46"/>
  <c r="O25" i="52"/>
  <c r="AL267" i="3"/>
  <c r="O20" i="46"/>
  <c r="O24" i="46"/>
  <c r="U130" i="38"/>
  <c r="W130" i="38" s="1"/>
  <c r="L6" i="46"/>
  <c r="AV118" i="4"/>
  <c r="AV120" i="4"/>
  <c r="AV119" i="4"/>
  <c r="AV36" i="4"/>
  <c r="AV39" i="4"/>
  <c r="AV38" i="4"/>
  <c r="AV43" i="4"/>
  <c r="AV42" i="4"/>
  <c r="AV40" i="4"/>
  <c r="AV37" i="4"/>
  <c r="F113" i="4"/>
  <c r="F6" i="46"/>
  <c r="I288" i="2"/>
  <c r="L288" i="2" s="1"/>
  <c r="O288" i="2" s="1"/>
  <c r="R288" i="2" s="1"/>
  <c r="U288" i="2" s="1"/>
  <c r="X288" i="2" s="1"/>
  <c r="AA288" i="2" s="1"/>
  <c r="AD288" i="2" s="1"/>
  <c r="AG288" i="2" s="1"/>
  <c r="AJ288" i="2" s="1"/>
  <c r="AP283" i="2"/>
  <c r="AP284" i="2"/>
  <c r="AP281" i="2"/>
  <c r="AL275" i="2"/>
  <c r="AM275" i="2"/>
  <c r="AP183" i="2"/>
  <c r="AL177" i="2"/>
  <c r="AL167" i="2"/>
  <c r="AM166" i="2"/>
  <c r="AL166" i="2"/>
  <c r="AL143" i="2"/>
  <c r="AP136" i="2"/>
  <c r="AM136" i="2" s="1"/>
  <c r="AL140" i="2"/>
  <c r="AL92" i="2"/>
  <c r="AL91" i="2"/>
  <c r="AL42" i="2"/>
  <c r="AM42" i="2"/>
  <c r="AM40" i="2"/>
  <c r="AL40" i="2"/>
  <c r="AL38" i="2"/>
  <c r="AM38" i="2"/>
  <c r="K39" i="4"/>
  <c r="K219" i="4"/>
  <c r="H103" i="4"/>
  <c r="K92" i="4"/>
  <c r="I180" i="38"/>
  <c r="AF18" i="38"/>
  <c r="H291" i="4"/>
  <c r="K291" i="4" s="1"/>
  <c r="N291" i="4" s="1"/>
  <c r="Q291" i="4" s="1"/>
  <c r="T291" i="4" s="1"/>
  <c r="W291" i="4" s="1"/>
  <c r="Z291" i="4" s="1"/>
  <c r="AC291" i="4" s="1"/>
  <c r="AO291" i="4"/>
  <c r="T37" i="4"/>
  <c r="K142" i="4"/>
  <c r="N145" i="4"/>
  <c r="K222" i="4"/>
  <c r="T41" i="4"/>
  <c r="K139" i="4"/>
  <c r="Q36" i="4"/>
  <c r="AO36" i="4" s="1"/>
  <c r="K95" i="4"/>
  <c r="N98" i="4"/>
  <c r="K120" i="4"/>
  <c r="K118" i="4"/>
  <c r="K121" i="4"/>
  <c r="H132" i="4"/>
  <c r="K220" i="4"/>
  <c r="K15" i="4"/>
  <c r="H108" i="4"/>
  <c r="K215" i="4"/>
  <c r="N146" i="4"/>
  <c r="N112" i="4"/>
  <c r="K116" i="4"/>
  <c r="H127" i="4"/>
  <c r="K43" i="4"/>
  <c r="N136" i="4"/>
  <c r="K143" i="4"/>
  <c r="H85" i="4"/>
  <c r="K42" i="4"/>
  <c r="K88" i="4"/>
  <c r="N218" i="4"/>
  <c r="K32" i="4"/>
  <c r="K10" i="4"/>
  <c r="H80" i="4"/>
  <c r="K40" i="4"/>
  <c r="K140" i="4"/>
  <c r="H151" i="4"/>
  <c r="K144" i="4"/>
  <c r="F23" i="29"/>
  <c r="AO301" i="4"/>
  <c r="H307" i="4"/>
  <c r="H304" i="4"/>
  <c r="K304" i="4" s="1"/>
  <c r="N304" i="4" s="1"/>
  <c r="Q304" i="4" s="1"/>
  <c r="T304" i="4" s="1"/>
  <c r="W304" i="4" s="1"/>
  <c r="AO304" i="4"/>
  <c r="H309" i="4"/>
  <c r="K309" i="4" s="1"/>
  <c r="N309" i="4" s="1"/>
  <c r="Q309" i="4" s="1"/>
  <c r="T309" i="4" s="1"/>
  <c r="W309" i="4" s="1"/>
  <c r="AO309" i="4"/>
  <c r="H311" i="4"/>
  <c r="K311" i="4" s="1"/>
  <c r="N311" i="4" s="1"/>
  <c r="Q311" i="4" s="1"/>
  <c r="T311" i="4" s="1"/>
  <c r="W311" i="4" s="1"/>
  <c r="AO311" i="4"/>
  <c r="H310" i="4"/>
  <c r="K310" i="4" s="1"/>
  <c r="N310" i="4" s="1"/>
  <c r="Q310" i="4" s="1"/>
  <c r="T310" i="4" s="1"/>
  <c r="W310" i="4" s="1"/>
  <c r="AO310" i="4"/>
  <c r="H308" i="4"/>
  <c r="K308" i="4" s="1"/>
  <c r="N308" i="4" s="1"/>
  <c r="Q308" i="4" s="1"/>
  <c r="T308" i="4" s="1"/>
  <c r="W308" i="4" s="1"/>
  <c r="AO308" i="4"/>
  <c r="H294" i="4"/>
  <c r="K294" i="4" s="1"/>
  <c r="N294" i="4" s="1"/>
  <c r="Q294" i="4" s="1"/>
  <c r="T294" i="4" s="1"/>
  <c r="W294" i="4" s="1"/>
  <c r="Z294" i="4" s="1"/>
  <c r="AC294" i="4" s="1"/>
  <c r="AF294" i="4" s="1"/>
  <c r="AO294" i="4"/>
  <c r="AF38" i="38"/>
  <c r="H298" i="4"/>
  <c r="K298" i="4" s="1"/>
  <c r="N298" i="4" s="1"/>
  <c r="Q298" i="4" s="1"/>
  <c r="T298" i="4" s="1"/>
  <c r="W298" i="4" s="1"/>
  <c r="Z298" i="4" s="1"/>
  <c r="AC298" i="4" s="1"/>
  <c r="AO298" i="4"/>
  <c r="H297" i="4"/>
  <c r="K297" i="4" s="1"/>
  <c r="N297" i="4" s="1"/>
  <c r="Q297" i="4" s="1"/>
  <c r="T297" i="4" s="1"/>
  <c r="W297" i="4" s="1"/>
  <c r="Z297" i="4" s="1"/>
  <c r="AC297" i="4" s="1"/>
  <c r="AO297" i="4"/>
  <c r="H295" i="4"/>
  <c r="K295" i="4" s="1"/>
  <c r="AO288" i="4"/>
  <c r="H292" i="4"/>
  <c r="K292" i="4" s="1"/>
  <c r="N292" i="4" s="1"/>
  <c r="Q292" i="4" s="1"/>
  <c r="T292" i="4" s="1"/>
  <c r="W292" i="4" s="1"/>
  <c r="Z292" i="4" s="1"/>
  <c r="AC292" i="4" s="1"/>
  <c r="AO292" i="4"/>
  <c r="U206" i="38"/>
  <c r="W206" i="38" s="1"/>
  <c r="I206" i="38"/>
  <c r="W199" i="38"/>
  <c r="I306" i="4"/>
  <c r="I201" i="38"/>
  <c r="U202" i="38"/>
  <c r="I202" i="38"/>
  <c r="U203" i="38"/>
  <c r="W203" i="38" s="1"/>
  <c r="I203" i="38"/>
  <c r="I307" i="4"/>
  <c r="L307" i="4" s="1"/>
  <c r="U200" i="38"/>
  <c r="W200" i="38" s="1"/>
  <c r="I200" i="38"/>
  <c r="I308" i="4"/>
  <c r="I311" i="4"/>
  <c r="I310" i="4"/>
  <c r="I305" i="4"/>
  <c r="U205" i="38"/>
  <c r="W205" i="38" s="1"/>
  <c r="I205" i="38"/>
  <c r="I301" i="4"/>
  <c r="L301" i="4" s="1"/>
  <c r="O301" i="4" s="1"/>
  <c r="R301" i="4" s="1"/>
  <c r="AF58" i="38"/>
  <c r="AD28" i="38"/>
  <c r="AF28" i="38" s="1"/>
  <c r="U175" i="38"/>
  <c r="I175" i="38"/>
  <c r="U179" i="38"/>
  <c r="W179" i="38" s="1"/>
  <c r="AD68" i="38"/>
  <c r="AF68" i="38" s="1"/>
  <c r="I179" i="38"/>
  <c r="I293" i="4"/>
  <c r="I297" i="4"/>
  <c r="W173" i="38"/>
  <c r="Z88" i="38"/>
  <c r="AB88" i="38" s="1"/>
  <c r="AB58" i="38"/>
  <c r="I288" i="4"/>
  <c r="L288" i="4" s="1"/>
  <c r="O288" i="4" s="1"/>
  <c r="R288" i="4" s="1"/>
  <c r="W176" i="38"/>
  <c r="I285" i="4"/>
  <c r="L285" i="4" s="1"/>
  <c r="O285" i="4" s="1"/>
  <c r="R285" i="4" s="1"/>
  <c r="U285" i="4" s="1"/>
  <c r="I282" i="4"/>
  <c r="L282" i="4" s="1"/>
  <c r="O282" i="4" s="1"/>
  <c r="R282" i="4" s="1"/>
  <c r="I193" i="38"/>
  <c r="U193" i="38"/>
  <c r="W193" i="38" s="1"/>
  <c r="AD59" i="38"/>
  <c r="W186" i="38"/>
  <c r="I190" i="38"/>
  <c r="AD49" i="38"/>
  <c r="AF49" i="38" s="1"/>
  <c r="U190" i="38"/>
  <c r="W190" i="38" s="1"/>
  <c r="I283" i="4"/>
  <c r="L283" i="4" s="1"/>
  <c r="O283" i="4" s="1"/>
  <c r="R283" i="4" s="1"/>
  <c r="U283" i="4" s="1"/>
  <c r="U191" i="38"/>
  <c r="W191" i="38" s="1"/>
  <c r="I191" i="38"/>
  <c r="AD79" i="38"/>
  <c r="AF79" i="38" s="1"/>
  <c r="I284" i="4"/>
  <c r="L284" i="4" s="1"/>
  <c r="O284" i="4" s="1"/>
  <c r="R284" i="4" s="1"/>
  <c r="U284" i="4" s="1"/>
  <c r="U189" i="38"/>
  <c r="AD39" i="38"/>
  <c r="AF39" i="38" s="1"/>
  <c r="I189" i="38"/>
  <c r="U192" i="38"/>
  <c r="W192" i="38" s="1"/>
  <c r="AD69" i="38"/>
  <c r="AF69" i="38" s="1"/>
  <c r="I192" i="38"/>
  <c r="I281" i="4"/>
  <c r="L281" i="4" s="1"/>
  <c r="O281" i="4" s="1"/>
  <c r="R281" i="4" s="1"/>
  <c r="U281" i="4" s="1"/>
  <c r="Z90" i="38"/>
  <c r="AB90" i="38" s="1"/>
  <c r="AB60" i="38"/>
  <c r="I218" i="4"/>
  <c r="L218" i="4" s="1"/>
  <c r="O218" i="4" s="1"/>
  <c r="R218" i="4" s="1"/>
  <c r="U218" i="4" s="1"/>
  <c r="X218" i="4" s="1"/>
  <c r="AA218" i="4" s="1"/>
  <c r="AD218" i="4" s="1"/>
  <c r="I220" i="4"/>
  <c r="F263" i="4"/>
  <c r="I164" i="38"/>
  <c r="U164" i="38"/>
  <c r="W164" i="38" s="1"/>
  <c r="M7" i="52"/>
  <c r="U165" i="38"/>
  <c r="W165" i="38" s="1"/>
  <c r="I165" i="38"/>
  <c r="I219" i="4"/>
  <c r="L219" i="4" s="1"/>
  <c r="O219" i="4" s="1"/>
  <c r="R219" i="4" s="1"/>
  <c r="U219" i="4" s="1"/>
  <c r="X219" i="4" s="1"/>
  <c r="AA219" i="4" s="1"/>
  <c r="AD219" i="4" s="1"/>
  <c r="I212" i="4"/>
  <c r="L212" i="4" s="1"/>
  <c r="O212" i="4" s="1"/>
  <c r="R212" i="4" s="1"/>
  <c r="U212" i="4" s="1"/>
  <c r="X212" i="4" s="1"/>
  <c r="AA212" i="4" s="1"/>
  <c r="AD212" i="4" s="1"/>
  <c r="AG212" i="4" s="1"/>
  <c r="AJ212" i="4" s="1"/>
  <c r="W163" i="38"/>
  <c r="W160" i="38"/>
  <c r="M13" i="52"/>
  <c r="M9" i="52"/>
  <c r="I208" i="4"/>
  <c r="L208" i="4" s="1"/>
  <c r="O208" i="4" s="1"/>
  <c r="R208" i="4" s="1"/>
  <c r="U208" i="4" s="1"/>
  <c r="X208" i="4" s="1"/>
  <c r="AA208" i="4" s="1"/>
  <c r="AD208" i="4" s="1"/>
  <c r="AG208" i="4" s="1"/>
  <c r="AJ208" i="4" s="1"/>
  <c r="E26" i="52" s="1"/>
  <c r="AP208" i="4"/>
  <c r="U153" i="38"/>
  <c r="W153" i="38" s="1"/>
  <c r="I153" i="38"/>
  <c r="U154" i="38"/>
  <c r="W154" i="38" s="1"/>
  <c r="I154" i="38"/>
  <c r="I205" i="4"/>
  <c r="L205" i="4" s="1"/>
  <c r="O205" i="4" s="1"/>
  <c r="R205" i="4" s="1"/>
  <c r="U205" i="4" s="1"/>
  <c r="X205" i="4" s="1"/>
  <c r="AA205" i="4" s="1"/>
  <c r="AD205" i="4" s="1"/>
  <c r="AG205" i="4" s="1"/>
  <c r="AJ205" i="4" s="1"/>
  <c r="E23" i="52" s="1"/>
  <c r="I209" i="4"/>
  <c r="L209" i="4" s="1"/>
  <c r="O209" i="4" s="1"/>
  <c r="R209" i="4" s="1"/>
  <c r="U209" i="4" s="1"/>
  <c r="X209" i="4" s="1"/>
  <c r="AA209" i="4" s="1"/>
  <c r="AD209" i="4" s="1"/>
  <c r="AG209" i="4" s="1"/>
  <c r="AJ209" i="4" s="1"/>
  <c r="E27" i="52" s="1"/>
  <c r="I199" i="4"/>
  <c r="L199" i="4" s="1"/>
  <c r="O199" i="4" s="1"/>
  <c r="U151" i="38"/>
  <c r="W151" i="38" s="1"/>
  <c r="I151" i="38"/>
  <c r="U147" i="38"/>
  <c r="I147" i="38"/>
  <c r="I206" i="4"/>
  <c r="L206" i="4" s="1"/>
  <c r="O206" i="4" s="1"/>
  <c r="R206" i="4" s="1"/>
  <c r="U206" i="4" s="1"/>
  <c r="X206" i="4" s="1"/>
  <c r="AA206" i="4" s="1"/>
  <c r="AD206" i="4" s="1"/>
  <c r="AG206" i="4" s="1"/>
  <c r="AJ206" i="4" s="1"/>
  <c r="E24" i="52" s="1"/>
  <c r="I202" i="4"/>
  <c r="L202" i="4" s="1"/>
  <c r="O202" i="4" s="1"/>
  <c r="R202" i="4" s="1"/>
  <c r="U140" i="38"/>
  <c r="W140" i="38" s="1"/>
  <c r="I140" i="38"/>
  <c r="AD67" i="38"/>
  <c r="AF67" i="38" s="1"/>
  <c r="W134" i="38"/>
  <c r="I195" i="4"/>
  <c r="L195" i="4" s="1"/>
  <c r="O195" i="4" s="1"/>
  <c r="R195" i="4" s="1"/>
  <c r="U195" i="4" s="1"/>
  <c r="X195" i="4" s="1"/>
  <c r="AA195" i="4" s="1"/>
  <c r="AD195" i="4" s="1"/>
  <c r="AG195" i="4" s="1"/>
  <c r="AJ195" i="4" s="1"/>
  <c r="I192" i="4"/>
  <c r="L192" i="4" s="1"/>
  <c r="O192" i="4" s="1"/>
  <c r="R192" i="4" s="1"/>
  <c r="U192" i="4" s="1"/>
  <c r="X192" i="4" s="1"/>
  <c r="AA192" i="4" s="1"/>
  <c r="AD192" i="4" s="1"/>
  <c r="AG192" i="4" s="1"/>
  <c r="AJ192" i="4" s="1"/>
  <c r="AP192" i="4"/>
  <c r="U137" i="38"/>
  <c r="AD37" i="38"/>
  <c r="AF37" i="38" s="1"/>
  <c r="I137" i="38"/>
  <c r="Z87" i="38"/>
  <c r="AB87" i="38" s="1"/>
  <c r="AB57" i="38"/>
  <c r="U135" i="38"/>
  <c r="W135" i="38" s="1"/>
  <c r="I135" i="38"/>
  <c r="AD17" i="38"/>
  <c r="AF17" i="38" s="1"/>
  <c r="I190" i="4"/>
  <c r="L190" i="4" s="1"/>
  <c r="O190" i="4" s="1"/>
  <c r="R190" i="4" s="1"/>
  <c r="U190" i="4" s="1"/>
  <c r="X190" i="4" s="1"/>
  <c r="AA190" i="4" s="1"/>
  <c r="AD190" i="4" s="1"/>
  <c r="AG190" i="4" s="1"/>
  <c r="AJ190" i="4" s="1"/>
  <c r="U138" i="38"/>
  <c r="W138" i="38" s="1"/>
  <c r="AD47" i="38"/>
  <c r="AF47" i="38" s="1"/>
  <c r="I138" i="38"/>
  <c r="I193" i="4"/>
  <c r="L193" i="4" s="1"/>
  <c r="O193" i="4" s="1"/>
  <c r="R193" i="4" s="1"/>
  <c r="U193" i="4" s="1"/>
  <c r="X193" i="4" s="1"/>
  <c r="AA193" i="4" s="1"/>
  <c r="AD193" i="4" s="1"/>
  <c r="AG193" i="4" s="1"/>
  <c r="AJ193" i="4" s="1"/>
  <c r="U113" i="38"/>
  <c r="W113" i="38" s="1"/>
  <c r="I113" i="38"/>
  <c r="I168" i="4"/>
  <c r="I167" i="4"/>
  <c r="U108" i="38"/>
  <c r="I108" i="38"/>
  <c r="I112" i="38"/>
  <c r="U112" i="38"/>
  <c r="W112" i="38" s="1"/>
  <c r="I163" i="4"/>
  <c r="AF55" i="38"/>
  <c r="I145" i="4"/>
  <c r="L145" i="4" s="1"/>
  <c r="O145" i="4" s="1"/>
  <c r="R145" i="4" s="1"/>
  <c r="U145" i="4" s="1"/>
  <c r="X145" i="4" s="1"/>
  <c r="AB55" i="38"/>
  <c r="Z85" i="38"/>
  <c r="AB85" i="38" s="1"/>
  <c r="U88" i="38"/>
  <c r="W88" i="38" s="1"/>
  <c r="AD65" i="38"/>
  <c r="AF65" i="38" s="1"/>
  <c r="I88" i="38"/>
  <c r="AD142" i="4"/>
  <c r="AG142" i="4" s="1"/>
  <c r="AJ142" i="4" s="1"/>
  <c r="K10" i="52" s="1"/>
  <c r="AD146" i="4"/>
  <c r="AG146" i="4" s="1"/>
  <c r="AJ146" i="4" s="1"/>
  <c r="K14" i="52" s="1"/>
  <c r="U87" i="38"/>
  <c r="W87" i="38" s="1"/>
  <c r="I87" i="38"/>
  <c r="AD75" i="38"/>
  <c r="AF75" i="38" s="1"/>
  <c r="W85" i="38"/>
  <c r="U82" i="38"/>
  <c r="AD5" i="38"/>
  <c r="AF5" i="38" s="1"/>
  <c r="I82" i="38"/>
  <c r="I144" i="4"/>
  <c r="L144" i="4" s="1"/>
  <c r="O144" i="4" s="1"/>
  <c r="R144" i="4" s="1"/>
  <c r="U144" i="4" s="1"/>
  <c r="X144" i="4" s="1"/>
  <c r="I140" i="4"/>
  <c r="L140" i="4" s="1"/>
  <c r="O140" i="4" s="1"/>
  <c r="R140" i="4" s="1"/>
  <c r="U140" i="4" s="1"/>
  <c r="X140" i="4" s="1"/>
  <c r="AP140" i="4"/>
  <c r="I139" i="4"/>
  <c r="L139" i="4" s="1"/>
  <c r="O139" i="4" s="1"/>
  <c r="R139" i="4" s="1"/>
  <c r="AD15" i="38"/>
  <c r="AF15" i="38" s="1"/>
  <c r="U83" i="38"/>
  <c r="W83" i="38" s="1"/>
  <c r="I83" i="38"/>
  <c r="AD141" i="4"/>
  <c r="AG141" i="4" s="1"/>
  <c r="AJ141" i="4" s="1"/>
  <c r="K9" i="52" s="1"/>
  <c r="I143" i="4"/>
  <c r="L143" i="4" s="1"/>
  <c r="O143" i="4" s="1"/>
  <c r="R143" i="4" s="1"/>
  <c r="U143" i="4" s="1"/>
  <c r="X143" i="4" s="1"/>
  <c r="AD45" i="38"/>
  <c r="AF45" i="38" s="1"/>
  <c r="U86" i="38"/>
  <c r="W86" i="38" s="1"/>
  <c r="I86" i="38"/>
  <c r="W59" i="38"/>
  <c r="I119" i="4"/>
  <c r="L119" i="4" s="1"/>
  <c r="O119" i="4" s="1"/>
  <c r="R119" i="4" s="1"/>
  <c r="U60" i="38"/>
  <c r="W60" i="38" s="1"/>
  <c r="I60" i="38"/>
  <c r="U63" i="38"/>
  <c r="W63" i="38" s="1"/>
  <c r="I63" i="38"/>
  <c r="I122" i="4"/>
  <c r="L122" i="4" s="1"/>
  <c r="O122" i="4" s="1"/>
  <c r="U61" i="38"/>
  <c r="W61" i="38" s="1"/>
  <c r="I61" i="38"/>
  <c r="I115" i="4"/>
  <c r="L115" i="4" s="1"/>
  <c r="O115" i="4" s="1"/>
  <c r="R115" i="4" s="1"/>
  <c r="U115" i="4" s="1"/>
  <c r="X115" i="4" s="1"/>
  <c r="AP115" i="4"/>
  <c r="I120" i="4"/>
  <c r="I112" i="4"/>
  <c r="U56" i="38"/>
  <c r="I56" i="38"/>
  <c r="I117" i="4"/>
  <c r="L117" i="4" s="1"/>
  <c r="O117" i="4" s="1"/>
  <c r="R117" i="4" s="1"/>
  <c r="U117" i="4" s="1"/>
  <c r="X117" i="4" s="1"/>
  <c r="AP117" i="4"/>
  <c r="I58" i="38"/>
  <c r="U58" i="38"/>
  <c r="W58" i="38" s="1"/>
  <c r="AD96" i="4"/>
  <c r="AG96" i="4" s="1"/>
  <c r="I92" i="4"/>
  <c r="L92" i="4" s="1"/>
  <c r="O92" i="4" s="1"/>
  <c r="R92" i="4" s="1"/>
  <c r="U92" i="4" s="1"/>
  <c r="X92" i="4" s="1"/>
  <c r="AA92" i="4" s="1"/>
  <c r="G92" i="4"/>
  <c r="I97" i="4"/>
  <c r="L97" i="4" s="1"/>
  <c r="O97" i="4" s="1"/>
  <c r="R97" i="4" s="1"/>
  <c r="U97" i="4" s="1"/>
  <c r="X97" i="4" s="1"/>
  <c r="AA97" i="4" s="1"/>
  <c r="G97" i="4"/>
  <c r="U44" i="38"/>
  <c r="W44" i="38" s="1"/>
  <c r="I44" i="38"/>
  <c r="I49" i="38"/>
  <c r="U49" i="38"/>
  <c r="W49" i="38" s="1"/>
  <c r="U45" i="38"/>
  <c r="W45" i="38" s="1"/>
  <c r="I45" i="38"/>
  <c r="I93" i="4"/>
  <c r="L93" i="4" s="1"/>
  <c r="O93" i="4" s="1"/>
  <c r="R93" i="4" s="1"/>
  <c r="G93" i="4"/>
  <c r="U43" i="38"/>
  <c r="I43" i="38"/>
  <c r="I94" i="4"/>
  <c r="L94" i="4" s="1"/>
  <c r="O94" i="4" s="1"/>
  <c r="R94" i="4" s="1"/>
  <c r="U94" i="4" s="1"/>
  <c r="X94" i="4" s="1"/>
  <c r="AA94" i="4" s="1"/>
  <c r="G94" i="4"/>
  <c r="G91" i="4"/>
  <c r="I91" i="4"/>
  <c r="L91" i="4" s="1"/>
  <c r="O91" i="4" s="1"/>
  <c r="R91" i="4" s="1"/>
  <c r="I46" i="38"/>
  <c r="U46" i="38"/>
  <c r="AD37" i="4"/>
  <c r="AG37" i="4" s="1"/>
  <c r="AJ37" i="4" s="1"/>
  <c r="H8" i="52" s="1"/>
  <c r="I20" i="38"/>
  <c r="U20" i="38"/>
  <c r="E25" i="38"/>
  <c r="C38" i="38"/>
  <c r="U22" i="38"/>
  <c r="W22" i="38" s="1"/>
  <c r="I22" i="38"/>
  <c r="AM32" i="3"/>
  <c r="AL32" i="3"/>
  <c r="I40" i="4"/>
  <c r="L40" i="4" s="1"/>
  <c r="O40" i="4" s="1"/>
  <c r="R40" i="4" s="1"/>
  <c r="U40" i="4" s="1"/>
  <c r="X40" i="4" s="1"/>
  <c r="AP40" i="4"/>
  <c r="F32" i="4"/>
  <c r="G25" i="38"/>
  <c r="D32" i="4"/>
  <c r="C33" i="4"/>
  <c r="I41" i="4"/>
  <c r="L41" i="4" s="1"/>
  <c r="O41" i="4" s="1"/>
  <c r="R41" i="4" s="1"/>
  <c r="U41" i="4" s="1"/>
  <c r="X41" i="4" s="1"/>
  <c r="U21" i="38"/>
  <c r="W21" i="38" s="1"/>
  <c r="I21" i="38"/>
  <c r="I36" i="4"/>
  <c r="I39" i="4"/>
  <c r="L39" i="4" s="1"/>
  <c r="O39" i="4" s="1"/>
  <c r="R39" i="4" s="1"/>
  <c r="U39" i="4" s="1"/>
  <c r="X39" i="4" s="1"/>
  <c r="U17" i="38"/>
  <c r="I17" i="38"/>
  <c r="Z66" i="38"/>
  <c r="AB66" i="38" s="1"/>
  <c r="E75" i="38"/>
  <c r="F129" i="4"/>
  <c r="F153" i="4"/>
  <c r="F229" i="4"/>
  <c r="F82" i="4"/>
  <c r="F105" i="4"/>
  <c r="G12" i="4"/>
  <c r="I12" i="4"/>
  <c r="I30" i="4"/>
  <c r="F130" i="4"/>
  <c r="F154" i="4"/>
  <c r="F230" i="4"/>
  <c r="G13" i="4"/>
  <c r="F83" i="4"/>
  <c r="F106" i="4"/>
  <c r="I13" i="4"/>
  <c r="I11" i="38"/>
  <c r="AD54" i="38"/>
  <c r="G102" i="38"/>
  <c r="I102" i="38" s="1"/>
  <c r="G37" i="38"/>
  <c r="I37" i="38" s="1"/>
  <c r="G76" i="38"/>
  <c r="U11" i="38"/>
  <c r="F131" i="4"/>
  <c r="F155" i="4"/>
  <c r="F231" i="4"/>
  <c r="G14" i="4"/>
  <c r="F84" i="4"/>
  <c r="F107" i="4"/>
  <c r="I14" i="4"/>
  <c r="U4" i="38"/>
  <c r="G95" i="38"/>
  <c r="I95" i="38" s="1"/>
  <c r="AD4" i="38"/>
  <c r="I4" i="38"/>
  <c r="G69" i="38"/>
  <c r="Z46" i="38"/>
  <c r="AB46" i="38" s="1"/>
  <c r="E73" i="38"/>
  <c r="G31" i="38"/>
  <c r="U5" i="38"/>
  <c r="AD14" i="38"/>
  <c r="G96" i="38"/>
  <c r="I96" i="38" s="1"/>
  <c r="G70" i="38"/>
  <c r="I5" i="38"/>
  <c r="G36" i="38"/>
  <c r="I10" i="38"/>
  <c r="G75" i="38"/>
  <c r="AD64" i="38"/>
  <c r="G101" i="38"/>
  <c r="U10" i="38"/>
  <c r="G97" i="38"/>
  <c r="U6" i="38"/>
  <c r="G71" i="38"/>
  <c r="G32" i="38"/>
  <c r="AD24" i="38"/>
  <c r="I6" i="38"/>
  <c r="U8" i="38"/>
  <c r="G99" i="38"/>
  <c r="I99" i="38" s="1"/>
  <c r="AD44" i="38"/>
  <c r="G34" i="38"/>
  <c r="I8" i="38"/>
  <c r="G73" i="38"/>
  <c r="AB54" i="38"/>
  <c r="Z84" i="38"/>
  <c r="AD34" i="38"/>
  <c r="AF34" i="38" s="1"/>
  <c r="G33" i="38"/>
  <c r="I33" i="38" s="1"/>
  <c r="I7" i="38"/>
  <c r="G72" i="38"/>
  <c r="U7" i="38"/>
  <c r="G98" i="38"/>
  <c r="F128" i="4"/>
  <c r="F152" i="4"/>
  <c r="F228" i="4"/>
  <c r="G11" i="4"/>
  <c r="F81" i="4"/>
  <c r="F104" i="4"/>
  <c r="I11" i="4"/>
  <c r="F133" i="4"/>
  <c r="F157" i="4"/>
  <c r="F233" i="4"/>
  <c r="F86" i="4"/>
  <c r="F109" i="4"/>
  <c r="G16" i="4"/>
  <c r="I16" i="4"/>
  <c r="F151" i="4"/>
  <c r="F227" i="4"/>
  <c r="F127" i="4"/>
  <c r="F80" i="4"/>
  <c r="I10" i="4"/>
  <c r="F103" i="4"/>
  <c r="G10" i="4"/>
  <c r="E74" i="38"/>
  <c r="Z76" i="38"/>
  <c r="AB76" i="38" s="1"/>
  <c r="G100" i="38"/>
  <c r="G74" i="38"/>
  <c r="I9" i="38"/>
  <c r="AD74" i="38"/>
  <c r="G35" i="38"/>
  <c r="U9" i="38"/>
  <c r="F150" i="4"/>
  <c r="F226" i="4"/>
  <c r="F126" i="4"/>
  <c r="I9" i="4"/>
  <c r="F79" i="4"/>
  <c r="G9" i="4"/>
  <c r="F102" i="4"/>
  <c r="Z56" i="38"/>
  <c r="AB56" i="38" s="1"/>
  <c r="E76" i="38"/>
  <c r="F132" i="4"/>
  <c r="F156" i="4"/>
  <c r="F232" i="4"/>
  <c r="F85" i="4"/>
  <c r="I15" i="4"/>
  <c r="F108" i="4"/>
  <c r="G15" i="4"/>
  <c r="AP3" i="2"/>
  <c r="C3" i="4"/>
  <c r="AP3" i="4" s="1"/>
  <c r="AM3" i="1"/>
  <c r="AL3" i="1"/>
  <c r="F263" i="2"/>
  <c r="I220" i="2"/>
  <c r="I250" i="2"/>
  <c r="L207" i="2"/>
  <c r="F237" i="2"/>
  <c r="I194" i="2"/>
  <c r="F213" i="2"/>
  <c r="I170" i="2"/>
  <c r="I187" i="2"/>
  <c r="L144" i="2"/>
  <c r="I161" i="2"/>
  <c r="L118" i="2"/>
  <c r="I94" i="2"/>
  <c r="F137" i="2"/>
  <c r="I32" i="2"/>
  <c r="L32" i="2" s="1"/>
  <c r="O32" i="2" s="1"/>
  <c r="R32" i="2" s="1"/>
  <c r="F34" i="2"/>
  <c r="F150" i="2"/>
  <c r="F102" i="2"/>
  <c r="F226" i="2"/>
  <c r="F79" i="2"/>
  <c r="F126" i="2"/>
  <c r="I9" i="2"/>
  <c r="G9" i="2"/>
  <c r="F129" i="2"/>
  <c r="F153" i="2"/>
  <c r="F105" i="2"/>
  <c r="F229" i="2"/>
  <c r="F82" i="2"/>
  <c r="I12" i="2"/>
  <c r="G12" i="2"/>
  <c r="F133" i="2"/>
  <c r="F157" i="2"/>
  <c r="F200" i="2" s="1"/>
  <c r="F109" i="2"/>
  <c r="F233" i="2"/>
  <c r="F276" i="2" s="1"/>
  <c r="F86" i="2"/>
  <c r="I16" i="2"/>
  <c r="G16" i="2"/>
  <c r="F127" i="2"/>
  <c r="F151" i="2"/>
  <c r="F103" i="2"/>
  <c r="F227" i="2"/>
  <c r="F80" i="2"/>
  <c r="G10" i="2"/>
  <c r="I10" i="2"/>
  <c r="I128" i="2"/>
  <c r="I152" i="2"/>
  <c r="I104" i="2"/>
  <c r="I228" i="2"/>
  <c r="I81" i="2"/>
  <c r="L11" i="2"/>
  <c r="C276" i="2"/>
  <c r="C174" i="2"/>
  <c r="C200" i="2"/>
  <c r="I132" i="2"/>
  <c r="I156" i="2"/>
  <c r="I108" i="2"/>
  <c r="I232" i="2"/>
  <c r="I85" i="2"/>
  <c r="L15" i="2"/>
  <c r="F107" i="2"/>
  <c r="F231" i="2"/>
  <c r="F84" i="2"/>
  <c r="F131" i="2"/>
  <c r="F174" i="2" s="1"/>
  <c r="F155" i="2"/>
  <c r="I14" i="2"/>
  <c r="G14" i="2"/>
  <c r="F130" i="2"/>
  <c r="F154" i="2"/>
  <c r="F106" i="2"/>
  <c r="F230" i="2"/>
  <c r="F83" i="2"/>
  <c r="G13" i="2"/>
  <c r="I13" i="2"/>
  <c r="AL31" i="2"/>
  <c r="AM31" i="2"/>
  <c r="Z31" i="2"/>
  <c r="AC31" i="2" s="1"/>
  <c r="AF31" i="2" s="1"/>
  <c r="AI31" i="2" s="1"/>
  <c r="Y31" i="2"/>
  <c r="E228" i="2"/>
  <c r="E81" i="2"/>
  <c r="H11" i="2"/>
  <c r="E128" i="2"/>
  <c r="E104" i="2"/>
  <c r="G11" i="2"/>
  <c r="E152" i="2"/>
  <c r="AR288" i="4"/>
  <c r="T288" i="4"/>
  <c r="W288" i="4" s="1"/>
  <c r="Z288" i="4" s="1"/>
  <c r="AC288" i="4" s="1"/>
  <c r="Q289" i="4"/>
  <c r="AO289" i="4" s="1"/>
  <c r="E20" i="35"/>
  <c r="F23" i="35"/>
  <c r="I181" i="38"/>
  <c r="AE98" i="38"/>
  <c r="AF98" i="38" s="1"/>
  <c r="AR301" i="4"/>
  <c r="T301" i="4"/>
  <c r="W301" i="4" s="1"/>
  <c r="Z301" i="4" s="1"/>
  <c r="AC301" i="4" s="1"/>
  <c r="AF301" i="4" s="1"/>
  <c r="AI301" i="4" s="1"/>
  <c r="AV301" i="4" s="1"/>
  <c r="E29" i="35"/>
  <c r="AA36" i="2" l="1"/>
  <c r="AD36" i="2" s="1"/>
  <c r="AG36" i="2" s="1"/>
  <c r="AJ36" i="2" s="1"/>
  <c r="AP36" i="2"/>
  <c r="AA279" i="4"/>
  <c r="AD279" i="4" s="1"/>
  <c r="AG279" i="4" s="1"/>
  <c r="AJ279" i="4" s="1"/>
  <c r="AP279" i="4"/>
  <c r="AM31" i="4"/>
  <c r="AL31" i="4"/>
  <c r="AL192" i="2"/>
  <c r="AM192" i="2"/>
  <c r="AM195" i="2"/>
  <c r="AL195" i="2"/>
  <c r="AA186" i="4"/>
  <c r="AD186" i="4" s="1"/>
  <c r="AG186" i="4" s="1"/>
  <c r="AJ186" i="4" s="1"/>
  <c r="AP186" i="4"/>
  <c r="F25" i="4"/>
  <c r="F21" i="4"/>
  <c r="F20" i="4"/>
  <c r="F22" i="4"/>
  <c r="F26" i="4"/>
  <c r="F27" i="4"/>
  <c r="X275" i="4"/>
  <c r="M14" i="52"/>
  <c r="M8" i="52"/>
  <c r="I136" i="4"/>
  <c r="F137" i="4"/>
  <c r="X182" i="2"/>
  <c r="AA182" i="2" s="1"/>
  <c r="AD182" i="2" s="1"/>
  <c r="AG182" i="2" s="1"/>
  <c r="AJ182" i="2" s="1"/>
  <c r="AP182" i="2"/>
  <c r="AM142" i="2"/>
  <c r="AL142" i="2"/>
  <c r="X88" i="2"/>
  <c r="AA88" i="2" s="1"/>
  <c r="AD88" i="2" s="1"/>
  <c r="AG88" i="2" s="1"/>
  <c r="AJ88" i="2" s="1"/>
  <c r="AP88" i="2"/>
  <c r="AL163" i="2"/>
  <c r="AM163" i="2"/>
  <c r="U119" i="4"/>
  <c r="X119" i="4" s="1"/>
  <c r="AP119" i="4"/>
  <c r="U282" i="4"/>
  <c r="X282" i="4" s="1"/>
  <c r="G103" i="38"/>
  <c r="G77" i="38"/>
  <c r="AD96" i="38" s="1"/>
  <c r="AD94" i="38"/>
  <c r="I12" i="38"/>
  <c r="E103" i="38"/>
  <c r="F89" i="4"/>
  <c r="F23" i="4"/>
  <c r="F24" i="4"/>
  <c r="I6" i="4"/>
  <c r="AB94" i="38"/>
  <c r="E19" i="43"/>
  <c r="D19" i="43"/>
  <c r="D19" i="5"/>
  <c r="E19" i="5"/>
  <c r="J136" i="4"/>
  <c r="L136" i="4"/>
  <c r="O136" i="4" s="1"/>
  <c r="R136" i="4" s="1"/>
  <c r="I90" i="38"/>
  <c r="AD95" i="38"/>
  <c r="AF95" i="38" s="1"/>
  <c r="Z38" i="4"/>
  <c r="AC38" i="4" s="1"/>
  <c r="AF38" i="4" s="1"/>
  <c r="AI38" i="4" s="1"/>
  <c r="AR38" i="4"/>
  <c r="F22" i="29"/>
  <c r="G22" i="29" s="1"/>
  <c r="H22" i="29" s="1"/>
  <c r="I22" i="29" s="1"/>
  <c r="J22" i="29" s="1"/>
  <c r="K22" i="29" s="1"/>
  <c r="L22" i="29" s="1"/>
  <c r="M22" i="29" s="1"/>
  <c r="E20" i="29"/>
  <c r="AL219" i="2"/>
  <c r="AM219" i="2"/>
  <c r="H232" i="4"/>
  <c r="K221" i="4"/>
  <c r="T191" i="4"/>
  <c r="W191" i="4" s="1"/>
  <c r="Z191" i="4" s="1"/>
  <c r="AC191" i="4" s="1"/>
  <c r="AF191" i="4" s="1"/>
  <c r="AI191" i="4" s="1"/>
  <c r="AO191" i="4"/>
  <c r="T183" i="4"/>
  <c r="W183" i="4" s="1"/>
  <c r="Z183" i="4" s="1"/>
  <c r="AC183" i="4" s="1"/>
  <c r="AF183" i="4" s="1"/>
  <c r="AI183" i="4" s="1"/>
  <c r="AO183" i="4"/>
  <c r="U88" i="4"/>
  <c r="X88" i="4" s="1"/>
  <c r="AA88" i="4" s="1"/>
  <c r="AD88" i="4" s="1"/>
  <c r="AG88" i="4" s="1"/>
  <c r="AP88" i="4"/>
  <c r="U32" i="2"/>
  <c r="X32" i="2" s="1"/>
  <c r="AA32" i="2" s="1"/>
  <c r="AD32" i="2" s="1"/>
  <c r="AG32" i="2" s="1"/>
  <c r="AJ32" i="2" s="1"/>
  <c r="AP32" i="2"/>
  <c r="AF293" i="4"/>
  <c r="AI293" i="4" s="1"/>
  <c r="AR293" i="4"/>
  <c r="T285" i="4"/>
  <c r="AO285" i="4"/>
  <c r="T284" i="4"/>
  <c r="AO284" i="4"/>
  <c r="T283" i="4"/>
  <c r="AO283" i="4"/>
  <c r="T281" i="4"/>
  <c r="AO281" i="4"/>
  <c r="T278" i="4"/>
  <c r="AO278" i="4"/>
  <c r="T275" i="4"/>
  <c r="W275" i="4" s="1"/>
  <c r="Z275" i="4" s="1"/>
  <c r="AC275" i="4" s="1"/>
  <c r="AF275" i="4" s="1"/>
  <c r="AI275" i="4" s="1"/>
  <c r="AO275" i="4"/>
  <c r="T282" i="4"/>
  <c r="AO282" i="4"/>
  <c r="T280" i="4"/>
  <c r="AO280" i="4"/>
  <c r="T279" i="4"/>
  <c r="AO279" i="4"/>
  <c r="T208" i="4"/>
  <c r="W208" i="4" s="1"/>
  <c r="Z208" i="4" s="1"/>
  <c r="AC208" i="4" s="1"/>
  <c r="AF208" i="4" s="1"/>
  <c r="AI208" i="4" s="1"/>
  <c r="AO208" i="4"/>
  <c r="T205" i="4"/>
  <c r="W205" i="4" s="1"/>
  <c r="Z205" i="4" s="1"/>
  <c r="AC205" i="4" s="1"/>
  <c r="AF205" i="4" s="1"/>
  <c r="AI205" i="4" s="1"/>
  <c r="AO205" i="4"/>
  <c r="T202" i="4"/>
  <c r="W202" i="4" s="1"/>
  <c r="Z202" i="4" s="1"/>
  <c r="AC202" i="4" s="1"/>
  <c r="AF202" i="4" s="1"/>
  <c r="AI202" i="4" s="1"/>
  <c r="AO202" i="4"/>
  <c r="T209" i="4"/>
  <c r="W209" i="4" s="1"/>
  <c r="Z209" i="4" s="1"/>
  <c r="AC209" i="4" s="1"/>
  <c r="AF209" i="4" s="1"/>
  <c r="AI209" i="4" s="1"/>
  <c r="AO209" i="4"/>
  <c r="T192" i="4"/>
  <c r="W192" i="4" s="1"/>
  <c r="Z192" i="4" s="1"/>
  <c r="AC192" i="4" s="1"/>
  <c r="AF192" i="4" s="1"/>
  <c r="AI192" i="4" s="1"/>
  <c r="AO192" i="4"/>
  <c r="T190" i="4"/>
  <c r="W190" i="4" s="1"/>
  <c r="Z190" i="4" s="1"/>
  <c r="AC190" i="4" s="1"/>
  <c r="AF190" i="4" s="1"/>
  <c r="AI190" i="4" s="1"/>
  <c r="AO190" i="4"/>
  <c r="T189" i="4"/>
  <c r="W189" i="4" s="1"/>
  <c r="Z189" i="4" s="1"/>
  <c r="AC189" i="4" s="1"/>
  <c r="AF189" i="4" s="1"/>
  <c r="AI189" i="4" s="1"/>
  <c r="AO189" i="4"/>
  <c r="T196" i="4"/>
  <c r="W196" i="4" s="1"/>
  <c r="Z196" i="4" s="1"/>
  <c r="AC196" i="4" s="1"/>
  <c r="AF196" i="4" s="1"/>
  <c r="AI196" i="4" s="1"/>
  <c r="AK56" i="38" s="1"/>
  <c r="AL56" i="38" s="1"/>
  <c r="AO196" i="4"/>
  <c r="T195" i="4"/>
  <c r="W195" i="4" s="1"/>
  <c r="Z195" i="4" s="1"/>
  <c r="AC195" i="4" s="1"/>
  <c r="AF195" i="4" s="1"/>
  <c r="AI195" i="4" s="1"/>
  <c r="AK66" i="38" s="1"/>
  <c r="AO195" i="4"/>
  <c r="T194" i="4"/>
  <c r="W194" i="4" s="1"/>
  <c r="Z194" i="4" s="1"/>
  <c r="AC194" i="4" s="1"/>
  <c r="AF194" i="4" s="1"/>
  <c r="AI194" i="4" s="1"/>
  <c r="AK76" i="38" s="1"/>
  <c r="AL76" i="38" s="1"/>
  <c r="AO194" i="4"/>
  <c r="T193" i="4"/>
  <c r="W193" i="4" s="1"/>
  <c r="Z193" i="4" s="1"/>
  <c r="AC193" i="4" s="1"/>
  <c r="AF193" i="4" s="1"/>
  <c r="AI193" i="4" s="1"/>
  <c r="AO193" i="4"/>
  <c r="T181" i="4"/>
  <c r="W181" i="4" s="1"/>
  <c r="Z181" i="4" s="1"/>
  <c r="AC181" i="4" s="1"/>
  <c r="AF181" i="4" s="1"/>
  <c r="AI181" i="4" s="1"/>
  <c r="AO181" i="4"/>
  <c r="T180" i="4"/>
  <c r="W180" i="4" s="1"/>
  <c r="Z180" i="4" s="1"/>
  <c r="AC180" i="4" s="1"/>
  <c r="AF180" i="4" s="1"/>
  <c r="AI180" i="4" s="1"/>
  <c r="AO180" i="4"/>
  <c r="T182" i="4"/>
  <c r="W182" i="4" s="1"/>
  <c r="Z182" i="4" s="1"/>
  <c r="AC182" i="4" s="1"/>
  <c r="AF182" i="4" s="1"/>
  <c r="AI182" i="4" s="1"/>
  <c r="AO182" i="4"/>
  <c r="T179" i="4"/>
  <c r="W179" i="4" s="1"/>
  <c r="Z179" i="4" s="1"/>
  <c r="AC179" i="4" s="1"/>
  <c r="AF179" i="4" s="1"/>
  <c r="AI179" i="4" s="1"/>
  <c r="AO179" i="4"/>
  <c r="T177" i="4"/>
  <c r="W177" i="4" s="1"/>
  <c r="Z177" i="4" s="1"/>
  <c r="AC177" i="4" s="1"/>
  <c r="AF177" i="4" s="1"/>
  <c r="AI177" i="4" s="1"/>
  <c r="AO177" i="4"/>
  <c r="T176" i="4"/>
  <c r="W176" i="4" s="1"/>
  <c r="Z176" i="4" s="1"/>
  <c r="AC176" i="4" s="1"/>
  <c r="AF176" i="4" s="1"/>
  <c r="AI176" i="4" s="1"/>
  <c r="AO176" i="4"/>
  <c r="T170" i="4"/>
  <c r="W170" i="4" s="1"/>
  <c r="Z170" i="4" s="1"/>
  <c r="AC170" i="4" s="1"/>
  <c r="AF170" i="4" s="1"/>
  <c r="AI170" i="4" s="1"/>
  <c r="AO170" i="4"/>
  <c r="T169" i="4"/>
  <c r="W169" i="4" s="1"/>
  <c r="Z169" i="4" s="1"/>
  <c r="AC169" i="4" s="1"/>
  <c r="AF169" i="4" s="1"/>
  <c r="AI169" i="4" s="1"/>
  <c r="AO169" i="4"/>
  <c r="T167" i="4"/>
  <c r="W167" i="4" s="1"/>
  <c r="Z167" i="4" s="1"/>
  <c r="AC167" i="4" s="1"/>
  <c r="AF167" i="4" s="1"/>
  <c r="AI167" i="4" s="1"/>
  <c r="AO167" i="4"/>
  <c r="T165" i="4"/>
  <c r="W165" i="4" s="1"/>
  <c r="Z165" i="4" s="1"/>
  <c r="AC165" i="4" s="1"/>
  <c r="AF165" i="4" s="1"/>
  <c r="AI165" i="4" s="1"/>
  <c r="AO165" i="4"/>
  <c r="T163" i="4"/>
  <c r="W163" i="4" s="1"/>
  <c r="Z163" i="4" s="1"/>
  <c r="AC163" i="4" s="1"/>
  <c r="AF163" i="4" s="1"/>
  <c r="AI163" i="4" s="1"/>
  <c r="AO163" i="4"/>
  <c r="T168" i="4"/>
  <c r="W168" i="4" s="1"/>
  <c r="Z168" i="4" s="1"/>
  <c r="AC168" i="4" s="1"/>
  <c r="AF168" i="4" s="1"/>
  <c r="AI168" i="4" s="1"/>
  <c r="AO168" i="4"/>
  <c r="T122" i="4"/>
  <c r="W122" i="4" s="1"/>
  <c r="AO122" i="4"/>
  <c r="T119" i="4"/>
  <c r="W119" i="4" s="1"/>
  <c r="AO119" i="4"/>
  <c r="T117" i="4"/>
  <c r="W117" i="4" s="1"/>
  <c r="AO117" i="4"/>
  <c r="T97" i="4"/>
  <c r="W97" i="4" s="1"/>
  <c r="Z97" i="4" s="1"/>
  <c r="AB97" i="4" s="1"/>
  <c r="AO97" i="4"/>
  <c r="AO91" i="4"/>
  <c r="U95" i="4"/>
  <c r="U202" i="4"/>
  <c r="C22" i="54"/>
  <c r="C22" i="55"/>
  <c r="U139" i="4"/>
  <c r="X139" i="4" s="1"/>
  <c r="AP139" i="4" s="1"/>
  <c r="C13" i="55"/>
  <c r="C13" i="54"/>
  <c r="U93" i="4"/>
  <c r="X93" i="4" s="1"/>
  <c r="AA93" i="4" s="1"/>
  <c r="AP93" i="4"/>
  <c r="U91" i="4"/>
  <c r="C8" i="55"/>
  <c r="C8" i="54"/>
  <c r="T206" i="4"/>
  <c r="W206" i="4" s="1"/>
  <c r="Z206" i="4" s="1"/>
  <c r="AC206" i="4" s="1"/>
  <c r="AF206" i="4" s="1"/>
  <c r="AI206" i="4" s="1"/>
  <c r="AO206" i="4"/>
  <c r="T199" i="4"/>
  <c r="W199" i="4" s="1"/>
  <c r="Z199" i="4" s="1"/>
  <c r="AC199" i="4" s="1"/>
  <c r="AF199" i="4" s="1"/>
  <c r="AI199" i="4" s="1"/>
  <c r="AO199" i="4"/>
  <c r="T186" i="4"/>
  <c r="W186" i="4" s="1"/>
  <c r="Z186" i="4" s="1"/>
  <c r="AC186" i="4" s="1"/>
  <c r="AF186" i="4" s="1"/>
  <c r="AI186" i="4" s="1"/>
  <c r="T173" i="4"/>
  <c r="W173" i="4" s="1"/>
  <c r="Z173" i="4" s="1"/>
  <c r="AC173" i="4" s="1"/>
  <c r="AF173" i="4" s="1"/>
  <c r="AI173" i="4" s="1"/>
  <c r="T160" i="4"/>
  <c r="W160" i="4" s="1"/>
  <c r="Z160" i="4" s="1"/>
  <c r="AC160" i="4" s="1"/>
  <c r="AF160" i="4" s="1"/>
  <c r="AI160" i="4" s="1"/>
  <c r="H4" i="5"/>
  <c r="E4" i="54"/>
  <c r="D4" i="54"/>
  <c r="D23" i="5"/>
  <c r="E23" i="5"/>
  <c r="E23" i="43"/>
  <c r="D23" i="43"/>
  <c r="E8" i="5"/>
  <c r="D8" i="5"/>
  <c r="E8" i="43"/>
  <c r="D8" i="43"/>
  <c r="AM37" i="4"/>
  <c r="AL37" i="4"/>
  <c r="AM297" i="2"/>
  <c r="AL297" i="2"/>
  <c r="AL298" i="2"/>
  <c r="AM298" i="2"/>
  <c r="R199" i="4"/>
  <c r="U199" i="4" s="1"/>
  <c r="X199" i="4" s="1"/>
  <c r="AA199" i="4" s="1"/>
  <c r="AD199" i="4" s="1"/>
  <c r="AG199" i="4" s="1"/>
  <c r="AJ199" i="4" s="1"/>
  <c r="AP199" i="4"/>
  <c r="R180" i="4"/>
  <c r="R122" i="4"/>
  <c r="U122" i="4" s="1"/>
  <c r="X122" i="4" s="1"/>
  <c r="AP122" i="4"/>
  <c r="R118" i="4"/>
  <c r="U118" i="4" s="1"/>
  <c r="X118" i="4" s="1"/>
  <c r="AP118" i="4"/>
  <c r="AM115" i="2"/>
  <c r="AL115" i="2"/>
  <c r="AK77" i="38"/>
  <c r="AL77" i="38" s="1"/>
  <c r="N295" i="4"/>
  <c r="K216" i="4"/>
  <c r="H227" i="4"/>
  <c r="H23" i="43"/>
  <c r="AM173" i="4"/>
  <c r="AL173" i="4"/>
  <c r="AR141" i="4"/>
  <c r="AT141" i="4" s="1"/>
  <c r="Z141" i="4"/>
  <c r="AL141" i="4"/>
  <c r="AM141" i="4"/>
  <c r="AA86" i="38"/>
  <c r="E24" i="4"/>
  <c r="E23" i="4"/>
  <c r="E22" i="4"/>
  <c r="E20" i="4"/>
  <c r="AF90" i="38"/>
  <c r="AE84" i="38"/>
  <c r="AE86" i="38" s="1"/>
  <c r="D22" i="43"/>
  <c r="E22" i="43"/>
  <c r="D22" i="5"/>
  <c r="E22" i="5"/>
  <c r="W285" i="4"/>
  <c r="Z285" i="4" s="1"/>
  <c r="AC285" i="4" s="1"/>
  <c r="AF285" i="4" s="1"/>
  <c r="AI285" i="4" s="1"/>
  <c r="AR285" i="4"/>
  <c r="AR284" i="4"/>
  <c r="W284" i="4"/>
  <c r="Z284" i="4" s="1"/>
  <c r="AC284" i="4" s="1"/>
  <c r="AF284" i="4" s="1"/>
  <c r="AI284" i="4" s="1"/>
  <c r="W283" i="4"/>
  <c r="Z283" i="4" s="1"/>
  <c r="AC283" i="4" s="1"/>
  <c r="AF283" i="4" s="1"/>
  <c r="AI283" i="4" s="1"/>
  <c r="AR283" i="4"/>
  <c r="AR281" i="4"/>
  <c r="W281" i="4"/>
  <c r="Z281" i="4" s="1"/>
  <c r="AC281" i="4" s="1"/>
  <c r="AF281" i="4" s="1"/>
  <c r="AI281" i="4" s="1"/>
  <c r="AR278" i="4"/>
  <c r="W278" i="4"/>
  <c r="Z278" i="4" s="1"/>
  <c r="AC278" i="4" s="1"/>
  <c r="AF278" i="4" s="1"/>
  <c r="AI278" i="4" s="1"/>
  <c r="AR282" i="4"/>
  <c r="W282" i="4"/>
  <c r="Z282" i="4" s="1"/>
  <c r="AC282" i="4" s="1"/>
  <c r="AF282" i="4" s="1"/>
  <c r="AI282" i="4" s="1"/>
  <c r="AR280" i="4"/>
  <c r="AT280" i="4" s="1"/>
  <c r="W280" i="4"/>
  <c r="Z280" i="4" s="1"/>
  <c r="AC280" i="4" s="1"/>
  <c r="AF280" i="4" s="1"/>
  <c r="AI280" i="4" s="1"/>
  <c r="W279" i="4"/>
  <c r="Z279" i="4" s="1"/>
  <c r="AC279" i="4" s="1"/>
  <c r="AF279" i="4" s="1"/>
  <c r="AI279" i="4" s="1"/>
  <c r="AR279" i="4"/>
  <c r="AT279" i="4" s="1"/>
  <c r="Q217" i="4"/>
  <c r="K23" i="43"/>
  <c r="J23" i="43"/>
  <c r="Q204" i="4"/>
  <c r="Q207" i="4"/>
  <c r="Q203" i="4"/>
  <c r="AE87" i="38"/>
  <c r="AF77" i="38"/>
  <c r="N178" i="4"/>
  <c r="Q178" i="4" s="1"/>
  <c r="AO178" i="4"/>
  <c r="N164" i="4"/>
  <c r="Q164" i="4" s="1"/>
  <c r="AO164" i="4"/>
  <c r="AM166" i="4"/>
  <c r="AL166" i="4"/>
  <c r="I98" i="38"/>
  <c r="I101" i="38"/>
  <c r="I31" i="38"/>
  <c r="AF14" i="38"/>
  <c r="AF64" i="38"/>
  <c r="H131" i="4"/>
  <c r="H231" i="4"/>
  <c r="H107" i="4"/>
  <c r="K14" i="4"/>
  <c r="K155" i="4" s="1"/>
  <c r="H84" i="4"/>
  <c r="H155" i="4"/>
  <c r="I36" i="38"/>
  <c r="AF74" i="38"/>
  <c r="H154" i="4"/>
  <c r="H83" i="4"/>
  <c r="I100" i="38"/>
  <c r="I35" i="38"/>
  <c r="H233" i="4"/>
  <c r="H86" i="4"/>
  <c r="E33" i="4"/>
  <c r="E113" i="4"/>
  <c r="E137" i="4"/>
  <c r="H30" i="4"/>
  <c r="E21" i="4"/>
  <c r="E25" i="4"/>
  <c r="E89" i="4"/>
  <c r="E26" i="4"/>
  <c r="H6" i="4"/>
  <c r="E27" i="4"/>
  <c r="H103" i="38"/>
  <c r="H38" i="38"/>
  <c r="H77" i="38"/>
  <c r="AE94" i="38"/>
  <c r="H157" i="4"/>
  <c r="H109" i="4"/>
  <c r="H133" i="4"/>
  <c r="K16" i="4"/>
  <c r="K13" i="4"/>
  <c r="H130" i="4"/>
  <c r="H229" i="4"/>
  <c r="K12" i="4"/>
  <c r="H105" i="4"/>
  <c r="K11" i="4"/>
  <c r="H81" i="4"/>
  <c r="H104" i="4"/>
  <c r="H152" i="4"/>
  <c r="H228" i="4"/>
  <c r="H128" i="4"/>
  <c r="H126" i="4"/>
  <c r="H102" i="4"/>
  <c r="K9" i="4"/>
  <c r="H79" i="4"/>
  <c r="I32" i="38"/>
  <c r="I34" i="38"/>
  <c r="E38" i="38"/>
  <c r="AF4" i="38"/>
  <c r="I97" i="38"/>
  <c r="AF24" i="38"/>
  <c r="AF44" i="38"/>
  <c r="AA96" i="38"/>
  <c r="AB96" i="38" s="1"/>
  <c r="E77" i="38"/>
  <c r="H230" i="4"/>
  <c r="H106" i="4"/>
  <c r="H82" i="4"/>
  <c r="H153" i="4"/>
  <c r="H129" i="4"/>
  <c r="H150" i="4"/>
  <c r="H226" i="4"/>
  <c r="O179" i="4"/>
  <c r="R179" i="4" s="1"/>
  <c r="D5" i="5"/>
  <c r="E5" i="5"/>
  <c r="D5" i="43"/>
  <c r="E5" i="43"/>
  <c r="J4" i="43"/>
  <c r="K4" i="43"/>
  <c r="E20" i="2"/>
  <c r="E21" i="2"/>
  <c r="E26" i="2"/>
  <c r="E23" i="2"/>
  <c r="H6" i="2"/>
  <c r="E22" i="2"/>
  <c r="E25" i="2"/>
  <c r="E24" i="2"/>
  <c r="E27" i="2"/>
  <c r="E33" i="2"/>
  <c r="H30" i="2"/>
  <c r="K16" i="2"/>
  <c r="H109" i="2"/>
  <c r="H157" i="2"/>
  <c r="H233" i="2"/>
  <c r="H86" i="2"/>
  <c r="H133" i="2"/>
  <c r="K15" i="2"/>
  <c r="H85" i="2"/>
  <c r="H156" i="2"/>
  <c r="H232" i="2"/>
  <c r="H108" i="2"/>
  <c r="H132" i="2"/>
  <c r="K14" i="2"/>
  <c r="H84" i="2"/>
  <c r="H155" i="2"/>
  <c r="H231" i="2"/>
  <c r="H131" i="2"/>
  <c r="H107" i="2"/>
  <c r="K13" i="2"/>
  <c r="H83" i="2"/>
  <c r="H130" i="2"/>
  <c r="H154" i="2"/>
  <c r="H230" i="2"/>
  <c r="H106" i="2"/>
  <c r="K12" i="2"/>
  <c r="H82" i="2"/>
  <c r="H153" i="2"/>
  <c r="H229" i="2"/>
  <c r="H105" i="2"/>
  <c r="K10" i="2"/>
  <c r="H80" i="2"/>
  <c r="H227" i="2"/>
  <c r="H103" i="2"/>
  <c r="H127" i="2"/>
  <c r="H151" i="2"/>
  <c r="K9" i="2"/>
  <c r="H79" i="2"/>
  <c r="H226" i="2"/>
  <c r="H102" i="2"/>
  <c r="H126" i="2"/>
  <c r="H150" i="2"/>
  <c r="AL292" i="2"/>
  <c r="AM292" i="2"/>
  <c r="AL279" i="2"/>
  <c r="AM279" i="2"/>
  <c r="AM36" i="2"/>
  <c r="AL36" i="2"/>
  <c r="AL4" i="1"/>
  <c r="AM4" i="1"/>
  <c r="L4" i="4"/>
  <c r="AP4" i="4" s="1"/>
  <c r="AP4" i="2"/>
  <c r="O304" i="4"/>
  <c r="O309" i="4"/>
  <c r="O294" i="4"/>
  <c r="O291" i="4"/>
  <c r="O292" i="4"/>
  <c r="O295" i="4"/>
  <c r="O296" i="4"/>
  <c r="O298" i="4"/>
  <c r="L36" i="4"/>
  <c r="O36" i="4" s="1"/>
  <c r="R36" i="4" s="1"/>
  <c r="U36" i="4" s="1"/>
  <c r="X36" i="4" s="1"/>
  <c r="AP36" i="4"/>
  <c r="AM285" i="2"/>
  <c r="AL285" i="2"/>
  <c r="AL283" i="2"/>
  <c r="AM283" i="2"/>
  <c r="AL284" i="2"/>
  <c r="AM284" i="2"/>
  <c r="AL281" i="2"/>
  <c r="AM281" i="2"/>
  <c r="AM183" i="2"/>
  <c r="AL183" i="2"/>
  <c r="L170" i="2"/>
  <c r="I30" i="2"/>
  <c r="F33" i="2"/>
  <c r="F22" i="2"/>
  <c r="F26" i="2"/>
  <c r="I6" i="2"/>
  <c r="F20" i="2"/>
  <c r="F23" i="2"/>
  <c r="F27" i="2"/>
  <c r="F21" i="2"/>
  <c r="F25" i="2"/>
  <c r="F24" i="2"/>
  <c r="F7" i="2"/>
  <c r="L306" i="4"/>
  <c r="L308" i="4"/>
  <c r="L305" i="4"/>
  <c r="L313" i="4" s="1"/>
  <c r="L293" i="4"/>
  <c r="N19" i="52"/>
  <c r="O19" i="52" s="1"/>
  <c r="L120" i="4"/>
  <c r="O120" i="4" s="1"/>
  <c r="R120" i="4" s="1"/>
  <c r="U120" i="4" s="1"/>
  <c r="X120" i="4" s="1"/>
  <c r="AP120" i="4"/>
  <c r="L112" i="4"/>
  <c r="O112" i="4" s="1"/>
  <c r="R112" i="4" s="1"/>
  <c r="U112" i="4" s="1"/>
  <c r="X112" i="4" s="1"/>
  <c r="AA112" i="4" s="1"/>
  <c r="AD112" i="4" s="1"/>
  <c r="AG112" i="4" s="1"/>
  <c r="AJ112" i="4" s="1"/>
  <c r="AP112" i="4"/>
  <c r="K118" i="2"/>
  <c r="H129" i="2"/>
  <c r="L310" i="4"/>
  <c r="L311" i="4"/>
  <c r="L297" i="4"/>
  <c r="AP288" i="2"/>
  <c r="AM288" i="2" s="1"/>
  <c r="K307" i="4"/>
  <c r="AP160" i="4"/>
  <c r="AP218" i="4"/>
  <c r="O19" i="46"/>
  <c r="AP94" i="4"/>
  <c r="AP92" i="4"/>
  <c r="AP193" i="4"/>
  <c r="AM193" i="4" s="1"/>
  <c r="AP205" i="4"/>
  <c r="AP219" i="4"/>
  <c r="AP39" i="4"/>
  <c r="AP41" i="4"/>
  <c r="AL41" i="4" s="1"/>
  <c r="AP97" i="4"/>
  <c r="AA121" i="4"/>
  <c r="AD121" i="4" s="1"/>
  <c r="AG121" i="4" s="1"/>
  <c r="AJ121" i="4" s="1"/>
  <c r="AS121" i="4"/>
  <c r="AD87" i="38"/>
  <c r="AP195" i="4"/>
  <c r="AP206" i="4"/>
  <c r="AP209" i="4"/>
  <c r="AP212" i="4"/>
  <c r="AS42" i="4"/>
  <c r="AA42" i="4"/>
  <c r="AD42" i="4" s="1"/>
  <c r="AG42" i="4" s="1"/>
  <c r="AJ42" i="4" s="1"/>
  <c r="H13" i="52" s="1"/>
  <c r="AL38" i="4"/>
  <c r="AM38" i="4"/>
  <c r="AS38" i="4"/>
  <c r="AT38" i="4" s="1"/>
  <c r="AA38" i="4"/>
  <c r="AP144" i="4"/>
  <c r="AP145" i="4"/>
  <c r="AP190" i="4"/>
  <c r="AM183" i="4"/>
  <c r="AL183" i="4"/>
  <c r="AA43" i="4"/>
  <c r="AD43" i="4" s="1"/>
  <c r="AG43" i="4" s="1"/>
  <c r="AJ43" i="4" s="1"/>
  <c r="H14" i="52" s="1"/>
  <c r="AS43" i="4"/>
  <c r="U181" i="38" a="1"/>
  <c r="U181" i="38" s="1"/>
  <c r="U182" i="38"/>
  <c r="AL136" i="2"/>
  <c r="N32" i="4"/>
  <c r="N120" i="4"/>
  <c r="N222" i="4"/>
  <c r="Q218" i="4"/>
  <c r="AO218" i="4" s="1"/>
  <c r="N96" i="4"/>
  <c r="Q136" i="4"/>
  <c r="N220" i="4"/>
  <c r="T36" i="4"/>
  <c r="W37" i="4"/>
  <c r="N92" i="4"/>
  <c r="K103" i="4"/>
  <c r="T94" i="4"/>
  <c r="N116" i="4"/>
  <c r="K127" i="4"/>
  <c r="Q145" i="4"/>
  <c r="AO145" i="4" s="1"/>
  <c r="K151" i="4"/>
  <c r="N140" i="4"/>
  <c r="Q112" i="4"/>
  <c r="N15" i="4"/>
  <c r="K108" i="4"/>
  <c r="N139" i="4"/>
  <c r="K156" i="4"/>
  <c r="AR291" i="4"/>
  <c r="AF291" i="4"/>
  <c r="AI291" i="4" s="1"/>
  <c r="N219" i="4"/>
  <c r="T115" i="4"/>
  <c r="N10" i="4"/>
  <c r="K80" i="4"/>
  <c r="N88" i="4"/>
  <c r="N121" i="4"/>
  <c r="K132" i="4"/>
  <c r="N39" i="4"/>
  <c r="N144" i="4"/>
  <c r="N221" i="4"/>
  <c r="K232" i="4"/>
  <c r="N118" i="4"/>
  <c r="Q98" i="4"/>
  <c r="AO98" i="4" s="1"/>
  <c r="N142" i="4"/>
  <c r="N40" i="4"/>
  <c r="Q146" i="4"/>
  <c r="T91" i="4"/>
  <c r="K85" i="4"/>
  <c r="N42" i="4"/>
  <c r="N143" i="4"/>
  <c r="N43" i="4"/>
  <c r="N215" i="4"/>
  <c r="N95" i="4"/>
  <c r="W41" i="4"/>
  <c r="F20" i="29"/>
  <c r="G23" i="29"/>
  <c r="Z311" i="4"/>
  <c r="AC311" i="4" s="1"/>
  <c r="AF311" i="4" s="1"/>
  <c r="AI311" i="4" s="1"/>
  <c r="AR311" i="4"/>
  <c r="Z309" i="4"/>
  <c r="AC309" i="4" s="1"/>
  <c r="AF309" i="4" s="1"/>
  <c r="AI309" i="4" s="1"/>
  <c r="AR309" i="4"/>
  <c r="AR308" i="4"/>
  <c r="Z308" i="4"/>
  <c r="AC308" i="4" s="1"/>
  <c r="AF308" i="4" s="1"/>
  <c r="AI308" i="4" s="1"/>
  <c r="AR304" i="4"/>
  <c r="Z304" i="4"/>
  <c r="AC304" i="4" s="1"/>
  <c r="AF304" i="4" s="1"/>
  <c r="AI304" i="4" s="1"/>
  <c r="AR310" i="4"/>
  <c r="Z310" i="4"/>
  <c r="AC310" i="4" s="1"/>
  <c r="AF310" i="4" s="1"/>
  <c r="AI310" i="4" s="1"/>
  <c r="AF297" i="4"/>
  <c r="AI297" i="4" s="1"/>
  <c r="AR297" i="4"/>
  <c r="AR298" i="4"/>
  <c r="AF298" i="4"/>
  <c r="AI298" i="4" s="1"/>
  <c r="AR294" i="4"/>
  <c r="AI294" i="4"/>
  <c r="AF292" i="4"/>
  <c r="AI292" i="4" s="1"/>
  <c r="AR292" i="4"/>
  <c r="U208" i="38"/>
  <c r="U207" i="38" a="1"/>
  <c r="U207" i="38" s="1"/>
  <c r="W202" i="38"/>
  <c r="O307" i="4"/>
  <c r="U301" i="4"/>
  <c r="X301" i="4" s="1"/>
  <c r="AS301" i="4"/>
  <c r="AD88" i="38"/>
  <c r="AF88" i="38" s="1"/>
  <c r="AS288" i="4"/>
  <c r="U288" i="4"/>
  <c r="AD89" i="38"/>
  <c r="AF89" i="38" s="1"/>
  <c r="AF59" i="38"/>
  <c r="U194" i="38" a="1"/>
  <c r="U194" i="38" s="1"/>
  <c r="W194" i="38" s="1"/>
  <c r="W189" i="38"/>
  <c r="AS283" i="4"/>
  <c r="X283" i="4"/>
  <c r="AS281" i="4"/>
  <c r="X281" i="4"/>
  <c r="AS284" i="4"/>
  <c r="AT284" i="4" s="1"/>
  <c r="X284" i="4"/>
  <c r="AS282" i="4"/>
  <c r="U195" i="38"/>
  <c r="W195" i="38" s="1"/>
  <c r="X285" i="4"/>
  <c r="AS285" i="4"/>
  <c r="AT285" i="4" s="1"/>
  <c r="U169" i="38"/>
  <c r="W169" i="38" s="1"/>
  <c r="U168" i="38" a="1"/>
  <c r="U168" i="38" s="1"/>
  <c r="W168" i="38" s="1"/>
  <c r="AS219" i="4"/>
  <c r="AG219" i="4"/>
  <c r="AJ219" i="4" s="1"/>
  <c r="N11" i="52" s="1"/>
  <c r="I263" i="4"/>
  <c r="L220" i="4"/>
  <c r="AG218" i="4"/>
  <c r="AJ218" i="4" s="1"/>
  <c r="N10" i="52" s="1"/>
  <c r="AS218" i="4"/>
  <c r="U155" i="38" a="1"/>
  <c r="U155" i="38" s="1"/>
  <c r="W155" i="38" s="1"/>
  <c r="D24" i="52"/>
  <c r="D27" i="52"/>
  <c r="W147" i="38"/>
  <c r="U156" i="38"/>
  <c r="W156" i="38" s="1"/>
  <c r="D23" i="52"/>
  <c r="D26" i="52"/>
  <c r="U143" i="38"/>
  <c r="W143" i="38" s="1"/>
  <c r="W137" i="38"/>
  <c r="U142" i="38" a="1"/>
  <c r="U142" i="38" s="1"/>
  <c r="W142" i="38" s="1"/>
  <c r="J167" i="4"/>
  <c r="L167" i="4"/>
  <c r="L163" i="4"/>
  <c r="J163" i="4"/>
  <c r="J168" i="4"/>
  <c r="L168" i="4"/>
  <c r="U117" i="38"/>
  <c r="W117" i="38" s="1"/>
  <c r="W108" i="38"/>
  <c r="U116" i="38" a="1"/>
  <c r="U116" i="38" s="1"/>
  <c r="W116" i="38" s="1"/>
  <c r="J9" i="52"/>
  <c r="AS140" i="4"/>
  <c r="AA140" i="4"/>
  <c r="AW140" i="4"/>
  <c r="AS144" i="4"/>
  <c r="AA144" i="4"/>
  <c r="J14" i="52"/>
  <c r="W82" i="38"/>
  <c r="U91" i="38"/>
  <c r="W91" i="38" s="1"/>
  <c r="AS145" i="4"/>
  <c r="AA145" i="4"/>
  <c r="AW145" i="4"/>
  <c r="J10" i="52"/>
  <c r="AA143" i="4"/>
  <c r="AP143" i="4" s="1"/>
  <c r="AS143" i="4"/>
  <c r="U90" i="38" a="1"/>
  <c r="U90" i="38" s="1"/>
  <c r="W90" i="38" s="1"/>
  <c r="AD85" i="38"/>
  <c r="AF85" i="38" s="1"/>
  <c r="AM115" i="4"/>
  <c r="AL115" i="4"/>
  <c r="AW141" i="4"/>
  <c r="AS117" i="4"/>
  <c r="AA117" i="4"/>
  <c r="AD117" i="4" s="1"/>
  <c r="AG117" i="4" s="1"/>
  <c r="AJ117" i="4" s="1"/>
  <c r="AS115" i="4"/>
  <c r="AA115" i="4"/>
  <c r="AD115" i="4" s="1"/>
  <c r="AG115" i="4" s="1"/>
  <c r="AJ115" i="4" s="1"/>
  <c r="W56" i="38"/>
  <c r="U65" i="38"/>
  <c r="W65" i="38" s="1"/>
  <c r="U64" i="38" a="1"/>
  <c r="U64" i="38" s="1"/>
  <c r="W64" i="38" s="1"/>
  <c r="AW146" i="4"/>
  <c r="AS122" i="4"/>
  <c r="AA122" i="4"/>
  <c r="AD122" i="4" s="1"/>
  <c r="AG122" i="4" s="1"/>
  <c r="AJ122" i="4" s="1"/>
  <c r="U52" i="38"/>
  <c r="W52" i="38" s="1"/>
  <c r="W43" i="38"/>
  <c r="AJ98" i="4"/>
  <c r="AS98" i="4"/>
  <c r="AD92" i="4"/>
  <c r="AD94" i="4"/>
  <c r="AG94" i="4" s="1"/>
  <c r="AS96" i="4"/>
  <c r="AJ96" i="4"/>
  <c r="AD97" i="4"/>
  <c r="AG97" i="4" s="1"/>
  <c r="W46" i="38"/>
  <c r="U51" i="38" a="1"/>
  <c r="U51" i="38" s="1"/>
  <c r="W51" i="38" s="1"/>
  <c r="W17" i="38"/>
  <c r="U26" i="38"/>
  <c r="W26" i="38" s="1"/>
  <c r="AA40" i="4"/>
  <c r="AS40" i="4"/>
  <c r="AS39" i="4"/>
  <c r="AA39" i="4"/>
  <c r="AS41" i="4"/>
  <c r="AA41" i="4"/>
  <c r="W20" i="38"/>
  <c r="U25" i="38" a="1"/>
  <c r="U25" i="38" s="1"/>
  <c r="W25" i="38" s="1"/>
  <c r="I25" i="38"/>
  <c r="G38" i="38"/>
  <c r="I32" i="4"/>
  <c r="F34" i="4"/>
  <c r="F33" i="4"/>
  <c r="G8" i="52"/>
  <c r="I156" i="4"/>
  <c r="I232" i="4"/>
  <c r="I132" i="4"/>
  <c r="I85" i="4"/>
  <c r="L15" i="4"/>
  <c r="I108" i="4"/>
  <c r="I72" i="38"/>
  <c r="AD36" i="38"/>
  <c r="AF36" i="38" s="1"/>
  <c r="U71" i="38"/>
  <c r="W71" i="38" s="1"/>
  <c r="U32" i="38"/>
  <c r="W32" i="38" s="1"/>
  <c r="W6" i="38"/>
  <c r="U97" i="38"/>
  <c r="W97" i="38" s="1"/>
  <c r="I69" i="38"/>
  <c r="AD6" i="38"/>
  <c r="AF6" i="38" s="1"/>
  <c r="I154" i="4"/>
  <c r="I230" i="4"/>
  <c r="I130" i="4"/>
  <c r="I83" i="4"/>
  <c r="I106" i="4"/>
  <c r="L13" i="4"/>
  <c r="AD16" i="38"/>
  <c r="AF16" i="38" s="1"/>
  <c r="I70" i="38"/>
  <c r="U101" i="38"/>
  <c r="W101" i="38" s="1"/>
  <c r="U36" i="38"/>
  <c r="W36" i="38" s="1"/>
  <c r="W10" i="38"/>
  <c r="U75" i="38"/>
  <c r="W75" i="38" s="1"/>
  <c r="AF54" i="38"/>
  <c r="AD84" i="38"/>
  <c r="I137" i="4"/>
  <c r="L30" i="4"/>
  <c r="U35" i="38"/>
  <c r="W35" i="38" s="1"/>
  <c r="U100" i="38"/>
  <c r="W100" i="38" s="1"/>
  <c r="U74" i="38"/>
  <c r="W74" i="38" s="1"/>
  <c r="W9" i="38"/>
  <c r="U73" i="38"/>
  <c r="W73" i="38" s="1"/>
  <c r="U99" i="38"/>
  <c r="W99" i="38" s="1"/>
  <c r="U34" i="38"/>
  <c r="W34" i="38" s="1"/>
  <c r="W8" i="38"/>
  <c r="I153" i="4"/>
  <c r="I229" i="4"/>
  <c r="I129" i="4"/>
  <c r="I82" i="4"/>
  <c r="I105" i="4"/>
  <c r="L12" i="4"/>
  <c r="I157" i="4"/>
  <c r="I233" i="4"/>
  <c r="I133" i="4"/>
  <c r="I86" i="4"/>
  <c r="I109" i="4"/>
  <c r="L16" i="4"/>
  <c r="Z86" i="38"/>
  <c r="AB86" i="38" s="1"/>
  <c r="AB84" i="38"/>
  <c r="U96" i="38"/>
  <c r="W96" i="38" s="1"/>
  <c r="U70" i="38"/>
  <c r="W70" i="38" s="1"/>
  <c r="W5" i="38"/>
  <c r="U31" i="38"/>
  <c r="W31" i="38" s="1"/>
  <c r="W4" i="38"/>
  <c r="U69" i="38"/>
  <c r="W69" i="38" s="1"/>
  <c r="U13" i="38"/>
  <c r="W13" i="38" s="1"/>
  <c r="U95" i="38"/>
  <c r="W95" i="38" s="1"/>
  <c r="I151" i="4"/>
  <c r="I227" i="4"/>
  <c r="I80" i="4"/>
  <c r="L10" i="4"/>
  <c r="I103" i="4"/>
  <c r="I127" i="4"/>
  <c r="I152" i="4"/>
  <c r="I228" i="4"/>
  <c r="I128" i="4"/>
  <c r="I81" i="4"/>
  <c r="I104" i="4"/>
  <c r="L11" i="4"/>
  <c r="I75" i="38"/>
  <c r="AD66" i="38"/>
  <c r="AF66" i="38" s="1"/>
  <c r="I155" i="4"/>
  <c r="I231" i="4"/>
  <c r="I131" i="4"/>
  <c r="I84" i="4"/>
  <c r="I107" i="4"/>
  <c r="L14" i="4"/>
  <c r="I73" i="38"/>
  <c r="AD46" i="38"/>
  <c r="AF46" i="38" s="1"/>
  <c r="U76" i="38"/>
  <c r="W76" i="38" s="1"/>
  <c r="W11" i="38"/>
  <c r="U102" i="38"/>
  <c r="W102" i="38" s="1"/>
  <c r="U37" i="38"/>
  <c r="W37" i="38" s="1"/>
  <c r="I150" i="4"/>
  <c r="I226" i="4"/>
  <c r="L9" i="4"/>
  <c r="I79" i="4"/>
  <c r="I102" i="4"/>
  <c r="I126" i="4"/>
  <c r="AD76" i="38"/>
  <c r="AF76" i="38" s="1"/>
  <c r="I74" i="38"/>
  <c r="U98" i="38"/>
  <c r="W98" i="38" s="1"/>
  <c r="U33" i="38"/>
  <c r="W33" i="38" s="1"/>
  <c r="W7" i="38"/>
  <c r="U12" i="38" a="1"/>
  <c r="U12" i="38" s="1"/>
  <c r="U72" i="38"/>
  <c r="W72" i="38" s="1"/>
  <c r="AD26" i="38"/>
  <c r="AF26" i="38" s="1"/>
  <c r="I71" i="38"/>
  <c r="I76" i="38"/>
  <c r="AD56" i="38"/>
  <c r="AF56" i="38" s="1"/>
  <c r="AM3" i="4"/>
  <c r="AL3" i="4"/>
  <c r="AM3" i="2"/>
  <c r="AL3" i="2"/>
  <c r="I263" i="2"/>
  <c r="L220" i="2"/>
  <c r="L250" i="2"/>
  <c r="O207" i="2"/>
  <c r="I237" i="2"/>
  <c r="L194" i="2"/>
  <c r="L187" i="2"/>
  <c r="O144" i="2"/>
  <c r="L161" i="2"/>
  <c r="O118" i="2"/>
  <c r="L94" i="2"/>
  <c r="I137" i="2"/>
  <c r="I127" i="2"/>
  <c r="I151" i="2"/>
  <c r="I103" i="2"/>
  <c r="I227" i="2"/>
  <c r="I80" i="2"/>
  <c r="L10" i="2"/>
  <c r="L128" i="2"/>
  <c r="L152" i="2"/>
  <c r="L104" i="2"/>
  <c r="L228" i="2"/>
  <c r="L81" i="2"/>
  <c r="O11" i="2"/>
  <c r="I131" i="2"/>
  <c r="I155" i="2"/>
  <c r="I107" i="2"/>
  <c r="I231" i="2"/>
  <c r="I84" i="2"/>
  <c r="L14" i="2"/>
  <c r="I154" i="2"/>
  <c r="I106" i="2"/>
  <c r="I230" i="2"/>
  <c r="I83" i="2"/>
  <c r="I130" i="2"/>
  <c r="L13" i="2"/>
  <c r="L156" i="2"/>
  <c r="L108" i="2"/>
  <c r="L232" i="2"/>
  <c r="L85" i="2"/>
  <c r="L132" i="2"/>
  <c r="O15" i="2"/>
  <c r="I109" i="2"/>
  <c r="I233" i="2"/>
  <c r="I86" i="2"/>
  <c r="I133" i="2"/>
  <c r="I157" i="2"/>
  <c r="L16" i="2"/>
  <c r="I129" i="2"/>
  <c r="I153" i="2"/>
  <c r="I105" i="2"/>
  <c r="I229" i="2"/>
  <c r="I82" i="2"/>
  <c r="L12" i="2"/>
  <c r="I226" i="2"/>
  <c r="I79" i="2"/>
  <c r="I126" i="2"/>
  <c r="I150" i="2"/>
  <c r="I102" i="2"/>
  <c r="L9" i="2"/>
  <c r="B4" i="43"/>
  <c r="B4" i="5"/>
  <c r="H228" i="2"/>
  <c r="H81" i="2"/>
  <c r="K11" i="2"/>
  <c r="H128" i="2"/>
  <c r="H104" i="2"/>
  <c r="H152" i="2"/>
  <c r="F20" i="35"/>
  <c r="G23" i="35"/>
  <c r="AF288" i="4"/>
  <c r="AI288" i="4" s="1"/>
  <c r="AV288" i="4"/>
  <c r="F29" i="35"/>
  <c r="AA283" i="4" l="1"/>
  <c r="AD283" i="4" s="1"/>
  <c r="AG283" i="4" s="1"/>
  <c r="AJ283" i="4" s="1"/>
  <c r="AP283" i="4"/>
  <c r="AL283" i="4" s="1"/>
  <c r="AA281" i="4"/>
  <c r="AD281" i="4" s="1"/>
  <c r="AG281" i="4" s="1"/>
  <c r="AJ281" i="4" s="1"/>
  <c r="AP281" i="4"/>
  <c r="AM281" i="4" s="1"/>
  <c r="AA284" i="4"/>
  <c r="AD284" i="4" s="1"/>
  <c r="AG284" i="4" s="1"/>
  <c r="AJ284" i="4" s="1"/>
  <c r="AP284" i="4"/>
  <c r="AA285" i="4"/>
  <c r="AD285" i="4" s="1"/>
  <c r="AG285" i="4" s="1"/>
  <c r="AJ285" i="4" s="1"/>
  <c r="AP285" i="4"/>
  <c r="AA301" i="4"/>
  <c r="AD301" i="4" s="1"/>
  <c r="AG301" i="4" s="1"/>
  <c r="AJ301" i="4" s="1"/>
  <c r="AP301" i="4"/>
  <c r="AA275" i="4"/>
  <c r="AD275" i="4" s="1"/>
  <c r="AG275" i="4" s="1"/>
  <c r="AJ275" i="4" s="1"/>
  <c r="AP275" i="4"/>
  <c r="AP282" i="4"/>
  <c r="AA282" i="4"/>
  <c r="AD282" i="4" s="1"/>
  <c r="AG282" i="4" s="1"/>
  <c r="AJ282" i="4" s="1"/>
  <c r="AM186" i="4"/>
  <c r="AL186" i="4"/>
  <c r="X202" i="4"/>
  <c r="AA202" i="4" s="1"/>
  <c r="AD202" i="4" s="1"/>
  <c r="AG202" i="4" s="1"/>
  <c r="AJ202" i="4" s="1"/>
  <c r="E20" i="52" s="1"/>
  <c r="AP202" i="4"/>
  <c r="AS119" i="4"/>
  <c r="AW143" i="4"/>
  <c r="AA119" i="4"/>
  <c r="AD119" i="4" s="1"/>
  <c r="AG119" i="4" s="1"/>
  <c r="AJ119" i="4" s="1"/>
  <c r="X95" i="4"/>
  <c r="AA95" i="4" s="1"/>
  <c r="AD95" i="4" s="1"/>
  <c r="AG95" i="4" s="1"/>
  <c r="AP95" i="4"/>
  <c r="X91" i="4"/>
  <c r="AA91" i="4" s="1"/>
  <c r="AD91" i="4" s="1"/>
  <c r="AG91" i="4" s="1"/>
  <c r="AP91" i="4"/>
  <c r="AM182" i="2"/>
  <c r="AL182" i="2"/>
  <c r="AM88" i="2"/>
  <c r="AL88" i="2"/>
  <c r="AM191" i="4"/>
  <c r="AL191" i="4"/>
  <c r="AL278" i="4"/>
  <c r="AM278" i="4"/>
  <c r="AM275" i="4"/>
  <c r="AL275" i="4"/>
  <c r="AM280" i="4"/>
  <c r="AL280" i="4"/>
  <c r="AL279" i="4"/>
  <c r="AM279" i="4"/>
  <c r="AL181" i="4"/>
  <c r="AM181" i="4"/>
  <c r="AM182" i="4"/>
  <c r="AL182" i="4"/>
  <c r="AM32" i="2"/>
  <c r="AL32" i="2"/>
  <c r="L9" i="52"/>
  <c r="F24" i="52"/>
  <c r="AL122" i="4"/>
  <c r="AF94" i="38"/>
  <c r="I103" i="38"/>
  <c r="I26" i="4"/>
  <c r="I24" i="4"/>
  <c r="I113" i="4"/>
  <c r="I89" i="4"/>
  <c r="I20" i="4"/>
  <c r="I27" i="4"/>
  <c r="I25" i="4"/>
  <c r="L6" i="4"/>
  <c r="I23" i="4"/>
  <c r="I21" i="4"/>
  <c r="I22" i="4"/>
  <c r="U136" i="4"/>
  <c r="F27" i="52"/>
  <c r="F26" i="52"/>
  <c r="AM189" i="4"/>
  <c r="AL189" i="4"/>
  <c r="AM196" i="4"/>
  <c r="AL196" i="4"/>
  <c r="AL66" i="38"/>
  <c r="AK86" i="38"/>
  <c r="AL86" i="38" s="1"/>
  <c r="AM194" i="4"/>
  <c r="AL194" i="4"/>
  <c r="AM176" i="4"/>
  <c r="AL176" i="4"/>
  <c r="AL170" i="4"/>
  <c r="AM170" i="4"/>
  <c r="AV141" i="4"/>
  <c r="AR117" i="4"/>
  <c r="Z117" i="4"/>
  <c r="AC117" i="4" s="1"/>
  <c r="AF117" i="4" s="1"/>
  <c r="AI117" i="4" s="1"/>
  <c r="AS139" i="4"/>
  <c r="AS138" i="4" s="1"/>
  <c r="AA139" i="4"/>
  <c r="AD139" i="4" s="1"/>
  <c r="AG139" i="4" s="1"/>
  <c r="AJ139" i="4" s="1"/>
  <c r="K7" i="52" s="1"/>
  <c r="AW139" i="4"/>
  <c r="AB93" i="4"/>
  <c r="AD93" i="4"/>
  <c r="AG93" i="4" s="1"/>
  <c r="AM93" i="4"/>
  <c r="AL93" i="4"/>
  <c r="AS36" i="4"/>
  <c r="AS35" i="4" s="1"/>
  <c r="AA36" i="4"/>
  <c r="AD36" i="4" s="1"/>
  <c r="AG36" i="4" s="1"/>
  <c r="AJ36" i="4" s="1"/>
  <c r="H7" i="52" s="1"/>
  <c r="AM122" i="4"/>
  <c r="AM209" i="4"/>
  <c r="AM283" i="4"/>
  <c r="AX141" i="4"/>
  <c r="AT117" i="4"/>
  <c r="AL208" i="4"/>
  <c r="AM208" i="4"/>
  <c r="AM192" i="4"/>
  <c r="AL192" i="4"/>
  <c r="AM177" i="4"/>
  <c r="AL177" i="4"/>
  <c r="AL169" i="4"/>
  <c r="AM169" i="4"/>
  <c r="AM165" i="4"/>
  <c r="AL165" i="4"/>
  <c r="AL119" i="4"/>
  <c r="AM119" i="4"/>
  <c r="AL117" i="4"/>
  <c r="AM117" i="4"/>
  <c r="AJ95" i="4"/>
  <c r="AS95" i="4"/>
  <c r="AK96" i="38"/>
  <c r="AL96" i="38" s="1"/>
  <c r="H19" i="43"/>
  <c r="H17" i="43"/>
  <c r="H17" i="5"/>
  <c r="H16" i="5"/>
  <c r="H16" i="43"/>
  <c r="J4" i="5"/>
  <c r="K4" i="5"/>
  <c r="U180" i="4"/>
  <c r="X180" i="4" s="1"/>
  <c r="AA180" i="4" s="1"/>
  <c r="AD180" i="4" s="1"/>
  <c r="AG180" i="4" s="1"/>
  <c r="AJ180" i="4" s="1"/>
  <c r="AP180" i="4"/>
  <c r="N216" i="4"/>
  <c r="K227" i="4"/>
  <c r="AC141" i="4"/>
  <c r="AF141" i="4" s="1"/>
  <c r="AI141" i="4" s="1"/>
  <c r="AB141" i="4"/>
  <c r="T217" i="4"/>
  <c r="W217" i="4" s="1"/>
  <c r="Z217" i="4" s="1"/>
  <c r="AC217" i="4" s="1"/>
  <c r="O9" i="52"/>
  <c r="AO217" i="4"/>
  <c r="T204" i="4"/>
  <c r="W204" i="4" s="1"/>
  <c r="Z204" i="4" s="1"/>
  <c r="AC204" i="4" s="1"/>
  <c r="AF204" i="4" s="1"/>
  <c r="AI204" i="4" s="1"/>
  <c r="AO204" i="4"/>
  <c r="F22" i="52"/>
  <c r="T207" i="4"/>
  <c r="W207" i="4" s="1"/>
  <c r="Z207" i="4" s="1"/>
  <c r="AC207" i="4" s="1"/>
  <c r="AF207" i="4" s="1"/>
  <c r="AI207" i="4" s="1"/>
  <c r="AO207" i="4"/>
  <c r="F25" i="52"/>
  <c r="T203" i="4"/>
  <c r="W203" i="4" s="1"/>
  <c r="Z203" i="4" s="1"/>
  <c r="AC203" i="4" s="1"/>
  <c r="AF203" i="4" s="1"/>
  <c r="AI203" i="4" s="1"/>
  <c r="B22" i="55"/>
  <c r="B22" i="54"/>
  <c r="AO203" i="4"/>
  <c r="T178" i="4"/>
  <c r="W178" i="4" s="1"/>
  <c r="Z178" i="4" s="1"/>
  <c r="AC178" i="4" s="1"/>
  <c r="AF178" i="4" s="1"/>
  <c r="AI178" i="4" s="1"/>
  <c r="B17" i="54"/>
  <c r="B17" i="55"/>
  <c r="T164" i="4"/>
  <c r="W164" i="4" s="1"/>
  <c r="Z164" i="4" s="1"/>
  <c r="AC164" i="4" s="1"/>
  <c r="AF164" i="4" s="1"/>
  <c r="AI164" i="4" s="1"/>
  <c r="B16" i="54"/>
  <c r="B16" i="55"/>
  <c r="H22" i="4"/>
  <c r="H20" i="4"/>
  <c r="H24" i="4"/>
  <c r="H23" i="4"/>
  <c r="U179" i="4"/>
  <c r="C17" i="55"/>
  <c r="C17" i="54"/>
  <c r="AL98" i="4"/>
  <c r="AM98" i="4"/>
  <c r="AO146" i="4"/>
  <c r="L14" i="52"/>
  <c r="H22" i="43"/>
  <c r="AM206" i="4"/>
  <c r="AO112" i="4"/>
  <c r="J4" i="54"/>
  <c r="K4" i="54"/>
  <c r="AO136" i="4"/>
  <c r="R304" i="4"/>
  <c r="R309" i="4"/>
  <c r="R307" i="4"/>
  <c r="R294" i="4"/>
  <c r="R291" i="4"/>
  <c r="R292" i="4"/>
  <c r="R295" i="4"/>
  <c r="R296" i="4"/>
  <c r="R298" i="4"/>
  <c r="AM199" i="4"/>
  <c r="AL199" i="4"/>
  <c r="AS118" i="4"/>
  <c r="AA118" i="4"/>
  <c r="AD118" i="4" s="1"/>
  <c r="AG118" i="4" s="1"/>
  <c r="AJ118" i="4" s="1"/>
  <c r="AW142" i="4"/>
  <c r="AL4" i="4"/>
  <c r="AM4" i="4"/>
  <c r="AM218" i="4"/>
  <c r="AL218" i="4"/>
  <c r="AL281" i="4"/>
  <c r="AL284" i="4"/>
  <c r="AM284" i="4"/>
  <c r="AM94" i="4"/>
  <c r="AL94" i="4"/>
  <c r="AM205" i="4"/>
  <c r="AL205" i="4"/>
  <c r="AM97" i="4"/>
  <c r="AL97" i="4"/>
  <c r="Q295" i="4"/>
  <c r="AL164" i="4"/>
  <c r="AM164" i="4"/>
  <c r="AT278" i="4"/>
  <c r="AR277" i="4"/>
  <c r="AT282" i="4"/>
  <c r="AT283" i="4"/>
  <c r="AF87" i="38"/>
  <c r="AM178" i="4"/>
  <c r="AL178" i="4"/>
  <c r="K131" i="4"/>
  <c r="K107" i="4"/>
  <c r="K231" i="4"/>
  <c r="N14" i="4"/>
  <c r="K84" i="4"/>
  <c r="H33" i="4"/>
  <c r="H137" i="4"/>
  <c r="K30" i="4"/>
  <c r="H21" i="4"/>
  <c r="H25" i="4"/>
  <c r="H89" i="4"/>
  <c r="H26" i="4"/>
  <c r="H113" i="4"/>
  <c r="K6" i="4"/>
  <c r="H27" i="4"/>
  <c r="K157" i="4"/>
  <c r="K109" i="4"/>
  <c r="K27" i="4"/>
  <c r="K133" i="4"/>
  <c r="N16" i="4"/>
  <c r="K24" i="4"/>
  <c r="N13" i="4"/>
  <c r="K130" i="4"/>
  <c r="N12" i="4"/>
  <c r="K229" i="4"/>
  <c r="K23" i="4"/>
  <c r="K105" i="4"/>
  <c r="K22" i="4"/>
  <c r="K152" i="4"/>
  <c r="K228" i="4"/>
  <c r="K128" i="4"/>
  <c r="K81" i="4"/>
  <c r="K104" i="4"/>
  <c r="N11" i="4"/>
  <c r="K20" i="4"/>
  <c r="K126" i="4"/>
  <c r="N9" i="4"/>
  <c r="K79" i="4"/>
  <c r="K102" i="4"/>
  <c r="I38" i="38"/>
  <c r="AE96" i="38"/>
  <c r="AF96" i="38" s="1"/>
  <c r="I77" i="38"/>
  <c r="K233" i="4"/>
  <c r="K86" i="4"/>
  <c r="K230" i="4"/>
  <c r="K83" i="4"/>
  <c r="K154" i="4"/>
  <c r="K106" i="4"/>
  <c r="K82" i="4"/>
  <c r="K129" i="4"/>
  <c r="K153" i="4"/>
  <c r="K150" i="4"/>
  <c r="K226" i="4"/>
  <c r="AL212" i="4"/>
  <c r="AM212" i="4"/>
  <c r="O167" i="4"/>
  <c r="R167" i="4" s="1"/>
  <c r="U167" i="4" s="1"/>
  <c r="X167" i="4" s="1"/>
  <c r="AA167" i="4" s="1"/>
  <c r="AD167" i="4" s="1"/>
  <c r="AG167" i="4" s="1"/>
  <c r="AJ167" i="4" s="1"/>
  <c r="AP167" i="4"/>
  <c r="O163" i="4"/>
  <c r="R163" i="4" s="1"/>
  <c r="O168" i="4"/>
  <c r="R168" i="4" s="1"/>
  <c r="AM4" i="2"/>
  <c r="AL4" i="2"/>
  <c r="L17" i="4"/>
  <c r="H26" i="2"/>
  <c r="H20" i="2"/>
  <c r="H22" i="2"/>
  <c r="H24" i="2"/>
  <c r="H21" i="2"/>
  <c r="K6" i="2"/>
  <c r="H213" i="2"/>
  <c r="AO213" i="2" s="1"/>
  <c r="H27" i="2"/>
  <c r="H23" i="2"/>
  <c r="H25" i="2"/>
  <c r="K30" i="2"/>
  <c r="H33" i="2"/>
  <c r="N16" i="2"/>
  <c r="K86" i="2"/>
  <c r="K133" i="2"/>
  <c r="K157" i="2"/>
  <c r="K233" i="2"/>
  <c r="K109" i="2"/>
  <c r="N15" i="2"/>
  <c r="K85" i="2"/>
  <c r="K108" i="2"/>
  <c r="K132" i="2"/>
  <c r="K156" i="2"/>
  <c r="K232" i="2"/>
  <c r="N14" i="2"/>
  <c r="K84" i="2"/>
  <c r="K131" i="2"/>
  <c r="K155" i="2"/>
  <c r="K231" i="2"/>
  <c r="K107" i="2"/>
  <c r="K83" i="2"/>
  <c r="K130" i="2"/>
  <c r="K106" i="2"/>
  <c r="K154" i="2"/>
  <c r="K230" i="2"/>
  <c r="N13" i="2"/>
  <c r="N12" i="2"/>
  <c r="K82" i="2"/>
  <c r="K105" i="2"/>
  <c r="K153" i="2"/>
  <c r="K229" i="2"/>
  <c r="N10" i="2"/>
  <c r="K80" i="2"/>
  <c r="K103" i="2"/>
  <c r="K127" i="2"/>
  <c r="K227" i="2"/>
  <c r="K151" i="2"/>
  <c r="N9" i="2"/>
  <c r="K79" i="2"/>
  <c r="K150" i="2"/>
  <c r="K226" i="2"/>
  <c r="K102" i="2"/>
  <c r="K126" i="2"/>
  <c r="L213" i="2"/>
  <c r="O170" i="2"/>
  <c r="N307" i="4"/>
  <c r="K313" i="4"/>
  <c r="O306" i="4"/>
  <c r="O308" i="4"/>
  <c r="O305" i="4"/>
  <c r="O310" i="4"/>
  <c r="O311" i="4"/>
  <c r="O293" i="4"/>
  <c r="O297" i="4"/>
  <c r="AM195" i="4"/>
  <c r="AL195" i="4"/>
  <c r="AL190" i="4"/>
  <c r="AM190" i="4"/>
  <c r="AM145" i="4"/>
  <c r="AL145" i="4"/>
  <c r="AL36" i="4"/>
  <c r="AM36" i="4"/>
  <c r="I33" i="2"/>
  <c r="L30" i="2"/>
  <c r="I26" i="2"/>
  <c r="I22" i="2"/>
  <c r="L6" i="2"/>
  <c r="I213" i="2"/>
  <c r="I25" i="2"/>
  <c r="I24" i="2"/>
  <c r="I23" i="2"/>
  <c r="I21" i="2"/>
  <c r="I27" i="2"/>
  <c r="I20" i="2"/>
  <c r="I174" i="2"/>
  <c r="I276" i="2"/>
  <c r="I200" i="2"/>
  <c r="AM160" i="4"/>
  <c r="AL160" i="4"/>
  <c r="AW144" i="4"/>
  <c r="AS120" i="4"/>
  <c r="AA120" i="4"/>
  <c r="AD120" i="4" s="1"/>
  <c r="AG120" i="4" s="1"/>
  <c r="AJ120" i="4" s="1"/>
  <c r="N118" i="2"/>
  <c r="K129" i="2"/>
  <c r="AL288" i="2"/>
  <c r="G14" i="52"/>
  <c r="AL193" i="4"/>
  <c r="AL206" i="4"/>
  <c r="G13" i="52"/>
  <c r="AD38" i="4"/>
  <c r="AG38" i="4" s="1"/>
  <c r="AJ38" i="4" s="1"/>
  <c r="H9" i="52" s="1"/>
  <c r="AB38" i="4"/>
  <c r="AL209" i="4"/>
  <c r="AM41" i="4"/>
  <c r="W91" i="4"/>
  <c r="Q40" i="4"/>
  <c r="AO40" i="4" s="1"/>
  <c r="Q116" i="4"/>
  <c r="AO116" i="4" s="1"/>
  <c r="N127" i="4"/>
  <c r="Q96" i="4"/>
  <c r="AO96" i="4" s="1"/>
  <c r="Q120" i="4"/>
  <c r="AO120" i="4" s="1"/>
  <c r="AK67" i="38"/>
  <c r="Q215" i="4"/>
  <c r="Q219" i="4"/>
  <c r="AC97" i="4"/>
  <c r="W36" i="4"/>
  <c r="T218" i="4"/>
  <c r="Q10" i="4"/>
  <c r="AO10" i="4" s="1"/>
  <c r="N80" i="4"/>
  <c r="Q15" i="4"/>
  <c r="AO15" i="4" s="1"/>
  <c r="N108" i="4"/>
  <c r="Q142" i="4"/>
  <c r="Q221" i="4"/>
  <c r="N232" i="4"/>
  <c r="Q39" i="4"/>
  <c r="AO39" i="4" s="1"/>
  <c r="W115" i="4"/>
  <c r="T112" i="4"/>
  <c r="W94" i="4"/>
  <c r="Q32" i="4"/>
  <c r="AK57" i="38"/>
  <c r="AL57" i="38" s="1"/>
  <c r="Q43" i="4"/>
  <c r="Q144" i="4"/>
  <c r="AO144" i="4" s="1"/>
  <c r="Q220" i="4"/>
  <c r="AO220" i="4" s="1"/>
  <c r="Z119" i="4"/>
  <c r="AR119" i="4"/>
  <c r="Q143" i="4"/>
  <c r="AO143" i="4" s="1"/>
  <c r="T146" i="4"/>
  <c r="T98" i="4"/>
  <c r="Q121" i="4"/>
  <c r="AO121" i="4" s="1"/>
  <c r="N132" i="4"/>
  <c r="N151" i="4"/>
  <c r="Q140" i="4"/>
  <c r="AO140" i="4" s="1"/>
  <c r="T145" i="4"/>
  <c r="T136" i="4"/>
  <c r="Z122" i="4"/>
  <c r="AR122" i="4"/>
  <c r="AT122" i="4" s="1"/>
  <c r="Z41" i="4"/>
  <c r="AB41" i="4" s="1"/>
  <c r="AR41" i="4"/>
  <c r="AT41" i="4" s="1"/>
  <c r="Q118" i="4"/>
  <c r="AO118" i="4" s="1"/>
  <c r="Q88" i="4"/>
  <c r="Q139" i="4"/>
  <c r="N156" i="4"/>
  <c r="Q92" i="4"/>
  <c r="N103" i="4"/>
  <c r="Q95" i="4"/>
  <c r="AO95" i="4" s="1"/>
  <c r="N85" i="4"/>
  <c r="Q42" i="4"/>
  <c r="AR37" i="4"/>
  <c r="AT37" i="4" s="1"/>
  <c r="Z37" i="4"/>
  <c r="Q222" i="4"/>
  <c r="G20" i="29"/>
  <c r="H23" i="29"/>
  <c r="X288" i="4"/>
  <c r="U289" i="4"/>
  <c r="AT281" i="4"/>
  <c r="AS277" i="4"/>
  <c r="L263" i="4"/>
  <c r="O220" i="4"/>
  <c r="M10" i="52"/>
  <c r="O10" i="52" s="1"/>
  <c r="M11" i="52"/>
  <c r="AD140" i="4"/>
  <c r="AG140" i="4" s="1"/>
  <c r="AJ140" i="4" s="1"/>
  <c r="K8" i="52" s="1"/>
  <c r="AD143" i="4"/>
  <c r="AG143" i="4" s="1"/>
  <c r="AJ143" i="4" s="1"/>
  <c r="K11" i="52" s="1"/>
  <c r="AD145" i="4"/>
  <c r="AG145" i="4" s="1"/>
  <c r="AJ145" i="4" s="1"/>
  <c r="K13" i="52" s="1"/>
  <c r="AD144" i="4"/>
  <c r="AG144" i="4" s="1"/>
  <c r="AJ144" i="4" s="1"/>
  <c r="K12" i="52" s="1"/>
  <c r="AS97" i="4"/>
  <c r="AJ97" i="4"/>
  <c r="AJ88" i="4"/>
  <c r="AG92" i="4"/>
  <c r="AS94" i="4"/>
  <c r="AJ94" i="4"/>
  <c r="AD40" i="4"/>
  <c r="AG40" i="4" s="1"/>
  <c r="AJ40" i="4" s="1"/>
  <c r="H11" i="52" s="1"/>
  <c r="AD39" i="4"/>
  <c r="AG39" i="4" s="1"/>
  <c r="AJ39" i="4" s="1"/>
  <c r="H10" i="52" s="1"/>
  <c r="I33" i="4"/>
  <c r="L32" i="4"/>
  <c r="AD41" i="4"/>
  <c r="AG41" i="4" s="1"/>
  <c r="AJ41" i="4" s="1"/>
  <c r="H12" i="52" s="1"/>
  <c r="I8" i="52"/>
  <c r="O30" i="4"/>
  <c r="L89" i="4"/>
  <c r="L230" i="4"/>
  <c r="L130" i="4"/>
  <c r="L154" i="4"/>
  <c r="L106" i="4"/>
  <c r="O13" i="4"/>
  <c r="L83" i="4"/>
  <c r="W12" i="38"/>
  <c r="U103" i="38"/>
  <c r="W103" i="38" s="1"/>
  <c r="U77" i="38"/>
  <c r="W77" i="38" s="1"/>
  <c r="U38" i="38"/>
  <c r="W38" i="38" s="1"/>
  <c r="L226" i="4"/>
  <c r="L150" i="4"/>
  <c r="L102" i="4"/>
  <c r="L126" i="4"/>
  <c r="O9" i="4"/>
  <c r="L79" i="4"/>
  <c r="AD86" i="38"/>
  <c r="AF86" i="38" s="1"/>
  <c r="AF84" i="38"/>
  <c r="L227" i="4"/>
  <c r="L151" i="4"/>
  <c r="O10" i="4"/>
  <c r="L103" i="4"/>
  <c r="L127" i="4"/>
  <c r="L80" i="4"/>
  <c r="L232" i="4"/>
  <c r="L132" i="4"/>
  <c r="L156" i="4"/>
  <c r="L108" i="4"/>
  <c r="L85" i="4"/>
  <c r="O15" i="4"/>
  <c r="L228" i="4"/>
  <c r="L128" i="4"/>
  <c r="L152" i="4"/>
  <c r="L104" i="4"/>
  <c r="O11" i="4"/>
  <c r="L81" i="4"/>
  <c r="L231" i="4"/>
  <c r="L131" i="4"/>
  <c r="L155" i="4"/>
  <c r="L107" i="4"/>
  <c r="O14" i="4"/>
  <c r="L84" i="4"/>
  <c r="L229" i="4"/>
  <c r="L129" i="4"/>
  <c r="L153" i="4"/>
  <c r="L105" i="4"/>
  <c r="L82" i="4"/>
  <c r="O12" i="4"/>
  <c r="L233" i="4"/>
  <c r="L133" i="4"/>
  <c r="L157" i="4"/>
  <c r="L109" i="4"/>
  <c r="O16" i="4"/>
  <c r="L86" i="4"/>
  <c r="O220" i="2"/>
  <c r="L263" i="2"/>
  <c r="O250" i="2"/>
  <c r="R207" i="2"/>
  <c r="L237" i="2"/>
  <c r="O194" i="2"/>
  <c r="O187" i="2"/>
  <c r="R144" i="2"/>
  <c r="O161" i="2"/>
  <c r="R118" i="2"/>
  <c r="L137" i="2"/>
  <c r="O94" i="2"/>
  <c r="O128" i="2"/>
  <c r="O152" i="2"/>
  <c r="O104" i="2"/>
  <c r="O228" i="2"/>
  <c r="O81" i="2"/>
  <c r="R11" i="2"/>
  <c r="L230" i="2"/>
  <c r="L83" i="2"/>
  <c r="L130" i="2"/>
  <c r="L154" i="2"/>
  <c r="L106" i="2"/>
  <c r="O13" i="2"/>
  <c r="L133" i="2"/>
  <c r="L157" i="2"/>
  <c r="L109" i="2"/>
  <c r="L233" i="2"/>
  <c r="L276" i="2" s="1"/>
  <c r="L86" i="2"/>
  <c r="O16" i="2"/>
  <c r="O232" i="2"/>
  <c r="O85" i="2"/>
  <c r="O132" i="2"/>
  <c r="O156" i="2"/>
  <c r="O108" i="2"/>
  <c r="R15" i="2"/>
  <c r="L129" i="2"/>
  <c r="L153" i="2"/>
  <c r="L105" i="2"/>
  <c r="L229" i="2"/>
  <c r="L82" i="2"/>
  <c r="O12" i="2"/>
  <c r="L131" i="2"/>
  <c r="L155" i="2"/>
  <c r="L107" i="2"/>
  <c r="L231" i="2"/>
  <c r="L84" i="2"/>
  <c r="O14" i="2"/>
  <c r="L126" i="2"/>
  <c r="L150" i="2"/>
  <c r="L102" i="2"/>
  <c r="L226" i="2"/>
  <c r="L79" i="2"/>
  <c r="O9" i="2"/>
  <c r="L127" i="2"/>
  <c r="L151" i="2"/>
  <c r="L103" i="2"/>
  <c r="L227" i="2"/>
  <c r="L80" i="2"/>
  <c r="O10" i="2"/>
  <c r="E4" i="5"/>
  <c r="D4" i="5"/>
  <c r="D4" i="43"/>
  <c r="E4" i="43"/>
  <c r="K128" i="2"/>
  <c r="K104" i="2"/>
  <c r="K152" i="2"/>
  <c r="K81" i="2"/>
  <c r="N11" i="2"/>
  <c r="K228" i="2"/>
  <c r="AK97" i="38"/>
  <c r="AL97" i="38" s="1"/>
  <c r="AW288" i="4"/>
  <c r="G20" i="35"/>
  <c r="H23" i="35"/>
  <c r="G29" i="35"/>
  <c r="AL285" i="4" l="1"/>
  <c r="AM285" i="4"/>
  <c r="AL282" i="4"/>
  <c r="AM282" i="4"/>
  <c r="AJ91" i="4"/>
  <c r="AS91" i="4"/>
  <c r="AM91" i="4"/>
  <c r="AL91" i="4"/>
  <c r="AL301" i="4"/>
  <c r="AM301" i="4"/>
  <c r="AW301" i="4" s="1"/>
  <c r="AA288" i="4"/>
  <c r="AD288" i="4" s="1"/>
  <c r="AG288" i="4" s="1"/>
  <c r="AJ288" i="4" s="1"/>
  <c r="AP288" i="4"/>
  <c r="AT119" i="4"/>
  <c r="D20" i="52"/>
  <c r="F20" i="52" s="1"/>
  <c r="AL202" i="4"/>
  <c r="AM202" i="4"/>
  <c r="X179" i="4"/>
  <c r="AA179" i="4" s="1"/>
  <c r="AD179" i="4" s="1"/>
  <c r="AG179" i="4" s="1"/>
  <c r="AJ179" i="4" s="1"/>
  <c r="AP179" i="4"/>
  <c r="X136" i="4"/>
  <c r="L113" i="4"/>
  <c r="L26" i="4"/>
  <c r="L137" i="4"/>
  <c r="L24" i="4"/>
  <c r="L22" i="4"/>
  <c r="L20" i="4"/>
  <c r="L21" i="4"/>
  <c r="L25" i="4"/>
  <c r="O6" i="4"/>
  <c r="L23" i="4"/>
  <c r="L27" i="4"/>
  <c r="D19" i="52"/>
  <c r="AS93" i="4"/>
  <c r="AT93" i="4" s="1"/>
  <c r="AJ93" i="4"/>
  <c r="K19" i="43"/>
  <c r="J19" i="43"/>
  <c r="J16" i="5"/>
  <c r="K16" i="5"/>
  <c r="K16" i="43"/>
  <c r="J16" i="43"/>
  <c r="AL180" i="4"/>
  <c r="AM180" i="4"/>
  <c r="AN217" i="4"/>
  <c r="AR217" i="4"/>
  <c r="AT217" i="4" s="1"/>
  <c r="AF217" i="4"/>
  <c r="AI217" i="4" s="1"/>
  <c r="H22" i="54"/>
  <c r="H22" i="55"/>
  <c r="H22" i="5"/>
  <c r="H17" i="54"/>
  <c r="H17" i="55"/>
  <c r="H16" i="55"/>
  <c r="H16" i="54"/>
  <c r="D17" i="54"/>
  <c r="E17" i="54"/>
  <c r="J22" i="55"/>
  <c r="K22" i="55"/>
  <c r="J17" i="55"/>
  <c r="K17" i="55"/>
  <c r="J16" i="55"/>
  <c r="K16" i="55"/>
  <c r="J17" i="43"/>
  <c r="K17" i="43"/>
  <c r="J17" i="5"/>
  <c r="K17" i="5"/>
  <c r="AL217" i="4"/>
  <c r="AM217" i="4"/>
  <c r="AM204" i="4"/>
  <c r="AL204" i="4"/>
  <c r="AL207" i="4"/>
  <c r="AM207" i="4"/>
  <c r="AM203" i="4"/>
  <c r="AL203" i="4"/>
  <c r="E17" i="55"/>
  <c r="D17" i="55"/>
  <c r="AL146" i="4"/>
  <c r="AM146" i="4"/>
  <c r="Q216" i="4"/>
  <c r="N227" i="4"/>
  <c r="D22" i="55"/>
  <c r="E22" i="55"/>
  <c r="E22" i="54"/>
  <c r="D22" i="54"/>
  <c r="F21" i="52"/>
  <c r="E19" i="52"/>
  <c r="U304" i="4"/>
  <c r="X304" i="4" s="1"/>
  <c r="U309" i="4"/>
  <c r="X309" i="4" s="1"/>
  <c r="U307" i="4"/>
  <c r="X307" i="4" s="1"/>
  <c r="U294" i="4"/>
  <c r="X294" i="4" s="1"/>
  <c r="U291" i="4"/>
  <c r="X291" i="4" s="1"/>
  <c r="U292" i="4"/>
  <c r="X292" i="4" s="1"/>
  <c r="U295" i="4"/>
  <c r="X295" i="4" s="1"/>
  <c r="U296" i="4"/>
  <c r="X296" i="4" s="1"/>
  <c r="U298" i="4"/>
  <c r="X298" i="4" s="1"/>
  <c r="T295" i="4"/>
  <c r="W295" i="4" s="1"/>
  <c r="Z295" i="4" s="1"/>
  <c r="AC295" i="4" s="1"/>
  <c r="AO295" i="4"/>
  <c r="U163" i="4"/>
  <c r="C16" i="55"/>
  <c r="C16" i="54"/>
  <c r="U168" i="4"/>
  <c r="X168" i="4" s="1"/>
  <c r="AA168" i="4" s="1"/>
  <c r="AD168" i="4" s="1"/>
  <c r="AG168" i="4" s="1"/>
  <c r="AJ168" i="4" s="1"/>
  <c r="AP168" i="4"/>
  <c r="AL116" i="4"/>
  <c r="AM116" i="4"/>
  <c r="AM96" i="4"/>
  <c r="AL96" i="4"/>
  <c r="AM120" i="4"/>
  <c r="AL120" i="4"/>
  <c r="O7" i="52"/>
  <c r="AO215" i="4"/>
  <c r="AO142" i="4"/>
  <c r="L10" i="52"/>
  <c r="O13" i="52"/>
  <c r="AO221" i="4"/>
  <c r="AM39" i="4"/>
  <c r="AL39" i="4"/>
  <c r="AO43" i="4"/>
  <c r="AM144" i="4"/>
  <c r="AL144" i="4"/>
  <c r="AM121" i="4"/>
  <c r="AL121" i="4"/>
  <c r="AL140" i="4"/>
  <c r="AM140" i="4"/>
  <c r="AM118" i="4"/>
  <c r="AL118" i="4"/>
  <c r="B13" i="55"/>
  <c r="AO139" i="4"/>
  <c r="B13" i="54"/>
  <c r="AO92" i="4"/>
  <c r="B8" i="55"/>
  <c r="B8" i="54"/>
  <c r="AO42" i="4"/>
  <c r="AO222" i="4"/>
  <c r="O14" i="52"/>
  <c r="J22" i="5"/>
  <c r="K22" i="5"/>
  <c r="J22" i="43"/>
  <c r="K22" i="43"/>
  <c r="AO219" i="4"/>
  <c r="O11" i="52"/>
  <c r="J22" i="54"/>
  <c r="K22" i="54"/>
  <c r="AL112" i="4"/>
  <c r="AM112" i="4"/>
  <c r="AO88" i="4"/>
  <c r="AL95" i="4"/>
  <c r="AM95" i="4"/>
  <c r="AM40" i="4"/>
  <c r="AL40" i="4"/>
  <c r="AO32" i="4"/>
  <c r="E13" i="54"/>
  <c r="D13" i="54"/>
  <c r="AM143" i="4"/>
  <c r="AL143" i="4"/>
  <c r="R306" i="4"/>
  <c r="R308" i="4"/>
  <c r="R305" i="4"/>
  <c r="R310" i="4"/>
  <c r="R311" i="4"/>
  <c r="R293" i="4"/>
  <c r="R297" i="4"/>
  <c r="AS114" i="4"/>
  <c r="AF295" i="4"/>
  <c r="AI295" i="4" s="1"/>
  <c r="AR295" i="4"/>
  <c r="N106" i="4"/>
  <c r="I14" i="52"/>
  <c r="I13" i="52"/>
  <c r="AK87" i="38"/>
  <c r="AL87" i="38" s="1"/>
  <c r="AL67" i="38"/>
  <c r="Q307" i="4"/>
  <c r="N107" i="4"/>
  <c r="N131" i="4"/>
  <c r="N155" i="4"/>
  <c r="Q14" i="4"/>
  <c r="AO14" i="4" s="1"/>
  <c r="N84" i="4"/>
  <c r="N231" i="4"/>
  <c r="N86" i="4"/>
  <c r="N233" i="4"/>
  <c r="K89" i="4"/>
  <c r="K33" i="4"/>
  <c r="N30" i="4"/>
  <c r="K21" i="4"/>
  <c r="K26" i="4"/>
  <c r="K25" i="4"/>
  <c r="K137" i="4"/>
  <c r="K113" i="4"/>
  <c r="N6" i="4"/>
  <c r="N157" i="4"/>
  <c r="N109" i="4"/>
  <c r="N27" i="4"/>
  <c r="N133" i="4"/>
  <c r="Q16" i="4"/>
  <c r="AO16" i="4" s="1"/>
  <c r="N130" i="4"/>
  <c r="N24" i="4"/>
  <c r="Q13" i="4"/>
  <c r="AO13" i="4" s="1"/>
  <c r="N105" i="4"/>
  <c r="N23" i="4"/>
  <c r="Q12" i="4"/>
  <c r="N229" i="4"/>
  <c r="N22" i="4"/>
  <c r="N152" i="4"/>
  <c r="N228" i="4"/>
  <c r="N128" i="4"/>
  <c r="N81" i="4"/>
  <c r="N104" i="4"/>
  <c r="Q11" i="4"/>
  <c r="AO11" i="4" s="1"/>
  <c r="N126" i="4"/>
  <c r="Q9" i="4"/>
  <c r="N20" i="4"/>
  <c r="N79" i="4"/>
  <c r="N102" i="4"/>
  <c r="N83" i="4"/>
  <c r="N154" i="4"/>
  <c r="N230" i="4"/>
  <c r="N129" i="4"/>
  <c r="N153" i="4"/>
  <c r="N82" i="4"/>
  <c r="N226" i="4"/>
  <c r="N150" i="4"/>
  <c r="AM167" i="4"/>
  <c r="AL167" i="4"/>
  <c r="AP17" i="4"/>
  <c r="L87" i="4"/>
  <c r="AP87" i="4" s="1"/>
  <c r="K26" i="2"/>
  <c r="N6" i="2"/>
  <c r="K20" i="2"/>
  <c r="K27" i="2"/>
  <c r="K22" i="2"/>
  <c r="K21" i="2"/>
  <c r="K23" i="2"/>
  <c r="K24" i="2"/>
  <c r="K25" i="2"/>
  <c r="N30" i="2"/>
  <c r="K33" i="2"/>
  <c r="Q16" i="2"/>
  <c r="AO16" i="2" s="1"/>
  <c r="N157" i="2"/>
  <c r="N233" i="2"/>
  <c r="N109" i="2"/>
  <c r="N133" i="2"/>
  <c r="N86" i="2"/>
  <c r="Q15" i="2"/>
  <c r="AO15" i="2" s="1"/>
  <c r="N85" i="2"/>
  <c r="N156" i="2"/>
  <c r="N232" i="2"/>
  <c r="N108" i="2"/>
  <c r="N132" i="2"/>
  <c r="Q14" i="2"/>
  <c r="AO14" i="2" s="1"/>
  <c r="N84" i="2"/>
  <c r="N155" i="2"/>
  <c r="N231" i="2"/>
  <c r="N107" i="2"/>
  <c r="N131" i="2"/>
  <c r="N130" i="2"/>
  <c r="N106" i="2"/>
  <c r="Q13" i="2"/>
  <c r="AO13" i="2" s="1"/>
  <c r="N154" i="2"/>
  <c r="N230" i="2"/>
  <c r="N83" i="2"/>
  <c r="Q12" i="2"/>
  <c r="AO12" i="2" s="1"/>
  <c r="N82" i="2"/>
  <c r="N153" i="2"/>
  <c r="N229" i="2"/>
  <c r="N105" i="2"/>
  <c r="Q10" i="2"/>
  <c r="AO10" i="2" s="1"/>
  <c r="N80" i="2"/>
  <c r="N151" i="2"/>
  <c r="N227" i="2"/>
  <c r="N103" i="2"/>
  <c r="N127" i="2"/>
  <c r="Q9" i="2"/>
  <c r="AO9" i="2" s="1"/>
  <c r="N79" i="2"/>
  <c r="N102" i="2"/>
  <c r="N126" i="2"/>
  <c r="N226" i="2"/>
  <c r="N150" i="2"/>
  <c r="R170" i="2"/>
  <c r="O213" i="2"/>
  <c r="L200" i="2"/>
  <c r="L174" i="2"/>
  <c r="L33" i="2"/>
  <c r="O30" i="2"/>
  <c r="L26" i="2"/>
  <c r="L22" i="2"/>
  <c r="O6" i="2"/>
  <c r="L24" i="2"/>
  <c r="L27" i="2"/>
  <c r="L23" i="2"/>
  <c r="L25" i="2"/>
  <c r="L20" i="2"/>
  <c r="L21" i="2"/>
  <c r="N129" i="2"/>
  <c r="Q118" i="2"/>
  <c r="AO118" i="2" s="1"/>
  <c r="G9" i="52"/>
  <c r="I9" i="52" s="1"/>
  <c r="T221" i="4"/>
  <c r="Q232" i="4"/>
  <c r="AO232" i="4" s="1"/>
  <c r="T118" i="4"/>
  <c r="T15" i="4"/>
  <c r="Q108" i="4"/>
  <c r="AO108" i="4" s="1"/>
  <c r="T116" i="4"/>
  <c r="Q127" i="4"/>
  <c r="AO127" i="4" s="1"/>
  <c r="T219" i="4"/>
  <c r="T92" i="4"/>
  <c r="Q103" i="4"/>
  <c r="AO103" i="4" s="1"/>
  <c r="T121" i="4"/>
  <c r="Q132" i="4"/>
  <c r="AO132" i="4" s="1"/>
  <c r="T142" i="4"/>
  <c r="W218" i="4"/>
  <c r="T40" i="4"/>
  <c r="Q85" i="4"/>
  <c r="AO85" i="4" s="1"/>
  <c r="T42" i="4"/>
  <c r="W136" i="4"/>
  <c r="W98" i="4"/>
  <c r="AC119" i="4"/>
  <c r="T32" i="4"/>
  <c r="Z115" i="4"/>
  <c r="AR115" i="4"/>
  <c r="Z36" i="4"/>
  <c r="AR36" i="4"/>
  <c r="T222" i="4"/>
  <c r="T139" i="4"/>
  <c r="T215" i="4"/>
  <c r="T120" i="4"/>
  <c r="Z91" i="4"/>
  <c r="AC41" i="4"/>
  <c r="W145" i="4"/>
  <c r="T144" i="4"/>
  <c r="T39" i="4"/>
  <c r="T10" i="4"/>
  <c r="Q80" i="4"/>
  <c r="AO80" i="4" s="1"/>
  <c r="AF97" i="4"/>
  <c r="T43" i="4"/>
  <c r="AC122" i="4"/>
  <c r="T95" i="4"/>
  <c r="Q156" i="4"/>
  <c r="AO156" i="4" s="1"/>
  <c r="W146" i="4"/>
  <c r="Z94" i="4"/>
  <c r="AC37" i="4"/>
  <c r="AB37" i="4"/>
  <c r="T88" i="4"/>
  <c r="Q151" i="4"/>
  <c r="AO151" i="4" s="1"/>
  <c r="T140" i="4"/>
  <c r="T143" i="4"/>
  <c r="T220" i="4"/>
  <c r="Q231" i="4"/>
  <c r="AO231" i="4" s="1"/>
  <c r="W112" i="4"/>
  <c r="Q107" i="4"/>
  <c r="AO107" i="4" s="1"/>
  <c r="T96" i="4"/>
  <c r="H20" i="29"/>
  <c r="I23" i="29"/>
  <c r="O263" i="4"/>
  <c r="R220" i="4"/>
  <c r="J8" i="52"/>
  <c r="L8" i="52" s="1"/>
  <c r="J12" i="52"/>
  <c r="L12" i="52" s="1"/>
  <c r="J11" i="52"/>
  <c r="L11" i="52" s="1"/>
  <c r="J13" i="52"/>
  <c r="J7" i="52"/>
  <c r="AS92" i="4"/>
  <c r="AJ92" i="4"/>
  <c r="L33" i="4"/>
  <c r="O32" i="4"/>
  <c r="G10" i="52"/>
  <c r="G11" i="52"/>
  <c r="I11" i="52" s="1"/>
  <c r="G12" i="52"/>
  <c r="I12" i="52" s="1"/>
  <c r="G7" i="52"/>
  <c r="O131" i="4"/>
  <c r="O155" i="4"/>
  <c r="O231" i="4"/>
  <c r="R14" i="4"/>
  <c r="O84" i="4"/>
  <c r="O107" i="4"/>
  <c r="O130" i="4"/>
  <c r="O154" i="4"/>
  <c r="O230" i="4"/>
  <c r="R13" i="4"/>
  <c r="O83" i="4"/>
  <c r="O106" i="4"/>
  <c r="O132" i="4"/>
  <c r="O156" i="4"/>
  <c r="O232" i="4"/>
  <c r="O85" i="4"/>
  <c r="O108" i="4"/>
  <c r="R15" i="4"/>
  <c r="O150" i="4"/>
  <c r="O226" i="4"/>
  <c r="O126" i="4"/>
  <c r="R9" i="4"/>
  <c r="O79" i="4"/>
  <c r="O102" i="4"/>
  <c r="O129" i="4"/>
  <c r="O153" i="4"/>
  <c r="O229" i="4"/>
  <c r="O82" i="4"/>
  <c r="O105" i="4"/>
  <c r="R12" i="4"/>
  <c r="O133" i="4"/>
  <c r="O157" i="4"/>
  <c r="O233" i="4"/>
  <c r="O86" i="4"/>
  <c r="O109" i="4"/>
  <c r="R16" i="4"/>
  <c r="O128" i="4"/>
  <c r="O152" i="4"/>
  <c r="O228" i="4"/>
  <c r="R11" i="4"/>
  <c r="O81" i="4"/>
  <c r="O104" i="4"/>
  <c r="O151" i="4"/>
  <c r="O227" i="4"/>
  <c r="O127" i="4"/>
  <c r="O80" i="4"/>
  <c r="R10" i="4"/>
  <c r="O103" i="4"/>
  <c r="O89" i="4"/>
  <c r="R30" i="4"/>
  <c r="R220" i="2"/>
  <c r="O263" i="2"/>
  <c r="U207" i="2"/>
  <c r="R250" i="2"/>
  <c r="R194" i="2"/>
  <c r="O237" i="2"/>
  <c r="U144" i="2"/>
  <c r="R187" i="2"/>
  <c r="R161" i="2"/>
  <c r="U118" i="2"/>
  <c r="O137" i="2"/>
  <c r="R94" i="2"/>
  <c r="O130" i="2"/>
  <c r="O154" i="2"/>
  <c r="O106" i="2"/>
  <c r="O230" i="2"/>
  <c r="O83" i="2"/>
  <c r="R13" i="2"/>
  <c r="O133" i="2"/>
  <c r="O157" i="2"/>
  <c r="O109" i="2"/>
  <c r="O233" i="2"/>
  <c r="O86" i="2"/>
  <c r="R16" i="2"/>
  <c r="O126" i="2"/>
  <c r="O150" i="2"/>
  <c r="O102" i="2"/>
  <c r="O226" i="2"/>
  <c r="O79" i="2"/>
  <c r="R9" i="2"/>
  <c r="R132" i="2"/>
  <c r="R156" i="2"/>
  <c r="R108" i="2"/>
  <c r="R232" i="2"/>
  <c r="R85" i="2"/>
  <c r="U15" i="2"/>
  <c r="O131" i="2"/>
  <c r="O155" i="2"/>
  <c r="O107" i="2"/>
  <c r="O231" i="2"/>
  <c r="O84" i="2"/>
  <c r="R14" i="2"/>
  <c r="O105" i="2"/>
  <c r="O229" i="2"/>
  <c r="O82" i="2"/>
  <c r="O129" i="2"/>
  <c r="O153" i="2"/>
  <c r="R12" i="2"/>
  <c r="O103" i="2"/>
  <c r="O227" i="2"/>
  <c r="O80" i="2"/>
  <c r="O127" i="2"/>
  <c r="O151" i="2"/>
  <c r="O21" i="2"/>
  <c r="R10" i="2"/>
  <c r="R152" i="2"/>
  <c r="R104" i="2"/>
  <c r="R228" i="2"/>
  <c r="R81" i="2"/>
  <c r="R128" i="2"/>
  <c r="U11" i="2"/>
  <c r="N152" i="2"/>
  <c r="N228" i="2"/>
  <c r="N81" i="2"/>
  <c r="Q11" i="2"/>
  <c r="AO11" i="2" s="1"/>
  <c r="N128" i="2"/>
  <c r="N104" i="2"/>
  <c r="H20" i="35"/>
  <c r="I23" i="35"/>
  <c r="H29" i="35"/>
  <c r="AP304" i="4" l="1"/>
  <c r="AP309" i="4"/>
  <c r="AP307" i="4"/>
  <c r="AL288" i="4"/>
  <c r="AM288" i="4"/>
  <c r="AX288" i="4" s="1"/>
  <c r="AA294" i="4"/>
  <c r="AP294" i="4"/>
  <c r="AA291" i="4"/>
  <c r="AP291" i="4"/>
  <c r="AA292" i="4"/>
  <c r="AP292" i="4"/>
  <c r="AA295" i="4"/>
  <c r="AP295" i="4"/>
  <c r="AA296" i="4"/>
  <c r="AP296" i="4"/>
  <c r="AA298" i="4"/>
  <c r="AP298" i="4"/>
  <c r="AA136" i="4"/>
  <c r="AD136" i="4" s="1"/>
  <c r="AG136" i="4" s="1"/>
  <c r="AJ136" i="4" s="1"/>
  <c r="AP136" i="4"/>
  <c r="O24" i="4"/>
  <c r="O20" i="4"/>
  <c r="R6" i="4"/>
  <c r="O25" i="4"/>
  <c r="O26" i="4"/>
  <c r="O113" i="4"/>
  <c r="O137" i="4"/>
  <c r="O23" i="4"/>
  <c r="O27" i="4"/>
  <c r="O22" i="4"/>
  <c r="O21" i="4"/>
  <c r="F19" i="52"/>
  <c r="AM179" i="4"/>
  <c r="AL179" i="4"/>
  <c r="X163" i="4"/>
  <c r="AA163" i="4" s="1"/>
  <c r="AD163" i="4" s="1"/>
  <c r="AG163" i="4" s="1"/>
  <c r="AJ163" i="4" s="1"/>
  <c r="AP163" i="4"/>
  <c r="AL168" i="4"/>
  <c r="AM168" i="4"/>
  <c r="I10" i="52"/>
  <c r="G19" i="53"/>
  <c r="H19" i="53" s="1"/>
  <c r="J17" i="54"/>
  <c r="K17" i="54"/>
  <c r="J16" i="54"/>
  <c r="K16" i="54"/>
  <c r="AA309" i="4"/>
  <c r="AS309" i="4"/>
  <c r="AT309" i="4" s="1"/>
  <c r="O8" i="52"/>
  <c r="AO216" i="4"/>
  <c r="T216" i="4"/>
  <c r="Q227" i="4"/>
  <c r="AO227" i="4" s="1"/>
  <c r="AS304" i="4"/>
  <c r="AT304" i="4" s="1"/>
  <c r="AA304" i="4"/>
  <c r="AA307" i="4"/>
  <c r="AS307" i="4"/>
  <c r="N16" i="55"/>
  <c r="D16" i="55"/>
  <c r="E16" i="55"/>
  <c r="E16" i="54"/>
  <c r="D16" i="54"/>
  <c r="N16" i="54"/>
  <c r="AM215" i="4"/>
  <c r="AL215" i="4"/>
  <c r="AM142" i="4"/>
  <c r="AL142" i="4"/>
  <c r="AL221" i="4"/>
  <c r="AM221" i="4"/>
  <c r="AL43" i="4"/>
  <c r="AM43" i="4"/>
  <c r="E13" i="55"/>
  <c r="D13" i="55"/>
  <c r="AL139" i="4"/>
  <c r="AM139" i="4"/>
  <c r="AM92" i="4"/>
  <c r="AL92" i="4"/>
  <c r="E8" i="55"/>
  <c r="D8" i="55"/>
  <c r="AM42" i="4"/>
  <c r="AL42" i="4"/>
  <c r="AM222" i="4"/>
  <c r="AL222" i="4"/>
  <c r="U306" i="4"/>
  <c r="X306" i="4" s="1"/>
  <c r="AP306" i="4"/>
  <c r="U308" i="4"/>
  <c r="X308" i="4" s="1"/>
  <c r="AP308" i="4"/>
  <c r="U305" i="4"/>
  <c r="X305" i="4" s="1"/>
  <c r="AP305" i="4"/>
  <c r="U310" i="4"/>
  <c r="X310" i="4" s="1"/>
  <c r="AP310" i="4"/>
  <c r="U311" i="4"/>
  <c r="X311" i="4" s="1"/>
  <c r="AP311" i="4"/>
  <c r="U293" i="4"/>
  <c r="X293" i="4" s="1"/>
  <c r="AP293" i="4"/>
  <c r="U297" i="4"/>
  <c r="X297" i="4" s="1"/>
  <c r="T307" i="4"/>
  <c r="W307" i="4" s="1"/>
  <c r="AO307" i="4"/>
  <c r="Q153" i="4"/>
  <c r="AO153" i="4" s="1"/>
  <c r="AO12" i="4"/>
  <c r="B3" i="55"/>
  <c r="AO9" i="4"/>
  <c r="B3" i="54"/>
  <c r="C3" i="55"/>
  <c r="C3" i="54"/>
  <c r="AL219" i="4"/>
  <c r="AM219" i="4"/>
  <c r="E8" i="54"/>
  <c r="D8" i="54"/>
  <c r="AL88" i="4"/>
  <c r="AM88" i="4"/>
  <c r="AS308" i="4"/>
  <c r="AA308" i="4"/>
  <c r="O200" i="2"/>
  <c r="O276" i="2"/>
  <c r="O174" i="2"/>
  <c r="AR290" i="4"/>
  <c r="Q155" i="4"/>
  <c r="AO155" i="4" s="1"/>
  <c r="Q131" i="4"/>
  <c r="AO131" i="4" s="1"/>
  <c r="Z307" i="4"/>
  <c r="AC307" i="4" s="1"/>
  <c r="AF307" i="4" s="1"/>
  <c r="AI307" i="4" s="1"/>
  <c r="AR307" i="4"/>
  <c r="T14" i="4"/>
  <c r="T131" i="4" s="1"/>
  <c r="Q84" i="4"/>
  <c r="AO84" i="4" s="1"/>
  <c r="Q233" i="4"/>
  <c r="AO233" i="4" s="1"/>
  <c r="Q86" i="4"/>
  <c r="AO86" i="4" s="1"/>
  <c r="Q83" i="4"/>
  <c r="AO83" i="4" s="1"/>
  <c r="Q106" i="4"/>
  <c r="AO106" i="4" s="1"/>
  <c r="Q230" i="4"/>
  <c r="AO230" i="4" s="1"/>
  <c r="Q154" i="4"/>
  <c r="AO154" i="4" s="1"/>
  <c r="N89" i="4"/>
  <c r="N33" i="4"/>
  <c r="Q30" i="4"/>
  <c r="AO30" i="4" s="1"/>
  <c r="N26" i="4"/>
  <c r="N21" i="4"/>
  <c r="N25" i="4"/>
  <c r="N113" i="4"/>
  <c r="N137" i="4"/>
  <c r="Q6" i="4"/>
  <c r="Q109" i="4"/>
  <c r="AO109" i="4" s="1"/>
  <c r="Q157" i="4"/>
  <c r="AO157" i="4" s="1"/>
  <c r="Q27" i="4"/>
  <c r="AO27" i="4" s="1"/>
  <c r="Q133" i="4"/>
  <c r="AO133" i="4" s="1"/>
  <c r="T16" i="4"/>
  <c r="Q24" i="4"/>
  <c r="AO24" i="4" s="1"/>
  <c r="T13" i="4"/>
  <c r="Q130" i="4"/>
  <c r="AO130" i="4" s="1"/>
  <c r="Q23" i="4"/>
  <c r="AO23" i="4" s="1"/>
  <c r="T12" i="4"/>
  <c r="Q229" i="4"/>
  <c r="AO229" i="4" s="1"/>
  <c r="Q105" i="4"/>
  <c r="AO105" i="4" s="1"/>
  <c r="T11" i="4"/>
  <c r="Q22" i="4"/>
  <c r="AO22" i="4" s="1"/>
  <c r="Q152" i="4"/>
  <c r="AO152" i="4" s="1"/>
  <c r="Q228" i="4"/>
  <c r="AO228" i="4" s="1"/>
  <c r="Q128" i="4"/>
  <c r="AO128" i="4" s="1"/>
  <c r="Q104" i="4"/>
  <c r="AO104" i="4" s="1"/>
  <c r="Q81" i="4"/>
  <c r="AO81" i="4" s="1"/>
  <c r="Q102" i="4"/>
  <c r="AO102" i="4" s="1"/>
  <c r="T9" i="4"/>
  <c r="Q126" i="4"/>
  <c r="AO126" i="4" s="1"/>
  <c r="Q79" i="4"/>
  <c r="AO79" i="4" s="1"/>
  <c r="Q129" i="4"/>
  <c r="AO129" i="4" s="1"/>
  <c r="Q82" i="4"/>
  <c r="AO82" i="4" s="1"/>
  <c r="Q150" i="4"/>
  <c r="AO150" i="4" s="1"/>
  <c r="Q226" i="4"/>
  <c r="AO226" i="4" s="1"/>
  <c r="N22" i="2"/>
  <c r="N23" i="2"/>
  <c r="Q6" i="2"/>
  <c r="AO6" i="2" s="1"/>
  <c r="N20" i="2"/>
  <c r="N25" i="2"/>
  <c r="N26" i="2"/>
  <c r="N27" i="2"/>
  <c r="N24" i="2"/>
  <c r="N21" i="2"/>
  <c r="Q30" i="2"/>
  <c r="AO30" i="2" s="1"/>
  <c r="N33" i="2"/>
  <c r="T16" i="2"/>
  <c r="Q109" i="2"/>
  <c r="AO109" i="2" s="1"/>
  <c r="Q157" i="2"/>
  <c r="AO157" i="2" s="1"/>
  <c r="Q233" i="2"/>
  <c r="AO233" i="2" s="1"/>
  <c r="Q86" i="2"/>
  <c r="AO86" i="2" s="1"/>
  <c r="Q133" i="2"/>
  <c r="AO133" i="2" s="1"/>
  <c r="T15" i="2"/>
  <c r="Q85" i="2"/>
  <c r="AO85" i="2" s="1"/>
  <c r="Q132" i="2"/>
  <c r="AO132" i="2" s="1"/>
  <c r="Q156" i="2"/>
  <c r="AO156" i="2" s="1"/>
  <c r="Q232" i="2"/>
  <c r="AO232" i="2" s="1"/>
  <c r="Q108" i="2"/>
  <c r="AO108" i="2" s="1"/>
  <c r="T14" i="2"/>
  <c r="Q84" i="2"/>
  <c r="AO84" i="2" s="1"/>
  <c r="Q155" i="2"/>
  <c r="AO155" i="2" s="1"/>
  <c r="Q231" i="2"/>
  <c r="AO231" i="2" s="1"/>
  <c r="Q107" i="2"/>
  <c r="AO107" i="2" s="1"/>
  <c r="Q131" i="2"/>
  <c r="AO131" i="2" s="1"/>
  <c r="Q83" i="2"/>
  <c r="AO83" i="2" s="1"/>
  <c r="Q106" i="2"/>
  <c r="AO106" i="2" s="1"/>
  <c r="Q230" i="2"/>
  <c r="AO230" i="2" s="1"/>
  <c r="Q154" i="2"/>
  <c r="AO154" i="2" s="1"/>
  <c r="Q130" i="2"/>
  <c r="AO130" i="2" s="1"/>
  <c r="T13" i="2"/>
  <c r="T12" i="2"/>
  <c r="Q82" i="2"/>
  <c r="AO82" i="2" s="1"/>
  <c r="Q153" i="2"/>
  <c r="AO153" i="2" s="1"/>
  <c r="Q229" i="2"/>
  <c r="AO229" i="2" s="1"/>
  <c r="Q105" i="2"/>
  <c r="AO105" i="2" s="1"/>
  <c r="T10" i="2"/>
  <c r="Q80" i="2"/>
  <c r="AO80" i="2" s="1"/>
  <c r="Q151" i="2"/>
  <c r="AO151" i="2" s="1"/>
  <c r="Q227" i="2"/>
  <c r="AO227" i="2" s="1"/>
  <c r="Q103" i="2"/>
  <c r="AO103" i="2" s="1"/>
  <c r="Q127" i="2"/>
  <c r="AO127" i="2" s="1"/>
  <c r="T9" i="2"/>
  <c r="Q79" i="2"/>
  <c r="AO79" i="2" s="1"/>
  <c r="Q150" i="2"/>
  <c r="AO150" i="2" s="1"/>
  <c r="Q226" i="2"/>
  <c r="AO226" i="2" s="1"/>
  <c r="Q126" i="2"/>
  <c r="AO126" i="2" s="1"/>
  <c r="Q102" i="2"/>
  <c r="AO102" i="2" s="1"/>
  <c r="R213" i="2"/>
  <c r="U170" i="2"/>
  <c r="O27" i="2"/>
  <c r="O25" i="2"/>
  <c r="O23" i="2"/>
  <c r="O20" i="2"/>
  <c r="O24" i="2"/>
  <c r="O33" i="2"/>
  <c r="R30" i="2"/>
  <c r="O26" i="2"/>
  <c r="O22" i="2"/>
  <c r="R6" i="2"/>
  <c r="Q129" i="2"/>
  <c r="AO129" i="2" s="1"/>
  <c r="T118" i="2"/>
  <c r="W88" i="4"/>
  <c r="W43" i="4"/>
  <c r="T155" i="4"/>
  <c r="W144" i="4"/>
  <c r="AT36" i="4"/>
  <c r="Z136" i="4"/>
  <c r="Z218" i="4"/>
  <c r="Z112" i="4"/>
  <c r="AR97" i="4"/>
  <c r="AT97" i="4" s="1"/>
  <c r="AI97" i="4"/>
  <c r="W120" i="4"/>
  <c r="AC36" i="4"/>
  <c r="AB36" i="4"/>
  <c r="W14" i="4"/>
  <c r="T84" i="4"/>
  <c r="T103" i="4"/>
  <c r="W92" i="4"/>
  <c r="W118" i="4"/>
  <c r="W15" i="4"/>
  <c r="T108" i="4"/>
  <c r="T231" i="4"/>
  <c r="W220" i="4"/>
  <c r="AR145" i="4"/>
  <c r="AT145" i="4" s="1"/>
  <c r="Z145" i="4"/>
  <c r="W215" i="4"/>
  <c r="W142" i="4"/>
  <c r="AV146" i="4"/>
  <c r="AX146" i="4" s="1"/>
  <c r="Z146" i="4"/>
  <c r="AR146" i="4"/>
  <c r="AT146" i="4" s="1"/>
  <c r="AC91" i="4"/>
  <c r="AB91" i="4"/>
  <c r="T132" i="4"/>
  <c r="W121" i="4"/>
  <c r="AV145" i="4" s="1"/>
  <c r="AX145" i="4" s="1"/>
  <c r="W96" i="4"/>
  <c r="T107" i="4"/>
  <c r="W143" i="4"/>
  <c r="AF37" i="4"/>
  <c r="T156" i="4"/>
  <c r="AT115" i="4"/>
  <c r="AF119" i="4"/>
  <c r="T127" i="4"/>
  <c r="W116" i="4"/>
  <c r="AS90" i="4"/>
  <c r="W95" i="4"/>
  <c r="W139" i="4"/>
  <c r="T85" i="4"/>
  <c r="W42" i="4"/>
  <c r="W221" i="4"/>
  <c r="T232" i="4"/>
  <c r="W222" i="4"/>
  <c r="T151" i="4"/>
  <c r="W140" i="4"/>
  <c r="AC94" i="4"/>
  <c r="AB94" i="4"/>
  <c r="W10" i="4"/>
  <c r="T80" i="4"/>
  <c r="AF41" i="4"/>
  <c r="AC115" i="4"/>
  <c r="W219" i="4"/>
  <c r="AF122" i="4"/>
  <c r="W39" i="4"/>
  <c r="W32" i="4"/>
  <c r="Z98" i="4"/>
  <c r="W40" i="4"/>
  <c r="J23" i="29"/>
  <c r="U220" i="4"/>
  <c r="R263" i="4"/>
  <c r="L13" i="52"/>
  <c r="L7" i="52"/>
  <c r="J6" i="52"/>
  <c r="K6" i="52"/>
  <c r="H6" i="52"/>
  <c r="O33" i="4"/>
  <c r="R32" i="4"/>
  <c r="G6" i="52"/>
  <c r="I7" i="52"/>
  <c r="R133" i="4"/>
  <c r="R157" i="4"/>
  <c r="R233" i="4"/>
  <c r="R86" i="4"/>
  <c r="R109" i="4"/>
  <c r="U16" i="4"/>
  <c r="R129" i="4"/>
  <c r="R153" i="4"/>
  <c r="R229" i="4"/>
  <c r="R82" i="4"/>
  <c r="R105" i="4"/>
  <c r="U12" i="4"/>
  <c r="R131" i="4"/>
  <c r="R155" i="4"/>
  <c r="R231" i="4"/>
  <c r="R84" i="4"/>
  <c r="R107" i="4"/>
  <c r="U14" i="4"/>
  <c r="R130" i="4"/>
  <c r="R154" i="4"/>
  <c r="R230" i="4"/>
  <c r="R83" i="4"/>
  <c r="R106" i="4"/>
  <c r="U13" i="4"/>
  <c r="R89" i="4"/>
  <c r="U30" i="4"/>
  <c r="R132" i="4"/>
  <c r="R156" i="4"/>
  <c r="R232" i="4"/>
  <c r="R26" i="4"/>
  <c r="R85" i="4"/>
  <c r="U15" i="4"/>
  <c r="R108" i="4"/>
  <c r="R151" i="4"/>
  <c r="R227" i="4"/>
  <c r="R127" i="4"/>
  <c r="R80" i="4"/>
  <c r="U10" i="4"/>
  <c r="R103" i="4"/>
  <c r="R128" i="4"/>
  <c r="R152" i="4"/>
  <c r="R228" i="4"/>
  <c r="R81" i="4"/>
  <c r="R104" i="4"/>
  <c r="U11" i="4"/>
  <c r="R150" i="4"/>
  <c r="R226" i="4"/>
  <c r="R126" i="4"/>
  <c r="U9" i="4"/>
  <c r="R79" i="4"/>
  <c r="R102" i="4"/>
  <c r="U220" i="2"/>
  <c r="R263" i="2"/>
  <c r="X207" i="2"/>
  <c r="AP207" i="2" s="1"/>
  <c r="U250" i="2"/>
  <c r="R237" i="2"/>
  <c r="U194" i="2"/>
  <c r="X144" i="2"/>
  <c r="AP144" i="2" s="1"/>
  <c r="U187" i="2"/>
  <c r="X118" i="2"/>
  <c r="AP118" i="2" s="1"/>
  <c r="U161" i="2"/>
  <c r="R137" i="2"/>
  <c r="U94" i="2"/>
  <c r="U104" i="2"/>
  <c r="U228" i="2"/>
  <c r="U81" i="2"/>
  <c r="U128" i="2"/>
  <c r="U152" i="2"/>
  <c r="X11" i="2"/>
  <c r="AP11" i="2" s="1"/>
  <c r="R130" i="2"/>
  <c r="R154" i="2"/>
  <c r="R106" i="2"/>
  <c r="R230" i="2"/>
  <c r="R83" i="2"/>
  <c r="U13" i="2"/>
  <c r="R107" i="2"/>
  <c r="R231" i="2"/>
  <c r="R84" i="2"/>
  <c r="R131" i="2"/>
  <c r="R155" i="2"/>
  <c r="U14" i="2"/>
  <c r="R133" i="2"/>
  <c r="R157" i="2"/>
  <c r="R109" i="2"/>
  <c r="R233" i="2"/>
  <c r="R86" i="2"/>
  <c r="U16" i="2"/>
  <c r="U132" i="2"/>
  <c r="U156" i="2"/>
  <c r="U108" i="2"/>
  <c r="U232" i="2"/>
  <c r="U85" i="2"/>
  <c r="X15" i="2"/>
  <c r="AP15" i="2" s="1"/>
  <c r="R129" i="2"/>
  <c r="R153" i="2"/>
  <c r="R105" i="2"/>
  <c r="R229" i="2"/>
  <c r="R82" i="2"/>
  <c r="U12" i="2"/>
  <c r="R150" i="2"/>
  <c r="R102" i="2"/>
  <c r="R226" i="2"/>
  <c r="R79" i="2"/>
  <c r="R126" i="2"/>
  <c r="U9" i="2"/>
  <c r="R127" i="2"/>
  <c r="R151" i="2"/>
  <c r="R103" i="2"/>
  <c r="R227" i="2"/>
  <c r="R80" i="2"/>
  <c r="U10" i="2"/>
  <c r="Q228" i="2"/>
  <c r="AO228" i="2" s="1"/>
  <c r="Q81" i="2"/>
  <c r="AO81" i="2" s="1"/>
  <c r="T11" i="2"/>
  <c r="Q128" i="2"/>
  <c r="AO128" i="2" s="1"/>
  <c r="Q104" i="2"/>
  <c r="AO104" i="2" s="1"/>
  <c r="Q152" i="2"/>
  <c r="AO152" i="2" s="1"/>
  <c r="I20" i="35"/>
  <c r="J23" i="35"/>
  <c r="I29" i="35"/>
  <c r="AD309" i="4" l="1"/>
  <c r="AG309" i="4" s="1"/>
  <c r="AJ309" i="4" s="1"/>
  <c r="J25" i="52" s="1"/>
  <c r="K25" i="52"/>
  <c r="L25" i="52" s="1"/>
  <c r="AD304" i="4"/>
  <c r="AG304" i="4" s="1"/>
  <c r="AJ304" i="4" s="1"/>
  <c r="J20" i="52" s="1"/>
  <c r="K20" i="52"/>
  <c r="L20" i="52" s="1"/>
  <c r="AD307" i="4"/>
  <c r="AG307" i="4" s="1"/>
  <c r="AJ307" i="4" s="1"/>
  <c r="K23" i="52"/>
  <c r="AD308" i="4"/>
  <c r="AG308" i="4" s="1"/>
  <c r="AJ308" i="4" s="1"/>
  <c r="J24" i="52" s="1"/>
  <c r="K24" i="52"/>
  <c r="AD294" i="4"/>
  <c r="AG294" i="4" s="1"/>
  <c r="H23" i="52"/>
  <c r="AD291" i="4"/>
  <c r="H20" i="52"/>
  <c r="AD292" i="4"/>
  <c r="H21" i="52"/>
  <c r="AD295" i="4"/>
  <c r="AS295" i="4" s="1"/>
  <c r="AT295" i="4" s="1"/>
  <c r="H24" i="52"/>
  <c r="AD296" i="4"/>
  <c r="H25" i="52"/>
  <c r="AD298" i="4"/>
  <c r="H27" i="52"/>
  <c r="R137" i="4"/>
  <c r="R113" i="4"/>
  <c r="U6" i="4"/>
  <c r="R24" i="4"/>
  <c r="R27" i="4"/>
  <c r="R23" i="4"/>
  <c r="R25" i="4"/>
  <c r="R21" i="4"/>
  <c r="R22" i="4"/>
  <c r="R20" i="4"/>
  <c r="AL207" i="2"/>
  <c r="AM207" i="2"/>
  <c r="AL144" i="2"/>
  <c r="AM144" i="2"/>
  <c r="AM118" i="2"/>
  <c r="AL118" i="2"/>
  <c r="AM11" i="2"/>
  <c r="AL11" i="2"/>
  <c r="AL15" i="2"/>
  <c r="AM15" i="2"/>
  <c r="AL304" i="4"/>
  <c r="AM304" i="4"/>
  <c r="AM309" i="4"/>
  <c r="AL309" i="4"/>
  <c r="J23" i="52"/>
  <c r="AA311" i="4"/>
  <c r="AG292" i="4"/>
  <c r="AJ292" i="4" s="1"/>
  <c r="G21" i="52" s="1"/>
  <c r="I21" i="52" s="1"/>
  <c r="AS292" i="4"/>
  <c r="AT292" i="4" s="1"/>
  <c r="AG295" i="4"/>
  <c r="AJ295" i="4" s="1"/>
  <c r="G24" i="52" s="1"/>
  <c r="I24" i="52" s="1"/>
  <c r="AS296" i="4"/>
  <c r="AT296" i="4" s="1"/>
  <c r="AG296" i="4"/>
  <c r="AJ296" i="4" s="1"/>
  <c r="G25" i="52" s="1"/>
  <c r="I25" i="52" s="1"/>
  <c r="AS298" i="4"/>
  <c r="AT298" i="4" s="1"/>
  <c r="AG298" i="4"/>
  <c r="AJ298" i="4" s="1"/>
  <c r="G27" i="52" s="1"/>
  <c r="I27" i="52" s="1"/>
  <c r="AM294" i="4"/>
  <c r="AL294" i="4"/>
  <c r="AN294" i="4" s="1"/>
  <c r="AV294" i="4" s="1"/>
  <c r="AM291" i="4"/>
  <c r="AL291" i="4"/>
  <c r="AM292" i="4"/>
  <c r="AL292" i="4"/>
  <c r="AL295" i="4"/>
  <c r="AN295" i="4" s="1"/>
  <c r="AM295" i="4"/>
  <c r="AM296" i="4"/>
  <c r="AL296" i="4"/>
  <c r="AN296" i="4" s="1"/>
  <c r="AL298" i="4"/>
  <c r="AN298" i="4" s="1"/>
  <c r="AM298" i="4"/>
  <c r="AA293" i="4"/>
  <c r="AA297" i="4"/>
  <c r="AP297" i="4"/>
  <c r="AM136" i="4"/>
  <c r="AL136" i="4"/>
  <c r="O138" i="4"/>
  <c r="O114" i="4"/>
  <c r="AL163" i="4"/>
  <c r="AM163" i="4"/>
  <c r="L19" i="53"/>
  <c r="M19" i="53" s="1"/>
  <c r="AA306" i="4"/>
  <c r="AS306" i="4"/>
  <c r="AT306" i="4" s="1"/>
  <c r="AA305" i="4"/>
  <c r="AS305" i="4"/>
  <c r="AA310" i="4"/>
  <c r="AS310" i="4"/>
  <c r="AT310" i="4" s="1"/>
  <c r="AG311" i="4"/>
  <c r="AJ311" i="4" s="1"/>
  <c r="J27" i="52" s="1"/>
  <c r="AS311" i="4"/>
  <c r="AT311" i="4" s="1"/>
  <c r="AM216" i="4"/>
  <c r="AL216" i="4"/>
  <c r="W216" i="4"/>
  <c r="T227" i="4"/>
  <c r="AL306" i="4"/>
  <c r="AM306" i="4"/>
  <c r="AL308" i="4"/>
  <c r="AM308" i="4"/>
  <c r="AL305" i="4"/>
  <c r="AM305" i="4"/>
  <c r="AM310" i="4"/>
  <c r="AL310" i="4"/>
  <c r="AM311" i="4"/>
  <c r="AL311" i="4"/>
  <c r="AM293" i="4"/>
  <c r="AL293" i="4"/>
  <c r="AL307" i="4"/>
  <c r="AM307" i="4"/>
  <c r="B14" i="54"/>
  <c r="B5" i="54"/>
  <c r="C14" i="55"/>
  <c r="D3" i="55"/>
  <c r="C5" i="55"/>
  <c r="C14" i="54"/>
  <c r="D3" i="54"/>
  <c r="E3" i="54"/>
  <c r="C5" i="54"/>
  <c r="L23" i="52"/>
  <c r="B5" i="55"/>
  <c r="B14" i="55"/>
  <c r="Q20" i="4"/>
  <c r="AO20" i="4" s="1"/>
  <c r="AO6" i="4"/>
  <c r="U32" i="4"/>
  <c r="R174" i="2"/>
  <c r="R200" i="2"/>
  <c r="R276" i="2"/>
  <c r="AT308" i="4"/>
  <c r="L24" i="52"/>
  <c r="AT307" i="4"/>
  <c r="AR303" i="4"/>
  <c r="T150" i="4"/>
  <c r="T226" i="4"/>
  <c r="T233" i="4"/>
  <c r="T86" i="4"/>
  <c r="T82" i="4"/>
  <c r="T153" i="4"/>
  <c r="T129" i="4"/>
  <c r="T154" i="4"/>
  <c r="T106" i="4"/>
  <c r="T230" i="4"/>
  <c r="T83" i="4"/>
  <c r="Q89" i="4"/>
  <c r="AO89" i="4" s="1"/>
  <c r="Q33" i="4"/>
  <c r="AO33" i="4" s="1"/>
  <c r="T30" i="4"/>
  <c r="Q21" i="4"/>
  <c r="AO21" i="4" s="1"/>
  <c r="Q25" i="4"/>
  <c r="AO25" i="4" s="1"/>
  <c r="Q26" i="4"/>
  <c r="AO26" i="4" s="1"/>
  <c r="Q113" i="4"/>
  <c r="AO113" i="4" s="1"/>
  <c r="Q137" i="4"/>
  <c r="AO137" i="4" s="1"/>
  <c r="T6" i="4"/>
  <c r="T27" i="4" s="1"/>
  <c r="T157" i="4"/>
  <c r="T109" i="4"/>
  <c r="T133" i="4"/>
  <c r="W16" i="4"/>
  <c r="T24" i="4"/>
  <c r="W13" i="4"/>
  <c r="T130" i="4"/>
  <c r="T229" i="4"/>
  <c r="W12" i="4"/>
  <c r="T23" i="4"/>
  <c r="T105" i="4"/>
  <c r="W11" i="4"/>
  <c r="T22" i="4"/>
  <c r="T152" i="4"/>
  <c r="T81" i="4"/>
  <c r="T228" i="4"/>
  <c r="T104" i="4"/>
  <c r="T128" i="4"/>
  <c r="W9" i="4"/>
  <c r="T79" i="4"/>
  <c r="T126" i="4"/>
  <c r="T20" i="4"/>
  <c r="T102" i="4"/>
  <c r="Q22" i="2"/>
  <c r="AO22" i="2" s="1"/>
  <c r="Q25" i="2"/>
  <c r="AO25" i="2" s="1"/>
  <c r="Q27" i="2"/>
  <c r="AO27" i="2" s="1"/>
  <c r="Q24" i="2"/>
  <c r="AO24" i="2" s="1"/>
  <c r="Q21" i="2"/>
  <c r="AO21" i="2" s="1"/>
  <c r="Q20" i="2"/>
  <c r="AO20" i="2" s="1"/>
  <c r="Q26" i="2"/>
  <c r="AO26" i="2" s="1"/>
  <c r="Q23" i="2"/>
  <c r="AO23" i="2" s="1"/>
  <c r="T6" i="2"/>
  <c r="Q33" i="2"/>
  <c r="AO33" i="2" s="1"/>
  <c r="T30" i="2"/>
  <c r="W16" i="2"/>
  <c r="T86" i="2"/>
  <c r="T133" i="2"/>
  <c r="T157" i="2"/>
  <c r="T233" i="2"/>
  <c r="T109" i="2"/>
  <c r="W15" i="2"/>
  <c r="T85" i="2"/>
  <c r="T156" i="2"/>
  <c r="T232" i="2"/>
  <c r="T108" i="2"/>
  <c r="T132" i="2"/>
  <c r="W14" i="2"/>
  <c r="T84" i="2"/>
  <c r="T131" i="2"/>
  <c r="T155" i="2"/>
  <c r="T231" i="2"/>
  <c r="T107" i="2"/>
  <c r="T130" i="2"/>
  <c r="T83" i="2"/>
  <c r="T106" i="2"/>
  <c r="T230" i="2"/>
  <c r="T154" i="2"/>
  <c r="W13" i="2"/>
  <c r="W12" i="2"/>
  <c r="T82" i="2"/>
  <c r="T105" i="2"/>
  <c r="T153" i="2"/>
  <c r="T229" i="2"/>
  <c r="W10" i="2"/>
  <c r="T80" i="2"/>
  <c r="T103" i="2"/>
  <c r="T227" i="2"/>
  <c r="T127" i="2"/>
  <c r="T151" i="2"/>
  <c r="W9" i="2"/>
  <c r="T79" i="2"/>
  <c r="T102" i="2"/>
  <c r="T226" i="2"/>
  <c r="T126" i="2"/>
  <c r="T150" i="2"/>
  <c r="X170" i="2"/>
  <c r="AP170" i="2" s="1"/>
  <c r="U213" i="2"/>
  <c r="U30" i="2"/>
  <c r="R33" i="2"/>
  <c r="R26" i="2"/>
  <c r="R22" i="2"/>
  <c r="U6" i="2"/>
  <c r="R25" i="2"/>
  <c r="R23" i="2"/>
  <c r="R20" i="2"/>
  <c r="R24" i="2"/>
  <c r="R27" i="2"/>
  <c r="R21" i="2"/>
  <c r="T129" i="2"/>
  <c r="W118" i="2"/>
  <c r="AR40" i="4"/>
  <c r="AT40" i="4" s="1"/>
  <c r="Z40" i="4"/>
  <c r="AF115" i="4"/>
  <c r="Z14" i="4"/>
  <c r="AR14" i="4"/>
  <c r="W84" i="4"/>
  <c r="R33" i="4"/>
  <c r="W151" i="4"/>
  <c r="AV140" i="4"/>
  <c r="AX140" i="4" s="1"/>
  <c r="AR140" i="4"/>
  <c r="AT140" i="4" s="1"/>
  <c r="Z140" i="4"/>
  <c r="AR42" i="4"/>
  <c r="AT42" i="4" s="1"/>
  <c r="Z42" i="4"/>
  <c r="W85" i="4"/>
  <c r="AV142" i="4"/>
  <c r="AX142" i="4" s="1"/>
  <c r="AR142" i="4"/>
  <c r="AT142" i="4" s="1"/>
  <c r="Z142" i="4"/>
  <c r="AI122" i="4"/>
  <c r="AF94" i="4"/>
  <c r="W127" i="4"/>
  <c r="AR116" i="4"/>
  <c r="Z116" i="4"/>
  <c r="Z15" i="4"/>
  <c r="AR15" i="4"/>
  <c r="W108" i="4"/>
  <c r="AI41" i="4"/>
  <c r="AI37" i="4"/>
  <c r="AF91" i="4"/>
  <c r="AC112" i="4"/>
  <c r="W155" i="4"/>
  <c r="AV144" i="4"/>
  <c r="AX144" i="4" s="1"/>
  <c r="AR144" i="4"/>
  <c r="AT144" i="4" s="1"/>
  <c r="Z144" i="4"/>
  <c r="AC98" i="4"/>
  <c r="AB98" i="4"/>
  <c r="Z222" i="4"/>
  <c r="Z139" i="4"/>
  <c r="AV139" i="4"/>
  <c r="AX139" i="4" s="1"/>
  <c r="AR139" i="4"/>
  <c r="AF36" i="4"/>
  <c r="Z32" i="4"/>
  <c r="AI119" i="4"/>
  <c r="Z143" i="4"/>
  <c r="AV143" i="4"/>
  <c r="AX143" i="4" s="1"/>
  <c r="AR143" i="4"/>
  <c r="AT143" i="4" s="1"/>
  <c r="W231" i="4"/>
  <c r="Z220" i="4"/>
  <c r="AR118" i="4"/>
  <c r="AT118" i="4" s="1"/>
  <c r="Z118" i="4"/>
  <c r="Z219" i="4"/>
  <c r="AR10" i="4"/>
  <c r="Z10" i="4"/>
  <c r="W80" i="4"/>
  <c r="Z95" i="4"/>
  <c r="AC146" i="4"/>
  <c r="AB146" i="4"/>
  <c r="Z215" i="4"/>
  <c r="W103" i="4"/>
  <c r="Z92" i="4"/>
  <c r="AC218" i="4"/>
  <c r="AR43" i="4"/>
  <c r="AT43" i="4" s="1"/>
  <c r="Z43" i="4"/>
  <c r="AR39" i="4"/>
  <c r="Z39" i="4"/>
  <c r="W232" i="4"/>
  <c r="Z221" i="4"/>
  <c r="W107" i="4"/>
  <c r="Z96" i="4"/>
  <c r="AC145" i="4"/>
  <c r="AB145" i="4"/>
  <c r="Z120" i="4"/>
  <c r="W131" i="4"/>
  <c r="AR120" i="4"/>
  <c r="AT120" i="4" s="1"/>
  <c r="W132" i="4"/>
  <c r="AR121" i="4"/>
  <c r="AT121" i="4" s="1"/>
  <c r="Z121" i="4"/>
  <c r="W156" i="4"/>
  <c r="AC136" i="4"/>
  <c r="Z88" i="4"/>
  <c r="K23" i="29"/>
  <c r="I6" i="52"/>
  <c r="U263" i="4"/>
  <c r="X220" i="4"/>
  <c r="AP220" i="4" s="1"/>
  <c r="L6" i="52"/>
  <c r="U157" i="4"/>
  <c r="U233" i="4"/>
  <c r="U133" i="4"/>
  <c r="U86" i="4"/>
  <c r="U109" i="4"/>
  <c r="X16" i="4"/>
  <c r="AP16" i="4" s="1"/>
  <c r="U27" i="4"/>
  <c r="U153" i="4"/>
  <c r="U229" i="4"/>
  <c r="U129" i="4"/>
  <c r="U82" i="4"/>
  <c r="U105" i="4"/>
  <c r="X12" i="4"/>
  <c r="AP12" i="4" s="1"/>
  <c r="U23" i="4"/>
  <c r="U151" i="4"/>
  <c r="U227" i="4"/>
  <c r="U80" i="4"/>
  <c r="U21" i="4"/>
  <c r="X10" i="4"/>
  <c r="AP10" i="4" s="1"/>
  <c r="U103" i="4"/>
  <c r="U127" i="4"/>
  <c r="U113" i="4"/>
  <c r="U137" i="4"/>
  <c r="X6" i="4"/>
  <c r="U155" i="4"/>
  <c r="U231" i="4"/>
  <c r="U131" i="4"/>
  <c r="U84" i="4"/>
  <c r="U107" i="4"/>
  <c r="X14" i="4"/>
  <c r="AP14" i="4" s="1"/>
  <c r="U25" i="4"/>
  <c r="U150" i="4"/>
  <c r="U226" i="4"/>
  <c r="X9" i="4"/>
  <c r="AP9" i="4" s="1"/>
  <c r="U79" i="4"/>
  <c r="U20" i="4"/>
  <c r="U102" i="4"/>
  <c r="U126" i="4"/>
  <c r="U156" i="4"/>
  <c r="U232" i="4"/>
  <c r="U132" i="4"/>
  <c r="U85" i="4"/>
  <c r="X15" i="4"/>
  <c r="AP15" i="4" s="1"/>
  <c r="U108" i="4"/>
  <c r="U26" i="4"/>
  <c r="U154" i="4"/>
  <c r="U230" i="4"/>
  <c r="U130" i="4"/>
  <c r="U83" i="4"/>
  <c r="U106" i="4"/>
  <c r="U24" i="4"/>
  <c r="X13" i="4"/>
  <c r="AP13" i="4" s="1"/>
  <c r="U152" i="4"/>
  <c r="U228" i="4"/>
  <c r="U128" i="4"/>
  <c r="U81" i="4"/>
  <c r="U104" i="4"/>
  <c r="X11" i="4"/>
  <c r="AP11" i="4" s="1"/>
  <c r="U22" i="4"/>
  <c r="U89" i="4"/>
  <c r="X30" i="4"/>
  <c r="AP30" i="4" s="1"/>
  <c r="U263" i="2"/>
  <c r="X220" i="2"/>
  <c r="AP220" i="2" s="1"/>
  <c r="AA207" i="2"/>
  <c r="X250" i="2"/>
  <c r="AP250" i="2" s="1"/>
  <c r="U237" i="2"/>
  <c r="X194" i="2"/>
  <c r="AP194" i="2" s="1"/>
  <c r="AA144" i="2"/>
  <c r="X187" i="2"/>
  <c r="AP187" i="2" s="1"/>
  <c r="AA118" i="2"/>
  <c r="X161" i="2"/>
  <c r="AP161" i="2" s="1"/>
  <c r="X94" i="2"/>
  <c r="AP94" i="2" s="1"/>
  <c r="U137" i="2"/>
  <c r="U131" i="2"/>
  <c r="U155" i="2"/>
  <c r="U107" i="2"/>
  <c r="U231" i="2"/>
  <c r="U84" i="2"/>
  <c r="X14" i="2"/>
  <c r="AP14" i="2" s="1"/>
  <c r="U154" i="2"/>
  <c r="U106" i="2"/>
  <c r="U230" i="2"/>
  <c r="U83" i="2"/>
  <c r="U130" i="2"/>
  <c r="X13" i="2"/>
  <c r="AP13" i="2" s="1"/>
  <c r="U109" i="2"/>
  <c r="U233" i="2"/>
  <c r="U86" i="2"/>
  <c r="U133" i="2"/>
  <c r="U157" i="2"/>
  <c r="X16" i="2"/>
  <c r="AP16" i="2" s="1"/>
  <c r="X156" i="2"/>
  <c r="AP156" i="2" s="1"/>
  <c r="AM156" i="2" s="1"/>
  <c r="X108" i="2"/>
  <c r="AP108" i="2" s="1"/>
  <c r="AM108" i="2" s="1"/>
  <c r="X232" i="2"/>
  <c r="AP232" i="2" s="1"/>
  <c r="AM232" i="2" s="1"/>
  <c r="X85" i="2"/>
  <c r="AP85" i="2" s="1"/>
  <c r="AM85" i="2" s="1"/>
  <c r="X132" i="2"/>
  <c r="AP132" i="2" s="1"/>
  <c r="AM132" i="2" s="1"/>
  <c r="AA15" i="2"/>
  <c r="X228" i="2"/>
  <c r="AP228" i="2" s="1"/>
  <c r="AM228" i="2" s="1"/>
  <c r="X81" i="2"/>
  <c r="AP81" i="2" s="1"/>
  <c r="AM81" i="2" s="1"/>
  <c r="X128" i="2"/>
  <c r="AP128" i="2" s="1"/>
  <c r="AM128" i="2" s="1"/>
  <c r="X152" i="2"/>
  <c r="AP152" i="2" s="1"/>
  <c r="AM152" i="2" s="1"/>
  <c r="X104" i="2"/>
  <c r="AP104" i="2" s="1"/>
  <c r="AM104" i="2" s="1"/>
  <c r="AA11" i="2"/>
  <c r="U127" i="2"/>
  <c r="U151" i="2"/>
  <c r="U103" i="2"/>
  <c r="U227" i="2"/>
  <c r="U80" i="2"/>
  <c r="X10" i="2"/>
  <c r="AP10" i="2" s="1"/>
  <c r="U226" i="2"/>
  <c r="U79" i="2"/>
  <c r="U126" i="2"/>
  <c r="U150" i="2"/>
  <c r="U102" i="2"/>
  <c r="X9" i="2"/>
  <c r="AP9" i="2" s="1"/>
  <c r="U129" i="2"/>
  <c r="U153" i="2"/>
  <c r="U105" i="2"/>
  <c r="U229" i="2"/>
  <c r="U82" i="2"/>
  <c r="X12" i="2"/>
  <c r="T228" i="2"/>
  <c r="T81" i="2"/>
  <c r="W11" i="2"/>
  <c r="T128" i="2"/>
  <c r="T104" i="2"/>
  <c r="T152" i="2"/>
  <c r="J20" i="35"/>
  <c r="K23" i="35"/>
  <c r="J29" i="35"/>
  <c r="AD311" i="4" l="1"/>
  <c r="K27" i="52"/>
  <c r="AD306" i="4"/>
  <c r="AG306" i="4" s="1"/>
  <c r="AJ306" i="4" s="1"/>
  <c r="J22" i="52" s="1"/>
  <c r="K22" i="52"/>
  <c r="L22" i="52" s="1"/>
  <c r="AD305" i="4"/>
  <c r="AG305" i="4" s="1"/>
  <c r="AJ305" i="4" s="1"/>
  <c r="J21" i="52" s="1"/>
  <c r="K21" i="52"/>
  <c r="AD310" i="4"/>
  <c r="AG310" i="4" s="1"/>
  <c r="AJ310" i="4" s="1"/>
  <c r="J26" i="52" s="1"/>
  <c r="K26" i="52"/>
  <c r="L26" i="52" s="1"/>
  <c r="AJ294" i="4"/>
  <c r="G23" i="52" s="1"/>
  <c r="I23" i="52" s="1"/>
  <c r="AS294" i="4"/>
  <c r="AT294" i="4" s="1"/>
  <c r="AW294" i="4" s="1"/>
  <c r="AG291" i="4"/>
  <c r="AJ291" i="4" s="1"/>
  <c r="G20" i="52" s="1"/>
  <c r="I20" i="52" s="1"/>
  <c r="AS291" i="4"/>
  <c r="AD293" i="4"/>
  <c r="H22" i="52"/>
  <c r="AD297" i="4"/>
  <c r="H26" i="52"/>
  <c r="AM220" i="4"/>
  <c r="AL220" i="4"/>
  <c r="AP6" i="4"/>
  <c r="AM16" i="4"/>
  <c r="AL16" i="4"/>
  <c r="AN16" i="4" s="1"/>
  <c r="AM12" i="4"/>
  <c r="AL12" i="4"/>
  <c r="AN12" i="4" s="1"/>
  <c r="AL10" i="4"/>
  <c r="AM10" i="4"/>
  <c r="AM14" i="4"/>
  <c r="AL14" i="4"/>
  <c r="AN14" i="4" s="1"/>
  <c r="AM9" i="4"/>
  <c r="AL9" i="4"/>
  <c r="AM15" i="4"/>
  <c r="AL15" i="4"/>
  <c r="AN15" i="4" s="1"/>
  <c r="AL11" i="4"/>
  <c r="AM11" i="4"/>
  <c r="AM220" i="2"/>
  <c r="AL220" i="2"/>
  <c r="AL194" i="2"/>
  <c r="AM194" i="2"/>
  <c r="AL170" i="2"/>
  <c r="AM170" i="2"/>
  <c r="AL94" i="2"/>
  <c r="AM94" i="2"/>
  <c r="AM14" i="2"/>
  <c r="AL14" i="2"/>
  <c r="AL13" i="2"/>
  <c r="AM13" i="2"/>
  <c r="AL16" i="2"/>
  <c r="AM16" i="2"/>
  <c r="AM10" i="2"/>
  <c r="AL10" i="2"/>
  <c r="AM9" i="2"/>
  <c r="AL9" i="2"/>
  <c r="AM297" i="4"/>
  <c r="AL297" i="4"/>
  <c r="AN297" i="4" s="1"/>
  <c r="AM13" i="4"/>
  <c r="AL13" i="4"/>
  <c r="AN13" i="4" s="1"/>
  <c r="AM30" i="4"/>
  <c r="AL30" i="4"/>
  <c r="U174" i="2"/>
  <c r="AP131" i="2"/>
  <c r="AM131" i="2" s="1"/>
  <c r="U276" i="2"/>
  <c r="U200" i="2"/>
  <c r="Q19" i="53"/>
  <c r="R19" i="53" s="1"/>
  <c r="AT305" i="4"/>
  <c r="AS303" i="4"/>
  <c r="L27" i="52"/>
  <c r="J19" i="52"/>
  <c r="X32" i="4"/>
  <c r="U33" i="4"/>
  <c r="W227" i="4"/>
  <c r="Z216" i="4"/>
  <c r="B6" i="54"/>
  <c r="B9" i="54"/>
  <c r="C9" i="55"/>
  <c r="C6" i="55"/>
  <c r="D5" i="55"/>
  <c r="E5" i="55"/>
  <c r="E5" i="54"/>
  <c r="D5" i="54"/>
  <c r="C6" i="54"/>
  <c r="C9" i="54"/>
  <c r="B9" i="55"/>
  <c r="B6" i="55"/>
  <c r="AL6" i="4"/>
  <c r="AM6" i="4"/>
  <c r="D14" i="54"/>
  <c r="D14" i="55"/>
  <c r="U21" i="2"/>
  <c r="U20" i="2"/>
  <c r="U23" i="2"/>
  <c r="U25" i="2"/>
  <c r="U27" i="2"/>
  <c r="U24" i="2"/>
  <c r="W86" i="4"/>
  <c r="W233" i="4"/>
  <c r="W83" i="4"/>
  <c r="W154" i="4"/>
  <c r="W230" i="4"/>
  <c r="W106" i="4"/>
  <c r="W153" i="4"/>
  <c r="W129" i="4"/>
  <c r="W82" i="4"/>
  <c r="W150" i="4"/>
  <c r="W226" i="4"/>
  <c r="T89" i="4"/>
  <c r="T33" i="4"/>
  <c r="W30" i="4"/>
  <c r="T21" i="4"/>
  <c r="T26" i="4"/>
  <c r="T25" i="4"/>
  <c r="T113" i="4"/>
  <c r="T137" i="4"/>
  <c r="W6" i="4"/>
  <c r="W157" i="4"/>
  <c r="W109" i="4"/>
  <c r="W133" i="4"/>
  <c r="Z16" i="4"/>
  <c r="AR16" i="4"/>
  <c r="Z13" i="4"/>
  <c r="W24" i="4"/>
  <c r="AR13" i="4"/>
  <c r="W130" i="4"/>
  <c r="Z12" i="4"/>
  <c r="W23" i="4"/>
  <c r="W229" i="4"/>
  <c r="AR12" i="4"/>
  <c r="W105" i="4"/>
  <c r="W128" i="4"/>
  <c r="Z11" i="4"/>
  <c r="W152" i="4"/>
  <c r="W104" i="4"/>
  <c r="W228" i="4"/>
  <c r="W22" i="4"/>
  <c r="W81" i="4"/>
  <c r="AR11" i="4"/>
  <c r="W102" i="4"/>
  <c r="W79" i="4"/>
  <c r="W126" i="4"/>
  <c r="Z9" i="4"/>
  <c r="AR9" i="4"/>
  <c r="T27" i="2"/>
  <c r="T24" i="2"/>
  <c r="T21" i="2"/>
  <c r="T26" i="2"/>
  <c r="T23" i="2"/>
  <c r="W6" i="2"/>
  <c r="T20" i="2"/>
  <c r="T25" i="2"/>
  <c r="T22" i="2"/>
  <c r="W30" i="2"/>
  <c r="T33" i="2"/>
  <c r="Z16" i="2"/>
  <c r="W157" i="2"/>
  <c r="W233" i="2"/>
  <c r="W109" i="2"/>
  <c r="W133" i="2"/>
  <c r="W86" i="2"/>
  <c r="Z15" i="2"/>
  <c r="W85" i="2"/>
  <c r="W156" i="2"/>
  <c r="W232" i="2"/>
  <c r="W108" i="2"/>
  <c r="W132" i="2"/>
  <c r="Z14" i="2"/>
  <c r="W84" i="2"/>
  <c r="W155" i="2"/>
  <c r="W231" i="2"/>
  <c r="W107" i="2"/>
  <c r="W131" i="2"/>
  <c r="W230" i="2"/>
  <c r="W83" i="2"/>
  <c r="W154" i="2"/>
  <c r="W106" i="2"/>
  <c r="Z13" i="2"/>
  <c r="W130" i="2"/>
  <c r="Z12" i="2"/>
  <c r="W82" i="2"/>
  <c r="W153" i="2"/>
  <c r="W229" i="2"/>
  <c r="W105" i="2"/>
  <c r="Z10" i="2"/>
  <c r="W80" i="2"/>
  <c r="W127" i="2"/>
  <c r="W151" i="2"/>
  <c r="W227" i="2"/>
  <c r="W103" i="2"/>
  <c r="Z9" i="2"/>
  <c r="W79" i="2"/>
  <c r="W126" i="2"/>
  <c r="W226" i="2"/>
  <c r="W102" i="2"/>
  <c r="W150" i="2"/>
  <c r="AA170" i="2"/>
  <c r="X213" i="2"/>
  <c r="AP213" i="2" s="1"/>
  <c r="U33" i="2"/>
  <c r="X30" i="2"/>
  <c r="U26" i="2"/>
  <c r="U22" i="2"/>
  <c r="X6" i="2"/>
  <c r="W129" i="2"/>
  <c r="Z118" i="2"/>
  <c r="AC221" i="4"/>
  <c r="Z232" i="4"/>
  <c r="AR218" i="4"/>
  <c r="AT218" i="4" s="1"/>
  <c r="AF218" i="4"/>
  <c r="AN218" i="4"/>
  <c r="AC222" i="4"/>
  <c r="AC118" i="4"/>
  <c r="AC143" i="4"/>
  <c r="AB143" i="4"/>
  <c r="AI36" i="4"/>
  <c r="AF112" i="4"/>
  <c r="AC14" i="4"/>
  <c r="Z84" i="4"/>
  <c r="AC88" i="4"/>
  <c r="AA87" i="4"/>
  <c r="AR94" i="4"/>
  <c r="AT94" i="4" s="1"/>
  <c r="AI94" i="4"/>
  <c r="AC42" i="4"/>
  <c r="Z85" i="4"/>
  <c r="AB42" i="4"/>
  <c r="AF136" i="4"/>
  <c r="AC120" i="4"/>
  <c r="Z131" i="4"/>
  <c r="AC39" i="4"/>
  <c r="AB39" i="4"/>
  <c r="AC92" i="4"/>
  <c r="Z103" i="4"/>
  <c r="AA99" i="4"/>
  <c r="AB92" i="4"/>
  <c r="AC95" i="4"/>
  <c r="AB95" i="4"/>
  <c r="Z151" i="4"/>
  <c r="AC140" i="4"/>
  <c r="AB140" i="4"/>
  <c r="AR138" i="4"/>
  <c r="AT139" i="4"/>
  <c r="AF98" i="4"/>
  <c r="AI91" i="4"/>
  <c r="AR91" i="4"/>
  <c r="AC15" i="4"/>
  <c r="AC156" i="4" s="1"/>
  <c r="Z108" i="4"/>
  <c r="AC142" i="4"/>
  <c r="AB142" i="4"/>
  <c r="AF145" i="4"/>
  <c r="AT39" i="4"/>
  <c r="AR35" i="4"/>
  <c r="AC215" i="4"/>
  <c r="AC10" i="4"/>
  <c r="Z80" i="4"/>
  <c r="AC220" i="4"/>
  <c r="Z231" i="4"/>
  <c r="Z155" i="4"/>
  <c r="AC144" i="4"/>
  <c r="AB144" i="4"/>
  <c r="Z127" i="4"/>
  <c r="AC116" i="4"/>
  <c r="AI115" i="4"/>
  <c r="Z132" i="4"/>
  <c r="AC121" i="4"/>
  <c r="Z156" i="4"/>
  <c r="AC43" i="4"/>
  <c r="AB43" i="4"/>
  <c r="AC139" i="4"/>
  <c r="AB139" i="4"/>
  <c r="AT116" i="4"/>
  <c r="AR114" i="4"/>
  <c r="AC40" i="4"/>
  <c r="AB40" i="4"/>
  <c r="Z107" i="4"/>
  <c r="AC96" i="4"/>
  <c r="AB96" i="4"/>
  <c r="AC32" i="4"/>
  <c r="AF146" i="4"/>
  <c r="AC219" i="4"/>
  <c r="L23" i="29"/>
  <c r="AA220" i="4"/>
  <c r="X263" i="4"/>
  <c r="AP263" i="4" s="1"/>
  <c r="X137" i="4"/>
  <c r="AP137" i="4" s="1"/>
  <c r="AA113" i="4"/>
  <c r="AA137" i="4"/>
  <c r="X113" i="4"/>
  <c r="AP113" i="4" s="1"/>
  <c r="AA6" i="4"/>
  <c r="AD6" i="4" s="1"/>
  <c r="X233" i="4"/>
  <c r="AP233" i="4" s="1"/>
  <c r="AM233" i="4" s="1"/>
  <c r="X133" i="4"/>
  <c r="AP133" i="4" s="1"/>
  <c r="AM133" i="4" s="1"/>
  <c r="X157" i="4"/>
  <c r="AP157" i="4" s="1"/>
  <c r="AM157" i="4" s="1"/>
  <c r="X109" i="4"/>
  <c r="AP109" i="4" s="1"/>
  <c r="AM109" i="4" s="1"/>
  <c r="AA16" i="4"/>
  <c r="X27" i="4"/>
  <c r="AP27" i="4" s="1"/>
  <c r="AL27" i="4" s="1"/>
  <c r="X86" i="4"/>
  <c r="AP86" i="4" s="1"/>
  <c r="AM86" i="4" s="1"/>
  <c r="X229" i="4"/>
  <c r="AP229" i="4" s="1"/>
  <c r="AM229" i="4" s="1"/>
  <c r="X129" i="4"/>
  <c r="AP129" i="4" s="1"/>
  <c r="AM129" i="4" s="1"/>
  <c r="X153" i="4"/>
  <c r="AP153" i="4" s="1"/>
  <c r="AM153" i="4" s="1"/>
  <c r="X105" i="4"/>
  <c r="AP105" i="4" s="1"/>
  <c r="AM105" i="4" s="1"/>
  <c r="X23" i="4"/>
  <c r="AP23" i="4" s="1"/>
  <c r="AL23" i="4" s="1"/>
  <c r="X82" i="4"/>
  <c r="AP82" i="4" s="1"/>
  <c r="AM82" i="4" s="1"/>
  <c r="AA12" i="4"/>
  <c r="X232" i="4"/>
  <c r="AP232" i="4" s="1"/>
  <c r="AM232" i="4" s="1"/>
  <c r="X132" i="4"/>
  <c r="AP132" i="4" s="1"/>
  <c r="AM132" i="4" s="1"/>
  <c r="X156" i="4"/>
  <c r="AP156" i="4" s="1"/>
  <c r="AM156" i="4" s="1"/>
  <c r="X108" i="4"/>
  <c r="AP108" i="4" s="1"/>
  <c r="AM108" i="4" s="1"/>
  <c r="X26" i="4"/>
  <c r="AP26" i="4" s="1"/>
  <c r="AL26" i="4" s="1"/>
  <c r="X85" i="4"/>
  <c r="AP85" i="4" s="1"/>
  <c r="AM85" i="4" s="1"/>
  <c r="AA15" i="4"/>
  <c r="X227" i="4"/>
  <c r="AP227" i="4" s="1"/>
  <c r="AM227" i="4" s="1"/>
  <c r="X151" i="4"/>
  <c r="AP151" i="4" s="1"/>
  <c r="AM151" i="4" s="1"/>
  <c r="AA10" i="4"/>
  <c r="X103" i="4"/>
  <c r="AP103" i="4" s="1"/>
  <c r="AM103" i="4" s="1"/>
  <c r="X127" i="4"/>
  <c r="AP127" i="4" s="1"/>
  <c r="AM127" i="4" s="1"/>
  <c r="X80" i="4"/>
  <c r="AP80" i="4" s="1"/>
  <c r="AM80" i="4" s="1"/>
  <c r="X21" i="4"/>
  <c r="AP21" i="4" s="1"/>
  <c r="AL21" i="4" s="1"/>
  <c r="X230" i="4"/>
  <c r="X130" i="4"/>
  <c r="AP130" i="4" s="1"/>
  <c r="AM130" i="4" s="1"/>
  <c r="X154" i="4"/>
  <c r="X106" i="4"/>
  <c r="AA13" i="4"/>
  <c r="X24" i="4"/>
  <c r="AP24" i="4" s="1"/>
  <c r="AL24" i="4" s="1"/>
  <c r="X83" i="4"/>
  <c r="X228" i="4"/>
  <c r="AP228" i="4" s="1"/>
  <c r="AM228" i="4" s="1"/>
  <c r="X128" i="4"/>
  <c r="AP128" i="4" s="1"/>
  <c r="AM128" i="4" s="1"/>
  <c r="X152" i="4"/>
  <c r="AP152" i="4" s="1"/>
  <c r="AM152" i="4" s="1"/>
  <c r="X104" i="4"/>
  <c r="AP104" i="4" s="1"/>
  <c r="AM104" i="4" s="1"/>
  <c r="AA11" i="4"/>
  <c r="X22" i="4"/>
  <c r="AP22" i="4" s="1"/>
  <c r="AL22" i="4" s="1"/>
  <c r="X81" i="4"/>
  <c r="AP81" i="4" s="1"/>
  <c r="AM81" i="4" s="1"/>
  <c r="X226" i="4"/>
  <c r="AP226" i="4" s="1"/>
  <c r="AM226" i="4" s="1"/>
  <c r="X150" i="4"/>
  <c r="AP150" i="4" s="1"/>
  <c r="AM150" i="4" s="1"/>
  <c r="X20" i="4"/>
  <c r="AP20" i="4" s="1"/>
  <c r="AL20" i="4" s="1"/>
  <c r="X102" i="4"/>
  <c r="AP102" i="4" s="1"/>
  <c r="AM102" i="4" s="1"/>
  <c r="X126" i="4"/>
  <c r="AP126" i="4" s="1"/>
  <c r="AM126" i="4" s="1"/>
  <c r="AA9" i="4"/>
  <c r="X79" i="4"/>
  <c r="AP79" i="4" s="1"/>
  <c r="AM79" i="4" s="1"/>
  <c r="X231" i="4"/>
  <c r="AP231" i="4" s="1"/>
  <c r="AM231" i="4" s="1"/>
  <c r="X131" i="4"/>
  <c r="AP131" i="4" s="1"/>
  <c r="AM131" i="4" s="1"/>
  <c r="X155" i="4"/>
  <c r="AP155" i="4" s="1"/>
  <c r="AM155" i="4" s="1"/>
  <c r="X107" i="4"/>
  <c r="AP107" i="4" s="1"/>
  <c r="AM107" i="4" s="1"/>
  <c r="AA14" i="4"/>
  <c r="X25" i="4"/>
  <c r="AP25" i="4" s="1"/>
  <c r="AL25" i="4" s="1"/>
  <c r="X84" i="4"/>
  <c r="AP84" i="4" s="1"/>
  <c r="AM84" i="4" s="1"/>
  <c r="AA30" i="4"/>
  <c r="X89" i="4"/>
  <c r="AP89" i="4" s="1"/>
  <c r="AM89" i="4" s="1"/>
  <c r="X263" i="2"/>
  <c r="AP263" i="2" s="1"/>
  <c r="AA220" i="2"/>
  <c r="AA250" i="2"/>
  <c r="AD207" i="2"/>
  <c r="AA194" i="2"/>
  <c r="X237" i="2"/>
  <c r="AP237" i="2" s="1"/>
  <c r="AD144" i="2"/>
  <c r="AA187" i="2"/>
  <c r="AD118" i="2"/>
  <c r="AA161" i="2"/>
  <c r="X137" i="2"/>
  <c r="AP137" i="2" s="1"/>
  <c r="AA94" i="2"/>
  <c r="X131" i="2"/>
  <c r="X174" i="2" s="1"/>
  <c r="X155" i="2"/>
  <c r="AP155" i="2" s="1"/>
  <c r="AM155" i="2" s="1"/>
  <c r="X107" i="2"/>
  <c r="AP107" i="2" s="1"/>
  <c r="AM107" i="2" s="1"/>
  <c r="X231" i="2"/>
  <c r="AP231" i="2" s="1"/>
  <c r="AM231" i="2" s="1"/>
  <c r="X84" i="2"/>
  <c r="AP84" i="2" s="1"/>
  <c r="AM84" i="2" s="1"/>
  <c r="AA14" i="2"/>
  <c r="X133" i="2"/>
  <c r="AP133" i="2" s="1"/>
  <c r="AM133" i="2" s="1"/>
  <c r="X157" i="2"/>
  <c r="X109" i="2"/>
  <c r="AP109" i="2" s="1"/>
  <c r="AM109" i="2" s="1"/>
  <c r="X233" i="2"/>
  <c r="X86" i="2"/>
  <c r="AP86" i="2" s="1"/>
  <c r="AM86" i="2" s="1"/>
  <c r="AA16" i="2"/>
  <c r="AA232" i="2"/>
  <c r="AA85" i="2"/>
  <c r="AA132" i="2"/>
  <c r="AA156" i="2"/>
  <c r="AA108" i="2"/>
  <c r="AD15" i="2"/>
  <c r="X230" i="2"/>
  <c r="AP230" i="2" s="1"/>
  <c r="AM230" i="2" s="1"/>
  <c r="X83" i="2"/>
  <c r="AP83" i="2" s="1"/>
  <c r="AM83" i="2" s="1"/>
  <c r="X130" i="2"/>
  <c r="AP130" i="2" s="1"/>
  <c r="AM130" i="2" s="1"/>
  <c r="X154" i="2"/>
  <c r="X106" i="2"/>
  <c r="AP106" i="2" s="1"/>
  <c r="AM106" i="2" s="1"/>
  <c r="AA13" i="2"/>
  <c r="X126" i="2"/>
  <c r="AP126" i="2" s="1"/>
  <c r="AM126" i="2" s="1"/>
  <c r="X150" i="2"/>
  <c r="AP150" i="2" s="1"/>
  <c r="AM150" i="2" s="1"/>
  <c r="X102" i="2"/>
  <c r="AP102" i="2" s="1"/>
  <c r="AM102" i="2" s="1"/>
  <c r="X226" i="2"/>
  <c r="AP226" i="2" s="1"/>
  <c r="AM226" i="2" s="1"/>
  <c r="X79" i="2"/>
  <c r="AP79" i="2" s="1"/>
  <c r="AM79" i="2" s="1"/>
  <c r="AA9" i="2"/>
  <c r="X127" i="2"/>
  <c r="AP127" i="2" s="1"/>
  <c r="AM127" i="2" s="1"/>
  <c r="X151" i="2"/>
  <c r="AP151" i="2" s="1"/>
  <c r="AM151" i="2" s="1"/>
  <c r="X103" i="2"/>
  <c r="AP103" i="2" s="1"/>
  <c r="AM103" i="2" s="1"/>
  <c r="X227" i="2"/>
  <c r="AP227" i="2" s="1"/>
  <c r="AM227" i="2" s="1"/>
  <c r="X80" i="2"/>
  <c r="AP80" i="2" s="1"/>
  <c r="AM80" i="2" s="1"/>
  <c r="AA10" i="2"/>
  <c r="AA128" i="2"/>
  <c r="AA152" i="2"/>
  <c r="AA104" i="2"/>
  <c r="AA228" i="2"/>
  <c r="AA81" i="2"/>
  <c r="AD11" i="2"/>
  <c r="X129" i="2"/>
  <c r="X153" i="2"/>
  <c r="X105" i="2"/>
  <c r="X229" i="2"/>
  <c r="X82" i="2"/>
  <c r="AA12" i="2"/>
  <c r="AP12" i="2" s="1"/>
  <c r="W128" i="2"/>
  <c r="W104" i="2"/>
  <c r="W152" i="2"/>
  <c r="W81" i="2"/>
  <c r="Z11" i="2"/>
  <c r="W228" i="2"/>
  <c r="L23" i="35"/>
  <c r="K20" i="35"/>
  <c r="K29" i="35"/>
  <c r="AL12" i="2" l="1"/>
  <c r="AM12" i="2"/>
  <c r="X200" i="2"/>
  <c r="AP200" i="2" s="1"/>
  <c r="AP157" i="2"/>
  <c r="AM157" i="2" s="1"/>
  <c r="X276" i="2"/>
  <c r="AP276" i="2" s="1"/>
  <c r="AP233" i="2"/>
  <c r="AM233" i="2" s="1"/>
  <c r="L21" i="52"/>
  <c r="K19" i="52"/>
  <c r="L19" i="52" s="1"/>
  <c r="AS293" i="4"/>
  <c r="AT293" i="4" s="1"/>
  <c r="AG293" i="4"/>
  <c r="AS297" i="4"/>
  <c r="AT297" i="4" s="1"/>
  <c r="AG297" i="4"/>
  <c r="AJ297" i="4" s="1"/>
  <c r="G26" i="52" s="1"/>
  <c r="I26" i="52" s="1"/>
  <c r="AT291" i="4"/>
  <c r="AS290" i="4"/>
  <c r="H19" i="52"/>
  <c r="AP32" i="4"/>
  <c r="AP174" i="2"/>
  <c r="AL32" i="4"/>
  <c r="AM32" i="4"/>
  <c r="AP230" i="4"/>
  <c r="AM230" i="4" s="1"/>
  <c r="AP106" i="4"/>
  <c r="AM106" i="4" s="1"/>
  <c r="AP83" i="4"/>
  <c r="AM83" i="4" s="1"/>
  <c r="AA32" i="4"/>
  <c r="X33" i="4"/>
  <c r="AP33" i="4" s="1"/>
  <c r="AM33" i="4" s="1"/>
  <c r="AC216" i="4"/>
  <c r="Z227" i="4"/>
  <c r="B12" i="54"/>
  <c r="B10" i="54"/>
  <c r="B19" i="54"/>
  <c r="C12" i="55"/>
  <c r="C10" i="55"/>
  <c r="E9" i="55"/>
  <c r="C19" i="55"/>
  <c r="D9" i="55"/>
  <c r="E9" i="54"/>
  <c r="D9" i="54"/>
  <c r="C12" i="54"/>
  <c r="C10" i="54"/>
  <c r="C19" i="54"/>
  <c r="B12" i="55"/>
  <c r="B10" i="55"/>
  <c r="B19" i="55"/>
  <c r="D6" i="54"/>
  <c r="D6" i="55"/>
  <c r="AD170" i="2"/>
  <c r="AA213" i="2"/>
  <c r="X24" i="2"/>
  <c r="X20" i="2"/>
  <c r="X21" i="2"/>
  <c r="X23" i="2"/>
  <c r="W20" i="4"/>
  <c r="W27" i="4"/>
  <c r="AR8" i="4"/>
  <c r="Z233" i="4"/>
  <c r="Z86" i="4"/>
  <c r="Z154" i="4"/>
  <c r="Z106" i="4"/>
  <c r="Z129" i="4"/>
  <c r="Z82" i="4"/>
  <c r="Z153" i="4"/>
  <c r="Z150" i="4"/>
  <c r="Z226" i="4"/>
  <c r="W33" i="4"/>
  <c r="W89" i="4"/>
  <c r="Z30" i="4"/>
  <c r="Z137" i="4"/>
  <c r="W21" i="4"/>
  <c r="Z113" i="4"/>
  <c r="W26" i="4"/>
  <c r="W25" i="4"/>
  <c r="W113" i="4"/>
  <c r="W137" i="4"/>
  <c r="Z6" i="4"/>
  <c r="Z20" i="4" s="1"/>
  <c r="Z109" i="4"/>
  <c r="Z157" i="4"/>
  <c r="Z27" i="4"/>
  <c r="Z133" i="4"/>
  <c r="AC16" i="4"/>
  <c r="AC13" i="4"/>
  <c r="Z24" i="4"/>
  <c r="Z130" i="4"/>
  <c r="AC12" i="4"/>
  <c r="Z105" i="4"/>
  <c r="Z229" i="4"/>
  <c r="Z23" i="4"/>
  <c r="AC11" i="4"/>
  <c r="Z104" i="4"/>
  <c r="Z228" i="4"/>
  <c r="Z152" i="4"/>
  <c r="Z81" i="4"/>
  <c r="Z22" i="4"/>
  <c r="Z128" i="4"/>
  <c r="Z126" i="4"/>
  <c r="Z102" i="4"/>
  <c r="AC9" i="4"/>
  <c r="Z79" i="4"/>
  <c r="Z83" i="4"/>
  <c r="Z230" i="4"/>
  <c r="W21" i="2"/>
  <c r="W26" i="2"/>
  <c r="Z6" i="2"/>
  <c r="W25" i="2"/>
  <c r="W27" i="2"/>
  <c r="W22" i="2"/>
  <c r="W23" i="2"/>
  <c r="W20" i="2"/>
  <c r="W24" i="2"/>
  <c r="Z30" i="2"/>
  <c r="W33" i="2"/>
  <c r="AC16" i="2"/>
  <c r="Z109" i="2"/>
  <c r="Z157" i="2"/>
  <c r="Z233" i="2"/>
  <c r="Z86" i="2"/>
  <c r="Z133" i="2"/>
  <c r="AC15" i="2"/>
  <c r="Z85" i="2"/>
  <c r="Z108" i="2"/>
  <c r="Z156" i="2"/>
  <c r="Z232" i="2"/>
  <c r="Z132" i="2"/>
  <c r="AC14" i="2"/>
  <c r="Z84" i="2"/>
  <c r="Z155" i="2"/>
  <c r="Z231" i="2"/>
  <c r="Z107" i="2"/>
  <c r="Z131" i="2"/>
  <c r="Z106" i="2"/>
  <c r="Z130" i="2"/>
  <c r="Z230" i="2"/>
  <c r="Z154" i="2"/>
  <c r="Z83" i="2"/>
  <c r="AC13" i="2"/>
  <c r="AC12" i="2"/>
  <c r="Z82" i="2"/>
  <c r="Z153" i="2"/>
  <c r="Z229" i="2"/>
  <c r="Z105" i="2"/>
  <c r="AC10" i="2"/>
  <c r="Z80" i="2"/>
  <c r="Z151" i="2"/>
  <c r="Z227" i="2"/>
  <c r="Z103" i="2"/>
  <c r="Z127" i="2"/>
  <c r="AC9" i="2"/>
  <c r="Z79" i="2"/>
  <c r="Z150" i="2"/>
  <c r="Z226" i="2"/>
  <c r="Z102" i="2"/>
  <c r="Z126" i="2"/>
  <c r="X25" i="2"/>
  <c r="X27" i="2"/>
  <c r="AA30" i="2"/>
  <c r="AP30" i="2" s="1"/>
  <c r="X33" i="2"/>
  <c r="X22" i="2"/>
  <c r="X26" i="2"/>
  <c r="AA6" i="2"/>
  <c r="AP6" i="2" s="1"/>
  <c r="Z129" i="2"/>
  <c r="AC118" i="2"/>
  <c r="AI146" i="4"/>
  <c r="AF96" i="4"/>
  <c r="AC107" i="4"/>
  <c r="AF142" i="4"/>
  <c r="AT91" i="4"/>
  <c r="AF120" i="4"/>
  <c r="AC131" i="4"/>
  <c r="AI112" i="4"/>
  <c r="AF144" i="4"/>
  <c r="AC155" i="4"/>
  <c r="AF10" i="4"/>
  <c r="AC80" i="4"/>
  <c r="AI136" i="4"/>
  <c r="AR222" i="4"/>
  <c r="AT222" i="4" s="1"/>
  <c r="AF222" i="4"/>
  <c r="AN222" i="4"/>
  <c r="AI218" i="4"/>
  <c r="AI98" i="4"/>
  <c r="AR98" i="4"/>
  <c r="AT98" i="4" s="1"/>
  <c r="AF215" i="4"/>
  <c r="AR215" i="4"/>
  <c r="AN215" i="4"/>
  <c r="AF40" i="4"/>
  <c r="AF139" i="4"/>
  <c r="AF39" i="4"/>
  <c r="AF42" i="4"/>
  <c r="AC85" i="4"/>
  <c r="AF14" i="4"/>
  <c r="AC84" i="4"/>
  <c r="AF143" i="4"/>
  <c r="AF121" i="4"/>
  <c r="AC132" i="4"/>
  <c r="AF88" i="4"/>
  <c r="AD87" i="4"/>
  <c r="AF92" i="4"/>
  <c r="AC103" i="4"/>
  <c r="AD99" i="4"/>
  <c r="AC127" i="4"/>
  <c r="AF116" i="4"/>
  <c r="AF15" i="4"/>
  <c r="AF156" i="4" s="1"/>
  <c r="AC108" i="4"/>
  <c r="AF118" i="4"/>
  <c r="AC151" i="4"/>
  <c r="AF140" i="4"/>
  <c r="AR219" i="4"/>
  <c r="AT219" i="4" s="1"/>
  <c r="AF219" i="4"/>
  <c r="AN219" i="4"/>
  <c r="AF32" i="4"/>
  <c r="AF43" i="4"/>
  <c r="AR220" i="4"/>
  <c r="AC231" i="4"/>
  <c r="AF220" i="4"/>
  <c r="AI145" i="4"/>
  <c r="AF95" i="4"/>
  <c r="AR221" i="4"/>
  <c r="AT221" i="4" s="1"/>
  <c r="AC232" i="4"/>
  <c r="AF221" i="4"/>
  <c r="AN221" i="4"/>
  <c r="M23" i="29"/>
  <c r="AD220" i="4"/>
  <c r="AA263" i="4"/>
  <c r="AA89" i="4"/>
  <c r="AD30" i="4"/>
  <c r="AA130" i="4"/>
  <c r="AA154" i="4"/>
  <c r="AA230" i="4"/>
  <c r="K37" i="52" s="1"/>
  <c r="AD13" i="4"/>
  <c r="AB13" i="4"/>
  <c r="AA24" i="4"/>
  <c r="AA83" i="4"/>
  <c r="G37" i="52" s="1"/>
  <c r="AA106" i="4"/>
  <c r="E37" i="52" s="1"/>
  <c r="AA128" i="4"/>
  <c r="AA152" i="4"/>
  <c r="I35" i="52" s="1"/>
  <c r="AA228" i="4"/>
  <c r="K35" i="52" s="1"/>
  <c r="AA22" i="4"/>
  <c r="AA81" i="4"/>
  <c r="G35" i="52" s="1"/>
  <c r="AA104" i="4"/>
  <c r="E35" i="52" s="1"/>
  <c r="AD11" i="4"/>
  <c r="AB11" i="4"/>
  <c r="AG113" i="4"/>
  <c r="AD113" i="4"/>
  <c r="AD137" i="4"/>
  <c r="AD289" i="4"/>
  <c r="AG6" i="4"/>
  <c r="AA131" i="4"/>
  <c r="AA155" i="4"/>
  <c r="I38" i="52" s="1"/>
  <c r="AA231" i="4"/>
  <c r="K38" i="52" s="1"/>
  <c r="AB14" i="4"/>
  <c r="AA25" i="4"/>
  <c r="AA84" i="4"/>
  <c r="G38" i="52" s="1"/>
  <c r="AA107" i="4"/>
  <c r="E38" i="52" s="1"/>
  <c r="AD14" i="4"/>
  <c r="AA129" i="4"/>
  <c r="AA153" i="4"/>
  <c r="I36" i="52" s="1"/>
  <c r="AA229" i="4"/>
  <c r="K36" i="52" s="1"/>
  <c r="AB12" i="4"/>
  <c r="AA23" i="4"/>
  <c r="AA82" i="4"/>
  <c r="G36" i="52" s="1"/>
  <c r="AD12" i="4"/>
  <c r="AA105" i="4"/>
  <c r="E36" i="52" s="1"/>
  <c r="AA150" i="4"/>
  <c r="I33" i="52" s="1"/>
  <c r="AA226" i="4"/>
  <c r="K33" i="52" s="1"/>
  <c r="AA126" i="4"/>
  <c r="AA79" i="4"/>
  <c r="G33" i="52" s="1"/>
  <c r="AA20" i="4"/>
  <c r="AA102" i="4"/>
  <c r="E33" i="52" s="1"/>
  <c r="AD9" i="4"/>
  <c r="AB9" i="4"/>
  <c r="AA132" i="4"/>
  <c r="AA156" i="4"/>
  <c r="I39" i="52" s="1"/>
  <c r="AA232" i="4"/>
  <c r="K39" i="52" s="1"/>
  <c r="AA26" i="4"/>
  <c r="AD15" i="4"/>
  <c r="AA85" i="4"/>
  <c r="G39" i="52" s="1"/>
  <c r="AB15" i="4"/>
  <c r="AA108" i="4"/>
  <c r="E39" i="52" s="1"/>
  <c r="AA133" i="4"/>
  <c r="AA157" i="4"/>
  <c r="I40" i="52" s="1"/>
  <c r="AA233" i="4"/>
  <c r="K40" i="52" s="1"/>
  <c r="AB16" i="4"/>
  <c r="AA27" i="4"/>
  <c r="AA86" i="4"/>
  <c r="G40" i="52" s="1"/>
  <c r="AD16" i="4"/>
  <c r="AA109" i="4"/>
  <c r="E40" i="52" s="1"/>
  <c r="AA151" i="4"/>
  <c r="I34" i="52" s="1"/>
  <c r="AA227" i="4"/>
  <c r="K34" i="52" s="1"/>
  <c r="AA127" i="4"/>
  <c r="AA80" i="4"/>
  <c r="G34" i="52" s="1"/>
  <c r="AA103" i="4"/>
  <c r="E34" i="52" s="1"/>
  <c r="AB10" i="4"/>
  <c r="AA21" i="4"/>
  <c r="AD10" i="4"/>
  <c r="AA263" i="2"/>
  <c r="AD220" i="2"/>
  <c r="AD250" i="2"/>
  <c r="AG207" i="2"/>
  <c r="AD194" i="2"/>
  <c r="AA237" i="2"/>
  <c r="AD187" i="2"/>
  <c r="AG144" i="2"/>
  <c r="AG118" i="2"/>
  <c r="AD161" i="2"/>
  <c r="AD94" i="2"/>
  <c r="AA137" i="2"/>
  <c r="AA131" i="2"/>
  <c r="AA174" i="2" s="1"/>
  <c r="AA155" i="2"/>
  <c r="AA107" i="2"/>
  <c r="AA231" i="2"/>
  <c r="AA84" i="2"/>
  <c r="AD14" i="2"/>
  <c r="AD132" i="2"/>
  <c r="AD156" i="2"/>
  <c r="AD108" i="2"/>
  <c r="AD232" i="2"/>
  <c r="AD85" i="2"/>
  <c r="AG15" i="2"/>
  <c r="AA130" i="2"/>
  <c r="AA154" i="2"/>
  <c r="AP154" i="2" s="1"/>
  <c r="AM154" i="2" s="1"/>
  <c r="AA106" i="2"/>
  <c r="AA230" i="2"/>
  <c r="AA83" i="2"/>
  <c r="AD13" i="2"/>
  <c r="AD128" i="2"/>
  <c r="AD152" i="2"/>
  <c r="AD104" i="2"/>
  <c r="AD228" i="2"/>
  <c r="AD81" i="2"/>
  <c r="AG11" i="2"/>
  <c r="AA103" i="2"/>
  <c r="AA227" i="2"/>
  <c r="AA80" i="2"/>
  <c r="AA127" i="2"/>
  <c r="AA151" i="2"/>
  <c r="AD10" i="2"/>
  <c r="AA133" i="2"/>
  <c r="AA157" i="2"/>
  <c r="AA200" i="2" s="1"/>
  <c r="AA109" i="2"/>
  <c r="AA233" i="2"/>
  <c r="AA276" i="2" s="1"/>
  <c r="AA86" i="2"/>
  <c r="AD16" i="2"/>
  <c r="AA126" i="2"/>
  <c r="AA150" i="2"/>
  <c r="AA102" i="2"/>
  <c r="AA226" i="2"/>
  <c r="AA79" i="2"/>
  <c r="AD9" i="2"/>
  <c r="AA105" i="2"/>
  <c r="AP105" i="2" s="1"/>
  <c r="AM105" i="2" s="1"/>
  <c r="AA229" i="2"/>
  <c r="AP229" i="2" s="1"/>
  <c r="AM229" i="2" s="1"/>
  <c r="AA82" i="2"/>
  <c r="AP82" i="2" s="1"/>
  <c r="AM82" i="2" s="1"/>
  <c r="AA129" i="2"/>
  <c r="AP129" i="2" s="1"/>
  <c r="AM129" i="2" s="1"/>
  <c r="AA153" i="2"/>
  <c r="AP153" i="2" s="1"/>
  <c r="AM153" i="2" s="1"/>
  <c r="AD12" i="2"/>
  <c r="Z152" i="2"/>
  <c r="Z228" i="2"/>
  <c r="Z81" i="2"/>
  <c r="AC11" i="2"/>
  <c r="Z128" i="2"/>
  <c r="Z104" i="2"/>
  <c r="M23" i="35"/>
  <c r="L20" i="35"/>
  <c r="L29" i="35"/>
  <c r="I37" i="52" l="1"/>
  <c r="AP154" i="4"/>
  <c r="AM154" i="4" s="1"/>
  <c r="AM30" i="2"/>
  <c r="AL30" i="2"/>
  <c r="AL6" i="2"/>
  <c r="AM6" i="2"/>
  <c r="AQ293" i="4"/>
  <c r="AJ293" i="4"/>
  <c r="G22" i="52" s="1"/>
  <c r="AD32" i="4"/>
  <c r="AG32" i="4" s="1"/>
  <c r="AJ32" i="4" s="1"/>
  <c r="AA33" i="4"/>
  <c r="AD33" i="4"/>
  <c r="AC227" i="4"/>
  <c r="AN216" i="4"/>
  <c r="AR216" i="4"/>
  <c r="AT216" i="4" s="1"/>
  <c r="AF216" i="4"/>
  <c r="AI216" i="4" s="1"/>
  <c r="B20" i="54"/>
  <c r="B23" i="54"/>
  <c r="B24" i="54" s="1"/>
  <c r="E12" i="55"/>
  <c r="D12" i="55"/>
  <c r="C20" i="55"/>
  <c r="C23" i="55"/>
  <c r="E19" i="55"/>
  <c r="D19" i="55"/>
  <c r="D12" i="54"/>
  <c r="E12" i="54"/>
  <c r="D19" i="54"/>
  <c r="E19" i="54"/>
  <c r="C20" i="54"/>
  <c r="C23" i="54"/>
  <c r="B23" i="55"/>
  <c r="B24" i="55" s="1"/>
  <c r="B20" i="55"/>
  <c r="D10" i="54"/>
  <c r="D10" i="55"/>
  <c r="AD213" i="2"/>
  <c r="AG170" i="2"/>
  <c r="AA24" i="2"/>
  <c r="AP24" i="2" s="1"/>
  <c r="AL24" i="2" s="1"/>
  <c r="AA21" i="2"/>
  <c r="AP21" i="2" s="1"/>
  <c r="AL21" i="2" s="1"/>
  <c r="AA27" i="2"/>
  <c r="AP27" i="2" s="1"/>
  <c r="AL27" i="2" s="1"/>
  <c r="AA20" i="2"/>
  <c r="AP20" i="2" s="1"/>
  <c r="AL20" i="2" s="1"/>
  <c r="AC233" i="4"/>
  <c r="AC86" i="4"/>
  <c r="AC83" i="4"/>
  <c r="AC154" i="4"/>
  <c r="AC230" i="4"/>
  <c r="AC106" i="4"/>
  <c r="AC153" i="4"/>
  <c r="AC82" i="4"/>
  <c r="AC129" i="4"/>
  <c r="AC226" i="4"/>
  <c r="AC150" i="4"/>
  <c r="Z89" i="4"/>
  <c r="Z33" i="4"/>
  <c r="AC30" i="4"/>
  <c r="Z26" i="4"/>
  <c r="Z21" i="4"/>
  <c r="Z25" i="4"/>
  <c r="AC6" i="4"/>
  <c r="AC27" i="4" s="1"/>
  <c r="AC157" i="4"/>
  <c r="AC109" i="4"/>
  <c r="AC133" i="4"/>
  <c r="AF16" i="4"/>
  <c r="AF13" i="4"/>
  <c r="AF106" i="4" s="1"/>
  <c r="AC24" i="4"/>
  <c r="AC130" i="4"/>
  <c r="AF12" i="4"/>
  <c r="AC105" i="4"/>
  <c r="AC23" i="4"/>
  <c r="AC229" i="4"/>
  <c r="AC128" i="4"/>
  <c r="AC81" i="4"/>
  <c r="AC104" i="4"/>
  <c r="AF11" i="4"/>
  <c r="AC22" i="4"/>
  <c r="AC152" i="4"/>
  <c r="AC228" i="4"/>
  <c r="AC79" i="4"/>
  <c r="AC20" i="4"/>
  <c r="AF9" i="4"/>
  <c r="AC102" i="4"/>
  <c r="AC126" i="4"/>
  <c r="Z22" i="2"/>
  <c r="Z20" i="2"/>
  <c r="Z26" i="2"/>
  <c r="Z27" i="2"/>
  <c r="Z23" i="2"/>
  <c r="Z24" i="2"/>
  <c r="AC6" i="2"/>
  <c r="Z25" i="2"/>
  <c r="Z21" i="2"/>
  <c r="AC30" i="2"/>
  <c r="Z33" i="2"/>
  <c r="AF16" i="2"/>
  <c r="AC86" i="2"/>
  <c r="AC133" i="2"/>
  <c r="AC157" i="2"/>
  <c r="AC233" i="2"/>
  <c r="AC109" i="2"/>
  <c r="AF15" i="2"/>
  <c r="AC85" i="2"/>
  <c r="AC132" i="2"/>
  <c r="AC156" i="2"/>
  <c r="AC232" i="2"/>
  <c r="AC108" i="2"/>
  <c r="AF14" i="2"/>
  <c r="AC84" i="2"/>
  <c r="AC131" i="2"/>
  <c r="AC155" i="2"/>
  <c r="AC231" i="2"/>
  <c r="AC107" i="2"/>
  <c r="AC106" i="2"/>
  <c r="AC83" i="2"/>
  <c r="AC230" i="2"/>
  <c r="AC154" i="2"/>
  <c r="AC130" i="2"/>
  <c r="AF13" i="2"/>
  <c r="AF12" i="2"/>
  <c r="AC82" i="2"/>
  <c r="AC105" i="2"/>
  <c r="AC153" i="2"/>
  <c r="AC229" i="2"/>
  <c r="AF10" i="2"/>
  <c r="AC80" i="2"/>
  <c r="AC103" i="2"/>
  <c r="AC151" i="2"/>
  <c r="AC227" i="2"/>
  <c r="AC127" i="2"/>
  <c r="AF9" i="2"/>
  <c r="AC79" i="2"/>
  <c r="AC102" i="2"/>
  <c r="AC226" i="2"/>
  <c r="AC126" i="2"/>
  <c r="AC150" i="2"/>
  <c r="AA25" i="2"/>
  <c r="AP25" i="2" s="1"/>
  <c r="AL25" i="2" s="1"/>
  <c r="AA23" i="2"/>
  <c r="AP23" i="2" s="1"/>
  <c r="AL23" i="2" s="1"/>
  <c r="AD30" i="2"/>
  <c r="AA33" i="2"/>
  <c r="AP33" i="2" s="1"/>
  <c r="AM33" i="2" s="1"/>
  <c r="AA26" i="2"/>
  <c r="AP26" i="2" s="1"/>
  <c r="AL26" i="2" s="1"/>
  <c r="AA22" i="2"/>
  <c r="AP22" i="2" s="1"/>
  <c r="AL22" i="2" s="1"/>
  <c r="AD6" i="2"/>
  <c r="AC129" i="2"/>
  <c r="AF118" i="2"/>
  <c r="AI118" i="4"/>
  <c r="AI40" i="4"/>
  <c r="AK65" i="38"/>
  <c r="AI32" i="4"/>
  <c r="AI88" i="4"/>
  <c r="AG87" i="4"/>
  <c r="AI10" i="4"/>
  <c r="AF80" i="4"/>
  <c r="AI42" i="4"/>
  <c r="AF85" i="4"/>
  <c r="AI121" i="4"/>
  <c r="AF132" i="4"/>
  <c r="AI39" i="4"/>
  <c r="AR214" i="4"/>
  <c r="AT215" i="4"/>
  <c r="H13" i="5"/>
  <c r="H13" i="43"/>
  <c r="AK95" i="38"/>
  <c r="AL95" i="38" s="1"/>
  <c r="AI144" i="4"/>
  <c r="AF155" i="4"/>
  <c r="AF232" i="4"/>
  <c r="AI221" i="4"/>
  <c r="AI219" i="4"/>
  <c r="AI143" i="4"/>
  <c r="AI15" i="4"/>
  <c r="AF108" i="4"/>
  <c r="AI215" i="4"/>
  <c r="AF227" i="4"/>
  <c r="H9" i="43"/>
  <c r="H9" i="5"/>
  <c r="H19" i="5" s="1"/>
  <c r="AF107" i="4"/>
  <c r="AR96" i="4"/>
  <c r="AT96" i="4" s="1"/>
  <c r="AI96" i="4"/>
  <c r="AI142" i="4"/>
  <c r="AI220" i="4"/>
  <c r="AF231" i="4"/>
  <c r="AI43" i="4"/>
  <c r="AI140" i="4"/>
  <c r="AF151" i="4"/>
  <c r="AI116" i="4"/>
  <c r="AI127" i="4" s="1"/>
  <c r="AF127" i="4"/>
  <c r="AF103" i="4"/>
  <c r="AR92" i="4"/>
  <c r="AI92" i="4"/>
  <c r="AI139" i="4"/>
  <c r="AI227" i="4"/>
  <c r="AK55" i="38"/>
  <c r="AL55" i="38" s="1"/>
  <c r="AR95" i="4"/>
  <c r="AT95" i="4" s="1"/>
  <c r="AI95" i="4"/>
  <c r="AI14" i="4"/>
  <c r="AF84" i="4"/>
  <c r="AI222" i="4"/>
  <c r="AI120" i="4"/>
  <c r="AF131" i="4"/>
  <c r="AG220" i="4"/>
  <c r="AS220" i="4"/>
  <c r="AD263" i="4"/>
  <c r="AN220" i="4"/>
  <c r="AD131" i="4"/>
  <c r="AD155" i="4"/>
  <c r="AD231" i="4"/>
  <c r="AD25" i="4"/>
  <c r="AD84" i="4"/>
  <c r="AD107" i="4"/>
  <c r="AS14" i="4"/>
  <c r="AT14" i="4" s="1"/>
  <c r="AG14" i="4"/>
  <c r="AG137" i="4"/>
  <c r="AJ6" i="4"/>
  <c r="AJ137" i="4" s="1"/>
  <c r="AD151" i="4"/>
  <c r="AD227" i="4"/>
  <c r="AD127" i="4"/>
  <c r="AD80" i="4"/>
  <c r="AD21" i="4"/>
  <c r="AD103" i="4"/>
  <c r="AS10" i="4"/>
  <c r="AT10" i="4" s="1"/>
  <c r="AG10" i="4"/>
  <c r="AD130" i="4"/>
  <c r="AD154" i="4"/>
  <c r="AD230" i="4"/>
  <c r="AS13" i="4"/>
  <c r="AT13" i="4" s="1"/>
  <c r="AD24" i="4"/>
  <c r="AD83" i="4"/>
  <c r="AD106" i="4"/>
  <c r="AG13" i="4"/>
  <c r="AD132" i="4"/>
  <c r="AD156" i="4"/>
  <c r="AD232" i="4"/>
  <c r="AD26" i="4"/>
  <c r="AG15" i="4"/>
  <c r="AD85" i="4"/>
  <c r="AD108" i="4"/>
  <c r="AS15" i="4"/>
  <c r="AT15" i="4" s="1"/>
  <c r="AD214" i="4"/>
  <c r="AD150" i="4"/>
  <c r="AD226" i="4"/>
  <c r="AD126" i="4"/>
  <c r="AD79" i="4"/>
  <c r="AD20" i="4"/>
  <c r="AS9" i="4"/>
  <c r="AD102" i="4"/>
  <c r="AG9" i="4"/>
  <c r="AD133" i="4"/>
  <c r="AD157" i="4"/>
  <c r="AD233" i="4"/>
  <c r="AD27" i="4"/>
  <c r="AD86" i="4"/>
  <c r="AS16" i="4"/>
  <c r="AT16" i="4" s="1"/>
  <c r="AG16" i="4"/>
  <c r="AD109" i="4"/>
  <c r="AD128" i="4"/>
  <c r="AD152" i="4"/>
  <c r="AD228" i="4"/>
  <c r="AD22" i="4"/>
  <c r="AD81" i="4"/>
  <c r="AD104" i="4"/>
  <c r="AS11" i="4"/>
  <c r="AT11" i="4" s="1"/>
  <c r="AG11" i="4"/>
  <c r="AD89" i="4"/>
  <c r="AG30" i="4"/>
  <c r="AD129" i="4"/>
  <c r="AD153" i="4"/>
  <c r="AD229" i="4"/>
  <c r="AD23" i="4"/>
  <c r="AD82" i="4"/>
  <c r="AG12" i="4"/>
  <c r="AD105" i="4"/>
  <c r="AS12" i="4"/>
  <c r="AT12" i="4" s="1"/>
  <c r="AD263" i="2"/>
  <c r="AG220" i="2"/>
  <c r="AG250" i="2"/>
  <c r="AJ207" i="2"/>
  <c r="AJ250" i="2" s="1"/>
  <c r="AD237" i="2"/>
  <c r="AG194" i="2"/>
  <c r="AG187" i="2"/>
  <c r="AJ144" i="2"/>
  <c r="AJ187" i="2" s="1"/>
  <c r="AG161" i="2"/>
  <c r="AJ118" i="2"/>
  <c r="AJ161" i="2" s="1"/>
  <c r="AG94" i="2"/>
  <c r="AD137" i="2"/>
  <c r="AG132" i="2"/>
  <c r="AG156" i="2"/>
  <c r="AG108" i="2"/>
  <c r="AG232" i="2"/>
  <c r="AG85" i="2"/>
  <c r="AJ15" i="2"/>
  <c r="AD150" i="2"/>
  <c r="AD102" i="2"/>
  <c r="AD226" i="2"/>
  <c r="AD79" i="2"/>
  <c r="AD126" i="2"/>
  <c r="AG9" i="2"/>
  <c r="AD107" i="2"/>
  <c r="AD231" i="2"/>
  <c r="AD84" i="2"/>
  <c r="AD131" i="2"/>
  <c r="AD174" i="2" s="1"/>
  <c r="AD155" i="2"/>
  <c r="AG14" i="2"/>
  <c r="AD129" i="2"/>
  <c r="AD153" i="2"/>
  <c r="AD105" i="2"/>
  <c r="AD229" i="2"/>
  <c r="AD82" i="2"/>
  <c r="AG12" i="2"/>
  <c r="AD133" i="2"/>
  <c r="AD157" i="2"/>
  <c r="AD200" i="2" s="1"/>
  <c r="AD109" i="2"/>
  <c r="AD233" i="2"/>
  <c r="AD276" i="2" s="1"/>
  <c r="AD86" i="2"/>
  <c r="AG16" i="2"/>
  <c r="AD127" i="2"/>
  <c r="AD151" i="2"/>
  <c r="AD103" i="2"/>
  <c r="AD227" i="2"/>
  <c r="AD80" i="2"/>
  <c r="AG10" i="2"/>
  <c r="AD130" i="2"/>
  <c r="AD154" i="2"/>
  <c r="AD106" i="2"/>
  <c r="AD230" i="2"/>
  <c r="AD83" i="2"/>
  <c r="AG13" i="2"/>
  <c r="AG128" i="2"/>
  <c r="AG152" i="2"/>
  <c r="AG104" i="2"/>
  <c r="AG228" i="2"/>
  <c r="AG81" i="2"/>
  <c r="AJ11" i="2"/>
  <c r="AC152" i="2"/>
  <c r="AC228" i="2"/>
  <c r="AC81" i="2"/>
  <c r="AF11" i="2"/>
  <c r="AC128" i="2"/>
  <c r="AC104" i="2"/>
  <c r="M20" i="35"/>
  <c r="V181" i="38" s="1"/>
  <c r="W181" i="38" s="1"/>
  <c r="V175" i="38"/>
  <c r="V201" i="38"/>
  <c r="M29" i="35"/>
  <c r="V207" i="38" s="1"/>
  <c r="W207" i="38" s="1"/>
  <c r="I22" i="52" l="1"/>
  <c r="G19" i="52"/>
  <c r="I19" i="52" s="1"/>
  <c r="AG33" i="4"/>
  <c r="AD21" i="2"/>
  <c r="AD24" i="2"/>
  <c r="C24" i="55"/>
  <c r="D24" i="55" s="1"/>
  <c r="E23" i="55"/>
  <c r="D23" i="55"/>
  <c r="D23" i="54"/>
  <c r="E23" i="54"/>
  <c r="C24" i="54"/>
  <c r="D24" i="54" s="1"/>
  <c r="D20" i="54"/>
  <c r="D20" i="55"/>
  <c r="AW10" i="4"/>
  <c r="AW15" i="4"/>
  <c r="K19" i="5"/>
  <c r="J19" i="5"/>
  <c r="H23" i="5"/>
  <c r="AI103" i="4"/>
  <c r="H8" i="55"/>
  <c r="H8" i="54"/>
  <c r="H13" i="55"/>
  <c r="H13" i="54"/>
  <c r="AW14" i="4"/>
  <c r="H8" i="5"/>
  <c r="AG213" i="2"/>
  <c r="AJ170" i="2"/>
  <c r="AJ213" i="2" s="1"/>
  <c r="AD25" i="2"/>
  <c r="AD27" i="2"/>
  <c r="AD20" i="2"/>
  <c r="AD23" i="2"/>
  <c r="AF233" i="4"/>
  <c r="AF86" i="4"/>
  <c r="AF83" i="4"/>
  <c r="AF230" i="4"/>
  <c r="AF154" i="4"/>
  <c r="AF129" i="4"/>
  <c r="AF82" i="4"/>
  <c r="AF153" i="4"/>
  <c r="AF226" i="4"/>
  <c r="AF150" i="4"/>
  <c r="AC89" i="4"/>
  <c r="AC33" i="4"/>
  <c r="AF30" i="4"/>
  <c r="AC25" i="4"/>
  <c r="AF113" i="4"/>
  <c r="AC21" i="4"/>
  <c r="AC26" i="4"/>
  <c r="AC137" i="4"/>
  <c r="AR137" i="4" s="1"/>
  <c r="AC113" i="4"/>
  <c r="AR113" i="4" s="1"/>
  <c r="AF6" i="4"/>
  <c r="AF20" i="4" s="1"/>
  <c r="AF109" i="4"/>
  <c r="AF157" i="4"/>
  <c r="AF27" i="4"/>
  <c r="AF133" i="4"/>
  <c r="AI16" i="4"/>
  <c r="AI13" i="4"/>
  <c r="AF24" i="4"/>
  <c r="AF130" i="4"/>
  <c r="AI12" i="4"/>
  <c r="AF229" i="4"/>
  <c r="AF23" i="4"/>
  <c r="AF105" i="4"/>
  <c r="AF128" i="4"/>
  <c r="AF81" i="4"/>
  <c r="AF104" i="4"/>
  <c r="AI11" i="4"/>
  <c r="AF22" i="4"/>
  <c r="AF152" i="4"/>
  <c r="AF228" i="4"/>
  <c r="AI9" i="4"/>
  <c r="AF126" i="4"/>
  <c r="AF102" i="4"/>
  <c r="AF79" i="4"/>
  <c r="AI156" i="4"/>
  <c r="AC27" i="2"/>
  <c r="AC24" i="2"/>
  <c r="AC20" i="2"/>
  <c r="AC21" i="2"/>
  <c r="AF6" i="2"/>
  <c r="AC25" i="2"/>
  <c r="AC23" i="2"/>
  <c r="AC22" i="2"/>
  <c r="AC26" i="2"/>
  <c r="AF30" i="2"/>
  <c r="AC33" i="2"/>
  <c r="AI16" i="2"/>
  <c r="AF109" i="2"/>
  <c r="AF157" i="2"/>
  <c r="AF233" i="2"/>
  <c r="AF86" i="2"/>
  <c r="AF133" i="2"/>
  <c r="AI15" i="2"/>
  <c r="AF108" i="2"/>
  <c r="AF156" i="2"/>
  <c r="AF232" i="2"/>
  <c r="AF132" i="2"/>
  <c r="AF85" i="2"/>
  <c r="AI14" i="2"/>
  <c r="AF84" i="2"/>
  <c r="AF155" i="2"/>
  <c r="AF231" i="2"/>
  <c r="AF107" i="2"/>
  <c r="AF131" i="2"/>
  <c r="AF106" i="2"/>
  <c r="AF83" i="2"/>
  <c r="AF130" i="2"/>
  <c r="AF230" i="2"/>
  <c r="AF154" i="2"/>
  <c r="AI13" i="2"/>
  <c r="AI12" i="2"/>
  <c r="AF82" i="2"/>
  <c r="AF153" i="2"/>
  <c r="AF229" i="2"/>
  <c r="AF105" i="2"/>
  <c r="AI10" i="2"/>
  <c r="AF80" i="2"/>
  <c r="AF151" i="2"/>
  <c r="AF227" i="2"/>
  <c r="AF103" i="2"/>
  <c r="AF127" i="2"/>
  <c r="AI9" i="2"/>
  <c r="AF79" i="2"/>
  <c r="AF126" i="2"/>
  <c r="AF226" i="2"/>
  <c r="AF102" i="2"/>
  <c r="AF150" i="2"/>
  <c r="AD33" i="2"/>
  <c r="AG30" i="2"/>
  <c r="AD22" i="2"/>
  <c r="AD26" i="2"/>
  <c r="AG6" i="2"/>
  <c r="AG25" i="2" s="1"/>
  <c r="AF129" i="2"/>
  <c r="AI118" i="2"/>
  <c r="G5" i="45"/>
  <c r="I5" i="45" s="1"/>
  <c r="AI231" i="4"/>
  <c r="AT92" i="4"/>
  <c r="AR90" i="4"/>
  <c r="AT90" i="4" s="1"/>
  <c r="AL65" i="38"/>
  <c r="AI131" i="4"/>
  <c r="AK75" i="38"/>
  <c r="AL75" i="38" s="1"/>
  <c r="AI155" i="4"/>
  <c r="AI80" i="4"/>
  <c r="H5" i="43"/>
  <c r="H5" i="5"/>
  <c r="G7" i="45"/>
  <c r="I7" i="45" s="1"/>
  <c r="AI107" i="4"/>
  <c r="K9" i="43"/>
  <c r="J9" i="43"/>
  <c r="AI151" i="4"/>
  <c r="K13" i="43"/>
  <c r="J13" i="43"/>
  <c r="H12" i="43"/>
  <c r="H8" i="43"/>
  <c r="AK64" i="38"/>
  <c r="D6" i="45"/>
  <c r="F6" i="45" s="1"/>
  <c r="AI108" i="4"/>
  <c r="G6" i="45"/>
  <c r="I6" i="45" s="1"/>
  <c r="AI232" i="4"/>
  <c r="H12" i="5"/>
  <c r="K13" i="5"/>
  <c r="J13" i="5"/>
  <c r="AI132" i="4"/>
  <c r="AI85" i="4"/>
  <c r="D5" i="45"/>
  <c r="F5" i="45" s="1"/>
  <c r="AK74" i="38"/>
  <c r="AL74" i="38" s="1"/>
  <c r="AI84" i="4"/>
  <c r="K9" i="5"/>
  <c r="J9" i="5"/>
  <c r="AT220" i="4"/>
  <c r="AS214" i="4"/>
  <c r="AG263" i="4"/>
  <c r="AJ220" i="4"/>
  <c r="N12" i="52" s="1"/>
  <c r="AG155" i="4"/>
  <c r="AG231" i="4"/>
  <c r="AG131" i="4"/>
  <c r="AG84" i="4"/>
  <c r="AG107" i="4"/>
  <c r="AJ14" i="4"/>
  <c r="E12" i="52" s="1"/>
  <c r="AG25" i="4"/>
  <c r="AG153" i="4"/>
  <c r="AG229" i="4"/>
  <c r="AG129" i="4"/>
  <c r="AG82" i="4"/>
  <c r="AJ12" i="4"/>
  <c r="E10" i="52" s="1"/>
  <c r="AG105" i="4"/>
  <c r="AG23" i="4"/>
  <c r="AG152" i="4"/>
  <c r="AG228" i="4"/>
  <c r="AG128" i="4"/>
  <c r="AG81" i="4"/>
  <c r="AG104" i="4"/>
  <c r="AG22" i="4"/>
  <c r="AJ11" i="4"/>
  <c r="E9" i="52" s="1"/>
  <c r="AG150" i="4"/>
  <c r="AG226" i="4"/>
  <c r="AG79" i="4"/>
  <c r="AG20" i="4"/>
  <c r="AG102" i="4"/>
  <c r="AG126" i="4"/>
  <c r="AJ9" i="4"/>
  <c r="E7" i="52" s="1"/>
  <c r="AG157" i="4"/>
  <c r="AG233" i="4"/>
  <c r="AG133" i="4"/>
  <c r="AG86" i="4"/>
  <c r="AJ16" i="4"/>
  <c r="E14" i="52" s="1"/>
  <c r="AG109" i="4"/>
  <c r="AG27" i="4"/>
  <c r="AG154" i="4"/>
  <c r="AG230" i="4"/>
  <c r="AG130" i="4"/>
  <c r="AG83" i="4"/>
  <c r="AG106" i="4"/>
  <c r="AJ13" i="4"/>
  <c r="E11" i="52" s="1"/>
  <c r="AG24" i="4"/>
  <c r="AG151" i="4"/>
  <c r="AG227" i="4"/>
  <c r="AG127" i="4"/>
  <c r="AG80" i="4"/>
  <c r="AG21" i="4"/>
  <c r="AG103" i="4"/>
  <c r="AJ10" i="4"/>
  <c r="E8" i="52" s="1"/>
  <c r="AG156" i="4"/>
  <c r="AG232" i="4"/>
  <c r="AG132" i="4"/>
  <c r="AJ15" i="4"/>
  <c r="E13" i="52" s="1"/>
  <c r="AG85" i="4"/>
  <c r="AG108" i="4"/>
  <c r="AG26" i="4"/>
  <c r="AG213" i="4"/>
  <c r="AG89" i="4"/>
  <c r="AJ30" i="4"/>
  <c r="AJ89" i="4" s="1"/>
  <c r="AS8" i="4"/>
  <c r="AT9" i="4"/>
  <c r="AG263" i="2"/>
  <c r="AJ220" i="2"/>
  <c r="AJ263" i="2" s="1"/>
  <c r="AG237" i="2"/>
  <c r="AJ194" i="2"/>
  <c r="AJ237" i="2" s="1"/>
  <c r="AJ94" i="2"/>
  <c r="AJ137" i="2" s="1"/>
  <c r="AG137" i="2"/>
  <c r="AG129" i="2"/>
  <c r="AG153" i="2"/>
  <c r="AG105" i="2"/>
  <c r="AG229" i="2"/>
  <c r="AG82" i="2"/>
  <c r="AJ12" i="2"/>
  <c r="AG226" i="2"/>
  <c r="AG79" i="2"/>
  <c r="AG126" i="2"/>
  <c r="AG150" i="2"/>
  <c r="AG102" i="2"/>
  <c r="AJ9" i="2"/>
  <c r="AG109" i="2"/>
  <c r="AG233" i="2"/>
  <c r="AG276" i="2" s="1"/>
  <c r="AG86" i="2"/>
  <c r="AG133" i="2"/>
  <c r="AG157" i="2"/>
  <c r="AG200" i="2" s="1"/>
  <c r="AJ16" i="2"/>
  <c r="AG127" i="2"/>
  <c r="AG151" i="2"/>
  <c r="AG103" i="2"/>
  <c r="AG227" i="2"/>
  <c r="AG80" i="2"/>
  <c r="AJ10" i="2"/>
  <c r="AG154" i="2"/>
  <c r="AG106" i="2"/>
  <c r="AG230" i="2"/>
  <c r="AG83" i="2"/>
  <c r="AG130" i="2"/>
  <c r="AJ13" i="2"/>
  <c r="AJ128" i="2"/>
  <c r="AJ152" i="2"/>
  <c r="AJ104" i="2"/>
  <c r="AJ228" i="2"/>
  <c r="AJ81" i="2"/>
  <c r="AJ156" i="2"/>
  <c r="AJ108" i="2"/>
  <c r="AJ232" i="2"/>
  <c r="AJ85" i="2"/>
  <c r="AJ132" i="2"/>
  <c r="AG131" i="2"/>
  <c r="AG174" i="2" s="1"/>
  <c r="AG155" i="2"/>
  <c r="AG107" i="2"/>
  <c r="AG231" i="2"/>
  <c r="AG84" i="2"/>
  <c r="AJ14" i="2"/>
  <c r="AF228" i="2"/>
  <c r="AF81" i="2"/>
  <c r="AI11" i="2"/>
  <c r="AF128" i="2"/>
  <c r="AF104" i="2"/>
  <c r="AF152" i="2"/>
  <c r="V182" i="38"/>
  <c r="W182" i="38" s="1"/>
  <c r="W175" i="38"/>
  <c r="W201" i="38"/>
  <c r="V208" i="38"/>
  <c r="W208" i="38" s="1"/>
  <c r="J23" i="5" l="1"/>
  <c r="K23" i="5"/>
  <c r="K8" i="55"/>
  <c r="J8" i="55"/>
  <c r="J13" i="55"/>
  <c r="K13" i="55"/>
  <c r="K13" i="54"/>
  <c r="J13" i="54"/>
  <c r="AW16" i="4"/>
  <c r="AW13" i="4"/>
  <c r="AW12" i="4"/>
  <c r="AW11" i="4"/>
  <c r="AW9" i="4"/>
  <c r="H3" i="54"/>
  <c r="H14" i="54" s="1"/>
  <c r="J14" i="54" s="1"/>
  <c r="H3" i="55"/>
  <c r="H14" i="55" s="1"/>
  <c r="J14" i="55" s="1"/>
  <c r="K8" i="54"/>
  <c r="J8" i="54"/>
  <c r="AG21" i="2"/>
  <c r="AG27" i="2"/>
  <c r="AI233" i="4"/>
  <c r="AI86" i="4"/>
  <c r="AI154" i="4"/>
  <c r="AI230" i="4"/>
  <c r="AI83" i="4"/>
  <c r="AI153" i="4"/>
  <c r="AI82" i="4"/>
  <c r="AI226" i="4"/>
  <c r="AI150" i="4"/>
  <c r="AF89" i="4"/>
  <c r="AF33" i="4"/>
  <c r="AF213" i="4"/>
  <c r="AL213" i="4" s="1"/>
  <c r="AI30" i="4"/>
  <c r="AF26" i="4"/>
  <c r="AF21" i="4"/>
  <c r="AF25" i="4"/>
  <c r="AF137" i="4"/>
  <c r="AI6" i="4"/>
  <c r="AI157" i="4"/>
  <c r="AI109" i="4"/>
  <c r="AI27" i="4"/>
  <c r="D7" i="45"/>
  <c r="F7" i="45" s="1"/>
  <c r="AK54" i="38"/>
  <c r="AI133" i="4"/>
  <c r="AI106" i="4"/>
  <c r="AI130" i="4"/>
  <c r="AI229" i="4"/>
  <c r="AI129" i="4"/>
  <c r="AI105" i="4"/>
  <c r="AI152" i="4"/>
  <c r="AI81" i="4"/>
  <c r="AI228" i="4"/>
  <c r="AI128" i="4"/>
  <c r="AI104" i="4"/>
  <c r="AI79" i="4"/>
  <c r="AI126" i="4"/>
  <c r="AI102" i="4"/>
  <c r="AF27" i="2"/>
  <c r="AF24" i="2"/>
  <c r="AF23" i="2"/>
  <c r="AF20" i="2"/>
  <c r="AF25" i="2"/>
  <c r="AF22" i="2"/>
  <c r="AF21" i="2"/>
  <c r="AI6" i="2"/>
  <c r="AF26" i="2"/>
  <c r="AI30" i="2"/>
  <c r="AI33" i="2" s="1"/>
  <c r="AF33" i="2"/>
  <c r="AI157" i="2"/>
  <c r="AI233" i="2"/>
  <c r="AI86" i="2"/>
  <c r="AI109" i="2"/>
  <c r="AI133" i="2"/>
  <c r="AI156" i="2"/>
  <c r="AI232" i="2"/>
  <c r="AI85" i="2"/>
  <c r="AI108" i="2"/>
  <c r="AI132" i="2"/>
  <c r="AI84" i="2"/>
  <c r="AI131" i="2"/>
  <c r="AI155" i="2"/>
  <c r="AI231" i="2"/>
  <c r="AI107" i="2"/>
  <c r="AK44" i="38"/>
  <c r="AL44" i="38" s="1"/>
  <c r="AI106" i="2"/>
  <c r="D9" i="45"/>
  <c r="F9" i="45" s="1"/>
  <c r="AI130" i="2"/>
  <c r="AI154" i="2"/>
  <c r="AI83" i="2"/>
  <c r="AI230" i="2"/>
  <c r="AI82" i="2"/>
  <c r="AI153" i="2"/>
  <c r="AI229" i="2"/>
  <c r="AI105" i="2"/>
  <c r="AK34" i="38"/>
  <c r="AL34" i="38" s="1"/>
  <c r="D8" i="45"/>
  <c r="F8" i="45" s="1"/>
  <c r="AI80" i="2"/>
  <c r="AI127" i="2"/>
  <c r="AI151" i="2"/>
  <c r="AI227" i="2"/>
  <c r="AK14" i="38"/>
  <c r="AL14" i="38" s="1"/>
  <c r="AI103" i="2"/>
  <c r="D10" i="45"/>
  <c r="F10" i="45" s="1"/>
  <c r="AI79" i="2"/>
  <c r="AI150" i="2"/>
  <c r="AI226" i="2"/>
  <c r="AK4" i="38"/>
  <c r="AL4" i="38" s="1"/>
  <c r="AI102" i="2"/>
  <c r="AI126" i="2"/>
  <c r="AI129" i="2"/>
  <c r="AG20" i="2"/>
  <c r="AG23" i="2"/>
  <c r="AG24" i="2"/>
  <c r="AG33" i="2"/>
  <c r="AJ30" i="2"/>
  <c r="AJ33" i="2" s="1"/>
  <c r="AG22" i="2"/>
  <c r="AG26" i="2"/>
  <c r="AJ6" i="2"/>
  <c r="K5" i="43"/>
  <c r="J5" i="43"/>
  <c r="D12" i="52"/>
  <c r="J8" i="5"/>
  <c r="K8" i="5"/>
  <c r="Q6" i="53"/>
  <c r="R6" i="53" s="1"/>
  <c r="K12" i="43"/>
  <c r="J12" i="43"/>
  <c r="K8" i="43"/>
  <c r="J8" i="43"/>
  <c r="D7" i="52"/>
  <c r="F7" i="52" s="1"/>
  <c r="D10" i="52"/>
  <c r="F10" i="52" s="1"/>
  <c r="K12" i="5"/>
  <c r="J12" i="5"/>
  <c r="AL64" i="38"/>
  <c r="D11" i="52"/>
  <c r="L6" i="53"/>
  <c r="M6" i="53" s="1"/>
  <c r="D14" i="52"/>
  <c r="F14" i="52" s="1"/>
  <c r="AK85" i="38"/>
  <c r="AL85" i="38" s="1"/>
  <c r="D13" i="52"/>
  <c r="F13" i="52" s="1"/>
  <c r="D9" i="52"/>
  <c r="F9" i="52" s="1"/>
  <c r="K5" i="5"/>
  <c r="J5" i="5"/>
  <c r="D8" i="52"/>
  <c r="AJ33" i="4"/>
  <c r="AJ263" i="4"/>
  <c r="N6" i="52"/>
  <c r="M12" i="52"/>
  <c r="AJ231" i="4"/>
  <c r="AJ131" i="4"/>
  <c r="AJ155" i="4"/>
  <c r="AJ107" i="4"/>
  <c r="AJ25" i="4"/>
  <c r="AJ84" i="4"/>
  <c r="L38" i="52"/>
  <c r="M38" i="52" s="1"/>
  <c r="N38" i="52"/>
  <c r="O38" i="52" s="1"/>
  <c r="AJ228" i="4"/>
  <c r="AJ128" i="4"/>
  <c r="AJ152" i="4"/>
  <c r="AJ104" i="4"/>
  <c r="AJ22" i="4"/>
  <c r="AJ81" i="4"/>
  <c r="N35" i="52"/>
  <c r="O35" i="52" s="1"/>
  <c r="L35" i="52"/>
  <c r="M35" i="52" s="1"/>
  <c r="AJ226" i="4"/>
  <c r="AJ150" i="4"/>
  <c r="AJ20" i="4"/>
  <c r="AJ102" i="4"/>
  <c r="AJ126" i="4"/>
  <c r="AJ79" i="4"/>
  <c r="N33" i="52"/>
  <c r="O33" i="52" s="1"/>
  <c r="L33" i="52"/>
  <c r="M33" i="52" s="1"/>
  <c r="AJ232" i="4"/>
  <c r="AJ132" i="4"/>
  <c r="AJ156" i="4"/>
  <c r="AJ108" i="4"/>
  <c r="AJ26" i="4"/>
  <c r="AJ85" i="4"/>
  <c r="N39" i="52"/>
  <c r="O39" i="52" s="1"/>
  <c r="L39" i="52"/>
  <c r="M39" i="52" s="1"/>
  <c r="AJ227" i="4"/>
  <c r="AJ151" i="4"/>
  <c r="AJ103" i="4"/>
  <c r="AJ127" i="4"/>
  <c r="AJ80" i="4"/>
  <c r="AJ21" i="4"/>
  <c r="N34" i="52"/>
  <c r="O34" i="52" s="1"/>
  <c r="L34" i="52"/>
  <c r="M34" i="52" s="1"/>
  <c r="AJ230" i="4"/>
  <c r="AJ130" i="4"/>
  <c r="AJ154" i="4"/>
  <c r="AJ106" i="4"/>
  <c r="AJ24" i="4"/>
  <c r="AJ83" i="4"/>
  <c r="N37" i="52"/>
  <c r="O37" i="52" s="1"/>
  <c r="L37" i="52"/>
  <c r="M37" i="52" s="1"/>
  <c r="F11" i="52"/>
  <c r="AJ233" i="4"/>
  <c r="AJ133" i="4"/>
  <c r="AJ157" i="4"/>
  <c r="AJ109" i="4"/>
  <c r="AJ27" i="4"/>
  <c r="AJ86" i="4"/>
  <c r="L40" i="52"/>
  <c r="M40" i="52" s="1"/>
  <c r="N40" i="52"/>
  <c r="O40" i="52" s="1"/>
  <c r="AJ229" i="4"/>
  <c r="AJ129" i="4"/>
  <c r="AJ153" i="4"/>
  <c r="AJ105" i="4"/>
  <c r="AJ23" i="4"/>
  <c r="AJ82" i="4"/>
  <c r="L36" i="52"/>
  <c r="M36" i="52" s="1"/>
  <c r="N36" i="52"/>
  <c r="O36" i="52" s="1"/>
  <c r="AJ129" i="2"/>
  <c r="AJ153" i="2"/>
  <c r="AJ105" i="2"/>
  <c r="AJ229" i="2"/>
  <c r="AJ82" i="2"/>
  <c r="AJ131" i="2"/>
  <c r="AJ174" i="2" s="1"/>
  <c r="AJ155" i="2"/>
  <c r="AJ107" i="2"/>
  <c r="AJ231" i="2"/>
  <c r="AJ84" i="2"/>
  <c r="AJ126" i="2"/>
  <c r="AJ150" i="2"/>
  <c r="AJ102" i="2"/>
  <c r="AJ226" i="2"/>
  <c r="AJ79" i="2"/>
  <c r="AJ127" i="2"/>
  <c r="AJ151" i="2"/>
  <c r="AJ103" i="2"/>
  <c r="AJ227" i="2"/>
  <c r="AJ80" i="2"/>
  <c r="AJ230" i="2"/>
  <c r="AJ83" i="2"/>
  <c r="AJ130" i="2"/>
  <c r="AJ154" i="2"/>
  <c r="AJ106" i="2"/>
  <c r="AJ133" i="2"/>
  <c r="AJ157" i="2"/>
  <c r="AJ200" i="2" s="1"/>
  <c r="AJ109" i="2"/>
  <c r="AJ233" i="2"/>
  <c r="AJ276" i="2" s="1"/>
  <c r="AJ86" i="2"/>
  <c r="AI128" i="2"/>
  <c r="AI104" i="2"/>
  <c r="AI152" i="2"/>
  <c r="AK24" i="38"/>
  <c r="AL24" i="38" s="1"/>
  <c r="AI228" i="2"/>
  <c r="D11" i="45"/>
  <c r="F11" i="45" s="1"/>
  <c r="AI81" i="2"/>
  <c r="K3" i="54" l="1"/>
  <c r="M6" i="54" s="1"/>
  <c r="J3" i="54"/>
  <c r="H5" i="54"/>
  <c r="H5" i="55"/>
  <c r="K3" i="55"/>
  <c r="M6" i="55" s="1"/>
  <c r="J3" i="55"/>
  <c r="AI20" i="4"/>
  <c r="AI22" i="4"/>
  <c r="AI137" i="4"/>
  <c r="AJ27" i="2"/>
  <c r="AJ21" i="2"/>
  <c r="AJ24" i="2"/>
  <c r="AI24" i="4"/>
  <c r="AI23" i="4"/>
  <c r="AI89" i="4"/>
  <c r="AI33" i="4"/>
  <c r="AI25" i="4"/>
  <c r="AI26" i="4"/>
  <c r="AI21" i="4"/>
  <c r="H3" i="5"/>
  <c r="H3" i="43"/>
  <c r="AK94" i="38"/>
  <c r="AL94" i="38" s="1"/>
  <c r="AL54" i="38"/>
  <c r="AK84" i="38"/>
  <c r="AL84" i="38" s="1"/>
  <c r="G6" i="53"/>
  <c r="H6" i="53" s="1"/>
  <c r="B3" i="5"/>
  <c r="AI21" i="2"/>
  <c r="B3" i="43"/>
  <c r="AI26" i="2"/>
  <c r="AI20" i="2"/>
  <c r="AI25" i="2"/>
  <c r="AI24" i="2"/>
  <c r="AI23" i="2"/>
  <c r="AI27" i="2"/>
  <c r="AI22" i="2"/>
  <c r="AJ23" i="2"/>
  <c r="AJ25" i="2"/>
  <c r="AJ20" i="2"/>
  <c r="AJ22" i="2"/>
  <c r="AJ26" i="2"/>
  <c r="O12" i="52"/>
  <c r="M6" i="52"/>
  <c r="O6" i="52" s="1"/>
  <c r="F8" i="52"/>
  <c r="J39" i="52"/>
  <c r="D6" i="52"/>
  <c r="H33" i="52"/>
  <c r="D35" i="52"/>
  <c r="F38" i="52"/>
  <c r="J36" i="52"/>
  <c r="J40" i="52"/>
  <c r="H37" i="52"/>
  <c r="F34" i="52"/>
  <c r="E6" i="52"/>
  <c r="J33" i="52"/>
  <c r="H35" i="52"/>
  <c r="D33" i="52"/>
  <c r="F36" i="52"/>
  <c r="F39" i="52"/>
  <c r="D38" i="52"/>
  <c r="H40" i="52"/>
  <c r="J37" i="52"/>
  <c r="D34" i="52"/>
  <c r="J35" i="52"/>
  <c r="H38" i="52"/>
  <c r="D40" i="52"/>
  <c r="F37" i="52"/>
  <c r="F35" i="52"/>
  <c r="D37" i="52"/>
  <c r="F40" i="52"/>
  <c r="H34" i="52"/>
  <c r="D39" i="52"/>
  <c r="F33" i="52"/>
  <c r="D36" i="52"/>
  <c r="H36" i="52"/>
  <c r="J34" i="52"/>
  <c r="H39" i="52"/>
  <c r="F12" i="52"/>
  <c r="J38" i="52"/>
  <c r="B14" i="43"/>
  <c r="D14" i="43" s="1"/>
  <c r="D3" i="43"/>
  <c r="B20" i="43"/>
  <c r="D20" i="43" s="1"/>
  <c r="B10" i="43"/>
  <c r="D10" i="43" s="1"/>
  <c r="B24" i="43"/>
  <c r="D24" i="43" s="1"/>
  <c r="E3" i="43"/>
  <c r="B6" i="43"/>
  <c r="D6" i="43" s="1"/>
  <c r="B24" i="5"/>
  <c r="D24" i="5" s="1"/>
  <c r="B14" i="5"/>
  <c r="D14" i="5" s="1"/>
  <c r="B20" i="5"/>
  <c r="D20" i="5" s="1"/>
  <c r="B10" i="5"/>
  <c r="D10" i="5" s="1"/>
  <c r="E3" i="5"/>
  <c r="B6" i="5"/>
  <c r="D6" i="5" s="1"/>
  <c r="D3" i="5"/>
  <c r="H6" i="54" l="1"/>
  <c r="J6" i="54" s="1"/>
  <c r="J5" i="54"/>
  <c r="K5" i="54"/>
  <c r="H9" i="54"/>
  <c r="H9" i="55"/>
  <c r="H6" i="55"/>
  <c r="J6" i="55" s="1"/>
  <c r="K5" i="55"/>
  <c r="J5" i="55"/>
  <c r="H6" i="5"/>
  <c r="J6" i="5" s="1"/>
  <c r="H14" i="5"/>
  <c r="J14" i="5" s="1"/>
  <c r="H10" i="5"/>
  <c r="J10" i="5" s="1"/>
  <c r="K3" i="5"/>
  <c r="M6" i="5" s="1"/>
  <c r="H24" i="5"/>
  <c r="J24" i="5" s="1"/>
  <c r="H20" i="5"/>
  <c r="J20" i="5" s="1"/>
  <c r="J3" i="5"/>
  <c r="H6" i="43"/>
  <c r="J6" i="43" s="1"/>
  <c r="H14" i="43"/>
  <c r="J14" i="43" s="1"/>
  <c r="H10" i="43"/>
  <c r="J10" i="43" s="1"/>
  <c r="H24" i="43"/>
  <c r="J24" i="43" s="1"/>
  <c r="H20" i="43"/>
  <c r="J20" i="43" s="1"/>
  <c r="K3" i="43"/>
  <c r="J3" i="43"/>
  <c r="F6" i="52"/>
  <c r="H12" i="54" l="1"/>
  <c r="H10" i="54"/>
  <c r="J10" i="54" s="1"/>
  <c r="K9" i="54"/>
  <c r="J9" i="54"/>
  <c r="H19" i="54"/>
  <c r="H12" i="55"/>
  <c r="H19" i="55"/>
  <c r="H10" i="55"/>
  <c r="J10" i="55" s="1"/>
  <c r="K9" i="55"/>
  <c r="J9" i="55"/>
  <c r="I2" i="29"/>
  <c r="W287" i="1" s="1"/>
  <c r="W288" i="2" s="1"/>
  <c r="Z288" i="2" s="1"/>
  <c r="AC288" i="2" s="1"/>
  <c r="AF288" i="2" s="1"/>
  <c r="AI288" i="2" s="1"/>
  <c r="W294" i="1"/>
  <c r="I25" i="29"/>
  <c r="W295" i="2"/>
  <c r="Z295" i="2" s="1"/>
  <c r="AC295" i="2" s="1"/>
  <c r="AF295" i="2" s="1"/>
  <c r="AI295" i="2" s="1"/>
  <c r="AK47" i="38" s="1"/>
  <c r="AL47" i="38" s="1"/>
  <c r="J12" i="54" l="1"/>
  <c r="K12" i="54"/>
  <c r="K19" i="54"/>
  <c r="H20" i="54"/>
  <c r="J20" i="54" s="1"/>
  <c r="J19" i="54"/>
  <c r="H23" i="54"/>
  <c r="K12" i="55"/>
  <c r="J12" i="55"/>
  <c r="H23" i="55"/>
  <c r="H20" i="55"/>
  <c r="J20" i="55" s="1"/>
  <c r="J19" i="55"/>
  <c r="K19" i="55"/>
  <c r="J25" i="29"/>
  <c r="I20" i="29"/>
  <c r="H24" i="54" l="1"/>
  <c r="J24" i="54" s="1"/>
  <c r="K23" i="54"/>
  <c r="J23" i="54"/>
  <c r="H24" i="55"/>
  <c r="J24" i="55" s="1"/>
  <c r="K23" i="55"/>
  <c r="J23" i="55"/>
  <c r="K25" i="29"/>
  <c r="J20" i="29"/>
  <c r="L25" i="29"/>
  <c r="K20" i="29"/>
  <c r="L20" i="29" l="1"/>
  <c r="M25" i="29"/>
  <c r="M20" i="2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<sst xmlns="http://schemas.openxmlformats.org/spreadsheetml/2006/main" count="4817" uniqueCount="596">
  <si>
    <t>AYLIK</t>
  </si>
  <si>
    <t>bin Avro</t>
  </si>
  <si>
    <t>Ciro</t>
  </si>
  <si>
    <t xml:space="preserve">Brüt Kar </t>
  </si>
  <si>
    <t>EBITDA</t>
  </si>
  <si>
    <t>Net Kar</t>
  </si>
  <si>
    <t>Gerçekleşme</t>
  </si>
  <si>
    <t>Bütçe - Gerçekleşme Fark</t>
  </si>
  <si>
    <t>% Değişim</t>
  </si>
  <si>
    <t>Toplam</t>
  </si>
  <si>
    <t xml:space="preserve">İnci Holding </t>
  </si>
  <si>
    <t xml:space="preserve">ISM </t>
  </si>
  <si>
    <t>İncitaş</t>
  </si>
  <si>
    <t>İnci GS Yuasa</t>
  </si>
  <si>
    <t>Yusen İnci Loj.</t>
  </si>
  <si>
    <t>Jantaş</t>
  </si>
  <si>
    <t>Çelik</t>
  </si>
  <si>
    <t>Alüminyum</t>
  </si>
  <si>
    <t>Vergi</t>
  </si>
  <si>
    <t>Operasyonel Nakit</t>
  </si>
  <si>
    <t>Serbest Nakit</t>
  </si>
  <si>
    <t>Net Nakit</t>
  </si>
  <si>
    <t>Faaliyet Giderleri Marjı</t>
  </si>
  <si>
    <t>Brüt Kar Marjı</t>
  </si>
  <si>
    <t>EBITDA Marjı</t>
  </si>
  <si>
    <t>Net Kar Marjı</t>
  </si>
  <si>
    <t>Operasyonel Nakit Marjı</t>
  </si>
  <si>
    <t>Serbest Nakit Marjı</t>
  </si>
  <si>
    <t>%</t>
  </si>
  <si>
    <t>Adet</t>
  </si>
  <si>
    <t xml:space="preserve">Fiyat </t>
  </si>
  <si>
    <t>Miks</t>
  </si>
  <si>
    <t>Ham Madde</t>
  </si>
  <si>
    <t>Enerji</t>
  </si>
  <si>
    <t>Döviz</t>
  </si>
  <si>
    <t>Enflasyon</t>
  </si>
  <si>
    <t>KÜMÜLATİF</t>
  </si>
  <si>
    <t>Mayıs Tahmin</t>
  </si>
  <si>
    <t>Haziran Tahmin</t>
  </si>
  <si>
    <t>Temmuz Tahmin</t>
  </si>
  <si>
    <t>Bütçe - Tahmin Fark</t>
  </si>
  <si>
    <t>OCAK</t>
  </si>
  <si>
    <t>ŞUBAT</t>
  </si>
  <si>
    <t>MART</t>
  </si>
  <si>
    <t>NİSAN</t>
  </si>
  <si>
    <t>MAYIS</t>
  </si>
  <si>
    <t>HAZİRAN</t>
  </si>
  <si>
    <t>TEMMUZ</t>
  </si>
  <si>
    <t>AĞUSTOS</t>
  </si>
  <si>
    <t>EYLÜL</t>
  </si>
  <si>
    <t>EKİM</t>
  </si>
  <si>
    <t>KASIM</t>
  </si>
  <si>
    <t>ARALIK</t>
  </si>
  <si>
    <t>Budget</t>
  </si>
  <si>
    <t>Actual</t>
  </si>
  <si>
    <t>Difference</t>
  </si>
  <si>
    <t>Variance %</t>
  </si>
  <si>
    <t>Eur Kapanış</t>
  </si>
  <si>
    <t>Eur Ortalama</t>
  </si>
  <si>
    <t>Net Sales</t>
  </si>
  <si>
    <t>SALES BY CHANNELS(100% Satışlar)</t>
  </si>
  <si>
    <t>SHARE OF SALES (%)</t>
  </si>
  <si>
    <t>Cost of Sales</t>
  </si>
  <si>
    <t>Gross Profit</t>
  </si>
  <si>
    <t>Gross Profit Margin</t>
  </si>
  <si>
    <t>GROSS PROFIT BY CHANNELS (100%)</t>
  </si>
  <si>
    <t>GROSS PROFIT MARGIN BY CHANNELS</t>
  </si>
  <si>
    <t>Operating Expenses</t>
  </si>
  <si>
    <t>Operating Expenses by channels (100%)</t>
  </si>
  <si>
    <t>Operating expense/Sales</t>
  </si>
  <si>
    <t>EBİT</t>
  </si>
  <si>
    <t>Ebit by channels (100%)</t>
  </si>
  <si>
    <t>Ebit Margin</t>
  </si>
  <si>
    <t>EBİTDA</t>
  </si>
  <si>
    <t>Ebitda by channels (100%)</t>
  </si>
  <si>
    <t>Ebitda Margin</t>
  </si>
  <si>
    <t>Finansman Gelir(Gideri)</t>
  </si>
  <si>
    <t>Finansman Gelir(Gideri) (100%)</t>
  </si>
  <si>
    <t>Diğer Gelir(Gider)</t>
  </si>
  <si>
    <t>Diğer Gelir(Gider) (100%)</t>
  </si>
  <si>
    <t>VÖK</t>
  </si>
  <si>
    <t>VÖK (100%)</t>
  </si>
  <si>
    <t>Vergi (100%)</t>
  </si>
  <si>
    <t>Net Kar (100%)</t>
  </si>
  <si>
    <t>Kredi</t>
  </si>
  <si>
    <t>Kredi (100%)</t>
  </si>
  <si>
    <t>Mevduat</t>
  </si>
  <si>
    <t>Mevduat (100%)</t>
  </si>
  <si>
    <t>Net Nakit (Borç)</t>
  </si>
  <si>
    <t>Net Nakit (Borç) (100%)</t>
  </si>
  <si>
    <t>Yatırım</t>
  </si>
  <si>
    <t>Yatırım (100%)</t>
  </si>
  <si>
    <t>Operasyonel Nakit (100%)</t>
  </si>
  <si>
    <t>Serbest Nakit (100%)</t>
  </si>
  <si>
    <t>,</t>
  </si>
  <si>
    <t>Satışlar (Avro)</t>
  </si>
  <si>
    <t>Satışlar Sene Sonu Tahmin (Avro)</t>
  </si>
  <si>
    <t>Yıl Sonu Tahmini</t>
  </si>
  <si>
    <t>Gerçekleşen</t>
  </si>
  <si>
    <t>Bütçe</t>
  </si>
  <si>
    <t>Sapma %</t>
  </si>
  <si>
    <t>Haziran</t>
  </si>
  <si>
    <t>Temmuz</t>
  </si>
  <si>
    <t>Ağustos</t>
  </si>
  <si>
    <t>Eylül</t>
  </si>
  <si>
    <t>Ekim</t>
  </si>
  <si>
    <t>Kasım</t>
  </si>
  <si>
    <t>(TRY)</t>
  </si>
  <si>
    <t>Mayıs YST</t>
  </si>
  <si>
    <t>Haziran YST</t>
  </si>
  <si>
    <t>(EUR)</t>
  </si>
  <si>
    <t xml:space="preserve">İnci Holding  </t>
  </si>
  <si>
    <t>Satışlar</t>
  </si>
  <si>
    <t>Ebitda</t>
  </si>
  <si>
    <t>Operasyonel Giderler</t>
  </si>
  <si>
    <t xml:space="preserve">İncitaş </t>
  </si>
  <si>
    <t>Ebitda %</t>
  </si>
  <si>
    <t>Vergi Öncesi Kar</t>
  </si>
  <si>
    <t>EBIT</t>
  </si>
  <si>
    <t xml:space="preserve">İnci GS Yuasa </t>
  </si>
  <si>
    <t xml:space="preserve">Yusen İnci Loj. </t>
  </si>
  <si>
    <t xml:space="preserve">Jantaş </t>
  </si>
  <si>
    <t xml:space="preserve">Çelik </t>
  </si>
  <si>
    <t>Net Finansal Nakit (Borç)</t>
  </si>
  <si>
    <t xml:space="preserve">Alüminyum </t>
  </si>
  <si>
    <t xml:space="preserve">Kombine </t>
  </si>
  <si>
    <t xml:space="preserve"> (TRY)</t>
  </si>
  <si>
    <t>Brüt Kar (Avro)</t>
  </si>
  <si>
    <t>Brut Kar Tahmin (Avro)</t>
  </si>
  <si>
    <t>Mart</t>
  </si>
  <si>
    <t>Nisan</t>
  </si>
  <si>
    <t>Mayıs</t>
  </si>
  <si>
    <t>Brut Kar Marjı Sene Sonu Tahmin</t>
  </si>
  <si>
    <t>Gexçekleşen</t>
  </si>
  <si>
    <t>GYG  (Avro)</t>
  </si>
  <si>
    <t>GYG Tahmin (Avro)</t>
  </si>
  <si>
    <t>EBIT (Avro)</t>
  </si>
  <si>
    <t>EBIT Tahmin (Avro)</t>
  </si>
  <si>
    <t>Kombine</t>
  </si>
  <si>
    <t>EBIT Marjı</t>
  </si>
  <si>
    <t>EBIT Marjı Tahmin</t>
  </si>
  <si>
    <t>EBITDA (Avro)</t>
  </si>
  <si>
    <t>EBITDA Tahmin (Avro)</t>
  </si>
  <si>
    <t>Maxion</t>
  </si>
  <si>
    <t>EBITDA Marjı Tahmin</t>
  </si>
  <si>
    <t>Finansal Gelir / Gider (Avro)</t>
  </si>
  <si>
    <t>Finansal Gelir / Gider Tahmin  (Avro)</t>
  </si>
  <si>
    <t>Diğer Gelir / Gider (Avro)</t>
  </si>
  <si>
    <t>Diğer Gelir / Gider Tahmin (Avro)</t>
  </si>
  <si>
    <t>-</t>
  </si>
  <si>
    <t>VÖK (Avro)</t>
  </si>
  <si>
    <t>Vergi Öncesi Kar Tahmin (Avro)</t>
  </si>
  <si>
    <t>Vergi   (Avro)</t>
  </si>
  <si>
    <t>Vergi Tahmin (Avro)</t>
  </si>
  <si>
    <t>Net Kar (Zarar) (Avro)</t>
  </si>
  <si>
    <t>Net Kar(Zarar) Tahmin (Avro)</t>
  </si>
  <si>
    <t>Operasyonel Nakit (Avro)</t>
  </si>
  <si>
    <t>Operasyonel Nakit Tahmin (Avro)</t>
  </si>
  <si>
    <t>Yatırım (Avro)</t>
  </si>
  <si>
    <t>Yatırım Tahmin (Avro)</t>
  </si>
  <si>
    <t>Serbest Nakit (Avro)</t>
  </si>
  <si>
    <t>Serbest Nakit Tahmin (Avro)</t>
  </si>
  <si>
    <t>Net Finansal Nakit (Avro)</t>
  </si>
  <si>
    <t>EUR Tahminler</t>
  </si>
  <si>
    <t>TRY Tahminler</t>
  </si>
  <si>
    <t>Yapı</t>
  </si>
  <si>
    <t xml:space="preserve">Ağustos </t>
  </si>
  <si>
    <t>Şubat</t>
  </si>
  <si>
    <t>Ocak</t>
  </si>
  <si>
    <t>Eylül Tahmin</t>
  </si>
  <si>
    <t>Ağustos Tahmin</t>
  </si>
  <si>
    <t>Nisan Tahmin</t>
  </si>
  <si>
    <t>Mart Tahmin</t>
  </si>
  <si>
    <t>Şubat Tahmin</t>
  </si>
  <si>
    <t>Ocak Tahmin</t>
  </si>
  <si>
    <t>Eur Kuru-kapanış / G.1.1.</t>
  </si>
  <si>
    <t>Eur Kuru-ortalama / G.1.2.</t>
  </si>
  <si>
    <t>Net Satışlar-EUR / G.1.</t>
  </si>
  <si>
    <t>Net Satışlar-TL / G.1.</t>
  </si>
  <si>
    <t>İnci Holding / G.1.1.</t>
  </si>
  <si>
    <t>ISM / G.1.2.</t>
  </si>
  <si>
    <t>İncitaş / G.1.3.</t>
  </si>
  <si>
    <t>İnci GS Yuasa / G.1.4.</t>
  </si>
  <si>
    <t>Yusen İnci Loj. / G.1.5.</t>
  </si>
  <si>
    <t>Jantaş / G.1.6.</t>
  </si>
  <si>
    <t>Çelik / G.1.7.</t>
  </si>
  <si>
    <t>Alüminyum / G.1.8.</t>
  </si>
  <si>
    <t>x / G.1.9.</t>
  </si>
  <si>
    <t>y / G.1.10.</t>
  </si>
  <si>
    <t>SMM-EUR / G.2.</t>
  </si>
  <si>
    <t>SMM-TL / G.2.</t>
  </si>
  <si>
    <t>İnci Holding / G.2.1.</t>
  </si>
  <si>
    <t>ISM / G.2.2.</t>
  </si>
  <si>
    <t>İncitaş / G.2.3.</t>
  </si>
  <si>
    <t>İnci GS Yuasa / G.2.4.</t>
  </si>
  <si>
    <t>Yusen İnci Loj. / G.2.5.</t>
  </si>
  <si>
    <t>Jantaş / G.2.6.</t>
  </si>
  <si>
    <t>Çelik / G.2.7.</t>
  </si>
  <si>
    <t>Alüminyum / G.2.8.</t>
  </si>
  <si>
    <t>x / G.2.9.</t>
  </si>
  <si>
    <t>y / G.2.10.</t>
  </si>
  <si>
    <t>BRÜT KAR-EUR / G.3.</t>
  </si>
  <si>
    <t>BRÜT KAR-TL / G.3.</t>
  </si>
  <si>
    <t>İnci Holding / G.3.1.</t>
  </si>
  <si>
    <t>ISM / G.3.2.</t>
  </si>
  <si>
    <t>İncitaş / G.3.3.</t>
  </si>
  <si>
    <t>İnci GS Yuasa / G.3.4.</t>
  </si>
  <si>
    <t>Yusen İnci Loj. / G.3.5.</t>
  </si>
  <si>
    <t>Jantaş / G.3.6.</t>
  </si>
  <si>
    <t>Çelik / G.3.7.</t>
  </si>
  <si>
    <t>Alüminyum / G.3.8.</t>
  </si>
  <si>
    <t>x / G.3.9.</t>
  </si>
  <si>
    <t>y / G.3.10.</t>
  </si>
  <si>
    <t>Toplam Faaliyet Giderleri-EUR / G.4.</t>
  </si>
  <si>
    <t>Toplam Faaliyet Giderleri-TL / G.4.</t>
  </si>
  <si>
    <t>İnci Holding / G.4.1.</t>
  </si>
  <si>
    <t>ISM / G.4.2.</t>
  </si>
  <si>
    <t>İncitaş / G.4.3.</t>
  </si>
  <si>
    <t>İnci GS Yuasa / G.4.4.</t>
  </si>
  <si>
    <t>Yusen İnci Loj. / G.4.5.</t>
  </si>
  <si>
    <t>Jantaş / G.4.6.</t>
  </si>
  <si>
    <t>Çelik / G.4.7.</t>
  </si>
  <si>
    <t>Alüminyum / G.4.8.</t>
  </si>
  <si>
    <t>x / G.4.9.</t>
  </si>
  <si>
    <t>y / G.4.10.</t>
  </si>
  <si>
    <t>Diğer Faaliyet Gelir(Gideri)-EUR / G.5.</t>
  </si>
  <si>
    <t>Diğer Faaliyet Gelir(Gideri)-TL / G.5.</t>
  </si>
  <si>
    <t>İnci Holding / G.5.1.</t>
  </si>
  <si>
    <t>ISM / G.5.2.</t>
  </si>
  <si>
    <t>İncitaş / G.5.3.</t>
  </si>
  <si>
    <t>İnci GS Yuasa / G.5.4.</t>
  </si>
  <si>
    <t>Yusen İnci Loj. / G.5.5.</t>
  </si>
  <si>
    <t>Jantaş / G.5.6.</t>
  </si>
  <si>
    <t>Çelik / G.5.7.</t>
  </si>
  <si>
    <t>Alüminyum / G.5.8.</t>
  </si>
  <si>
    <t>x / G.5.9.</t>
  </si>
  <si>
    <t>y / G.5.10.</t>
  </si>
  <si>
    <t>EBİT-EUR / G.6.</t>
  </si>
  <si>
    <t>EBİT-TL / G.6.</t>
  </si>
  <si>
    <t>İnci Holding / G.6.1.</t>
  </si>
  <si>
    <t>ISM / G.6.2.</t>
  </si>
  <si>
    <t>İncitaş / G.6.3.</t>
  </si>
  <si>
    <t>İnci GS Yuasa / G.6.4.</t>
  </si>
  <si>
    <t>Yusen İnci Loj. / G.6.5.</t>
  </si>
  <si>
    <t>Jantaş / G.6.6.</t>
  </si>
  <si>
    <t>Çelik / G.6.7.</t>
  </si>
  <si>
    <t>Alüminyum / G.6.8.</t>
  </si>
  <si>
    <t>x / G.6.9.</t>
  </si>
  <si>
    <t>y / G.6.10.</t>
  </si>
  <si>
    <t>Amortisman-EUR / G.7.</t>
  </si>
  <si>
    <t>Amortisman-TL / G.7.</t>
  </si>
  <si>
    <t>İnci Holding / G.7.1.</t>
  </si>
  <si>
    <t>ISM / G.7.2.</t>
  </si>
  <si>
    <t>İncitaş / G.7.3.</t>
  </si>
  <si>
    <t>İnci GS Yuasa / G.7.4.</t>
  </si>
  <si>
    <t>Yusen İnci Loj. / G.7.5.</t>
  </si>
  <si>
    <t>Jantaş / G.7.6.</t>
  </si>
  <si>
    <t>Çelik / G.7.7.</t>
  </si>
  <si>
    <t>Alüminyum / G.7.8.</t>
  </si>
  <si>
    <t>x / G.7.9.</t>
  </si>
  <si>
    <t>y / G.7.10.</t>
  </si>
  <si>
    <t>EBİTDA-EUR / G.8.</t>
  </si>
  <si>
    <t>EBİTDA-TL / G.8.</t>
  </si>
  <si>
    <t>İnci Holding / G.8.1.</t>
  </si>
  <si>
    <t>ISM / G.8.2.</t>
  </si>
  <si>
    <t>İncitaş / G.8.3.</t>
  </si>
  <si>
    <t>İnci GS Yuasa / G.8.4.</t>
  </si>
  <si>
    <t>Yusen İnci Loj. / G.8.5.</t>
  </si>
  <si>
    <t>Jantaş / G.8.6.</t>
  </si>
  <si>
    <t>Çelik / G.8.7.</t>
  </si>
  <si>
    <t>Alüminyum / G.8.8.</t>
  </si>
  <si>
    <t>x / G.8.9.</t>
  </si>
  <si>
    <t>y / G.8.10.</t>
  </si>
  <si>
    <t>Finansman Gelir/Gideri-EUR / G.9.</t>
  </si>
  <si>
    <t>Finansman Gelir/Gideri-TL / G.9.</t>
  </si>
  <si>
    <t>İnci Holding / G.9.1.</t>
  </si>
  <si>
    <t>ISM / G.9.2.</t>
  </si>
  <si>
    <t>İncitaş / G.9.3.</t>
  </si>
  <si>
    <t>İnci GS Yuasa / G.9.4.</t>
  </si>
  <si>
    <t>Yusen İnci Loj. / G.9.5.</t>
  </si>
  <si>
    <t>Jantaş / G.9.6.</t>
  </si>
  <si>
    <t>Çelik / G.9.7.</t>
  </si>
  <si>
    <t>Alüminyum / G.9.8.</t>
  </si>
  <si>
    <t>x / G.9.9.</t>
  </si>
  <si>
    <t>y / G.9.10.</t>
  </si>
  <si>
    <t>Diğer Gelir/Gideri-EUR / G.10.</t>
  </si>
  <si>
    <t>Diğer Gelir/Gideri-TL / G.10.</t>
  </si>
  <si>
    <t>İnci Holding / G.10.1.</t>
  </si>
  <si>
    <t>ISM / G.10.2.</t>
  </si>
  <si>
    <t>İncitaş / G.10.3.</t>
  </si>
  <si>
    <t>İnci GS Yuasa / G.10.4.</t>
  </si>
  <si>
    <t>Yusen İnci Loj. / G.10.5.</t>
  </si>
  <si>
    <t>Jantaş / G.10.6.</t>
  </si>
  <si>
    <t>Çelik / G.10.7.</t>
  </si>
  <si>
    <t>Alüminyum / G.10.8.</t>
  </si>
  <si>
    <t>x / G.10.9.</t>
  </si>
  <si>
    <t>y / G.10.10.</t>
  </si>
  <si>
    <t>VÖK-EUR / G.11.</t>
  </si>
  <si>
    <t>VÖK-TL / G.11.</t>
  </si>
  <si>
    <t>İnci Holding / G.11.1.</t>
  </si>
  <si>
    <t>ISM / G.11.2.</t>
  </si>
  <si>
    <t>İncitaş / G.11.3.</t>
  </si>
  <si>
    <t>İnci GS Yuasa / G.11.4.</t>
  </si>
  <si>
    <t>Yusen İnci Loj. / G.11.5.</t>
  </si>
  <si>
    <t>Jantaş / G.11.6.</t>
  </si>
  <si>
    <t>Çelik / G.11.7.</t>
  </si>
  <si>
    <t>Alüminyum / G.11.8.</t>
  </si>
  <si>
    <t>x / G.11.9.</t>
  </si>
  <si>
    <t>y / G.11.10.</t>
  </si>
  <si>
    <t>Vergi-EUR / G.12.</t>
  </si>
  <si>
    <t>Vergi-TL / G.12.</t>
  </si>
  <si>
    <t>İnci Holding / G.12.1.</t>
  </si>
  <si>
    <t>ISM / G.12.2.</t>
  </si>
  <si>
    <t>İncitaş / G.12.3.</t>
  </si>
  <si>
    <t>İnci GS Yuasa / G.12.4.</t>
  </si>
  <si>
    <t>Yusen İnci Loj. / G.12.5.</t>
  </si>
  <si>
    <t>Jantaş / G.12.6.</t>
  </si>
  <si>
    <t>Çelik / G.12.7.</t>
  </si>
  <si>
    <t>Alüminyum / G.12.8.</t>
  </si>
  <si>
    <t>x / G.12.9.</t>
  </si>
  <si>
    <t>y / G.12.10.</t>
  </si>
  <si>
    <t>Net Kar-EUR / G.13.</t>
  </si>
  <si>
    <t>Net Kar-TL / G.13.</t>
  </si>
  <si>
    <t>İnci Holding / G.13.1.</t>
  </si>
  <si>
    <t>ISM / G.13.2.</t>
  </si>
  <si>
    <t>İncitaş / G.13.3.</t>
  </si>
  <si>
    <t>İnci GS Yuasa / G.13.4.</t>
  </si>
  <si>
    <t>Yusen İnci Loj. / G.13.5.</t>
  </si>
  <si>
    <t>Jantaş / G.13.6.</t>
  </si>
  <si>
    <t>Çelik / G.13.7.</t>
  </si>
  <si>
    <t>Alüminyum / G.13.8.</t>
  </si>
  <si>
    <t>x / G.13.9.</t>
  </si>
  <si>
    <t>y / G.13.10.</t>
  </si>
  <si>
    <t>Operasyonel Nakit -EUR / G.14.</t>
  </si>
  <si>
    <t>Operasyonel Nakit-TL / G.14.</t>
  </si>
  <si>
    <t>İnci Holding / G.14.1.</t>
  </si>
  <si>
    <t>ISM / G.14.2.</t>
  </si>
  <si>
    <t>İncitaş / G.14.3.</t>
  </si>
  <si>
    <t>İnci GS Yuasa / G.14.4.</t>
  </si>
  <si>
    <t>Yusen / G.14.5.</t>
  </si>
  <si>
    <t>Jantaş / G.14.6.</t>
  </si>
  <si>
    <t>Çelik / G.14.7.</t>
  </si>
  <si>
    <t>Alüminyum / G.14.8.</t>
  </si>
  <si>
    <t>Aralık</t>
  </si>
  <si>
    <t>Forecast</t>
  </si>
  <si>
    <t>TL</t>
  </si>
  <si>
    <t>EUR</t>
  </si>
  <si>
    <t>Eur Ortaoama</t>
  </si>
  <si>
    <t>COGS</t>
  </si>
  <si>
    <t>EBIT Margin</t>
  </si>
  <si>
    <t>Depreciation</t>
  </si>
  <si>
    <t>EBITDA Margin</t>
  </si>
  <si>
    <t>Financial Income&amp;Expense</t>
  </si>
  <si>
    <t>Other Income &amp;Expense</t>
  </si>
  <si>
    <t>Profit Before Tax</t>
  </si>
  <si>
    <t>Profit Before Tax/Net Sales</t>
  </si>
  <si>
    <t>Tax</t>
  </si>
  <si>
    <t>Net Income</t>
  </si>
  <si>
    <t>Net Income/Net Sales</t>
  </si>
  <si>
    <t>Jantas</t>
  </si>
  <si>
    <t>JAWS</t>
  </si>
  <si>
    <t>IGYA</t>
  </si>
  <si>
    <t>Yusen</t>
  </si>
  <si>
    <t>ISM</t>
  </si>
  <si>
    <t xml:space="preserve">   Kümülatif EBITDA Bütçe / Gerçekleşme Farkları (Avro)</t>
  </si>
  <si>
    <t>2025 AOP</t>
  </si>
  <si>
    <t>Fiyat</t>
  </si>
  <si>
    <t>Volume (Produced Sales)</t>
  </si>
  <si>
    <t>Price</t>
  </si>
  <si>
    <t>Hammadde</t>
  </si>
  <si>
    <t>Resale</t>
  </si>
  <si>
    <t>Verimlilik</t>
  </si>
  <si>
    <t>Mix (Produced Sales)</t>
  </si>
  <si>
    <t>Tooling</t>
  </si>
  <si>
    <t>Açıklanabilen Bütçe Farkı</t>
  </si>
  <si>
    <t>Metal Impact</t>
  </si>
  <si>
    <t xml:space="preserve">  Gross Steel Costs</t>
  </si>
  <si>
    <t>Maxion grubu dışındaki rakamlar ERP sistemleri bu kırılımda data tutmadığı için tahmini verilerden oluşmuştur.</t>
  </si>
  <si>
    <t xml:space="preserve">  Steel Price Recovery</t>
  </si>
  <si>
    <t>IGYA 9 uncu ay itibarı ile diğer şirketlerimiz ise ERP sistemlerinde gereken değişiklikleri yaptıktans sonra veriler sağlıklı hale gelecektir.</t>
  </si>
  <si>
    <t xml:space="preserve">  Scrap Steel Recovery</t>
  </si>
  <si>
    <t>Net Steel Impact</t>
  </si>
  <si>
    <t>Aluminum Impact</t>
  </si>
  <si>
    <t>Net Metal Impact</t>
  </si>
  <si>
    <t>Productivity</t>
  </si>
  <si>
    <t xml:space="preserve">  Scrap &amp; Rework</t>
  </si>
  <si>
    <t xml:space="preserve">- </t>
  </si>
  <si>
    <t xml:space="preserve">  Direct Materials</t>
  </si>
  <si>
    <t xml:space="preserve">  Utilities Spending</t>
  </si>
  <si>
    <t xml:space="preserve">  Supply Spending </t>
  </si>
  <si>
    <t xml:space="preserve">  Labor Variances</t>
  </si>
  <si>
    <t xml:space="preserve">  Other Manufacturing</t>
  </si>
  <si>
    <t xml:space="preserve">  SG&amp;A</t>
  </si>
  <si>
    <t>Total Productivity</t>
  </si>
  <si>
    <t xml:space="preserve">  Startup Costs</t>
  </si>
  <si>
    <t xml:space="preserve">  GLSFA/Sev/Rest/Impair</t>
  </si>
  <si>
    <t xml:space="preserve">  Economics / Inflation</t>
  </si>
  <si>
    <t xml:space="preserve">  Other Misc. Income / Expense</t>
  </si>
  <si>
    <t xml:space="preserve">  Foreign Exchange Translation</t>
  </si>
  <si>
    <t xml:space="preserve">  Foreign Exchange Transaction</t>
  </si>
  <si>
    <t xml:space="preserve">  Allocations / Royalties</t>
  </si>
  <si>
    <t>Depreciation/Amortization</t>
  </si>
  <si>
    <t>Intercompany Interest</t>
  </si>
  <si>
    <t>Third Party Interest</t>
  </si>
  <si>
    <t>Interest Expense</t>
  </si>
  <si>
    <t>Amortization Cost of Debt</t>
  </si>
  <si>
    <t>IOF</t>
  </si>
  <si>
    <t>FX Income/Expense</t>
  </si>
  <si>
    <t>Other Financial Income/Expense</t>
  </si>
  <si>
    <t>Minority Interest</t>
  </si>
  <si>
    <t>Taxes</t>
  </si>
  <si>
    <t>Other</t>
  </si>
  <si>
    <t>2025 Actuals</t>
  </si>
  <si>
    <t>Variance to 2025 AOP</t>
  </si>
  <si>
    <t>Currency</t>
  </si>
  <si>
    <t>2</t>
  </si>
  <si>
    <t>Firma</t>
  </si>
  <si>
    <t>EURO</t>
  </si>
  <si>
    <t>Net Satışlar</t>
  </si>
  <si>
    <t>İnci Holding</t>
  </si>
  <si>
    <t>Maxion Aluminyum</t>
  </si>
  <si>
    <t>Maxion Celik</t>
  </si>
  <si>
    <t>Maxion Jantas</t>
  </si>
  <si>
    <t>Yusen İnci Lojistik</t>
  </si>
  <si>
    <t>Satılan Malların Maliyeti</t>
  </si>
  <si>
    <t>Brüt Kar</t>
  </si>
  <si>
    <t>Faaliyet Giderleri</t>
  </si>
  <si>
    <t>Diğer Faaliyet Giderleri</t>
  </si>
  <si>
    <t>Amortisman</t>
  </si>
  <si>
    <t>Finansal Gelir Gider</t>
  </si>
  <si>
    <t>Diğer GelirGider</t>
  </si>
  <si>
    <t>Krediler</t>
  </si>
  <si>
    <t>Nakit ve Bankalar</t>
  </si>
  <si>
    <t>Net Finansal Borç</t>
  </si>
  <si>
    <t>Yatırımlar</t>
  </si>
  <si>
    <t>Aluminyum</t>
  </si>
  <si>
    <t>Ciro Bütçe</t>
  </si>
  <si>
    <t>Ciro Tahmin</t>
  </si>
  <si>
    <t>VÖK Bütçe</t>
  </si>
  <si>
    <t>VÖK Tahmin</t>
  </si>
  <si>
    <t>YKP Bütçe</t>
  </si>
  <si>
    <t>YKP Tahmin</t>
  </si>
  <si>
    <t>TRY</t>
  </si>
  <si>
    <t>Oran</t>
  </si>
  <si>
    <t>Maxion İnci Jantaş</t>
  </si>
  <si>
    <t>Maxion İnci Çelik</t>
  </si>
  <si>
    <t>Maxion İnci Alüminyum</t>
  </si>
  <si>
    <t>Temettü Planı 2024</t>
  </si>
  <si>
    <t>Cineks</t>
  </si>
  <si>
    <t>Takvim yılı / takvim ayı</t>
  </si>
  <si>
    <t>OCK 2025</t>
  </si>
  <si>
    <t>ŞBT 2025</t>
  </si>
  <si>
    <t>MAR 2025</t>
  </si>
  <si>
    <t>NİS 2025</t>
  </si>
  <si>
    <t>MAY 2025</t>
  </si>
  <si>
    <t>HAZ 2025</t>
  </si>
  <si>
    <t>TEM 2025</t>
  </si>
  <si>
    <t>AGU 2025</t>
  </si>
  <si>
    <t>EYL 2025</t>
  </si>
  <si>
    <t>EKM 2025</t>
  </si>
  <si>
    <t>KSM 2025</t>
  </si>
  <si>
    <t>ARL 2025</t>
  </si>
  <si>
    <t>Toplam sonuç</t>
  </si>
  <si>
    <t>Finansman Gelir-Gideri-EUR / G.9.</t>
  </si>
  <si>
    <t>Diğer Gelir-Gideri-EUR / G.10.</t>
  </si>
  <si>
    <t>Kredi-EUR / G.16.</t>
  </si>
  <si>
    <t>İnci Holding / G.16.1.</t>
  </si>
  <si>
    <t>ISM / G.16.2.</t>
  </si>
  <si>
    <t>İncitaş / G.16.3.</t>
  </si>
  <si>
    <t>İnci GS Yuasa / G.16.4.</t>
  </si>
  <si>
    <t>Yusen İnci Loj. / G.16.5.</t>
  </si>
  <si>
    <t>Jantaş / G.16.6.</t>
  </si>
  <si>
    <t>Çelik / G.16.7.</t>
  </si>
  <si>
    <t>Alüminyum / G.16.8.</t>
  </si>
  <si>
    <t>x / G.16.9.</t>
  </si>
  <si>
    <t>y / G.16.10.</t>
  </si>
  <si>
    <t>35 Venture / G.16.11.</t>
  </si>
  <si>
    <t>Vinci / G.16.12.</t>
  </si>
  <si>
    <t>Mevduat-EUR / G.17.</t>
  </si>
  <si>
    <t>İnci Holding / G.17.1.</t>
  </si>
  <si>
    <t>ISM / G.17.2.</t>
  </si>
  <si>
    <t>İncitaş / G.17.3.</t>
  </si>
  <si>
    <t>İnci GS Yuasa / G.17.4.</t>
  </si>
  <si>
    <t>Yusen İnci Loj. / G.17.5.</t>
  </si>
  <si>
    <t>Jantaş / G.17.6.</t>
  </si>
  <si>
    <t>Çelik / G.17.7.</t>
  </si>
  <si>
    <t>Alüminyum / G.17.8.</t>
  </si>
  <si>
    <t>x / G.17.9.</t>
  </si>
  <si>
    <t>y / G.17.10.</t>
  </si>
  <si>
    <t>35 Venture / G.17.11.</t>
  </si>
  <si>
    <t>Vinci / G.17.12.</t>
  </si>
  <si>
    <t>Net Nakit-EUR / G.18.</t>
  </si>
  <si>
    <t>İnci Holding / G.18.1.</t>
  </si>
  <si>
    <t>ISM / G.18.2.</t>
  </si>
  <si>
    <t>İncitaş / G.18.3.</t>
  </si>
  <si>
    <t>İnci GS Yuasa / G.18.4.</t>
  </si>
  <si>
    <t>Yusen İnci Loj. / G.18.5.</t>
  </si>
  <si>
    <t>Jantaş / G.18.6.</t>
  </si>
  <si>
    <t>Çelik / G.18.7.</t>
  </si>
  <si>
    <t>Alüminyum / G.18.8.</t>
  </si>
  <si>
    <t>x / G.18.9.</t>
  </si>
  <si>
    <t>y / G.18.10.</t>
  </si>
  <si>
    <t>35 Venture / G.18.11.</t>
  </si>
  <si>
    <t>Vinci / G.18.12.</t>
  </si>
  <si>
    <t>Yatırım-EUR / G.19.</t>
  </si>
  <si>
    <t>İnci Holding / G.19.1.</t>
  </si>
  <si>
    <t>ISM / G.19.2.</t>
  </si>
  <si>
    <t>İncitaş / G.19.3.</t>
  </si>
  <si>
    <t>İnci GS Yuasa / G.19.4.</t>
  </si>
  <si>
    <t>Yusen İnci Loj. / G.19.5.</t>
  </si>
  <si>
    <t>Jantaş / G.19.6.</t>
  </si>
  <si>
    <t>Çelik / G.19.7.</t>
  </si>
  <si>
    <t>Alüminyum / G.19.8.</t>
  </si>
  <si>
    <t>x / G.19.9.</t>
  </si>
  <si>
    <t>y / G.19.10.</t>
  </si>
  <si>
    <t>Kredi-TL / G.16.</t>
  </si>
  <si>
    <t>Mevduat-TL / G.17.</t>
  </si>
  <si>
    <t>Net Nakit-TL / G.18.</t>
  </si>
  <si>
    <t>Yatırım-TL / G.19.</t>
  </si>
  <si>
    <t>Operasyonel Nakit-EUR / G.14.</t>
  </si>
  <si>
    <t>GS Yuasa / G.14.4.</t>
  </si>
  <si>
    <t>Serbest Nakit-EUR / G.15.</t>
  </si>
  <si>
    <t>İnci Holding / G.15.1.</t>
  </si>
  <si>
    <t>ISM / G.15.2.</t>
  </si>
  <si>
    <t>İncitaş / G.15.3.</t>
  </si>
  <si>
    <t>GS Yuasa / G.15.4.</t>
  </si>
  <si>
    <t>Yusen / G.15.5.</t>
  </si>
  <si>
    <t>Jantaş / G.15.6.</t>
  </si>
  <si>
    <t>Çelik / G.15.7.</t>
  </si>
  <si>
    <t>Alüminyum / G.15.8.</t>
  </si>
  <si>
    <t>Serbest Nakit-TL / G.15.</t>
  </si>
  <si>
    <t>Alacak Tahsilat Süresi / G.20.</t>
  </si>
  <si>
    <t>İnci Holding / G.20.1.</t>
  </si>
  <si>
    <t>ISM / G.20.2.</t>
  </si>
  <si>
    <t>İncitaş / G.20.3.</t>
  </si>
  <si>
    <t>İnci GS Yuasa / G.20.4.</t>
  </si>
  <si>
    <t>Yusen İnci Loj. / G.20.5.</t>
  </si>
  <si>
    <t>Jantaş / G.20.6.</t>
  </si>
  <si>
    <t>Çelik / G.20.7.</t>
  </si>
  <si>
    <t>Alüminyum / G.20.8</t>
  </si>
  <si>
    <t>X / G.20.9.</t>
  </si>
  <si>
    <t>Y / G.20.10.</t>
  </si>
  <si>
    <t>Stok Çevrim Süresi / G.21.</t>
  </si>
  <si>
    <t>İnci Holding / G.21.1.</t>
  </si>
  <si>
    <t>ISM / G.21.2.</t>
  </si>
  <si>
    <t>İncitaş / G.21.3.</t>
  </si>
  <si>
    <t>İnci GS Yuasa / G.21.4.</t>
  </si>
  <si>
    <t>Yusen İnci Loj. / G.21.5.</t>
  </si>
  <si>
    <t>Jantaş / G.21.6.</t>
  </si>
  <si>
    <t>Çelik / G.21.7.</t>
  </si>
  <si>
    <t>Alüminyum / G.21.8</t>
  </si>
  <si>
    <t>X / G.21.9.</t>
  </si>
  <si>
    <t>Y / G.21.10.</t>
  </si>
  <si>
    <t>Borç Ödeme Süresi / G.22.</t>
  </si>
  <si>
    <t>İnci Holding / G.22.1.</t>
  </si>
  <si>
    <t>ISM / G.22.2.</t>
  </si>
  <si>
    <t>İncitaş / G.22.3.</t>
  </si>
  <si>
    <t>İnci GS Yuasa / G.22.4.</t>
  </si>
  <si>
    <t>Yusen İnci Loj. / G.22.5.</t>
  </si>
  <si>
    <t>Jantaş / G.22.6.</t>
  </si>
  <si>
    <t>Çelik / G.22.7.</t>
  </si>
  <si>
    <t>Alüminyum / G.22.8</t>
  </si>
  <si>
    <t>X / G.22.9.</t>
  </si>
  <si>
    <t>Y / G.22.10.</t>
  </si>
  <si>
    <t>Nakit Dönüşüm Süresi / G.23.</t>
  </si>
  <si>
    <t>İnci Holding / G.23.1.</t>
  </si>
  <si>
    <t>ISM / G.23.2.</t>
  </si>
  <si>
    <t>İncitaş / G.23.3.</t>
  </si>
  <si>
    <t>İnci GS Yuasa / G.23.4.</t>
  </si>
  <si>
    <t>Yusen İnci Loj. / G.23.5.</t>
  </si>
  <si>
    <t>Jantaş / G.23.6.</t>
  </si>
  <si>
    <t>Çelik / G.23.7.</t>
  </si>
  <si>
    <t>Alüminyum / G.23.8.</t>
  </si>
  <si>
    <t>X / G.23.9.</t>
  </si>
  <si>
    <t>Y / G.23.10.</t>
  </si>
  <si>
    <t>Operasyonel Nakit-EUR (Kümüle) / G.14.</t>
  </si>
  <si>
    <t>İnci Holding (Kümüle) / G.14.1.</t>
  </si>
  <si>
    <t>ISM (Kümüle) / G.14.2.</t>
  </si>
  <si>
    <t>İncitaş (Kümüle) / G.14.3.</t>
  </si>
  <si>
    <t>GS Yuasa (Kümüle) / G.14.4.</t>
  </si>
  <si>
    <t>Yusen (Kümüle) / G.14.5.</t>
  </si>
  <si>
    <t>Jantaş (Kümüle) / G.14.6.</t>
  </si>
  <si>
    <t>Çelik (Kümüle) / G.14.7.</t>
  </si>
  <si>
    <t>Alüminyum (Kümüle) / G.14.8.</t>
  </si>
  <si>
    <t>Serbest Nakit-EUR (Kümüle) / G.15.</t>
  </si>
  <si>
    <t>İnci Holding (Kümüle) / G.15.1.</t>
  </si>
  <si>
    <t>ISM (Kümüle) / G.15.2.</t>
  </si>
  <si>
    <t>İncitaş (Kümüle) / G.15.3.</t>
  </si>
  <si>
    <t>GS Yuasa (Kümüle) / G.15.4.</t>
  </si>
  <si>
    <t>Yusen (Kümüle) / G.15.5.</t>
  </si>
  <si>
    <t>Jantaş (Kümüle) / G.15.6.</t>
  </si>
  <si>
    <t>Çelik (Kümüle) / G.15.7.</t>
  </si>
  <si>
    <t>Alüminyum (Kümüle) / G.15.8.</t>
  </si>
  <si>
    <t>Operasyonel Nakit-TL (Kümüle) / G.14.</t>
  </si>
  <si>
    <t>Serbest Nakit-TL (Kümüle) / G.15.</t>
  </si>
  <si>
    <t>Fotecast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</si>
</sst>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4"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#,##0.0000"/>
    <numFmt numFmtId="173" formatCode="###,000"/>
    <numFmt numFmtId="174" formatCode="#,##0.0000;\-#,##0.0000;#,##0.0000"/>
    <numFmt numFmtId="175" formatCode="_-* #,##0.00\ _₺_-;\-* #,##0.00\ _₺_-;_-* &quot;-&quot;??\ _₺_-;_-@_-"/>
    <numFmt numFmtId="176" formatCode="0.0%"/>
    <numFmt numFmtId="177" formatCode="[$€-2]\ #,##0.00"/>
    <numFmt numFmtId="178" formatCode="[$€-2]\ #,##0"/>
    <numFmt numFmtId="179" formatCode="[$₺-41F]#,##0"/>
    <numFmt numFmtId="180" formatCode="_-* #,##0.00\ _€_-;\-* #,##0.00\ _€_-;_-* &quot;-&quot;??\ _€_-;_-@_-"/>
    <numFmt numFmtId="181" formatCode="#,##0;\(#,##0\)"/>
    <numFmt numFmtId="182" formatCode="_(* #,##0.0_);_(* \(#,##0.0\);_(* &quot;-&quot;?_);_(@_)"/>
    <numFmt numFmtId="183" formatCode="_(* #,##0.0_);_(* \(#,##0.0\);_(* &quot;-&quot;??_);_(@_)"/>
    <numFmt numFmtId="184" formatCode="#,##0.0"/>
    <numFmt numFmtId="185" formatCode="#,##0.0_);\(#,##0.0\)"/>
    <numFmt numFmtId="186" formatCode="_(&quot;$&quot;* #,##0_);_(&quot;$&quot;* \(#,##0\);_(&quot;$&quot;* &quot;-&quot;??_);_(@_)"/>
    <numFmt numFmtId="187" formatCode="_-* #,##0.00\ _D_M_-;\-* #,##0.00\ _D_M_-;_-* &quot;-&quot;??\ _D_M_-;_-@_-"/>
    <numFmt numFmtId="188" formatCode=";;;"/>
    <numFmt numFmtId="189" formatCode="&quot;$&quot;#,##0.000_);\(&quot;$&quot;#,##0.000\)"/>
    <numFmt numFmtId="190" formatCode="General_)"/>
    <numFmt numFmtId="191" formatCode="&quot;$&quot;#,##0.0_);[Red]\(&quot;$&quot;#,##0.0\)"/>
    <numFmt numFmtId="192" formatCode="mm/dd/yy_)"/>
    <numFmt numFmtId="193" formatCode="&quot;$&quot;#,##0;\-&quot;$&quot;#,##0"/>
    <numFmt numFmtId="194" formatCode="\£#,##0_);\(\£#,##0\)"/>
    <numFmt numFmtId="195" formatCode="&quot;£&quot;#,##0_);[Red]\(&quot;£&quot;#,##0\)"/>
    <numFmt numFmtId="196" formatCode="[Blue]0;[Blue]\(0\);[Blue]0"/>
    <numFmt numFmtId="197" formatCode="#,##0_%_);\(#,##0\)_%;#,##0_%_);@_%_)"/>
    <numFmt numFmtId="198" formatCode="#,##0_%_);\(#,##0\)_%;**;@_%_)"/>
    <numFmt numFmtId="199" formatCode="#,##0.00_%_);\(#,##0.00\)_%;#,##0.00_%_);@_%_)"/>
    <numFmt numFmtId="200" formatCode="_#\,##0___);\(#,##0\)"/>
    <numFmt numFmtId="201" formatCode="&quot;$&quot;#,##0_%_);\(&quot;$&quot;#,##0\)_%;&quot;$&quot;#,##0_%_);@_%_)"/>
    <numFmt numFmtId="202" formatCode="#,##0.0_)\x;\(#,##0.0\)\x"/>
    <numFmt numFmtId="203" formatCode="\£#,##0.00_);\(\£#,##0.00\)"/>
    <numFmt numFmtId="204" formatCode="&quot;$&quot;#,##0.0_);\(&quot;$&quot;#,##0.0\)"/>
    <numFmt numFmtId="205" formatCode="\£#,##0.0_);\(\£#,##0.0\)"/>
    <numFmt numFmtId="206" formatCode="m/d/yy_%_)"/>
    <numFmt numFmtId="207" formatCode="_-* #,##0\ _D_M_-;\-* #,##0\ _D_M_-;_-* &quot;-&quot;\ _D_M_-;_-@_-"/>
    <numFmt numFmtId="208" formatCode="&quot;$&quot;#,##0.00"/>
    <numFmt numFmtId="209" formatCode="0_%_);\(0\)_%;0_%_);@_%_)"/>
    <numFmt numFmtId="210" formatCode="_([$€-2]* #,##0.00_);_([$€-2]* \(#,##0.00\);_([$€-2]* &quot;-&quot;??_)"/>
    <numFmt numFmtId="211" formatCode="#,##0.0,;\(#,##0.0,\)"/>
    <numFmt numFmtId="212" formatCode="0.0\%_);\(0.0\%\);0.0\%_);@_%_)"/>
    <numFmt numFmtId="213" formatCode="_-* #,##0\ &quot;Kč&quot;_-;\-* #,##0\ &quot;Kč&quot;_-;_-* &quot;-&quot;\ &quot;Kč&quot;_-;_-@_-"/>
    <numFmt numFmtId="214" formatCode="_-* #,##0.00\ &quot;Kč&quot;_-;\-* #,##0.00\ &quot;Kč&quot;_-;_-* &quot;-&quot;??\ &quot;Kč&quot;_-;_-@_-"/>
    <numFmt numFmtId="215" formatCode="#,##0.000_);\(#,##0.000\)"/>
    <numFmt numFmtId="216" formatCode="0.00_)"/>
    <numFmt numFmtId="217" formatCode="_(&quot;Cr$&quot;* #,##0_);_(&quot;Cr$&quot;* \(#,##0\);_(&quot;Cr$&quot;* &quot;-&quot;_);_(@_)"/>
    <numFmt numFmtId="218" formatCode="_(&quot;Cr$&quot;* #,##0.00_);_(&quot;Cr$&quot;* \(#,##0.00\);_(&quot;Cr$&quot;* &quot;-&quot;??_);_(@_)"/>
    <numFmt numFmtId="219" formatCode="_-* #,##0\ &quot;DM&quot;_-;\-* #,##0\ &quot;DM&quot;_-;_-* &quot;-&quot;\ &quot;DM&quot;_-;_-@_-"/>
    <numFmt numFmtId="220" formatCode="_-* #,##0.00\ &quot;DM&quot;_-;\-* #,##0.00\ &quot;DM&quot;_-;_-* &quot;-&quot;??\ &quot;DM&quot;_-;_-@_-"/>
    <numFmt numFmtId="221" formatCode="0.0\ \ "/>
    <numFmt numFmtId="222" formatCode="&quot;$&quot;#,##0.0_);&quot;$&quot;\(#,##0.0\)"/>
    <numFmt numFmtId="223" formatCode="0.0\x_)_);&quot;NM&quot;_x_)_);0.0\x_)_);@_%_)"/>
    <numFmt numFmtId="224" formatCode="0.0_)_x;\(0.0\)_x"/>
    <numFmt numFmtId="225" formatCode="0.0\x_);\(0.0\x\)"/>
    <numFmt numFmtId="226" formatCode="0.0"/>
    <numFmt numFmtId="227" formatCode="#,##0.00000_);[Red]\(#,##0.00000\)"/>
    <numFmt numFmtId="228" formatCode="0.0\x_)"/>
    <numFmt numFmtId="229" formatCode="#,##0.000000_);\(#,##0.000000\)"/>
    <numFmt numFmtId="230" formatCode="#,##0.00\p_);\(#,##0.00\p\)"/>
    <numFmt numFmtId="231" formatCode="0.000%"/>
    <numFmt numFmtId="232" formatCode="#,##0.00\x;[Red]\(#,##0.00\x"/>
    <numFmt numFmtId="233" formatCode="#,##0.00;[Red]\(#,##0.00\)"/>
    <numFmt numFmtId="234" formatCode="0.00\ \x_);\(0.00\ \x\)"/>
    <numFmt numFmtId="235" formatCode="0.0000%"/>
    <numFmt numFmtId="236" formatCode="\£0.0\ ;\(\£0.0_)"/>
    <numFmt numFmtId="237" formatCode="#,##0.0______________________\ ;[Red]\(#,##0\)"/>
    <numFmt numFmtId="238" formatCode="mm/dd/yy"/>
    <numFmt numFmtId="239" formatCode="_ * #,##0_)\ _R_$_ ;_ * \(#,##0\)\ _R_$_ ;_ * &quot;-&quot;_)\ _R_$_ ;_ @_ "/>
    <numFmt numFmtId="240" formatCode="_ * #,##0.00_)_R_$_ ;_ * \(#,##0.00\)_R_$_ ;_ * &quot;-&quot;??_)_R_$_ ;_ @_ "/>
    <numFmt numFmtId="241" formatCode="0;\(0\)"/>
    <numFmt numFmtId="242" formatCode="&quot;$&quot;#,##0.0;\(&quot;$&quot;#,##0.0\)"/>
    <numFmt numFmtId="243" formatCode="_-&quot;L.&quot;\ * #,##0_-;\-&quot;L.&quot;\ * #,##0_-;_-&quot;L.&quot;\ * &quot;-&quot;_-;_-@_-"/>
    <numFmt numFmtId="244" formatCode="#,##0.00000000_);\(#,##0.00000000\)"/>
    <numFmt numFmtId="245" formatCode="#,##0.0000000000_);\(#,##0.0000000000\)"/>
    <numFmt numFmtId="246" formatCode="\ \ #,##0.00_);\(\ \ #,##0.00\)"/>
    <numFmt numFmtId="247" formatCode="&quot;$&quot;\ #,##0_);\(&quot;$&quot;\ #,##0\)"/>
    <numFmt numFmtId="248" formatCode="0.0\ %;\(0.0%\)"/>
    <numFmt numFmtId="249" formatCode="#,##0.0;\(#,##0.0\)"/>
    <numFmt numFmtId="250" formatCode="0\ \ ;\(0\)\ \ \ "/>
    <numFmt numFmtId="251" formatCode="\¥#,##0_);\(\¥#,##0\)"/>
    <numFmt numFmtId="252" formatCode="&quot;Yes&quot;;;&quot;No&quot;"/>
    <numFmt numFmtId="253" formatCode="0_)"/>
    <numFmt numFmtId="254" formatCode="#,##0.00_ ;\-#,##0.00\ "/>
    <numFmt numFmtId="255" formatCode="_-* #,##0.00\ _T_L_-;\-* #,##0.00\ _T_L_-;_-* &quot;-&quot;??\ _T_L_-;_-@_-"/>
    <numFmt numFmtId="256" formatCode="_-* #,##0.0000_-;\-* #,##0.0000_-;_-* &quot;-&quot;??_-;_-@_-"/>
  </numFmts>
  <fonts count="234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3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i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i/>
      <sz val="12"/>
      <color theme="1"/>
      <name val="Calibri"/>
      <family val="2"/>
      <charset val="162"/>
      <scheme val="minor"/>
    </font>
    <font>
      <b/>
      <sz val="8"/>
      <color rgb="FF1F497D"/>
      <name val="Verdana"/>
      <family val="2"/>
      <charset val="162"/>
    </font>
    <font>
      <sz val="8"/>
      <color rgb="FF1F497D"/>
      <name val="Verdana"/>
      <family val="2"/>
      <charset val="162"/>
    </font>
    <font>
      <sz val="11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sz val="10"/>
      <name val="Arial"/>
      <family val="2"/>
    </font>
    <font>
      <sz val="8"/>
      <color rgb="FF000000"/>
      <name val="Verdana"/>
      <family val="2"/>
      <charset val="162"/>
    </font>
    <font>
      <b/>
      <sz val="8"/>
      <color rgb="FF00CC00"/>
      <name val="Verdana"/>
      <family val="2"/>
      <charset val="162"/>
    </font>
    <font>
      <b/>
      <sz val="8"/>
      <color rgb="FF33CC33"/>
      <name val="Verdana"/>
      <family val="2"/>
      <charset val="162"/>
    </font>
    <font>
      <b/>
      <sz val="8"/>
      <color rgb="FFFF9900"/>
      <name val="Verdana"/>
      <family val="2"/>
      <charset val="162"/>
    </font>
    <font>
      <b/>
      <sz val="8"/>
      <color rgb="FFFF0000"/>
      <name val="Verdana"/>
      <family val="2"/>
      <charset val="162"/>
    </font>
    <font>
      <sz val="8"/>
      <color rgb="FF000000"/>
      <name val="Arial"/>
      <family val="2"/>
      <charset val="162"/>
    </font>
    <font>
      <sz val="8"/>
      <color rgb="FFDBE5F1"/>
      <name val="Verdana"/>
      <family val="2"/>
      <charset val="162"/>
    </font>
    <font>
      <i/>
      <sz val="8"/>
      <color rgb="FF000000"/>
      <name val="Verdana"/>
      <family val="2"/>
      <charset val="162"/>
    </font>
    <font>
      <b/>
      <i/>
      <sz val="8"/>
      <color rgb="FF000000"/>
      <name val="Verdana"/>
      <family val="2"/>
      <charset val="162"/>
    </font>
    <font>
      <b/>
      <i/>
      <sz val="8"/>
      <color rgb="FF1F497D"/>
      <name val="Verdana"/>
      <family val="2"/>
      <charset val="162"/>
    </font>
    <font>
      <i/>
      <sz val="8"/>
      <color rgb="FF1F497D"/>
      <name val="Verdana"/>
      <family val="2"/>
      <charset val="162"/>
    </font>
    <font>
      <sz val="10"/>
      <name val="Helv"/>
      <charset val="204"/>
    </font>
    <font>
      <u/>
      <sz val="11"/>
      <color theme="10"/>
      <name val="Calibri"/>
      <family val="2"/>
      <scheme val="minor"/>
    </font>
    <font>
      <b/>
      <sz val="12"/>
      <name val="Arial"/>
      <family val="2"/>
    </font>
    <font>
      <sz val="10"/>
      <name val="Geneva"/>
    </font>
    <font>
      <sz val="11"/>
      <color indexed="8"/>
      <name val="Times New Roman"/>
      <family val="1"/>
    </font>
    <font>
      <sz val="10"/>
      <name val="Times New Roman"/>
      <family val="1"/>
    </font>
    <font>
      <sz val="10"/>
      <color indexed="8"/>
      <name val="Arial"/>
      <family val="2"/>
    </font>
    <font>
      <sz val="10"/>
      <name val="MS Sans Serif"/>
      <family val="2"/>
    </font>
    <font>
      <sz val="10"/>
      <name val="Arial CE"/>
      <charset val="238"/>
    </font>
    <font>
      <sz val="7"/>
      <color indexed="12"/>
      <name val="Times New Roman"/>
      <family val="1"/>
    </font>
    <font>
      <sz val="9"/>
      <name val="Times New Roman"/>
      <family val="1"/>
    </font>
    <font>
      <sz val="8"/>
      <name val="Times"/>
      <family val="1"/>
    </font>
    <font>
      <b/>
      <sz val="12"/>
      <name val="Tms Rmn"/>
    </font>
    <font>
      <sz val="12"/>
      <name val="Arial"/>
      <family val="2"/>
    </font>
    <font>
      <sz val="10"/>
      <color indexed="8"/>
      <name val="Tms Rmn"/>
    </font>
    <font>
      <sz val="8"/>
      <color indexed="12"/>
      <name val="Tms Rmn"/>
    </font>
    <font>
      <sz val="10"/>
      <color indexed="12"/>
      <name val="Times New Roman"/>
      <family val="1"/>
    </font>
    <font>
      <sz val="12"/>
      <name val="Tms Rmn"/>
    </font>
    <font>
      <b/>
      <sz val="12"/>
      <name val="Palatino"/>
      <family val="1"/>
    </font>
    <font>
      <sz val="8"/>
      <name val="Times New Roman"/>
      <family val="1"/>
    </font>
    <font>
      <b/>
      <sz val="10"/>
      <name val="MS Sans Serif"/>
      <family val="2"/>
    </font>
    <font>
      <u val="singleAccounting"/>
      <sz val="10"/>
      <name val="Arial"/>
      <family val="2"/>
    </font>
    <font>
      <b/>
      <sz val="6"/>
      <color indexed="21"/>
      <name val="Wingdings"/>
      <charset val="2"/>
    </font>
    <font>
      <b/>
      <i/>
      <sz val="9"/>
      <name val="Arial"/>
      <family val="2"/>
    </font>
    <font>
      <sz val="10"/>
      <color indexed="10"/>
      <name val="times new roman"/>
      <family val="1"/>
    </font>
    <font>
      <sz val="12"/>
      <name val="Times New Roman"/>
      <family val="1"/>
    </font>
    <font>
      <b/>
      <sz val="10"/>
      <name val="Myriad Pro"/>
      <family val="2"/>
    </font>
    <font>
      <b/>
      <sz val="12"/>
      <name val="Times New Roman"/>
      <family val="1"/>
    </font>
    <font>
      <sz val="6"/>
      <color indexed="10"/>
      <name val="Times New Roman"/>
      <family val="1"/>
    </font>
    <font>
      <sz val="8"/>
      <name val="Arial"/>
      <family val="2"/>
    </font>
    <font>
      <b/>
      <i/>
      <sz val="8"/>
      <name val="Arial"/>
      <family val="2"/>
    </font>
    <font>
      <b/>
      <sz val="8"/>
      <name val="Book Antiqua"/>
      <family val="1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sz val="8"/>
      <name val="Arial"/>
      <family val="2"/>
    </font>
    <font>
      <sz val="8"/>
      <color indexed="12"/>
      <name val="Times New Roman"/>
      <family val="1"/>
    </font>
    <font>
      <sz val="8"/>
      <name val="Palatino"/>
      <family val="1"/>
    </font>
    <font>
      <sz val="10"/>
      <color indexed="24"/>
      <name val="Arial"/>
      <family val="2"/>
    </font>
    <font>
      <sz val="10"/>
      <name val="MS Serif"/>
      <family val="1"/>
    </font>
    <font>
      <sz val="10"/>
      <name val="Helv"/>
    </font>
    <font>
      <b/>
      <sz val="16"/>
      <color indexed="16"/>
      <name val="Arial"/>
      <family val="2"/>
    </font>
    <font>
      <sz val="10"/>
      <name val="Book Antiqua"/>
      <family val="1"/>
    </font>
    <font>
      <sz val="10"/>
      <name val="Tms Rmn"/>
    </font>
    <font>
      <sz val="8"/>
      <name val="Dixon Cn"/>
    </font>
    <font>
      <sz val="8"/>
      <color indexed="14"/>
      <name val="Times New Roman"/>
      <family val="1"/>
    </font>
    <font>
      <u val="doubleAccounting"/>
      <sz val="10"/>
      <name val="Arial"/>
      <family val="2"/>
    </font>
    <font>
      <sz val="10"/>
      <color indexed="16"/>
      <name val="MS Serif"/>
      <family val="1"/>
    </font>
    <font>
      <b/>
      <sz val="7"/>
      <color indexed="12"/>
      <name val="Arial"/>
      <family val="2"/>
    </font>
    <font>
      <sz val="9"/>
      <name val="Arial"/>
      <family val="2"/>
    </font>
    <font>
      <b/>
      <i/>
      <sz val="14"/>
      <name val="Tms Rmn"/>
    </font>
    <font>
      <sz val="7"/>
      <name val="Palatino"/>
      <family val="1"/>
    </font>
    <font>
      <b/>
      <sz val="10"/>
      <name val="Book Antiqua"/>
      <family val="1"/>
    </font>
    <font>
      <sz val="7"/>
      <name val="Arial"/>
      <family val="2"/>
    </font>
    <font>
      <sz val="10"/>
      <color indexed="17"/>
      <name val="Times New Roman"/>
      <family val="1"/>
    </font>
    <font>
      <sz val="6"/>
      <color indexed="16"/>
      <name val="Palatino"/>
      <family val="1"/>
    </font>
    <font>
      <b/>
      <sz val="11"/>
      <color indexed="41"/>
      <name val="Times New Roman"/>
      <family val="1"/>
    </font>
    <font>
      <sz val="10"/>
      <name val="Myriad Pro"/>
      <family val="2"/>
    </font>
    <font>
      <b/>
      <sz val="16"/>
      <name val="Times New Roman"/>
      <family val="1"/>
    </font>
    <font>
      <b/>
      <i/>
      <sz val="10"/>
      <name val="Times New Roman"/>
      <family val="1"/>
    </font>
    <font>
      <b/>
      <i/>
      <sz val="22"/>
      <name val="Times New Roman"/>
      <family val="1"/>
    </font>
    <font>
      <sz val="7"/>
      <color indexed="12"/>
      <name val="Helv"/>
    </font>
    <font>
      <sz val="7"/>
      <name val="Helvetica-Narrow"/>
    </font>
    <font>
      <sz val="8"/>
      <color indexed="10"/>
      <name val="Helv"/>
    </font>
    <font>
      <b/>
      <sz val="10"/>
      <name val="Palatino"/>
      <family val="1"/>
    </font>
    <font>
      <sz val="10"/>
      <color indexed="16"/>
      <name val="MS Sans Serif"/>
      <family val="2"/>
    </font>
    <font>
      <sz val="11"/>
      <name val="Times New Roman"/>
      <family val="1"/>
    </font>
    <font>
      <sz val="10"/>
      <name val="Palatino"/>
      <family val="1"/>
    </font>
    <font>
      <sz val="7"/>
      <name val="Small Fonts"/>
      <family val="2"/>
    </font>
    <font>
      <b/>
      <i/>
      <sz val="8"/>
      <name val="Book Antiqua"/>
      <family val="1"/>
    </font>
    <font>
      <sz val="7"/>
      <color indexed="12"/>
      <name val="Arial"/>
      <family val="2"/>
    </font>
    <font>
      <sz val="8"/>
      <name val="Book Antiqua"/>
      <family val="1"/>
    </font>
    <font>
      <sz val="8"/>
      <color indexed="8"/>
      <name val="Times New Roman"/>
      <family val="1"/>
    </font>
    <font>
      <sz val="8"/>
      <name val="Tms Rmn"/>
    </font>
    <font>
      <b/>
      <sz val="10"/>
      <color indexed="8"/>
      <name val="Arial"/>
      <family val="2"/>
    </font>
    <font>
      <u/>
      <sz val="10"/>
      <name val="Times New Roman"/>
      <family val="1"/>
    </font>
    <font>
      <b/>
      <sz val="26"/>
      <name val="Times New Roman"/>
      <family val="1"/>
    </font>
    <font>
      <sz val="10"/>
      <color indexed="16"/>
      <name val="Helvetica-Black"/>
    </font>
    <font>
      <i/>
      <sz val="8"/>
      <name val="Times New Roman"/>
      <family val="1"/>
    </font>
    <font>
      <i/>
      <sz val="8"/>
      <name val="Myriad Pro"/>
      <family val="2"/>
    </font>
    <font>
      <i/>
      <u/>
      <sz val="8"/>
      <name val="Myriad Pro"/>
      <family val="2"/>
    </font>
    <font>
      <b/>
      <sz val="6.5"/>
      <name val="MS Sans Serif"/>
      <family val="2"/>
    </font>
    <font>
      <sz val="8"/>
      <name val="Helv"/>
    </font>
    <font>
      <sz val="9.5"/>
      <color indexed="23"/>
      <name val="Helvetica-Black"/>
    </font>
    <font>
      <b/>
      <i/>
      <sz val="12"/>
      <name val="Times New Roman"/>
      <family val="1"/>
    </font>
    <font>
      <sz val="10"/>
      <name val="Futura UBS Bk"/>
      <family val="2"/>
    </font>
    <font>
      <b/>
      <sz val="10"/>
      <name val="Bookman Old Style"/>
      <family val="1"/>
    </font>
    <font>
      <b/>
      <sz val="9"/>
      <name val="Times New Roman"/>
      <family val="1"/>
    </font>
    <font>
      <b/>
      <sz val="18"/>
      <name val="Times New Roman"/>
      <family val="1"/>
    </font>
    <font>
      <b/>
      <sz val="8"/>
      <color indexed="8"/>
      <name val="Helv"/>
    </font>
    <font>
      <b/>
      <sz val="9"/>
      <name val="Palatino"/>
      <family val="1"/>
    </font>
    <font>
      <sz val="9"/>
      <color indexed="21"/>
      <name val="Helvetica-Black"/>
    </font>
    <font>
      <sz val="9"/>
      <name val="Helvetica-Black"/>
    </font>
    <font>
      <b/>
      <sz val="14"/>
      <name val="Book Antiqua"/>
      <family val="1"/>
    </font>
    <font>
      <sz val="12"/>
      <color indexed="8"/>
      <name val="Palatino"/>
      <family val="1"/>
    </font>
    <font>
      <sz val="11"/>
      <color indexed="8"/>
      <name val="Helvetica-Black"/>
    </font>
    <font>
      <b/>
      <sz val="12"/>
      <name val="Book Antiqua"/>
      <family val="1"/>
    </font>
    <font>
      <sz val="11"/>
      <name val="Arial"/>
      <family val="2"/>
    </font>
    <font>
      <b/>
      <u/>
      <sz val="9"/>
      <name val="Arial"/>
      <family val="2"/>
    </font>
    <font>
      <b/>
      <sz val="8"/>
      <name val="Times New Roman"/>
      <family val="1"/>
    </font>
    <font>
      <b/>
      <sz val="8"/>
      <name val="Helv"/>
    </font>
    <font>
      <b/>
      <sz val="7"/>
      <name val="Arial"/>
      <family val="2"/>
    </font>
    <font>
      <b/>
      <sz val="9"/>
      <name val="Arial"/>
      <family val="2"/>
    </font>
    <font>
      <sz val="9"/>
      <color indexed="8"/>
      <name val="Times New Roman"/>
      <family val="1"/>
    </font>
    <font>
      <b/>
      <i/>
      <sz val="24"/>
      <name val="Arial"/>
      <family val="2"/>
    </font>
    <font>
      <sz val="12"/>
      <color indexed="8"/>
      <name val="Times New Roman"/>
      <family val="1"/>
    </font>
    <font>
      <sz val="7"/>
      <name val="Times New Roman"/>
      <family val="1"/>
    </font>
    <font>
      <b/>
      <i/>
      <sz val="8"/>
      <name val="Helv"/>
    </font>
    <font>
      <b/>
      <i/>
      <sz val="8"/>
      <color indexed="12"/>
      <name val="Times New Roman"/>
      <family val="1"/>
    </font>
    <font>
      <sz val="11"/>
      <name val="ＭＳ Ｐゴシック"/>
      <family val="3"/>
      <charset val="128"/>
    </font>
    <font>
      <sz val="12"/>
      <color indexed="8"/>
      <name val="Arial"/>
      <family val="2"/>
    </font>
    <font>
      <b/>
      <sz val="16"/>
      <color indexed="9"/>
      <name val="Arial"/>
      <family val="2"/>
    </font>
    <font>
      <b/>
      <u/>
      <sz val="12"/>
      <color indexed="10"/>
      <name val="Arial"/>
      <family val="2"/>
    </font>
    <font>
      <b/>
      <sz val="10"/>
      <color indexed="32"/>
      <name val="Arial"/>
      <family val="2"/>
    </font>
    <font>
      <b/>
      <sz val="12"/>
      <color indexed="8"/>
      <name val="Arial"/>
      <family val="2"/>
    </font>
    <font>
      <b/>
      <sz val="12"/>
      <color indexed="8"/>
      <name val="Times New Roman"/>
      <family val="1"/>
    </font>
    <font>
      <sz val="11"/>
      <color indexed="8"/>
      <name val="Calibri"/>
      <family val="2"/>
    </font>
    <font>
      <b/>
      <sz val="10"/>
      <name val="Arial"/>
      <family val="2"/>
    </font>
    <font>
      <b/>
      <u/>
      <sz val="12"/>
      <name val="Arial"/>
      <family val="2"/>
    </font>
    <font>
      <b/>
      <i/>
      <sz val="10"/>
      <name val="Arial"/>
      <family val="2"/>
    </font>
    <font>
      <sz val="10"/>
      <color indexed="32"/>
      <name val="Arial"/>
      <family val="2"/>
    </font>
    <font>
      <sz val="14"/>
      <name val="Courier"/>
      <family val="3"/>
    </font>
    <font>
      <sz val="10"/>
      <name val="Arial"/>
      <family val="2"/>
      <charset val="162"/>
    </font>
    <font>
      <sz val="12"/>
      <color theme="1"/>
      <name val="Arial"/>
      <family val="2"/>
    </font>
    <font>
      <u/>
      <sz val="9"/>
      <color indexed="12"/>
      <name val="Times New Roman"/>
      <family val="1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u/>
      <sz val="10"/>
      <color indexed="8"/>
      <name val="Arial"/>
      <family val="2"/>
    </font>
    <font>
      <sz val="12"/>
      <color indexed="24"/>
      <name val="Arial"/>
      <family val="2"/>
    </font>
    <font>
      <b/>
      <sz val="18"/>
      <color indexed="62"/>
      <name val="Cambria"/>
      <family val="2"/>
    </font>
    <font>
      <sz val="10"/>
      <color indexed="8"/>
      <name val="MS Sans Serif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0"/>
      <name val="Arial"/>
      <family val="2"/>
      <charset val="238"/>
    </font>
    <font>
      <b/>
      <sz val="8"/>
      <color rgb="FF1F497D"/>
      <name val="Verdana"/>
      <family val="2"/>
    </font>
    <font>
      <sz val="11"/>
      <color rgb="FF000000"/>
      <name val="Calibri"/>
      <family val="2"/>
      <charset val="162"/>
      <scheme val="minor"/>
    </font>
    <font>
      <b/>
      <sz val="11"/>
      <color rgb="FF000000"/>
      <name val="Calibri"/>
      <family val="2"/>
      <charset val="162"/>
      <scheme val="minor"/>
    </font>
    <font>
      <sz val="14"/>
      <color theme="1"/>
      <name val="Segoe UI"/>
      <family val="2"/>
      <charset val="162"/>
    </font>
    <font>
      <sz val="14"/>
      <color theme="0"/>
      <name val="Segoe UI"/>
      <family val="2"/>
      <charset val="162"/>
    </font>
    <font>
      <sz val="11"/>
      <color indexed="8"/>
      <name val="Calibri"/>
      <family val="2"/>
      <charset val="162"/>
    </font>
    <font>
      <sz val="10"/>
      <name val="Arial Tur"/>
      <charset val="162"/>
    </font>
    <font>
      <sz val="10"/>
      <name val="Geneva"/>
      <family val="2"/>
    </font>
    <font>
      <b/>
      <sz val="8"/>
      <color rgb="FFFF0000"/>
      <name val="Tahoma"/>
      <family val="2"/>
      <charset val="162"/>
    </font>
    <font>
      <sz val="8"/>
      <color theme="1"/>
      <name val="Tahoma"/>
      <family val="2"/>
      <charset val="162"/>
    </font>
    <font>
      <b/>
      <sz val="8"/>
      <color theme="0"/>
      <name val="Tahoma"/>
      <family val="2"/>
      <charset val="162"/>
    </font>
    <font>
      <b/>
      <sz val="8"/>
      <color theme="1"/>
      <name val="Tahoma"/>
      <family val="2"/>
      <charset val="162"/>
    </font>
    <font>
      <sz val="8"/>
      <color theme="0"/>
      <name val="Tahoma"/>
      <family val="2"/>
      <charset val="162"/>
    </font>
    <font>
      <sz val="8"/>
      <color rgb="FFFF0000"/>
      <name val="Tahoma"/>
      <family val="2"/>
      <charset val="162"/>
    </font>
    <font>
      <sz val="8"/>
      <name val="Tahoma"/>
      <family val="2"/>
      <charset val="162"/>
    </font>
    <font>
      <b/>
      <sz val="9"/>
      <color theme="0"/>
      <name val="Tahoma"/>
      <family val="2"/>
      <charset val="162"/>
    </font>
    <font>
      <b/>
      <sz val="10"/>
      <color theme="1"/>
      <name val="Tahoma"/>
      <family val="2"/>
      <charset val="162"/>
    </font>
    <font>
      <b/>
      <sz val="8"/>
      <color theme="2" tint="-0.749992370372631"/>
      <name val="Tahoma"/>
      <family val="2"/>
      <charset val="162"/>
    </font>
    <font>
      <b/>
      <sz val="8"/>
      <color theme="4" tint="-0.499984740745262"/>
      <name val="Tahoma"/>
      <family val="2"/>
      <charset val="162"/>
    </font>
    <font>
      <sz val="11"/>
      <color rgb="FFFF0000"/>
      <name val="Calibri"/>
      <family val="2"/>
      <charset val="162"/>
      <scheme val="minor"/>
    </font>
    <font>
      <sz val="11"/>
      <color theme="4"/>
      <name val="Calibri"/>
      <family val="2"/>
      <charset val="162"/>
      <scheme val="minor"/>
    </font>
    <font>
      <sz val="13"/>
      <color theme="1"/>
      <name val="Segoe UI"/>
      <family val="2"/>
      <charset val="162"/>
    </font>
    <font>
      <sz val="13"/>
      <color theme="1"/>
      <name val="Segoe UI Semibold"/>
      <family val="2"/>
      <charset val="162"/>
    </font>
    <font>
      <sz val="15"/>
      <color theme="1"/>
      <name val="Segoe UI Semibold"/>
      <family val="2"/>
      <charset val="162"/>
    </font>
    <font>
      <sz val="11"/>
      <color theme="1"/>
      <name val="Tahoma"/>
      <family val="2"/>
      <charset val="162"/>
    </font>
    <font>
      <sz val="10"/>
      <color theme="1"/>
      <name val="Tahoma"/>
      <family val="2"/>
      <charset val="162"/>
    </font>
    <font>
      <sz val="10"/>
      <color theme="1"/>
      <name val="Calibri"/>
      <family val="2"/>
      <charset val="162"/>
      <scheme val="minor"/>
    </font>
    <font>
      <b/>
      <sz val="10"/>
      <color theme="0"/>
      <name val="Calibri"/>
      <family val="2"/>
      <charset val="162"/>
      <scheme val="minor"/>
    </font>
    <font>
      <b/>
      <sz val="10"/>
      <color theme="0"/>
      <name val="Tahoma"/>
      <family val="2"/>
      <charset val="162"/>
    </font>
    <font>
      <sz val="10"/>
      <color theme="0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i/>
      <sz val="10"/>
      <color theme="0" tint="-4.9989318521683403E-2"/>
      <name val="Calibri"/>
      <family val="2"/>
      <charset val="162"/>
      <scheme val="minor"/>
    </font>
    <font>
      <b/>
      <i/>
      <sz val="10"/>
      <color theme="1"/>
      <name val="Calibri"/>
      <family val="2"/>
      <charset val="162"/>
      <scheme val="minor"/>
    </font>
    <font>
      <sz val="13"/>
      <color theme="1"/>
      <name val="Calibri"/>
      <family val="2"/>
      <charset val="162"/>
      <scheme val="minor"/>
    </font>
    <font>
      <b/>
      <sz val="13"/>
      <color theme="0"/>
      <name val="Calibri"/>
      <family val="2"/>
      <charset val="162"/>
      <scheme val="minor"/>
    </font>
    <font>
      <b/>
      <i/>
      <sz val="13"/>
      <color theme="0" tint="-4.9989318521683403E-2"/>
      <name val="Calibri"/>
      <family val="2"/>
      <charset val="162"/>
      <scheme val="minor"/>
    </font>
    <font>
      <sz val="13"/>
      <color theme="0"/>
      <name val="Calibri"/>
      <family val="2"/>
      <charset val="162"/>
      <scheme val="minor"/>
    </font>
    <font>
      <b/>
      <sz val="13"/>
      <color theme="0" tint="-4.9989318521683403E-2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10"/>
      <color rgb="FFFF0000"/>
      <name val="Tahoma"/>
      <family val="2"/>
      <charset val="162"/>
    </font>
  </fonts>
  <fills count="8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E8EEF8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lightGray">
        <fgColor indexed="15"/>
      </patternFill>
    </fill>
    <fill>
      <patternFill patternType="gray0625"/>
    </fill>
    <fill>
      <patternFill patternType="solid">
        <fgColor indexed="9"/>
        <bgColor indexed="22"/>
      </patternFill>
    </fill>
    <fill>
      <patternFill patternType="solid">
        <fgColor indexed="18"/>
        <bgColor indexed="64"/>
      </patternFill>
    </fill>
    <fill>
      <patternFill patternType="solid">
        <fgColor indexed="9"/>
      </patternFill>
    </fill>
    <fill>
      <patternFill patternType="lightGray">
        <fgColor indexed="38"/>
        <bgColor indexed="23"/>
      </patternFill>
    </fill>
    <fill>
      <patternFill patternType="solid">
        <fgColor indexed="44"/>
        <bgColor indexed="64"/>
      </patternFill>
    </fill>
    <fill>
      <patternFill patternType="mediumGray">
        <fgColor indexed="22"/>
      </patternFill>
    </fill>
    <fill>
      <patternFill patternType="solid">
        <fgColor indexed="1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</patternFill>
    </fill>
    <fill>
      <patternFill patternType="lightGray">
        <fgColor indexed="13"/>
      </patternFill>
    </fill>
    <fill>
      <patternFill patternType="solid">
        <fgColor indexed="22"/>
        <bgColor indexed="19"/>
      </patternFill>
    </fill>
    <fill>
      <patternFill patternType="solid">
        <fgColor indexed="9"/>
        <bgColor indexed="19"/>
      </patternFill>
    </fill>
    <fill>
      <patternFill patternType="solid">
        <fgColor indexed="9"/>
        <b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rgb="FF00CE18"/>
        <bgColor indexed="64"/>
      </patternFill>
    </fill>
    <fill>
      <patternFill patternType="lightGray">
        <fgColor theme="0"/>
        <bgColor theme="0"/>
      </patternFill>
    </fill>
    <fill>
      <patternFill patternType="solid">
        <fgColor theme="0"/>
        <bgColor theme="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7"/>
        <bgColor indexed="64"/>
      </patternFill>
    </fill>
  </fills>
  <borders count="8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theme="3" tint="-0.24994659260841701"/>
      </right>
      <top style="thin">
        <color rgb="FF808080"/>
      </top>
      <bottom style="thin">
        <color rgb="FF808080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-0.24994659260841701"/>
      </bottom>
      <diagonal/>
    </border>
    <border>
      <left style="thin">
        <color rgb="FF808080"/>
      </left>
      <right style="thin">
        <color theme="3" tint="-0.24994659260841701"/>
      </right>
      <top style="thin">
        <color rgb="FF808080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-0.24994659260841701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-0.24994659260841701"/>
      </right>
      <top style="thin">
        <color theme="3" tint="0.59996337778862885"/>
      </top>
      <bottom style="thin">
        <color theme="3" tint="-0.24994659260841701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4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0"/>
      </left>
      <right/>
      <top/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8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3" tint="0.59996337778862885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ck">
        <color theme="1" tint="0.34998626667073579"/>
      </top>
      <bottom/>
      <diagonal/>
    </border>
    <border>
      <left/>
      <right/>
      <top/>
      <bottom style="thick">
        <color theme="1" tint="0.34998626667073579"/>
      </bottom>
      <diagonal/>
    </border>
    <border>
      <left/>
      <right/>
      <top style="thick">
        <color theme="2" tint="-0.499984740745262"/>
      </top>
      <bottom/>
      <diagonal/>
    </border>
    <border>
      <left/>
      <right/>
      <top/>
      <bottom style="thick">
        <color theme="2" tint="-0.49998474074526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 style="thin">
        <color theme="0" tint="-0.1499679555650502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22"/>
      </bottom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64"/>
      </bottom>
      <diagonal/>
    </border>
    <border>
      <left/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14996795556505021"/>
      </right>
      <top style="thin">
        <color indexed="64"/>
      </top>
      <bottom style="thin">
        <color indexed="22"/>
      </bottom>
      <diagonal/>
    </border>
    <border>
      <left/>
      <right style="thin">
        <color theme="0" tint="-0.14996795556505021"/>
      </right>
      <top style="thin">
        <color indexed="22"/>
      </top>
      <bottom style="thin">
        <color indexed="22"/>
      </bottom>
      <diagonal/>
    </border>
    <border>
      <left/>
      <right style="thin">
        <color theme="0" tint="-0.14996795556505021"/>
      </right>
      <top style="thin">
        <color indexed="22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6795556505021"/>
      </right>
      <top style="thin">
        <color auto="1"/>
      </top>
      <bottom style="thin">
        <color indexed="22"/>
      </bottom>
      <diagonal/>
    </border>
    <border>
      <left/>
      <right style="thin">
        <color theme="0" tint="-0.14996795556505021"/>
      </right>
      <top style="thin">
        <color auto="1"/>
      </top>
      <bottom style="thin">
        <color indexed="64"/>
      </bottom>
      <diagonal/>
    </border>
    <border>
      <left/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indexed="22"/>
      </bottom>
      <diagonal/>
    </border>
    <border>
      <left/>
      <right style="thin">
        <color theme="0" tint="-0.14996795556505021"/>
      </right>
      <top style="thin">
        <color indexed="22"/>
      </top>
      <bottom style="thin">
        <color indexed="64"/>
      </bottom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956">
    <xf numFmtId="0" fontId="0" fillId="0" borderId="0"/>
    <xf numFmtId="0" fontId="4" fillId="0" borderId="0"/>
    <xf numFmtId="0" fontId="4" fillId="0" borderId="0"/>
    <xf numFmtId="0" fontId="10" fillId="5" borderId="7" applyNumberFormat="0" applyAlignment="0" applyProtection="0">
      <alignment horizontal="left" vertical="center" indent="1"/>
    </xf>
    <xf numFmtId="173" fontId="11" fillId="6" borderId="7" applyNumberFormat="0" applyAlignment="0" applyProtection="0">
      <alignment horizontal="left" vertical="center" indent="1"/>
    </xf>
    <xf numFmtId="0" fontId="10" fillId="5" borderId="8" applyNumberFormat="0" applyAlignment="0" applyProtection="0">
      <alignment horizontal="left" vertical="center" indent="1"/>
    </xf>
    <xf numFmtId="173" fontId="11" fillId="0" borderId="10" applyNumberFormat="0" applyProtection="0">
      <alignment horizontal="right" vertical="center"/>
    </xf>
    <xf numFmtId="173" fontId="10" fillId="0" borderId="8" applyNumberFormat="0" applyProtection="0">
      <alignment horizontal="right" vertical="center"/>
    </xf>
    <xf numFmtId="0" fontId="14" fillId="0" borderId="0"/>
    <xf numFmtId="171" fontId="14" fillId="0" borderId="0" applyFont="0" applyFill="0" applyBorder="0" applyAlignment="0" applyProtection="0"/>
    <xf numFmtId="0" fontId="14" fillId="0" borderId="0"/>
    <xf numFmtId="175" fontId="4" fillId="0" borderId="0" applyFont="0" applyFill="0" applyBorder="0" applyAlignment="0" applyProtection="0"/>
    <xf numFmtId="0" fontId="12" fillId="0" borderId="0"/>
    <xf numFmtId="173" fontId="11" fillId="6" borderId="7" applyNumberFormat="0" applyAlignment="0" applyProtection="0">
      <alignment horizontal="left" vertical="center" indent="1"/>
    </xf>
    <xf numFmtId="0" fontId="15" fillId="9" borderId="8" applyNumberFormat="0" applyAlignment="0">
      <alignment horizontal="left" vertical="center" indent="1"/>
      <protection locked="0"/>
    </xf>
    <xf numFmtId="0" fontId="15" fillId="10" borderId="8" applyNumberFormat="0" applyAlignment="0" applyProtection="0">
      <alignment horizontal="left" vertical="center" indent="1"/>
    </xf>
    <xf numFmtId="173" fontId="11" fillId="11" borderId="10" applyNumberFormat="0" applyBorder="0">
      <alignment horizontal="right" vertical="center"/>
      <protection locked="0"/>
    </xf>
    <xf numFmtId="0" fontId="15" fillId="9" borderId="8" applyNumberFormat="0" applyAlignment="0">
      <alignment horizontal="left" vertical="center" indent="1"/>
      <protection locked="0"/>
    </xf>
    <xf numFmtId="173" fontId="10" fillId="10" borderId="8" applyNumberFormat="0" applyProtection="0">
      <alignment horizontal="right" vertical="center"/>
    </xf>
    <xf numFmtId="173" fontId="10" fillId="11" borderId="8" applyNumberFormat="0" applyBorder="0">
      <alignment horizontal="right" vertical="center"/>
      <protection locked="0"/>
    </xf>
    <xf numFmtId="173" fontId="16" fillId="12" borderId="16" applyNumberFormat="0" applyBorder="0" applyAlignment="0" applyProtection="0">
      <alignment horizontal="right" vertical="center" indent="1"/>
    </xf>
    <xf numFmtId="173" fontId="17" fillId="13" borderId="16" applyNumberFormat="0" applyBorder="0" applyAlignment="0" applyProtection="0">
      <alignment horizontal="right" vertical="center" indent="1"/>
    </xf>
    <xf numFmtId="173" fontId="17" fillId="14" borderId="16" applyNumberFormat="0" applyBorder="0" applyAlignment="0" applyProtection="0">
      <alignment horizontal="right" vertical="center" indent="1"/>
    </xf>
    <xf numFmtId="173" fontId="18" fillId="15" borderId="16" applyNumberFormat="0" applyBorder="0" applyAlignment="0" applyProtection="0">
      <alignment horizontal="right" vertical="center" indent="1"/>
    </xf>
    <xf numFmtId="173" fontId="18" fillId="16" borderId="16" applyNumberFormat="0" applyBorder="0" applyAlignment="0" applyProtection="0">
      <alignment horizontal="right" vertical="center" indent="1"/>
    </xf>
    <xf numFmtId="173" fontId="18" fillId="17" borderId="16" applyNumberFormat="0" applyBorder="0" applyAlignment="0" applyProtection="0">
      <alignment horizontal="right" vertical="center" indent="1"/>
    </xf>
    <xf numFmtId="173" fontId="19" fillId="18" borderId="16" applyNumberFormat="0" applyBorder="0" applyAlignment="0" applyProtection="0">
      <alignment horizontal="right" vertical="center" indent="1"/>
    </xf>
    <xf numFmtId="173" fontId="19" fillId="19" borderId="16" applyNumberFormat="0" applyBorder="0" applyAlignment="0" applyProtection="0">
      <alignment horizontal="right" vertical="center" indent="1"/>
    </xf>
    <xf numFmtId="173" fontId="19" fillId="20" borderId="16" applyNumberFormat="0" applyBorder="0" applyAlignment="0" applyProtection="0">
      <alignment horizontal="right" vertical="center" indent="1"/>
    </xf>
    <xf numFmtId="0" fontId="20" fillId="0" borderId="7" applyNumberFormat="0" applyFont="0" applyFill="0" applyAlignment="0" applyProtection="0"/>
    <xf numFmtId="173" fontId="21" fillId="6" borderId="0" applyNumberFormat="0" applyAlignment="0" applyProtection="0">
      <alignment horizontal="left" vertical="center" indent="1"/>
    </xf>
    <xf numFmtId="0" fontId="20" fillId="0" borderId="17" applyNumberFormat="0" applyFont="0" applyFill="0" applyAlignment="0" applyProtection="0"/>
    <xf numFmtId="173" fontId="11" fillId="0" borderId="10" applyNumberFormat="0" applyFill="0" applyBorder="0" applyAlignment="0" applyProtection="0">
      <alignment horizontal="right" vertical="center"/>
    </xf>
    <xf numFmtId="0" fontId="15" fillId="21" borderId="7" applyNumberFormat="0" applyAlignment="0" applyProtection="0">
      <alignment horizontal="left" vertical="center" indent="1"/>
    </xf>
    <xf numFmtId="0" fontId="15" fillId="22" borderId="7" applyNumberFormat="0" applyAlignment="0" applyProtection="0">
      <alignment horizontal="left" vertical="center" indent="1"/>
    </xf>
    <xf numFmtId="0" fontId="15" fillId="23" borderId="7" applyNumberFormat="0" applyAlignment="0" applyProtection="0">
      <alignment horizontal="left" vertical="center" indent="1"/>
    </xf>
    <xf numFmtId="0" fontId="15" fillId="11" borderId="7" applyNumberFormat="0" applyAlignment="0" applyProtection="0">
      <alignment horizontal="left" vertical="center" indent="1"/>
    </xf>
    <xf numFmtId="0" fontId="15" fillId="10" borderId="8" applyNumberFormat="0" applyAlignment="0" applyProtection="0">
      <alignment horizontal="left" vertical="center" indent="1"/>
    </xf>
    <xf numFmtId="0" fontId="22" fillId="0" borderId="18" applyNumberFormat="0" applyFill="0" applyBorder="0" applyAlignment="0" applyProtection="0"/>
    <xf numFmtId="0" fontId="23" fillId="0" borderId="18" applyNumberFormat="0" applyBorder="0" applyAlignment="0" applyProtection="0"/>
    <xf numFmtId="0" fontId="22" fillId="9" borderId="8" applyNumberFormat="0" applyAlignment="0">
      <alignment horizontal="left" vertical="center" indent="1"/>
      <protection locked="0"/>
    </xf>
    <xf numFmtId="0" fontId="22" fillId="9" borderId="8" applyNumberFormat="0" applyAlignment="0">
      <alignment horizontal="left" vertical="center" indent="1"/>
      <protection locked="0"/>
    </xf>
    <xf numFmtId="0" fontId="22" fillId="10" borderId="8" applyNumberFormat="0" applyAlignment="0" applyProtection="0">
      <alignment horizontal="left" vertical="center" indent="1"/>
    </xf>
    <xf numFmtId="173" fontId="24" fillId="10" borderId="8" applyNumberFormat="0" applyProtection="0">
      <alignment horizontal="right" vertical="center"/>
    </xf>
    <xf numFmtId="173" fontId="25" fillId="11" borderId="10" applyNumberFormat="0" applyBorder="0">
      <alignment horizontal="right" vertical="center"/>
      <protection locked="0"/>
    </xf>
    <xf numFmtId="173" fontId="24" fillId="11" borderId="8" applyNumberFormat="0" applyBorder="0">
      <alignment horizontal="right" vertical="center"/>
      <protection locked="0"/>
    </xf>
    <xf numFmtId="173" fontId="11" fillId="0" borderId="10" applyNumberFormat="0" applyFill="0" applyBorder="0" applyAlignment="0" applyProtection="0">
      <alignment horizontal="right" vertical="center"/>
    </xf>
    <xf numFmtId="9" fontId="12" fillId="0" borderId="0" applyFont="0" applyFill="0" applyBorder="0" applyAlignment="0" applyProtection="0"/>
    <xf numFmtId="0" fontId="4" fillId="0" borderId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4" fillId="0" borderId="0"/>
    <xf numFmtId="171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26" fillId="0" borderId="0"/>
    <xf numFmtId="17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14" fillId="0" borderId="0"/>
    <xf numFmtId="170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164" fontId="29" fillId="0" borderId="0" applyFont="0" applyFill="0" applyBorder="0" applyAlignment="0" applyProtection="0"/>
    <xf numFmtId="167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10" fontId="29" fillId="0" borderId="0" applyFont="0" applyFill="0" applyBorder="0" applyAlignment="0" applyProtection="0"/>
    <xf numFmtId="39" fontId="30" fillId="0" borderId="0" applyFill="0" applyBorder="0" applyAlignment="0"/>
    <xf numFmtId="188" fontId="31" fillId="0" borderId="0" applyFont="0" applyFill="0" applyBorder="0" applyAlignment="0"/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1" fontId="33" fillId="0" borderId="0"/>
    <xf numFmtId="3" fontId="34" fillId="0" borderId="0" applyFont="0" applyFill="0" applyBorder="0" applyAlignment="0"/>
    <xf numFmtId="38" fontId="31" fillId="0" borderId="28"/>
    <xf numFmtId="184" fontId="34" fillId="0" borderId="0" applyFont="0" applyFill="0" applyBorder="0" applyAlignment="0"/>
    <xf numFmtId="4" fontId="34" fillId="0" borderId="0" applyFont="0" applyFill="0" applyBorder="0" applyAlignment="0"/>
    <xf numFmtId="189" fontId="35" fillId="0" borderId="0">
      <protection locked="0"/>
    </xf>
    <xf numFmtId="182" fontId="36" fillId="0" borderId="0" applyFont="0" applyFill="0" applyBorder="0" applyAlignment="0" applyProtection="0"/>
    <xf numFmtId="0" fontId="37" fillId="0" borderId="0"/>
    <xf numFmtId="184" fontId="38" fillId="0" borderId="0"/>
    <xf numFmtId="0" fontId="14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190" fontId="14" fillId="0" borderId="29" applyFont="0" applyFill="0" applyBorder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191" fontId="35" fillId="0" borderId="0">
      <protection locked="0"/>
    </xf>
    <xf numFmtId="192" fontId="35" fillId="0" borderId="0">
      <alignment horizontal="right"/>
      <protection locked="0"/>
    </xf>
    <xf numFmtId="166" fontId="42" fillId="0" borderId="0">
      <alignment horizontal="right"/>
      <protection locked="0"/>
    </xf>
    <xf numFmtId="0" fontId="35" fillId="0" borderId="0">
      <alignment horizontal="right"/>
      <protection locked="0"/>
    </xf>
    <xf numFmtId="0" fontId="43" fillId="0" borderId="0" applyNumberFormat="0" applyFill="0" applyBorder="0" applyAlignment="0" applyProtection="0"/>
    <xf numFmtId="0" fontId="44" fillId="0" borderId="0" applyNumberFormat="0"/>
    <xf numFmtId="9" fontId="14" fillId="0" borderId="5" applyNumberFormat="0" applyFont="0" applyFill="0" applyAlignment="0" applyProtection="0"/>
    <xf numFmtId="0" fontId="45" fillId="0" borderId="19" applyNumberFormat="0" applyFont="0" applyFill="0" applyAlignment="0" applyProtection="0"/>
    <xf numFmtId="0" fontId="45" fillId="0" borderId="30" applyNumberFormat="0" applyFont="0" applyFill="0" applyAlignment="0" applyProtection="0"/>
    <xf numFmtId="0" fontId="29" fillId="0" borderId="21" applyNumberFormat="0" applyFont="0" applyFill="0" applyAlignment="0" applyProtection="0"/>
    <xf numFmtId="0" fontId="29" fillId="0" borderId="22" applyNumberFormat="0" applyFont="0" applyFill="0" applyAlignment="0" applyProtection="0"/>
    <xf numFmtId="0" fontId="29" fillId="0" borderId="23" applyNumberFormat="0" applyFont="0" applyFill="0" applyAlignment="0" applyProtection="0"/>
    <xf numFmtId="0" fontId="29" fillId="0" borderId="27" applyNumberFormat="0" applyFont="0" applyFill="0" applyAlignment="0" applyProtection="0"/>
    <xf numFmtId="193" fontId="46" fillId="0" borderId="27" applyAlignment="0" applyProtection="0"/>
    <xf numFmtId="194" fontId="47" fillId="0" borderId="0" applyFont="0" applyFill="0" applyBorder="0" applyAlignment="0" applyProtection="0"/>
    <xf numFmtId="0" fontId="48" fillId="0" borderId="0">
      <alignment horizontal="right"/>
    </xf>
    <xf numFmtId="0" fontId="49" fillId="0" borderId="0" applyNumberFormat="0" applyFill="0" applyBorder="0" applyAlignment="0" applyProtection="0"/>
    <xf numFmtId="38" fontId="33" fillId="0" borderId="0" applyFont="0" applyFill="0" applyBorder="0" applyAlignment="0" applyProtection="0"/>
    <xf numFmtId="195" fontId="31" fillId="0" borderId="0" applyFill="0" applyBorder="0" applyAlignment="0"/>
    <xf numFmtId="0" fontId="50" fillId="0" borderId="0"/>
    <xf numFmtId="0" fontId="14" fillId="0" borderId="0" applyFont="0" applyFill="0" applyBorder="0" applyAlignment="0" applyProtection="0"/>
    <xf numFmtId="39" fontId="45" fillId="32" borderId="0" applyNumberFormat="0" applyFont="0" applyBorder="0" applyAlignment="0"/>
    <xf numFmtId="0" fontId="52" fillId="0" borderId="1" applyNumberFormat="0" applyFill="0" applyAlignment="0" applyProtection="0"/>
    <xf numFmtId="0" fontId="53" fillId="0" borderId="21" applyNumberFormat="0" applyFont="0" applyFill="0" applyProtection="0">
      <alignment horizontal="centerContinuous" vertical="center"/>
    </xf>
    <xf numFmtId="196" fontId="33" fillId="33" borderId="0" applyFont="0" applyFill="0" applyBorder="0"/>
    <xf numFmtId="171" fontId="54" fillId="0" borderId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7" fillId="0" borderId="21" applyNumberFormat="0" applyFill="0" applyBorder="0" applyAlignment="0" applyProtection="0">
      <alignment horizontal="center"/>
    </xf>
    <xf numFmtId="0" fontId="58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0" fontId="60" fillId="0" borderId="21" applyNumberFormat="0" applyFill="0" applyProtection="0">
      <alignment horizontal="centerContinuous"/>
    </xf>
    <xf numFmtId="0" fontId="61" fillId="0" borderId="0" applyNumberFormat="0" applyFill="0" applyProtection="0">
      <alignment horizontal="center"/>
    </xf>
    <xf numFmtId="0" fontId="53" fillId="0" borderId="0" applyNumberFormat="0" applyFill="0" applyBorder="0" applyProtection="0">
      <alignment horizontal="center" vertical="center"/>
    </xf>
    <xf numFmtId="0" fontId="62" fillId="0" borderId="2">
      <alignment horizontal="center"/>
    </xf>
    <xf numFmtId="183" fontId="63" fillId="0" borderId="0" applyFont="0" applyFill="0" applyBorder="0" applyAlignment="0" applyProtection="0"/>
    <xf numFmtId="39" fontId="31" fillId="0" borderId="0"/>
    <xf numFmtId="197" fontId="64" fillId="0" borderId="0" applyFont="0" applyFill="0" applyBorder="0" applyAlignment="0" applyProtection="0">
      <alignment horizontal="right"/>
    </xf>
    <xf numFmtId="198" fontId="64" fillId="0" borderId="0" applyFont="0" applyFill="0" applyBorder="0" applyAlignment="0" applyProtection="0"/>
    <xf numFmtId="0" fontId="64" fillId="0" borderId="0" applyFont="0" applyFill="0" applyBorder="0" applyAlignment="0" applyProtection="0">
      <alignment horizontal="right"/>
    </xf>
    <xf numFmtId="199" fontId="64" fillId="0" borderId="0" applyFont="0" applyFill="0" applyBorder="0" applyAlignment="0" applyProtection="0">
      <alignment horizontal="right"/>
    </xf>
    <xf numFmtId="37" fontId="45" fillId="0" borderId="0" applyFill="0" applyBorder="0" applyAlignment="0" applyProtection="0"/>
    <xf numFmtId="3" fontId="65" fillId="0" borderId="0" applyFont="0" applyFill="0" applyBorder="0" applyAlignment="0" applyProtection="0"/>
    <xf numFmtId="0" fontId="66" fillId="0" borderId="0" applyNumberFormat="0" applyAlignment="0">
      <alignment horizontal="left"/>
    </xf>
    <xf numFmtId="200" fontId="31" fillId="0" borderId="0" applyFont="0" applyFill="0" applyBorder="0" applyAlignment="0" applyProtection="0"/>
    <xf numFmtId="167" fontId="14" fillId="0" borderId="31">
      <protection locked="0"/>
    </xf>
    <xf numFmtId="201" fontId="64" fillId="0" borderId="0" applyFont="0" applyFill="0" applyBorder="0" applyAlignment="0" applyProtection="0">
      <alignment horizontal="right"/>
    </xf>
    <xf numFmtId="164" fontId="45" fillId="0" borderId="0" applyFill="0" applyBorder="0" applyAlignment="0" applyProtection="0"/>
    <xf numFmtId="202" fontId="67" fillId="0" borderId="0" applyFill="0" applyBorder="0">
      <alignment horizontal="right"/>
    </xf>
    <xf numFmtId="203" fontId="67" fillId="0" borderId="0" applyFill="0" applyBorder="0">
      <alignment horizontal="right"/>
    </xf>
    <xf numFmtId="204" fontId="63" fillId="0" borderId="0"/>
    <xf numFmtId="205" fontId="67" fillId="0" borderId="21" applyFill="0" applyBorder="0">
      <alignment horizontal="right"/>
    </xf>
    <xf numFmtId="0" fontId="68" fillId="0" borderId="0">
      <alignment horizontal="right"/>
    </xf>
    <xf numFmtId="0" fontId="69" fillId="0" borderId="0" applyNumberFormat="0">
      <alignment horizontal="right"/>
    </xf>
    <xf numFmtId="14" fontId="70" fillId="0" borderId="0"/>
    <xf numFmtId="206" fontId="64" fillId="0" borderId="0" applyFont="0" applyFill="0" applyBorder="0" applyAlignment="0" applyProtection="0"/>
    <xf numFmtId="15" fontId="31" fillId="0" borderId="0" applyFont="0" applyFill="0" applyBorder="0" applyAlignment="0" applyProtection="0"/>
    <xf numFmtId="14" fontId="31" fillId="0" borderId="0">
      <alignment horizontal="right"/>
      <protection locked="0"/>
    </xf>
    <xf numFmtId="191" fontId="31" fillId="0" borderId="0" applyFont="0" applyFill="0" applyBorder="0" applyAlignment="0" applyProtection="0">
      <alignment horizontal="right"/>
    </xf>
    <xf numFmtId="4" fontId="71" fillId="0" borderId="0"/>
    <xf numFmtId="204" fontId="45" fillId="0" borderId="0"/>
    <xf numFmtId="204" fontId="63" fillId="0" borderId="0">
      <protection locked="0"/>
    </xf>
    <xf numFmtId="166" fontId="45" fillId="0" borderId="0"/>
    <xf numFmtId="208" fontId="72" fillId="0" borderId="0" applyFont="0" applyFill="0" applyBorder="0" applyAlignment="0" applyProtection="0"/>
    <xf numFmtId="209" fontId="64" fillId="0" borderId="32" applyNumberFormat="0" applyFont="0" applyFill="0" applyAlignment="0" applyProtection="0"/>
    <xf numFmtId="168" fontId="73" fillId="0" borderId="0" applyFill="0" applyBorder="0" applyAlignment="0" applyProtection="0"/>
    <xf numFmtId="0" fontId="74" fillId="0" borderId="0" applyNumberFormat="0" applyAlignment="0">
      <alignment horizontal="left"/>
    </xf>
    <xf numFmtId="210" fontId="14" fillId="0" borderId="0" applyFont="0" applyFill="0" applyBorder="0" applyAlignment="0" applyProtection="0"/>
    <xf numFmtId="0" fontId="51" fillId="0" borderId="0" applyNumberFormat="0" applyFill="0" applyBorder="0" applyAlignment="0" applyProtection="0"/>
    <xf numFmtId="211" fontId="14" fillId="34" borderId="24" applyNumberFormat="0">
      <alignment horizontal="center"/>
    </xf>
    <xf numFmtId="3" fontId="75" fillId="0" borderId="0" applyNumberFormat="0" applyFont="0" applyFill="0" applyBorder="0" applyAlignment="0" applyProtection="0">
      <alignment horizontal="left"/>
    </xf>
    <xf numFmtId="165" fontId="76" fillId="0" borderId="0"/>
    <xf numFmtId="2" fontId="65" fillId="0" borderId="0" applyFont="0" applyFill="0" applyBorder="0" applyAlignment="0" applyProtection="0"/>
    <xf numFmtId="0" fontId="77" fillId="0" borderId="0"/>
    <xf numFmtId="0" fontId="78" fillId="0" borderId="0" applyFill="0" applyBorder="0" applyProtection="0">
      <alignment horizontal="left"/>
    </xf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9" fontId="81" fillId="0" borderId="0" applyNumberFormat="0" applyFill="0" applyBorder="0" applyAlignment="0" applyProtection="0"/>
    <xf numFmtId="38" fontId="55" fillId="27" borderId="0" applyNumberFormat="0" applyBorder="0" applyAlignment="0" applyProtection="0"/>
    <xf numFmtId="212" fontId="64" fillId="0" borderId="0" applyFont="0" applyFill="0" applyBorder="0" applyAlignment="0" applyProtection="0">
      <alignment horizontal="right"/>
    </xf>
    <xf numFmtId="0" fontId="82" fillId="0" borderId="0" applyProtection="0">
      <alignment horizontal="right"/>
    </xf>
    <xf numFmtId="0" fontId="28" fillId="0" borderId="20" applyNumberFormat="0" applyAlignment="0" applyProtection="0">
      <alignment horizontal="left" vertical="center"/>
    </xf>
    <xf numFmtId="0" fontId="28" fillId="0" borderId="5">
      <alignment horizontal="left" vertical="center"/>
    </xf>
    <xf numFmtId="0" fontId="83" fillId="35" borderId="21"/>
    <xf numFmtId="0" fontId="60" fillId="0" borderId="0" applyNumberFormat="0" applyFill="0" applyBorder="0" applyAlignment="0" applyProtection="0"/>
    <xf numFmtId="0" fontId="84" fillId="0" borderId="0" applyNumberFormat="0" applyFill="0" applyBorder="0" applyProtection="0">
      <alignment horizontal="left"/>
    </xf>
    <xf numFmtId="190" fontId="85" fillId="0" borderId="0">
      <alignment horizontal="right"/>
    </xf>
    <xf numFmtId="190" fontId="85" fillId="0" borderId="0">
      <alignment horizontal="left"/>
    </xf>
    <xf numFmtId="37" fontId="85" fillId="0" borderId="0">
      <alignment horizontal="left"/>
    </xf>
    <xf numFmtId="37" fontId="86" fillId="0" borderId="0">
      <alignment horizontal="left"/>
    </xf>
    <xf numFmtId="37" fontId="53" fillId="0" borderId="0">
      <alignment horizontal="left"/>
    </xf>
    <xf numFmtId="0" fontId="87" fillId="0" borderId="33" applyNumberFormat="0" applyFill="0" applyBorder="0" applyAlignment="0" applyProtection="0">
      <alignment horizontal="left"/>
    </xf>
    <xf numFmtId="188" fontId="31" fillId="0" borderId="0"/>
    <xf numFmtId="188" fontId="88" fillId="0" borderId="0">
      <protection locked="0"/>
    </xf>
    <xf numFmtId="10" fontId="55" fillId="28" borderId="1" applyNumberFormat="0" applyBorder="0" applyAlignment="0" applyProtection="0"/>
    <xf numFmtId="2" fontId="89" fillId="0" borderId="24" applyNumberFormat="0" applyFill="0" applyAlignment="0">
      <alignment horizontal="center"/>
    </xf>
    <xf numFmtId="40" fontId="31" fillId="0" borderId="0"/>
    <xf numFmtId="0" fontId="55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213" fontId="34" fillId="0" borderId="0" applyFont="0" applyFill="0" applyBorder="0" applyAlignment="0"/>
    <xf numFmtId="214" fontId="34" fillId="0" borderId="0" applyFont="0" applyFill="0" applyBorder="0" applyAlignment="0"/>
    <xf numFmtId="215" fontId="31" fillId="0" borderId="0" applyFont="0" applyFill="0" applyBorder="0" applyAlignment="0" applyProtection="0"/>
    <xf numFmtId="1" fontId="90" fillId="1" borderId="25">
      <protection locked="0"/>
    </xf>
    <xf numFmtId="216" fontId="45" fillId="0" borderId="0">
      <alignment horizontal="left"/>
    </xf>
    <xf numFmtId="176" fontId="14" fillId="0" borderId="34" applyFont="0" applyFill="0" applyBorder="0" applyAlignment="0" applyProtection="0"/>
    <xf numFmtId="0" fontId="91" fillId="0" borderId="0"/>
    <xf numFmtId="37" fontId="92" fillId="0" borderId="0" applyNumberFormat="0" applyFill="0" applyBorder="0" applyAlignment="0" applyProtection="0">
      <alignment horizontal="right"/>
    </xf>
    <xf numFmtId="0" fontId="93" fillId="0" borderId="0"/>
    <xf numFmtId="0" fontId="14" fillId="0" borderId="0" applyFont="0" applyFill="0" applyBorder="0" applyAlignment="0" applyProtection="0"/>
    <xf numFmtId="49" fontId="14" fillId="0" borderId="0" applyFont="0" applyFill="0" applyBorder="0" applyAlignment="0" applyProtection="0"/>
    <xf numFmtId="207" fontId="14" fillId="0" borderId="0" applyFont="0" applyFill="0" applyBorder="0" applyAlignment="0" applyProtection="0"/>
    <xf numFmtId="14" fontId="29" fillId="0" borderId="0" applyFont="0" applyFill="0" applyBorder="0" applyAlignment="0" applyProtection="0"/>
    <xf numFmtId="217" fontId="93" fillId="0" borderId="0" applyFont="0" applyFill="0" applyBorder="0" applyAlignment="0" applyProtection="0"/>
    <xf numFmtId="218" fontId="93" fillId="0" borderId="0" applyFont="0" applyFill="0" applyBorder="0" applyAlignment="0" applyProtection="0"/>
    <xf numFmtId="219" fontId="14" fillId="0" borderId="0" applyFont="0" applyFill="0" applyBorder="0" applyAlignment="0" applyProtection="0"/>
    <xf numFmtId="220" fontId="14" fillId="0" borderId="0" applyFont="0" applyFill="0" applyBorder="0" applyAlignment="0" applyProtection="0"/>
    <xf numFmtId="221" fontId="31" fillId="0" borderId="21" applyFont="0" applyFill="0" applyBorder="0" applyProtection="0"/>
    <xf numFmtId="222" fontId="31" fillId="0" borderId="21" applyFont="0" applyFill="0" applyBorder="0" applyAlignment="0" applyProtection="0"/>
    <xf numFmtId="223" fontId="64" fillId="0" borderId="0" applyFont="0" applyFill="0" applyBorder="0" applyAlignment="0" applyProtection="0">
      <alignment horizontal="right"/>
    </xf>
    <xf numFmtId="224" fontId="45" fillId="0" borderId="0" applyFont="0" applyFill="0" applyBorder="0" applyAlignment="0" applyProtection="0"/>
    <xf numFmtId="225" fontId="45" fillId="0" borderId="0" applyFont="0" applyFill="0" applyBorder="0" applyAlignment="0" applyProtection="0"/>
    <xf numFmtId="226" fontId="94" fillId="0" borderId="0" applyFont="0" applyFill="0" applyBorder="0" applyAlignment="0" applyProtection="0"/>
    <xf numFmtId="227" fontId="69" fillId="0" borderId="0" applyFont="0" applyFill="0" applyBorder="0" applyAlignment="0" applyProtection="0"/>
    <xf numFmtId="228" fontId="31" fillId="0" borderId="0" applyFont="0" applyFill="0" applyBorder="0" applyAlignment="0" applyProtection="0"/>
    <xf numFmtId="37" fontId="95" fillId="0" borderId="0"/>
    <xf numFmtId="229" fontId="31" fillId="0" borderId="0"/>
    <xf numFmtId="190" fontId="57" fillId="0" borderId="0" applyNumberFormat="0" applyFill="0" applyBorder="0" applyAlignment="0" applyProtection="0"/>
    <xf numFmtId="190" fontId="96" fillId="0" borderId="0" applyNumberFormat="0" applyFill="0" applyBorder="0" applyAlignment="0" applyProtection="0"/>
    <xf numFmtId="0" fontId="39" fillId="0" borderId="0"/>
    <xf numFmtId="0" fontId="94" fillId="0" borderId="0"/>
    <xf numFmtId="0" fontId="34" fillId="0" borderId="0" applyFont="0" applyFill="0" applyBorder="0" applyAlignment="0"/>
    <xf numFmtId="37" fontId="97" fillId="0" borderId="0" applyNumberFormat="0" applyFont="0" applyFill="0" applyBorder="0" applyAlignment="0" applyProtection="0"/>
    <xf numFmtId="190" fontId="98" fillId="0" borderId="0" applyNumberFormat="0" applyFill="0" applyBorder="0" applyAlignment="0" applyProtection="0"/>
    <xf numFmtId="190" fontId="57" fillId="0" borderId="0" applyNumberFormat="0" applyFill="0" applyBorder="0" applyAlignment="0" applyProtection="0"/>
    <xf numFmtId="1" fontId="63" fillId="0" borderId="0">
      <alignment horizontal="right"/>
      <protection locked="0"/>
    </xf>
    <xf numFmtId="226" fontId="99" fillId="0" borderId="0">
      <alignment horizontal="right"/>
      <protection locked="0"/>
    </xf>
    <xf numFmtId="185" fontId="63" fillId="0" borderId="0">
      <protection locked="0"/>
    </xf>
    <xf numFmtId="2" fontId="99" fillId="0" borderId="0">
      <alignment horizontal="right"/>
      <protection locked="0"/>
    </xf>
    <xf numFmtId="2" fontId="63" fillId="0" borderId="0">
      <alignment horizontal="right"/>
      <protection locked="0"/>
    </xf>
    <xf numFmtId="230" fontId="67" fillId="0" borderId="0" applyFill="0" applyBorder="0">
      <alignment horizontal="right"/>
    </xf>
    <xf numFmtId="216" fontId="67" fillId="0" borderId="0" applyFill="0" applyBorder="0">
      <alignment horizontal="right"/>
    </xf>
    <xf numFmtId="231" fontId="67" fillId="0" borderId="0" applyFill="0" applyBorder="0">
      <alignment horizontal="right"/>
    </xf>
    <xf numFmtId="232" fontId="4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86" fontId="4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190" fontId="100" fillId="0" borderId="0" applyNumberFormat="0" applyFill="0" applyBorder="0" applyAlignment="0" applyProtection="0"/>
    <xf numFmtId="233" fontId="32" fillId="36" borderId="0">
      <alignment horizontal="right"/>
    </xf>
    <xf numFmtId="0" fontId="101" fillId="26" borderId="23"/>
    <xf numFmtId="0" fontId="51" fillId="37" borderId="0" applyNumberFormat="0" applyFont="0" applyBorder="0" applyAlignment="0"/>
    <xf numFmtId="234" fontId="102" fillId="0" borderId="0"/>
    <xf numFmtId="234" fontId="45" fillId="0" borderId="0"/>
    <xf numFmtId="0" fontId="31" fillId="0" borderId="0"/>
    <xf numFmtId="234" fontId="45" fillId="0" borderId="0"/>
    <xf numFmtId="234" fontId="45" fillId="0" borderId="0"/>
    <xf numFmtId="0" fontId="31" fillId="0" borderId="0"/>
    <xf numFmtId="0" fontId="31" fillId="0" borderId="0"/>
    <xf numFmtId="234" fontId="102" fillId="0" borderId="0"/>
    <xf numFmtId="234" fontId="102" fillId="0" borderId="0"/>
    <xf numFmtId="0" fontId="31" fillId="0" borderId="0"/>
    <xf numFmtId="0" fontId="103" fillId="0" borderId="0" applyProtection="0">
      <alignment horizontal="left"/>
    </xf>
    <xf numFmtId="1" fontId="104" fillId="0" borderId="0" applyProtection="0">
      <alignment horizontal="right" vertical="center"/>
    </xf>
    <xf numFmtId="0" fontId="60" fillId="0" borderId="35" applyNumberFormat="0" applyAlignment="0" applyProtection="0"/>
    <xf numFmtId="0" fontId="31" fillId="29" borderId="0" applyNumberFormat="0" applyFont="0" applyBorder="0" applyAlignment="0" applyProtection="0"/>
    <xf numFmtId="0" fontId="55" fillId="30" borderId="24" applyNumberFormat="0" applyFont="0" applyBorder="0" applyAlignment="0" applyProtection="0">
      <alignment horizontal="center"/>
    </xf>
    <xf numFmtId="0" fontId="55" fillId="38" borderId="24" applyNumberFormat="0" applyFont="0" applyBorder="0" applyAlignment="0" applyProtection="0">
      <alignment horizontal="center"/>
    </xf>
    <xf numFmtId="0" fontId="31" fillId="0" borderId="36" applyNumberFormat="0" applyAlignment="0" applyProtection="0"/>
    <xf numFmtId="0" fontId="31" fillId="0" borderId="37" applyNumberFormat="0" applyAlignment="0" applyProtection="0"/>
    <xf numFmtId="0" fontId="60" fillId="0" borderId="38" applyNumberFormat="0" applyAlignment="0" applyProtection="0"/>
    <xf numFmtId="176" fontId="45" fillId="0" borderId="0">
      <alignment horizontal="right"/>
    </xf>
    <xf numFmtId="9" fontId="31" fillId="0" borderId="0" applyFont="0" applyFill="0" applyBorder="0" applyAlignment="0" applyProtection="0"/>
    <xf numFmtId="10" fontId="31" fillId="0" borderId="0" applyFont="0" applyFill="0" applyBorder="0" applyAlignment="0" applyProtection="0"/>
    <xf numFmtId="9" fontId="51" fillId="0" borderId="0" applyFont="0" applyFill="0" applyBorder="0" applyAlignment="0" applyProtection="0"/>
    <xf numFmtId="176" fontId="105" fillId="0" borderId="0" applyFont="0" applyFill="0" applyBorder="0" applyAlignment="0" applyProtection="0"/>
    <xf numFmtId="10" fontId="14" fillId="0" borderId="0" applyFont="0" applyFill="0" applyBorder="0" applyAlignment="0" applyProtection="0"/>
    <xf numFmtId="0" fontId="45" fillId="0" borderId="0" applyFill="0" applyBorder="0" applyAlignment="0" applyProtection="0"/>
    <xf numFmtId="9" fontId="31" fillId="0" borderId="0" applyFill="0" applyBorder="0" applyAlignment="0" applyProtection="0"/>
    <xf numFmtId="176" fontId="67" fillId="0" borderId="0"/>
    <xf numFmtId="176" fontId="63" fillId="0" borderId="0"/>
    <xf numFmtId="235" fontId="67" fillId="0" borderId="0"/>
    <xf numFmtId="10" fontId="63" fillId="0" borderId="0">
      <protection locked="0"/>
    </xf>
    <xf numFmtId="9" fontId="14" fillId="0" borderId="0"/>
    <xf numFmtId="236" fontId="31" fillId="0" borderId="0" applyFont="0" applyFill="0" applyBorder="0" applyAlignment="0" applyProtection="0"/>
    <xf numFmtId="237" fontId="14" fillId="0" borderId="0" applyProtection="0">
      <alignment horizontal="right"/>
    </xf>
    <xf numFmtId="237" fontId="14" fillId="0" borderId="0">
      <alignment horizontal="right"/>
      <protection locked="0"/>
    </xf>
    <xf numFmtId="37" fontId="39" fillId="36" borderId="0" applyNumberFormat="0" applyFont="0" applyFill="0" applyBorder="0" applyAlignment="0" applyProtection="0"/>
    <xf numFmtId="170" fontId="31" fillId="0" borderId="0">
      <alignment horizontal="center"/>
    </xf>
    <xf numFmtId="0" fontId="33" fillId="0" borderId="0" applyNumberFormat="0" applyFont="0" applyFill="0" applyBorder="0" applyAlignment="0" applyProtection="0">
      <alignment horizontal="left"/>
    </xf>
    <xf numFmtId="15" fontId="33" fillId="0" borderId="0" applyFont="0" applyFill="0" applyBorder="0" applyAlignment="0" applyProtection="0"/>
    <xf numFmtId="4" fontId="33" fillId="0" borderId="0" applyFont="0" applyFill="0" applyBorder="0" applyAlignment="0" applyProtection="0"/>
    <xf numFmtId="0" fontId="46" fillId="0" borderId="19">
      <alignment horizontal="center"/>
    </xf>
    <xf numFmtId="3" fontId="33" fillId="0" borderId="0" applyFont="0" applyFill="0" applyBorder="0" applyAlignment="0" applyProtection="0"/>
    <xf numFmtId="0" fontId="33" fillId="39" borderId="0" applyNumberFormat="0" applyFont="0" applyBorder="0" applyAlignment="0" applyProtection="0"/>
    <xf numFmtId="0" fontId="31" fillId="0" borderId="0">
      <alignment vertical="top"/>
    </xf>
    <xf numFmtId="0" fontId="31" fillId="0" borderId="0">
      <alignment vertical="top"/>
    </xf>
    <xf numFmtId="185" fontId="31" fillId="0" borderId="0">
      <alignment vertical="top"/>
    </xf>
    <xf numFmtId="185" fontId="31" fillId="0" borderId="0">
      <alignment vertical="top"/>
    </xf>
    <xf numFmtId="0" fontId="69" fillId="0" borderId="0">
      <alignment vertical="top"/>
    </xf>
    <xf numFmtId="185" fontId="31" fillId="0" borderId="0">
      <alignment vertical="top"/>
    </xf>
    <xf numFmtId="0" fontId="69" fillId="0" borderId="0">
      <alignment vertical="top"/>
    </xf>
    <xf numFmtId="185" fontId="31" fillId="0" borderId="0">
      <alignment vertical="top"/>
    </xf>
    <xf numFmtId="0" fontId="106" fillId="0" borderId="0" applyNumberFormat="0" applyFill="0" applyBorder="0" applyProtection="0"/>
    <xf numFmtId="0" fontId="107" fillId="0" borderId="0" applyNumberFormat="0" applyFill="0" applyBorder="0" applyProtection="0"/>
    <xf numFmtId="0" fontId="108" fillId="36" borderId="0" applyNumberFormat="0" applyFont="0" applyFill="0" applyBorder="0" applyAlignment="0" applyProtection="0"/>
    <xf numFmtId="0" fontId="108" fillId="26" borderId="0" applyNumberFormat="0" applyFont="0" applyFill="0" applyBorder="0" applyAlignment="0" applyProtection="0"/>
    <xf numFmtId="238" fontId="109" fillId="0" borderId="0" applyNumberFormat="0" applyFill="0" applyBorder="0" applyAlignment="0" applyProtection="0">
      <alignment horizontal="left"/>
    </xf>
    <xf numFmtId="0" fontId="31" fillId="0" borderId="0" applyProtection="0"/>
    <xf numFmtId="0" fontId="31" fillId="0" borderId="0" applyProtection="0"/>
    <xf numFmtId="0" fontId="31" fillId="0" borderId="0" applyProtection="0"/>
    <xf numFmtId="0" fontId="110" fillId="0" borderId="39">
      <alignment vertical="center"/>
    </xf>
    <xf numFmtId="0" fontId="111" fillId="0" borderId="19">
      <alignment horizontal="right"/>
    </xf>
    <xf numFmtId="0" fontId="70" fillId="0" borderId="40"/>
    <xf numFmtId="239" fontId="14" fillId="0" borderId="0" applyFont="0" applyFill="0" applyBorder="0" applyAlignment="0" applyProtection="0"/>
    <xf numFmtId="240" fontId="14" fillId="0" borderId="0" applyFont="0" applyFill="0" applyBorder="0" applyAlignment="0" applyProtection="0"/>
    <xf numFmtId="241" fontId="33" fillId="33" borderId="0">
      <alignment horizontal="right"/>
    </xf>
    <xf numFmtId="0" fontId="60" fillId="0" borderId="0">
      <alignment horizontal="center"/>
    </xf>
    <xf numFmtId="0" fontId="112" fillId="0" borderId="0">
      <alignment horizontal="center"/>
    </xf>
    <xf numFmtId="168" fontId="47" fillId="0" borderId="0" applyFill="0" applyBorder="0" applyAlignment="0" applyProtection="0"/>
    <xf numFmtId="190" fontId="113" fillId="0" borderId="0" applyNumberFormat="0" applyFill="0" applyBorder="0" applyAlignment="0" applyProtection="0"/>
    <xf numFmtId="166" fontId="114" fillId="0" borderId="26" applyFont="0" applyFill="0" applyBorder="0" applyAlignment="0" applyProtection="0"/>
    <xf numFmtId="0" fontId="115" fillId="0" borderId="0"/>
    <xf numFmtId="40" fontId="116" fillId="0" borderId="0" applyBorder="0">
      <alignment horizontal="right"/>
    </xf>
    <xf numFmtId="0" fontId="14" fillId="0" borderId="0"/>
    <xf numFmtId="0" fontId="69" fillId="0" borderId="0"/>
    <xf numFmtId="0" fontId="117" fillId="0" borderId="0" applyBorder="0" applyProtection="0">
      <alignment vertical="center"/>
    </xf>
    <xf numFmtId="209" fontId="117" fillId="0" borderId="21" applyBorder="0" applyProtection="0">
      <alignment horizontal="right" vertical="center"/>
    </xf>
    <xf numFmtId="0" fontId="118" fillId="40" borderId="0" applyBorder="0" applyProtection="0">
      <alignment horizontal="centerContinuous" vertical="center"/>
    </xf>
    <xf numFmtId="0" fontId="118" fillId="41" borderId="21" applyBorder="0" applyProtection="0">
      <alignment horizontal="centerContinuous" vertical="center"/>
    </xf>
    <xf numFmtId="0" fontId="91" fillId="0" borderId="0"/>
    <xf numFmtId="0" fontId="94" fillId="0" borderId="0"/>
    <xf numFmtId="0" fontId="119" fillId="0" borderId="0" applyFill="0" applyBorder="0" applyProtection="0">
      <alignment horizontal="left"/>
    </xf>
    <xf numFmtId="0" fontId="78" fillId="0" borderId="22" applyFill="0" applyBorder="0" applyProtection="0">
      <alignment horizontal="left" vertical="top"/>
    </xf>
    <xf numFmtId="0" fontId="60" fillId="0" borderId="0">
      <alignment horizontal="centerContinuous"/>
    </xf>
    <xf numFmtId="0" fontId="120" fillId="0" borderId="0"/>
    <xf numFmtId="0" fontId="121" fillId="0" borderId="0"/>
    <xf numFmtId="190" fontId="63" fillId="0" borderId="0">
      <alignment horizontal="left"/>
      <protection locked="0"/>
    </xf>
    <xf numFmtId="0" fontId="122" fillId="0" borderId="0"/>
    <xf numFmtId="0" fontId="29" fillId="0" borderId="0" applyNumberFormat="0" applyFont="0" applyFill="0" applyBorder="0" applyProtection="0">
      <alignment horizontal="left" vertical="top" wrapText="1"/>
    </xf>
    <xf numFmtId="0" fontId="123" fillId="0" borderId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24" fillId="0" borderId="0" applyNumberFormat="0" applyBorder="0" applyAlignment="0"/>
    <xf numFmtId="0" fontId="53" fillId="0" borderId="0" applyNumberFormat="0" applyFont="0" applyBorder="0" applyAlignment="0"/>
    <xf numFmtId="0" fontId="28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05" fillId="0" borderId="0" applyAlignment="0">
      <alignment horizontal="centerContinuous"/>
    </xf>
    <xf numFmtId="216" fontId="60" fillId="0" borderId="0">
      <alignment horizontal="centerContinuous"/>
    </xf>
    <xf numFmtId="216" fontId="31" fillId="0" borderId="41">
      <alignment horizontal="centerContinuous"/>
    </xf>
    <xf numFmtId="216" fontId="126" fillId="0" borderId="0">
      <alignment horizontal="centerContinuous"/>
      <protection locked="0"/>
    </xf>
    <xf numFmtId="216" fontId="126" fillId="0" borderId="0">
      <alignment horizontal="left"/>
    </xf>
    <xf numFmtId="190" fontId="127" fillId="0" borderId="0">
      <alignment horizontal="center"/>
    </xf>
    <xf numFmtId="190" fontId="127" fillId="0" borderId="0">
      <alignment horizontal="left"/>
    </xf>
    <xf numFmtId="0" fontId="128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204" fontId="130" fillId="0" borderId="0" applyFont="0" applyFill="0" applyBorder="0" applyProtection="0"/>
    <xf numFmtId="0" fontId="131" fillId="0" borderId="0"/>
    <xf numFmtId="242" fontId="45" fillId="0" borderId="0">
      <alignment horizontal="right"/>
    </xf>
    <xf numFmtId="0" fontId="14" fillId="0" borderId="0">
      <alignment horizontal="fill"/>
    </xf>
    <xf numFmtId="0" fontId="14" fillId="0" borderId="0"/>
    <xf numFmtId="243" fontId="14" fillId="0" borderId="0" applyFont="0" applyFill="0" applyBorder="0" applyAlignment="0" applyProtection="0"/>
    <xf numFmtId="244" fontId="31" fillId="0" borderId="0" applyFont="0" applyFill="0" applyBorder="0" applyAlignment="0" applyProtection="0"/>
    <xf numFmtId="245" fontId="31" fillId="0" borderId="0" applyFont="0" applyFill="0" applyBorder="0" applyAlignment="0" applyProtection="0"/>
    <xf numFmtId="246" fontId="14" fillId="0" borderId="0"/>
    <xf numFmtId="247" fontId="14" fillId="27" borderId="0">
      <alignment horizontal="center"/>
    </xf>
    <xf numFmtId="248" fontId="51" fillId="0" borderId="42">
      <alignment horizontal="centerContinuous" vertical="center"/>
    </xf>
    <xf numFmtId="249" fontId="51" fillId="31" borderId="42">
      <alignment horizontal="centerContinuous" vertical="center"/>
    </xf>
    <xf numFmtId="248" fontId="132" fillId="0" borderId="42">
      <alignment horizontal="centerContinuous" vertical="center"/>
    </xf>
    <xf numFmtId="181" fontId="51" fillId="0" borderId="42" applyFill="0" applyBorder="0">
      <alignment horizontal="centerContinuous" vertical="center"/>
    </xf>
    <xf numFmtId="0" fontId="31" fillId="0" borderId="0" applyFont="0" applyFill="0" applyBorder="0" applyAlignment="0" applyProtection="0">
      <alignment horizontal="right"/>
    </xf>
    <xf numFmtId="185" fontId="133" fillId="42" borderId="0">
      <alignment horizontal="right"/>
    </xf>
    <xf numFmtId="250" fontId="134" fillId="0" borderId="21" applyBorder="0" applyProtection="0">
      <alignment horizontal="right"/>
    </xf>
    <xf numFmtId="0" fontId="98" fillId="43" borderId="43" applyNumberFormat="0" applyFont="0" applyBorder="0" applyAlignment="0" applyProtection="0">
      <alignment horizontal="right"/>
    </xf>
    <xf numFmtId="251" fontId="47" fillId="0" borderId="0" applyFont="0" applyFill="0" applyBorder="0" applyAlignment="0" applyProtection="0"/>
    <xf numFmtId="252" fontId="135" fillId="28" borderId="0" applyFont="0" applyFill="0" applyBorder="0" applyProtection="0">
      <alignment horizontal="center"/>
    </xf>
    <xf numFmtId="171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0" fontId="136" fillId="0" borderId="0"/>
    <xf numFmtId="170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3" fontId="137" fillId="44" borderId="0">
      <alignment horizontal="left"/>
    </xf>
    <xf numFmtId="3" fontId="101" fillId="27" borderId="0"/>
    <xf numFmtId="0" fontId="138" fillId="40" borderId="44">
      <alignment horizontal="center"/>
    </xf>
    <xf numFmtId="0" fontId="32" fillId="27" borderId="0"/>
    <xf numFmtId="0" fontId="139" fillId="27" borderId="0">
      <alignment horizontal="center"/>
    </xf>
    <xf numFmtId="0" fontId="140" fillId="27" borderId="0">
      <alignment horizontal="left"/>
    </xf>
    <xf numFmtId="3" fontId="141" fillId="38" borderId="44" applyNumberFormat="0">
      <alignment horizontal="center"/>
    </xf>
    <xf numFmtId="3" fontId="142" fillId="44" borderId="21">
      <alignment horizontal="center"/>
    </xf>
    <xf numFmtId="0" fontId="14" fillId="0" borderId="0"/>
    <xf numFmtId="37" fontId="29" fillId="0" borderId="0"/>
    <xf numFmtId="0" fontId="143" fillId="0" borderId="0"/>
    <xf numFmtId="0" fontId="4" fillId="0" borderId="0"/>
    <xf numFmtId="0" fontId="144" fillId="0" borderId="0">
      <alignment horizontal="left" indent="1"/>
    </xf>
    <xf numFmtId="0" fontId="14" fillId="0" borderId="0">
      <alignment horizontal="left" indent="1"/>
    </xf>
    <xf numFmtId="9" fontId="14" fillId="0" borderId="0" applyFont="0" applyFill="0" applyBorder="0" applyAlignment="0" applyProtection="0"/>
    <xf numFmtId="3" fontId="140" fillId="45" borderId="0">
      <alignment horizontal="left"/>
    </xf>
    <xf numFmtId="3" fontId="137" fillId="45" borderId="0">
      <alignment horizontal="left"/>
    </xf>
    <xf numFmtId="3" fontId="145" fillId="45" borderId="0">
      <alignment horizontal="center"/>
    </xf>
    <xf numFmtId="0" fontId="146" fillId="0" borderId="21" applyNumberFormat="0" applyProtection="0">
      <alignment horizontal="center"/>
    </xf>
    <xf numFmtId="3" fontId="142" fillId="27" borderId="21">
      <alignment horizontal="center" vertical="center"/>
    </xf>
    <xf numFmtId="3" fontId="147" fillId="45" borderId="0">
      <alignment horizontal="left"/>
    </xf>
    <xf numFmtId="3" fontId="101" fillId="46" borderId="0">
      <alignment horizontal="right"/>
    </xf>
    <xf numFmtId="253" fontId="148" fillId="0" borderId="0"/>
    <xf numFmtId="0" fontId="14" fillId="0" borderId="0"/>
    <xf numFmtId="9" fontId="14" fillId="0" borderId="0" applyFont="0" applyFill="0" applyBorder="0" applyAlignment="0" applyProtection="0"/>
    <xf numFmtId="171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90" fontId="14" fillId="0" borderId="29" applyFont="0" applyFill="0" applyBorder="0"/>
    <xf numFmtId="9" fontId="14" fillId="0" borderId="5" applyNumberFormat="0" applyFont="0" applyFill="0" applyAlignment="0" applyProtection="0"/>
    <xf numFmtId="0" fontId="29" fillId="0" borderId="21" applyNumberFormat="0" applyFont="0" applyFill="0" applyAlignment="0" applyProtection="0"/>
    <xf numFmtId="0" fontId="29" fillId="0" borderId="27" applyNumberFormat="0" applyFont="0" applyFill="0" applyAlignment="0" applyProtection="0"/>
    <xf numFmtId="0" fontId="52" fillId="0" borderId="1" applyNumberFormat="0" applyFill="0" applyAlignment="0" applyProtection="0"/>
    <xf numFmtId="0" fontId="53" fillId="0" borderId="21" applyNumberFormat="0" applyFont="0" applyFill="0" applyProtection="0">
      <alignment horizontal="centerContinuous" vertical="center"/>
    </xf>
    <xf numFmtId="0" fontId="57" fillId="0" borderId="21" applyNumberFormat="0" applyFill="0" applyBorder="0" applyAlignment="0" applyProtection="0">
      <alignment horizontal="center"/>
    </xf>
    <xf numFmtId="0" fontId="60" fillId="0" borderId="21" applyNumberFormat="0" applyFill="0" applyProtection="0">
      <alignment horizontal="centerContinuous"/>
    </xf>
    <xf numFmtId="167" fontId="14" fillId="0" borderId="31">
      <protection locked="0"/>
    </xf>
    <xf numFmtId="205" fontId="67" fillId="0" borderId="21" applyFill="0" applyBorder="0">
      <alignment horizontal="right"/>
    </xf>
    <xf numFmtId="210" fontId="14" fillId="0" borderId="0" applyFont="0" applyFill="0" applyBorder="0" applyAlignment="0" applyProtection="0"/>
    <xf numFmtId="211" fontId="14" fillId="34" borderId="24" applyNumberFormat="0">
      <alignment horizontal="center"/>
    </xf>
    <xf numFmtId="0" fontId="28" fillId="0" borderId="5">
      <alignment horizontal="left" vertical="center"/>
    </xf>
    <xf numFmtId="0" fontId="83" fillId="35" borderId="21"/>
    <xf numFmtId="10" fontId="55" fillId="28" borderId="1" applyNumberFormat="0" applyBorder="0" applyAlignment="0" applyProtection="0"/>
    <xf numFmtId="176" fontId="14" fillId="0" borderId="34" applyFont="0" applyFill="0" applyBorder="0" applyAlignment="0" applyProtection="0"/>
    <xf numFmtId="221" fontId="31" fillId="0" borderId="21" applyFont="0" applyFill="0" applyBorder="0" applyProtection="0"/>
    <xf numFmtId="222" fontId="31" fillId="0" borderId="21" applyFont="0" applyFill="0" applyBorder="0" applyAlignment="0" applyProtection="0"/>
    <xf numFmtId="10" fontId="14" fillId="0" borderId="0" applyFont="0" applyFill="0" applyBorder="0" applyAlignment="0" applyProtection="0"/>
    <xf numFmtId="9" fontId="14" fillId="0" borderId="0"/>
    <xf numFmtId="237" fontId="14" fillId="0" borderId="0" applyProtection="0">
      <alignment horizontal="right"/>
    </xf>
    <xf numFmtId="237" fontId="14" fillId="0" borderId="0">
      <alignment horizontal="right"/>
      <protection locked="0"/>
    </xf>
    <xf numFmtId="0" fontId="14" fillId="0" borderId="0"/>
    <xf numFmtId="209" fontId="117" fillId="0" borderId="21" applyBorder="0" applyProtection="0">
      <alignment horizontal="right" vertical="center"/>
    </xf>
    <xf numFmtId="0" fontId="118" fillId="41" borderId="21" applyBorder="0" applyProtection="0">
      <alignment horizontal="centerContinuous" vertical="center"/>
    </xf>
    <xf numFmtId="0" fontId="14" fillId="0" borderId="0"/>
    <xf numFmtId="246" fontId="14" fillId="0" borderId="0"/>
    <xf numFmtId="247" fontId="14" fillId="27" borderId="0">
      <alignment horizontal="center"/>
    </xf>
    <xf numFmtId="250" fontId="134" fillId="0" borderId="21" applyBorder="0" applyProtection="0">
      <alignment horizontal="right"/>
    </xf>
    <xf numFmtId="9" fontId="14" fillId="0" borderId="5" applyNumberFormat="0" applyFont="0" applyFill="0" applyAlignment="0" applyProtection="0"/>
    <xf numFmtId="0" fontId="52" fillId="0" borderId="1" applyNumberFormat="0" applyFill="0" applyAlignment="0" applyProtection="0"/>
    <xf numFmtId="167" fontId="14" fillId="0" borderId="31">
      <protection locked="0"/>
    </xf>
    <xf numFmtId="0" fontId="28" fillId="0" borderId="5">
      <alignment horizontal="left" vertical="center"/>
    </xf>
    <xf numFmtId="10" fontId="55" fillId="28" borderId="1" applyNumberFormat="0" applyBorder="0" applyAlignment="0" applyProtection="0"/>
    <xf numFmtId="166" fontId="114" fillId="0" borderId="45" applyFont="0" applyFill="0" applyBorder="0" applyAlignment="0" applyProtection="0"/>
    <xf numFmtId="216" fontId="31" fillId="0" borderId="41">
      <alignment horizontal="centerContinuous"/>
    </xf>
    <xf numFmtId="9" fontId="14" fillId="0" borderId="5" applyNumberFormat="0" applyFont="0" applyFill="0" applyAlignment="0" applyProtection="0"/>
    <xf numFmtId="0" fontId="29" fillId="0" borderId="27" applyNumberFormat="0" applyFont="0" applyFill="0" applyAlignment="0" applyProtection="0"/>
    <xf numFmtId="0" fontId="52" fillId="0" borderId="1" applyNumberFormat="0" applyFill="0" applyAlignment="0" applyProtection="0"/>
    <xf numFmtId="167" fontId="14" fillId="0" borderId="31">
      <protection locked="0"/>
    </xf>
    <xf numFmtId="0" fontId="28" fillId="0" borderId="5">
      <alignment horizontal="left" vertical="center"/>
    </xf>
    <xf numFmtId="10" fontId="55" fillId="28" borderId="1" applyNumberFormat="0" applyBorder="0" applyAlignment="0" applyProtection="0"/>
    <xf numFmtId="9" fontId="14" fillId="0" borderId="5" applyNumberFormat="0" applyFont="0" applyFill="0" applyAlignment="0" applyProtection="0"/>
    <xf numFmtId="216" fontId="31" fillId="0" borderId="41">
      <alignment horizontal="centerContinuous"/>
    </xf>
    <xf numFmtId="9" fontId="14" fillId="0" borderId="5" applyNumberFormat="0" applyFont="0" applyFill="0" applyAlignment="0" applyProtection="0"/>
    <xf numFmtId="166" fontId="114" fillId="0" borderId="26" applyFont="0" applyFill="0" applyBorder="0" applyAlignment="0" applyProtection="0"/>
    <xf numFmtId="0" fontId="52" fillId="0" borderId="1" applyNumberFormat="0" applyFill="0" applyAlignment="0" applyProtection="0"/>
    <xf numFmtId="167" fontId="14" fillId="0" borderId="31">
      <protection locked="0"/>
    </xf>
    <xf numFmtId="0" fontId="28" fillId="0" borderId="5">
      <alignment horizontal="left" vertical="center"/>
    </xf>
    <xf numFmtId="10" fontId="55" fillId="28" borderId="1" applyNumberFormat="0" applyBorder="0" applyAlignment="0" applyProtection="0"/>
    <xf numFmtId="10" fontId="55" fillId="28" borderId="1" applyNumberFormat="0" applyBorder="0" applyAlignment="0" applyProtection="0"/>
    <xf numFmtId="0" fontId="28" fillId="0" borderId="5">
      <alignment horizontal="left" vertical="center"/>
    </xf>
    <xf numFmtId="167" fontId="14" fillId="0" borderId="31">
      <protection locked="0"/>
    </xf>
    <xf numFmtId="0" fontId="52" fillId="0" borderId="1" applyNumberFormat="0" applyFill="0" applyAlignment="0" applyProtection="0"/>
    <xf numFmtId="166" fontId="114" fillId="0" borderId="26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37" fillId="0" borderId="0"/>
    <xf numFmtId="190" fontId="149" fillId="0" borderId="29" applyFont="0" applyFill="0" applyBorder="0"/>
    <xf numFmtId="0" fontId="44" fillId="0" borderId="0" applyNumberFormat="0"/>
    <xf numFmtId="9" fontId="149" fillId="0" borderId="5" applyNumberFormat="0" applyFont="0" applyFill="0" applyAlignment="0" applyProtection="0"/>
    <xf numFmtId="0" fontId="52" fillId="0" borderId="1" applyNumberFormat="0" applyFill="0" applyAlignment="0" applyProtection="0"/>
    <xf numFmtId="167" fontId="149" fillId="0" borderId="31">
      <protection locked="0"/>
    </xf>
    <xf numFmtId="210" fontId="149" fillId="0" borderId="0" applyFont="0" applyFill="0" applyBorder="0" applyAlignment="0" applyProtection="0"/>
    <xf numFmtId="211" fontId="149" fillId="34" borderId="24" applyNumberFormat="0">
      <alignment horizontal="center"/>
    </xf>
    <xf numFmtId="10" fontId="55" fillId="28" borderId="1" applyNumberFormat="0" applyBorder="0" applyAlignment="0" applyProtection="0"/>
    <xf numFmtId="10" fontId="55" fillId="28" borderId="1" applyNumberFormat="0" applyBorder="0" applyAlignment="0" applyProtection="0"/>
    <xf numFmtId="176" fontId="149" fillId="0" borderId="34" applyFont="0" applyFill="0" applyBorder="0" applyAlignment="0" applyProtection="0"/>
    <xf numFmtId="0" fontId="91" fillId="0" borderId="0"/>
    <xf numFmtId="226" fontId="94" fillId="0" borderId="0" applyFont="0" applyFill="0" applyBorder="0" applyAlignment="0" applyProtection="0"/>
    <xf numFmtId="0" fontId="28" fillId="0" borderId="5">
      <alignment horizontal="left" vertical="center"/>
    </xf>
    <xf numFmtId="167" fontId="149" fillId="0" borderId="31">
      <protection locked="0"/>
    </xf>
    <xf numFmtId="10" fontId="149" fillId="0" borderId="0" applyFont="0" applyFill="0" applyBorder="0" applyAlignment="0" applyProtection="0"/>
    <xf numFmtId="9" fontId="149" fillId="0" borderId="0"/>
    <xf numFmtId="237" fontId="149" fillId="0" borderId="0" applyProtection="0">
      <alignment horizontal="right"/>
    </xf>
    <xf numFmtId="237" fontId="149" fillId="0" borderId="0">
      <alignment horizontal="right"/>
      <protection locked="0"/>
    </xf>
    <xf numFmtId="9" fontId="149" fillId="0" borderId="5" applyNumberFormat="0" applyFont="0" applyFill="0" applyAlignment="0" applyProtection="0"/>
    <xf numFmtId="0" fontId="149" fillId="0" borderId="0"/>
    <xf numFmtId="0" fontId="149" fillId="0" borderId="0"/>
    <xf numFmtId="246" fontId="149" fillId="0" borderId="0"/>
    <xf numFmtId="247" fontId="149" fillId="27" borderId="0">
      <alignment horizontal="center"/>
    </xf>
    <xf numFmtId="166" fontId="114" fillId="0" borderId="26" applyFont="0" applyFill="0" applyBorder="0" applyAlignment="0" applyProtection="0"/>
    <xf numFmtId="216" fontId="31" fillId="0" borderId="41">
      <alignment horizontal="centerContinuous"/>
    </xf>
    <xf numFmtId="0" fontId="52" fillId="0" borderId="1" applyNumberFormat="0" applyFill="0" applyAlignment="0" applyProtection="0"/>
    <xf numFmtId="167" fontId="14" fillId="0" borderId="31">
      <protection locked="0"/>
    </xf>
    <xf numFmtId="0" fontId="28" fillId="0" borderId="5">
      <alignment horizontal="left" vertical="center"/>
    </xf>
    <xf numFmtId="166" fontId="114" fillId="0" borderId="45" applyFont="0" applyFill="0" applyBorder="0" applyAlignment="0" applyProtection="0"/>
    <xf numFmtId="216" fontId="31" fillId="0" borderId="41">
      <alignment horizontal="centerContinuous"/>
    </xf>
    <xf numFmtId="9" fontId="14" fillId="0" borderId="5" applyNumberFormat="0" applyFont="0" applyFill="0" applyAlignment="0" applyProtection="0"/>
    <xf numFmtId="0" fontId="29" fillId="0" borderId="27" applyNumberFormat="0" applyFont="0" applyFill="0" applyAlignment="0" applyProtection="0"/>
    <xf numFmtId="0" fontId="52" fillId="0" borderId="1" applyNumberFormat="0" applyFill="0" applyAlignment="0" applyProtection="0"/>
    <xf numFmtId="167" fontId="14" fillId="0" borderId="31">
      <protection locked="0"/>
    </xf>
    <xf numFmtId="0" fontId="28" fillId="0" borderId="5">
      <alignment horizontal="left" vertical="center"/>
    </xf>
    <xf numFmtId="10" fontId="55" fillId="28" borderId="1" applyNumberFormat="0" applyBorder="0" applyAlignment="0" applyProtection="0"/>
    <xf numFmtId="9" fontId="14" fillId="0" borderId="5" applyNumberFormat="0" applyFont="0" applyFill="0" applyAlignment="0" applyProtection="0"/>
    <xf numFmtId="216" fontId="31" fillId="0" borderId="41">
      <alignment horizontal="centerContinuous"/>
    </xf>
    <xf numFmtId="9" fontId="14" fillId="0" borderId="5" applyNumberFormat="0" applyFont="0" applyFill="0" applyAlignment="0" applyProtection="0"/>
    <xf numFmtId="0" fontId="52" fillId="0" borderId="1" applyNumberFormat="0" applyFill="0" applyAlignment="0" applyProtection="0"/>
    <xf numFmtId="167" fontId="14" fillId="0" borderId="31">
      <protection locked="0"/>
    </xf>
    <xf numFmtId="0" fontId="28" fillId="0" borderId="5">
      <alignment horizontal="left" vertical="center"/>
    </xf>
    <xf numFmtId="10" fontId="55" fillId="28" borderId="1" applyNumberFormat="0" applyBorder="0" applyAlignment="0" applyProtection="0"/>
    <xf numFmtId="10" fontId="55" fillId="28" borderId="1" applyNumberFormat="0" applyBorder="0" applyAlignment="0" applyProtection="0"/>
    <xf numFmtId="0" fontId="28" fillId="0" borderId="5">
      <alignment horizontal="left" vertical="center"/>
    </xf>
    <xf numFmtId="167" fontId="14" fillId="0" borderId="31">
      <protection locked="0"/>
    </xf>
    <xf numFmtId="0" fontId="52" fillId="0" borderId="1" applyNumberFormat="0" applyFill="0" applyAlignment="0" applyProtection="0"/>
    <xf numFmtId="166" fontId="114" fillId="0" borderId="45" applyFont="0" applyFill="0" applyBorder="0" applyAlignment="0" applyProtection="0"/>
    <xf numFmtId="9" fontId="149" fillId="0" borderId="5" applyNumberFormat="0" applyFont="0" applyFill="0" applyAlignment="0" applyProtection="0"/>
    <xf numFmtId="0" fontId="52" fillId="0" borderId="1" applyNumberFormat="0" applyFill="0" applyAlignment="0" applyProtection="0"/>
    <xf numFmtId="167" fontId="149" fillId="0" borderId="31">
      <protection locked="0"/>
    </xf>
    <xf numFmtId="10" fontId="55" fillId="28" borderId="1" applyNumberFormat="0" applyBorder="0" applyAlignment="0" applyProtection="0"/>
    <xf numFmtId="0" fontId="28" fillId="0" borderId="5">
      <alignment horizontal="left" vertical="center"/>
    </xf>
    <xf numFmtId="167" fontId="149" fillId="0" borderId="31">
      <protection locked="0"/>
    </xf>
    <xf numFmtId="9" fontId="149" fillId="0" borderId="5" applyNumberFormat="0" applyFont="0" applyFill="0" applyAlignment="0" applyProtection="0"/>
    <xf numFmtId="166" fontId="114" fillId="0" borderId="45" applyFont="0" applyFill="0" applyBorder="0" applyAlignment="0" applyProtection="0"/>
    <xf numFmtId="216" fontId="31" fillId="0" borderId="41">
      <alignment horizontal="centerContinuous"/>
    </xf>
    <xf numFmtId="9" fontId="14" fillId="0" borderId="5" applyNumberFormat="0" applyFont="0" applyFill="0" applyAlignment="0" applyProtection="0"/>
    <xf numFmtId="0" fontId="52" fillId="0" borderId="1" applyNumberFormat="0" applyFill="0" applyAlignment="0" applyProtection="0"/>
    <xf numFmtId="167" fontId="14" fillId="0" borderId="31">
      <protection locked="0"/>
    </xf>
    <xf numFmtId="0" fontId="28" fillId="0" borderId="5">
      <alignment horizontal="left" vertical="center"/>
    </xf>
    <xf numFmtId="166" fontId="114" fillId="0" borderId="45" applyFont="0" applyFill="0" applyBorder="0" applyAlignment="0" applyProtection="0"/>
    <xf numFmtId="216" fontId="31" fillId="0" borderId="41">
      <alignment horizontal="centerContinuous"/>
    </xf>
    <xf numFmtId="9" fontId="14" fillId="0" borderId="5" applyNumberFormat="0" applyFont="0" applyFill="0" applyAlignment="0" applyProtection="0"/>
    <xf numFmtId="0" fontId="29" fillId="0" borderId="27" applyNumberFormat="0" applyFont="0" applyFill="0" applyAlignment="0" applyProtection="0"/>
    <xf numFmtId="0" fontId="52" fillId="0" borderId="1" applyNumberFormat="0" applyFill="0" applyAlignment="0" applyProtection="0"/>
    <xf numFmtId="167" fontId="14" fillId="0" borderId="31">
      <protection locked="0"/>
    </xf>
    <xf numFmtId="0" fontId="28" fillId="0" borderId="5">
      <alignment horizontal="left" vertical="center"/>
    </xf>
    <xf numFmtId="10" fontId="55" fillId="28" borderId="1" applyNumberFormat="0" applyBorder="0" applyAlignment="0" applyProtection="0"/>
    <xf numFmtId="9" fontId="14" fillId="0" borderId="5" applyNumberFormat="0" applyFont="0" applyFill="0" applyAlignment="0" applyProtection="0"/>
    <xf numFmtId="0" fontId="52" fillId="0" borderId="1" applyNumberFormat="0" applyFill="0" applyAlignment="0" applyProtection="0"/>
    <xf numFmtId="167" fontId="14" fillId="0" borderId="31">
      <protection locked="0"/>
    </xf>
    <xf numFmtId="0" fontId="28" fillId="0" borderId="5">
      <alignment horizontal="left" vertical="center"/>
    </xf>
    <xf numFmtId="10" fontId="55" fillId="28" borderId="1" applyNumberFormat="0" applyBorder="0" applyAlignment="0" applyProtection="0"/>
    <xf numFmtId="166" fontId="114" fillId="0" borderId="45" applyFont="0" applyFill="0" applyBorder="0" applyAlignment="0" applyProtection="0"/>
    <xf numFmtId="216" fontId="31" fillId="0" borderId="41">
      <alignment horizontal="centerContinuous"/>
    </xf>
    <xf numFmtId="9" fontId="14" fillId="0" borderId="5" applyNumberFormat="0" applyFont="0" applyFill="0" applyAlignment="0" applyProtection="0"/>
    <xf numFmtId="0" fontId="29" fillId="0" borderId="27" applyNumberFormat="0" applyFont="0" applyFill="0" applyAlignment="0" applyProtection="0"/>
    <xf numFmtId="0" fontId="52" fillId="0" borderId="1" applyNumberFormat="0" applyFill="0" applyAlignment="0" applyProtection="0"/>
    <xf numFmtId="167" fontId="14" fillId="0" borderId="31">
      <protection locked="0"/>
    </xf>
    <xf numFmtId="0" fontId="28" fillId="0" borderId="5">
      <alignment horizontal="left" vertical="center"/>
    </xf>
    <xf numFmtId="10" fontId="55" fillId="28" borderId="1" applyNumberFormat="0" applyBorder="0" applyAlignment="0" applyProtection="0"/>
    <xf numFmtId="9" fontId="14" fillId="0" borderId="5" applyNumberFormat="0" applyFont="0" applyFill="0" applyAlignment="0" applyProtection="0"/>
    <xf numFmtId="216" fontId="31" fillId="0" borderId="41">
      <alignment horizontal="centerContinuous"/>
    </xf>
    <xf numFmtId="9" fontId="14" fillId="0" borderId="5" applyNumberFormat="0" applyFont="0" applyFill="0" applyAlignment="0" applyProtection="0"/>
    <xf numFmtId="166" fontId="114" fillId="0" borderId="45" applyFont="0" applyFill="0" applyBorder="0" applyAlignment="0" applyProtection="0"/>
    <xf numFmtId="0" fontId="52" fillId="0" borderId="1" applyNumberFormat="0" applyFill="0" applyAlignment="0" applyProtection="0"/>
    <xf numFmtId="167" fontId="14" fillId="0" borderId="31">
      <protection locked="0"/>
    </xf>
    <xf numFmtId="0" fontId="28" fillId="0" borderId="5">
      <alignment horizontal="left" vertical="center"/>
    </xf>
    <xf numFmtId="10" fontId="55" fillId="28" borderId="1" applyNumberFormat="0" applyBorder="0" applyAlignment="0" applyProtection="0"/>
    <xf numFmtId="10" fontId="55" fillId="28" borderId="1" applyNumberFormat="0" applyBorder="0" applyAlignment="0" applyProtection="0"/>
    <xf numFmtId="0" fontId="28" fillId="0" borderId="5">
      <alignment horizontal="left" vertical="center"/>
    </xf>
    <xf numFmtId="167" fontId="14" fillId="0" borderId="31">
      <protection locked="0"/>
    </xf>
    <xf numFmtId="0" fontId="52" fillId="0" borderId="1" applyNumberFormat="0" applyFill="0" applyAlignment="0" applyProtection="0"/>
    <xf numFmtId="166" fontId="114" fillId="0" borderId="45" applyFont="0" applyFill="0" applyBorder="0" applyAlignment="0" applyProtection="0"/>
    <xf numFmtId="9" fontId="149" fillId="0" borderId="5" applyNumberFormat="0" applyFont="0" applyFill="0" applyAlignment="0" applyProtection="0"/>
    <xf numFmtId="0" fontId="52" fillId="0" borderId="1" applyNumberFormat="0" applyFill="0" applyAlignment="0" applyProtection="0"/>
    <xf numFmtId="167" fontId="149" fillId="0" borderId="31">
      <protection locked="0"/>
    </xf>
    <xf numFmtId="10" fontId="55" fillId="28" borderId="1" applyNumberFormat="0" applyBorder="0" applyAlignment="0" applyProtection="0"/>
    <xf numFmtId="10" fontId="55" fillId="28" borderId="1" applyNumberFormat="0" applyBorder="0" applyAlignment="0" applyProtection="0"/>
    <xf numFmtId="0" fontId="28" fillId="0" borderId="5">
      <alignment horizontal="left" vertical="center"/>
    </xf>
    <xf numFmtId="167" fontId="149" fillId="0" borderId="31">
      <protection locked="0"/>
    </xf>
    <xf numFmtId="9" fontId="149" fillId="0" borderId="5" applyNumberFormat="0" applyFont="0" applyFill="0" applyAlignment="0" applyProtection="0"/>
    <xf numFmtId="216" fontId="31" fillId="0" borderId="41">
      <alignment horizontal="centerContinuous"/>
    </xf>
    <xf numFmtId="0" fontId="118" fillId="41" borderId="21" applyBorder="0" applyProtection="0">
      <alignment horizontal="centerContinuous" vertical="center"/>
    </xf>
    <xf numFmtId="209" fontId="117" fillId="0" borderId="21" applyBorder="0" applyProtection="0">
      <alignment horizontal="right" vertical="center"/>
    </xf>
    <xf numFmtId="222" fontId="31" fillId="0" borderId="21" applyFont="0" applyFill="0" applyBorder="0" applyAlignment="0" applyProtection="0"/>
    <xf numFmtId="221" fontId="31" fillId="0" borderId="21" applyFont="0" applyFill="0" applyBorder="0" applyProtection="0"/>
    <xf numFmtId="10" fontId="55" fillId="28" borderId="1" applyNumberFormat="0" applyBorder="0" applyAlignment="0" applyProtection="0"/>
    <xf numFmtId="0" fontId="83" fillId="35" borderId="21"/>
    <xf numFmtId="0" fontId="28" fillId="0" borderId="5">
      <alignment horizontal="left" vertical="center"/>
    </xf>
    <xf numFmtId="205" fontId="67" fillId="0" borderId="21" applyFill="0" applyBorder="0">
      <alignment horizontal="right"/>
    </xf>
    <xf numFmtId="0" fontId="60" fillId="0" borderId="21" applyNumberFormat="0" applyFill="0" applyProtection="0">
      <alignment horizontal="centerContinuous"/>
    </xf>
    <xf numFmtId="0" fontId="29" fillId="0" borderId="21" applyNumberFormat="0" applyFont="0" applyFill="0" applyAlignment="0" applyProtection="0"/>
    <xf numFmtId="9" fontId="14" fillId="0" borderId="5" applyNumberFormat="0" applyFont="0" applyFill="0" applyAlignment="0" applyProtection="0"/>
    <xf numFmtId="3" fontId="142" fillId="27" borderId="21">
      <alignment horizontal="center" vertical="center"/>
    </xf>
    <xf numFmtId="0" fontId="146" fillId="0" borderId="21" applyNumberFormat="0" applyProtection="0">
      <alignment horizontal="center"/>
    </xf>
    <xf numFmtId="3" fontId="142" fillId="44" borderId="21">
      <alignment horizontal="center"/>
    </xf>
    <xf numFmtId="0" fontId="29" fillId="0" borderId="27" applyNumberFormat="0" applyFont="0" applyFill="0" applyAlignment="0" applyProtection="0"/>
    <xf numFmtId="0" fontId="57" fillId="0" borderId="21" applyNumberFormat="0" applyFill="0" applyBorder="0" applyAlignment="0" applyProtection="0">
      <alignment horizontal="center"/>
    </xf>
    <xf numFmtId="0" fontId="53" fillId="0" borderId="21" applyNumberFormat="0" applyFont="0" applyFill="0" applyProtection="0">
      <alignment horizontal="centerContinuous" vertical="center"/>
    </xf>
    <xf numFmtId="0" fontId="52" fillId="0" borderId="1" applyNumberFormat="0" applyFill="0" applyAlignment="0" applyProtection="0"/>
    <xf numFmtId="0" fontId="29" fillId="0" borderId="27" applyNumberFormat="0" applyFont="0" applyFill="0" applyAlignment="0" applyProtection="0"/>
    <xf numFmtId="166" fontId="114" fillId="0" borderId="45" applyFont="0" applyFill="0" applyBorder="0" applyAlignment="0" applyProtection="0"/>
    <xf numFmtId="9" fontId="14" fillId="0" borderId="5" applyNumberFormat="0" applyFont="0" applyFill="0" applyAlignment="0" applyProtection="0"/>
    <xf numFmtId="10" fontId="55" fillId="28" borderId="1" applyNumberFormat="0" applyBorder="0" applyAlignment="0" applyProtection="0"/>
    <xf numFmtId="0" fontId="52" fillId="0" borderId="1" applyNumberFormat="0" applyFill="0" applyAlignment="0" applyProtection="0"/>
    <xf numFmtId="216" fontId="31" fillId="0" borderId="41">
      <alignment horizontal="centerContinuous"/>
    </xf>
    <xf numFmtId="9" fontId="14" fillId="0" borderId="5" applyNumberFormat="0" applyFont="0" applyFill="0" applyAlignment="0" applyProtection="0"/>
    <xf numFmtId="166" fontId="114" fillId="0" borderId="45" applyFont="0" applyFill="0" applyBorder="0" applyAlignment="0" applyProtection="0"/>
    <xf numFmtId="0" fontId="52" fillId="0" borderId="1" applyNumberFormat="0" applyFill="0" applyAlignment="0" applyProtection="0"/>
    <xf numFmtId="167" fontId="14" fillId="0" borderId="31">
      <protection locked="0"/>
    </xf>
    <xf numFmtId="0" fontId="52" fillId="0" borderId="1" applyNumberFormat="0" applyFill="0" applyAlignment="0" applyProtection="0"/>
    <xf numFmtId="9" fontId="14" fillId="0" borderId="5" applyNumberFormat="0" applyFont="0" applyFill="0" applyAlignment="0" applyProtection="0"/>
    <xf numFmtId="167" fontId="14" fillId="0" borderId="31">
      <protection locked="0"/>
    </xf>
    <xf numFmtId="167" fontId="14" fillId="0" borderId="31">
      <protection locked="0"/>
    </xf>
    <xf numFmtId="0" fontId="28" fillId="0" borderId="5">
      <alignment horizontal="left" vertical="center"/>
    </xf>
    <xf numFmtId="0" fontId="28" fillId="0" borderId="5">
      <alignment horizontal="left" vertical="center"/>
    </xf>
    <xf numFmtId="0" fontId="28" fillId="0" borderId="5">
      <alignment horizontal="left" vertical="center"/>
    </xf>
    <xf numFmtId="0" fontId="28" fillId="0" borderId="5">
      <alignment horizontal="left" vertical="center"/>
    </xf>
    <xf numFmtId="0" fontId="28" fillId="0" borderId="5">
      <alignment horizontal="left" vertical="center"/>
    </xf>
    <xf numFmtId="0" fontId="28" fillId="0" borderId="5">
      <alignment horizontal="left" vertical="center"/>
    </xf>
    <xf numFmtId="167" fontId="14" fillId="0" borderId="31">
      <protection locked="0"/>
    </xf>
    <xf numFmtId="0" fontId="52" fillId="0" borderId="1" applyNumberFormat="0" applyFill="0" applyAlignment="0" applyProtection="0"/>
    <xf numFmtId="166" fontId="114" fillId="0" borderId="45" applyFont="0" applyFill="0" applyBorder="0" applyAlignment="0" applyProtection="0"/>
    <xf numFmtId="9" fontId="14" fillId="0" borderId="5" applyNumberFormat="0" applyFont="0" applyFill="0" applyAlignment="0" applyProtection="0"/>
    <xf numFmtId="0" fontId="52" fillId="0" borderId="1" applyNumberFormat="0" applyFill="0" applyAlignment="0" applyProtection="0"/>
    <xf numFmtId="216" fontId="31" fillId="0" borderId="41">
      <alignment horizontal="centerContinuous"/>
    </xf>
    <xf numFmtId="166" fontId="114" fillId="0" borderId="45" applyFont="0" applyFill="0" applyBorder="0" applyAlignment="0" applyProtection="0"/>
    <xf numFmtId="0" fontId="29" fillId="0" borderId="27" applyNumberFormat="0" applyFont="0" applyFill="0" applyAlignment="0" applyProtection="0"/>
    <xf numFmtId="216" fontId="31" fillId="0" borderId="41">
      <alignment horizontal="centerContinuous"/>
    </xf>
    <xf numFmtId="9" fontId="14" fillId="0" borderId="5" applyNumberFormat="0" applyFont="0" applyFill="0" applyAlignment="0" applyProtection="0"/>
    <xf numFmtId="167" fontId="14" fillId="0" borderId="31">
      <protection locked="0"/>
    </xf>
    <xf numFmtId="9" fontId="14" fillId="0" borderId="5" applyNumberFormat="0" applyFont="0" applyFill="0" applyAlignment="0" applyProtection="0"/>
    <xf numFmtId="216" fontId="31" fillId="0" borderId="41">
      <alignment horizontal="centerContinuous"/>
    </xf>
    <xf numFmtId="0" fontId="4" fillId="0" borderId="0"/>
    <xf numFmtId="0" fontId="150" fillId="0" borderId="0"/>
    <xf numFmtId="180" fontId="150" fillId="0" borderId="0" applyFont="0" applyFill="0" applyBorder="0" applyAlignment="0" applyProtection="0"/>
    <xf numFmtId="9" fontId="150" fillId="0" borderId="0" applyFont="0" applyFill="0" applyBorder="0" applyAlignment="0" applyProtection="0"/>
    <xf numFmtId="250" fontId="134" fillId="0" borderId="21" applyBorder="0" applyProtection="0">
      <alignment horizontal="right"/>
    </xf>
    <xf numFmtId="0" fontId="52" fillId="0" borderId="1" applyNumberFormat="0" applyFill="0" applyAlignment="0" applyProtection="0"/>
    <xf numFmtId="0" fontId="4" fillId="0" borderId="0"/>
    <xf numFmtId="0" fontId="151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143" fillId="47" borderId="0" applyNumberFormat="0" applyBorder="0" applyAlignment="0" applyProtection="0"/>
    <xf numFmtId="0" fontId="143" fillId="48" borderId="0" applyNumberFormat="0" applyBorder="0" applyAlignment="0" applyProtection="0"/>
    <xf numFmtId="0" fontId="143" fillId="49" borderId="0" applyNumberFormat="0" applyBorder="0" applyAlignment="0" applyProtection="0"/>
    <xf numFmtId="0" fontId="143" fillId="50" borderId="0" applyNumberFormat="0" applyBorder="0" applyAlignment="0" applyProtection="0"/>
    <xf numFmtId="0" fontId="143" fillId="51" borderId="0" applyNumberFormat="0" applyBorder="0" applyAlignment="0" applyProtection="0"/>
    <xf numFmtId="0" fontId="143" fillId="52" borderId="0" applyNumberFormat="0" applyBorder="0" applyAlignment="0" applyProtection="0"/>
    <xf numFmtId="0" fontId="143" fillId="53" borderId="0" applyNumberFormat="0" applyBorder="0" applyAlignment="0" applyProtection="0"/>
    <xf numFmtId="0" fontId="143" fillId="54" borderId="0" applyNumberFormat="0" applyBorder="0" applyAlignment="0" applyProtection="0"/>
    <xf numFmtId="0" fontId="143" fillId="55" borderId="0" applyNumberFormat="0" applyBorder="0" applyAlignment="0" applyProtection="0"/>
    <xf numFmtId="0" fontId="143" fillId="50" borderId="0" applyNumberFormat="0" applyBorder="0" applyAlignment="0" applyProtection="0"/>
    <xf numFmtId="0" fontId="143" fillId="53" borderId="0" applyNumberFormat="0" applyBorder="0" applyAlignment="0" applyProtection="0"/>
    <xf numFmtId="0" fontId="143" fillId="56" borderId="0" applyNumberFormat="0" applyBorder="0" applyAlignment="0" applyProtection="0"/>
    <xf numFmtId="0" fontId="152" fillId="57" borderId="0" applyNumberFormat="0" applyBorder="0" applyAlignment="0" applyProtection="0"/>
    <xf numFmtId="0" fontId="152" fillId="54" borderId="0" applyNumberFormat="0" applyBorder="0" applyAlignment="0" applyProtection="0"/>
    <xf numFmtId="0" fontId="152" fillId="55" borderId="0" applyNumberFormat="0" applyBorder="0" applyAlignment="0" applyProtection="0"/>
    <xf numFmtId="0" fontId="152" fillId="58" borderId="0" applyNumberFormat="0" applyBorder="0" applyAlignment="0" applyProtection="0"/>
    <xf numFmtId="0" fontId="152" fillId="59" borderId="0" applyNumberFormat="0" applyBorder="0" applyAlignment="0" applyProtection="0"/>
    <xf numFmtId="0" fontId="152" fillId="60" borderId="0" applyNumberFormat="0" applyBorder="0" applyAlignment="0" applyProtection="0"/>
    <xf numFmtId="0" fontId="152" fillId="61" borderId="0" applyNumberFormat="0" applyBorder="0" applyAlignment="0" applyProtection="0"/>
    <xf numFmtId="0" fontId="152" fillId="62" borderId="0" applyNumberFormat="0" applyBorder="0" applyAlignment="0" applyProtection="0"/>
    <xf numFmtId="0" fontId="152" fillId="63" borderId="0" applyNumberFormat="0" applyBorder="0" applyAlignment="0" applyProtection="0"/>
    <xf numFmtId="0" fontId="152" fillId="58" borderId="0" applyNumberFormat="0" applyBorder="0" applyAlignment="0" applyProtection="0"/>
    <xf numFmtId="0" fontId="152" fillId="59" borderId="0" applyNumberFormat="0" applyBorder="0" applyAlignment="0" applyProtection="0"/>
    <xf numFmtId="0" fontId="152" fillId="64" borderId="0" applyNumberFormat="0" applyBorder="0" applyAlignment="0" applyProtection="0"/>
    <xf numFmtId="0" fontId="153" fillId="48" borderId="0" applyNumberFormat="0" applyBorder="0" applyAlignment="0" applyProtection="0"/>
    <xf numFmtId="0" fontId="154" fillId="65" borderId="47" applyNumberFormat="0" applyAlignment="0" applyProtection="0"/>
    <xf numFmtId="0" fontId="155" fillId="66" borderId="48" applyNumberFormat="0" applyAlignment="0" applyProtection="0"/>
    <xf numFmtId="40" fontId="29" fillId="0" borderId="0" applyFont="0" applyFill="0" applyBorder="0" applyAlignment="0" applyProtection="0"/>
    <xf numFmtId="0" fontId="156" fillId="0" borderId="0" applyNumberFormat="0" applyFill="0" applyBorder="0" applyAlignment="0" applyProtection="0"/>
    <xf numFmtId="0" fontId="157" fillId="49" borderId="0" applyNumberFormat="0" applyBorder="0" applyAlignment="0" applyProtection="0"/>
    <xf numFmtId="0" fontId="158" fillId="0" borderId="49" applyNumberFormat="0" applyFill="0" applyAlignment="0" applyProtection="0"/>
    <xf numFmtId="0" fontId="159" fillId="0" borderId="50" applyNumberFormat="0" applyFill="0" applyAlignment="0" applyProtection="0"/>
    <xf numFmtId="0" fontId="160" fillId="0" borderId="51" applyNumberFormat="0" applyFill="0" applyAlignment="0" applyProtection="0"/>
    <xf numFmtId="0" fontId="160" fillId="0" borderId="0" applyNumberFormat="0" applyFill="0" applyBorder="0" applyAlignment="0" applyProtection="0"/>
    <xf numFmtId="0" fontId="161" fillId="52" borderId="47" applyNumberFormat="0" applyAlignment="0" applyProtection="0"/>
    <xf numFmtId="0" fontId="162" fillId="0" borderId="52" applyNumberFormat="0" applyFill="0" applyAlignment="0" applyProtection="0"/>
    <xf numFmtId="0" fontId="163" fillId="67" borderId="0" applyNumberFormat="0" applyBorder="0" applyAlignment="0" applyProtection="0"/>
    <xf numFmtId="0" fontId="29" fillId="68" borderId="53" applyNumberFormat="0" applyFont="0" applyAlignment="0" applyProtection="0"/>
    <xf numFmtId="0" fontId="164" fillId="65" borderId="54" applyNumberFormat="0" applyAlignment="0" applyProtection="0"/>
    <xf numFmtId="0" fontId="165" fillId="0" borderId="0" applyNumberFormat="0" applyFill="0" applyBorder="0" applyAlignment="0" applyProtection="0"/>
    <xf numFmtId="0" fontId="166" fillId="0" borderId="55" applyNumberFormat="0" applyFill="0" applyAlignment="0" applyProtection="0"/>
    <xf numFmtId="0" fontId="167" fillId="0" borderId="0" applyNumberFormat="0" applyFill="0" applyBorder="0" applyAlignment="0" applyProtection="0"/>
    <xf numFmtId="0" fontId="154" fillId="65" borderId="47" applyNumberFormat="0" applyAlignment="0" applyProtection="0"/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143" fillId="47" borderId="0" applyNumberFormat="0" applyBorder="0" applyAlignment="0" applyProtection="0"/>
    <xf numFmtId="0" fontId="143" fillId="48" borderId="0" applyNumberFormat="0" applyBorder="0" applyAlignment="0" applyProtection="0"/>
    <xf numFmtId="0" fontId="143" fillId="49" borderId="0" applyNumberFormat="0" applyBorder="0" applyAlignment="0" applyProtection="0"/>
    <xf numFmtId="0" fontId="143" fillId="50" borderId="0" applyNumberFormat="0" applyBorder="0" applyAlignment="0" applyProtection="0"/>
    <xf numFmtId="0" fontId="143" fillId="51" borderId="0" applyNumberFormat="0" applyBorder="0" applyAlignment="0" applyProtection="0"/>
    <xf numFmtId="0" fontId="143" fillId="52" borderId="0" applyNumberFormat="0" applyBorder="0" applyAlignment="0" applyProtection="0"/>
    <xf numFmtId="0" fontId="168" fillId="47" borderId="0" applyNumberFormat="0" applyBorder="0" applyAlignment="0" applyProtection="0">
      <alignment vertical="center"/>
    </xf>
    <xf numFmtId="0" fontId="168" fillId="48" borderId="0" applyNumberFormat="0" applyBorder="0" applyAlignment="0" applyProtection="0">
      <alignment vertical="center"/>
    </xf>
    <xf numFmtId="0" fontId="168" fillId="49" borderId="0" applyNumberFormat="0" applyBorder="0" applyAlignment="0" applyProtection="0">
      <alignment vertical="center"/>
    </xf>
    <xf numFmtId="0" fontId="168" fillId="50" borderId="0" applyNumberFormat="0" applyBorder="0" applyAlignment="0" applyProtection="0">
      <alignment vertical="center"/>
    </xf>
    <xf numFmtId="0" fontId="168" fillId="51" borderId="0" applyNumberFormat="0" applyBorder="0" applyAlignment="0" applyProtection="0">
      <alignment vertical="center"/>
    </xf>
    <xf numFmtId="0" fontId="168" fillId="52" borderId="0" applyNumberFormat="0" applyBorder="0" applyAlignment="0" applyProtection="0">
      <alignment vertical="center"/>
    </xf>
    <xf numFmtId="0" fontId="143" fillId="53" borderId="0" applyNumberFormat="0" applyBorder="0" applyAlignment="0" applyProtection="0"/>
    <xf numFmtId="0" fontId="143" fillId="54" borderId="0" applyNumberFormat="0" applyBorder="0" applyAlignment="0" applyProtection="0"/>
    <xf numFmtId="0" fontId="143" fillId="55" borderId="0" applyNumberFormat="0" applyBorder="0" applyAlignment="0" applyProtection="0"/>
    <xf numFmtId="0" fontId="143" fillId="50" borderId="0" applyNumberFormat="0" applyBorder="0" applyAlignment="0" applyProtection="0"/>
    <xf numFmtId="0" fontId="143" fillId="53" borderId="0" applyNumberFormat="0" applyBorder="0" applyAlignment="0" applyProtection="0"/>
    <xf numFmtId="0" fontId="143" fillId="56" borderId="0" applyNumberFormat="0" applyBorder="0" applyAlignment="0" applyProtection="0"/>
    <xf numFmtId="0" fontId="168" fillId="53" borderId="0" applyNumberFormat="0" applyBorder="0" applyAlignment="0" applyProtection="0">
      <alignment vertical="center"/>
    </xf>
    <xf numFmtId="0" fontId="168" fillId="54" borderId="0" applyNumberFormat="0" applyBorder="0" applyAlignment="0" applyProtection="0">
      <alignment vertical="center"/>
    </xf>
    <xf numFmtId="0" fontId="168" fillId="55" borderId="0" applyNumberFormat="0" applyBorder="0" applyAlignment="0" applyProtection="0">
      <alignment vertical="center"/>
    </xf>
    <xf numFmtId="0" fontId="168" fillId="50" borderId="0" applyNumberFormat="0" applyBorder="0" applyAlignment="0" applyProtection="0">
      <alignment vertical="center"/>
    </xf>
    <xf numFmtId="0" fontId="168" fillId="53" borderId="0" applyNumberFormat="0" applyBorder="0" applyAlignment="0" applyProtection="0">
      <alignment vertical="center"/>
    </xf>
    <xf numFmtId="0" fontId="168" fillId="56" borderId="0" applyNumberFormat="0" applyBorder="0" applyAlignment="0" applyProtection="0">
      <alignment vertical="center"/>
    </xf>
    <xf numFmtId="0" fontId="152" fillId="57" borderId="0" applyNumberFormat="0" applyBorder="0" applyAlignment="0" applyProtection="0"/>
    <xf numFmtId="0" fontId="152" fillId="54" borderId="0" applyNumberFormat="0" applyBorder="0" applyAlignment="0" applyProtection="0"/>
    <xf numFmtId="0" fontId="152" fillId="55" borderId="0" applyNumberFormat="0" applyBorder="0" applyAlignment="0" applyProtection="0"/>
    <xf numFmtId="0" fontId="152" fillId="58" borderId="0" applyNumberFormat="0" applyBorder="0" applyAlignment="0" applyProtection="0"/>
    <xf numFmtId="0" fontId="152" fillId="59" borderId="0" applyNumberFormat="0" applyBorder="0" applyAlignment="0" applyProtection="0"/>
    <xf numFmtId="0" fontId="152" fillId="60" borderId="0" applyNumberFormat="0" applyBorder="0" applyAlignment="0" applyProtection="0"/>
    <xf numFmtId="0" fontId="169" fillId="57" borderId="0" applyNumberFormat="0" applyBorder="0" applyAlignment="0" applyProtection="0">
      <alignment vertical="center"/>
    </xf>
    <xf numFmtId="0" fontId="169" fillId="54" borderId="0" applyNumberFormat="0" applyBorder="0" applyAlignment="0" applyProtection="0">
      <alignment vertical="center"/>
    </xf>
    <xf numFmtId="0" fontId="169" fillId="55" borderId="0" applyNumberFormat="0" applyBorder="0" applyAlignment="0" applyProtection="0">
      <alignment vertical="center"/>
    </xf>
    <xf numFmtId="0" fontId="169" fillId="58" borderId="0" applyNumberFormat="0" applyBorder="0" applyAlignment="0" applyProtection="0">
      <alignment vertical="center"/>
    </xf>
    <xf numFmtId="0" fontId="169" fillId="59" borderId="0" applyNumberFormat="0" applyBorder="0" applyAlignment="0" applyProtection="0">
      <alignment vertical="center"/>
    </xf>
    <xf numFmtId="0" fontId="169" fillId="60" borderId="0" applyNumberFormat="0" applyBorder="0" applyAlignment="0" applyProtection="0">
      <alignment vertical="center"/>
    </xf>
    <xf numFmtId="0" fontId="143" fillId="69" borderId="0" applyNumberFormat="0" applyBorder="0" applyAlignment="0" applyProtection="0"/>
    <xf numFmtId="0" fontId="143" fillId="69" borderId="0" applyNumberFormat="0" applyBorder="0" applyAlignment="0" applyProtection="0"/>
    <xf numFmtId="0" fontId="152" fillId="70" borderId="0" applyNumberFormat="0" applyBorder="0" applyAlignment="0" applyProtection="0"/>
    <xf numFmtId="0" fontId="143" fillId="71" borderId="0" applyNumberFormat="0" applyBorder="0" applyAlignment="0" applyProtection="0"/>
    <xf numFmtId="0" fontId="143" fillId="72" borderId="0" applyNumberFormat="0" applyBorder="0" applyAlignment="0" applyProtection="0"/>
    <xf numFmtId="0" fontId="152" fillId="73" borderId="0" applyNumberFormat="0" applyBorder="0" applyAlignment="0" applyProtection="0"/>
    <xf numFmtId="0" fontId="143" fillId="71" borderId="0" applyNumberFormat="0" applyBorder="0" applyAlignment="0" applyProtection="0"/>
    <xf numFmtId="0" fontId="143" fillId="74" borderId="0" applyNumberFormat="0" applyBorder="0" applyAlignment="0" applyProtection="0"/>
    <xf numFmtId="0" fontId="152" fillId="72" borderId="0" applyNumberFormat="0" applyBorder="0" applyAlignment="0" applyProtection="0"/>
    <xf numFmtId="0" fontId="143" fillId="69" borderId="0" applyNumberFormat="0" applyBorder="0" applyAlignment="0" applyProtection="0"/>
    <xf numFmtId="0" fontId="143" fillId="72" borderId="0" applyNumberFormat="0" applyBorder="0" applyAlignment="0" applyProtection="0"/>
    <xf numFmtId="0" fontId="152" fillId="72" borderId="0" applyNumberFormat="0" applyBorder="0" applyAlignment="0" applyProtection="0"/>
    <xf numFmtId="0" fontId="143" fillId="75" borderId="0" applyNumberFormat="0" applyBorder="0" applyAlignment="0" applyProtection="0"/>
    <xf numFmtId="0" fontId="143" fillId="69" borderId="0" applyNumberFormat="0" applyBorder="0" applyAlignment="0" applyProtection="0"/>
    <xf numFmtId="0" fontId="152" fillId="70" borderId="0" applyNumberFormat="0" applyBorder="0" applyAlignment="0" applyProtection="0"/>
    <xf numFmtId="0" fontId="143" fillId="71" borderId="0" applyNumberFormat="0" applyBorder="0" applyAlignment="0" applyProtection="0"/>
    <xf numFmtId="0" fontId="143" fillId="76" borderId="0" applyNumberFormat="0" applyBorder="0" applyAlignment="0" applyProtection="0"/>
    <xf numFmtId="0" fontId="152" fillId="76" borderId="0" applyNumberFormat="0" applyBorder="0" applyAlignment="0" applyProtection="0"/>
    <xf numFmtId="0" fontId="157" fillId="49" borderId="0" applyNumberFormat="0" applyBorder="0" applyAlignment="0" applyProtection="0"/>
    <xf numFmtId="167" fontId="14" fillId="0" borderId="31">
      <protection locked="0"/>
    </xf>
    <xf numFmtId="0" fontId="141" fillId="77" borderId="56">
      <alignment horizontal="center"/>
    </xf>
    <xf numFmtId="0" fontId="157" fillId="49" borderId="0" applyNumberFormat="0" applyBorder="0" applyAlignment="0" applyProtection="0"/>
    <xf numFmtId="9" fontId="14" fillId="0" borderId="5" applyNumberFormat="0" applyFont="0" applyFill="0" applyAlignment="0" applyProtection="0"/>
    <xf numFmtId="0" fontId="29" fillId="0" borderId="46" applyNumberFormat="0" applyFont="0" applyFill="0" applyAlignment="0" applyProtection="0"/>
    <xf numFmtId="0" fontId="154" fillId="65" borderId="47" applyNumberFormat="0" applyAlignment="0" applyProtection="0"/>
    <xf numFmtId="0" fontId="154" fillId="65" borderId="47" applyNumberFormat="0" applyAlignment="0" applyProtection="0"/>
    <xf numFmtId="187" fontId="14" fillId="0" borderId="0" applyFont="0" applyFill="0" applyBorder="0" applyAlignment="0" applyProtection="0"/>
    <xf numFmtId="0" fontId="155" fillId="66" borderId="48" applyNumberFormat="0" applyAlignment="0" applyProtection="0"/>
    <xf numFmtId="0" fontId="162" fillId="0" borderId="52" applyNumberFormat="0" applyFill="0" applyAlignment="0" applyProtection="0"/>
    <xf numFmtId="0" fontId="155" fillId="66" borderId="48" applyNumberFormat="0" applyAlignment="0" applyProtection="0"/>
    <xf numFmtId="0" fontId="162" fillId="0" borderId="52" applyNumberFormat="0" applyFill="0" applyAlignment="0" applyProtection="0"/>
    <xf numFmtId="0" fontId="170" fillId="0" borderId="0" applyNumberFormat="0" applyFill="0" applyBorder="0" applyAlignment="0" applyProtection="0">
      <alignment vertical="top"/>
      <protection locked="0"/>
    </xf>
    <xf numFmtId="215" fontId="31" fillId="0" borderId="0"/>
    <xf numFmtId="215" fontId="31" fillId="0" borderId="0"/>
    <xf numFmtId="215" fontId="31" fillId="0" borderId="0"/>
    <xf numFmtId="215" fontId="31" fillId="0" borderId="0"/>
    <xf numFmtId="215" fontId="31" fillId="0" borderId="0"/>
    <xf numFmtId="215" fontId="31" fillId="0" borderId="0"/>
    <xf numFmtId="215" fontId="31" fillId="0" borderId="0"/>
    <xf numFmtId="215" fontId="31" fillId="0" borderId="0"/>
    <xf numFmtId="169" fontId="14" fillId="0" borderId="0" applyFont="0" applyFill="0" applyBorder="0" applyAlignment="0" applyProtection="0"/>
    <xf numFmtId="0" fontId="154" fillId="65" borderId="47" applyNumberFormat="0" applyAlignment="0" applyProtection="0"/>
    <xf numFmtId="167" fontId="14" fillId="0" borderId="31">
      <protection locked="0"/>
    </xf>
    <xf numFmtId="170" fontId="143" fillId="0" borderId="0" applyFont="0" applyFill="0" applyBorder="0" applyAlignment="0" applyProtection="0"/>
    <xf numFmtId="168" fontId="14" fillId="0" borderId="0" applyFont="0" applyFill="0" applyBorder="0" applyAlignment="0" applyProtection="0"/>
    <xf numFmtId="0" fontId="171" fillId="0" borderId="0" applyFont="0" applyFill="0" applyBorder="0" applyAlignment="0" applyProtection="0"/>
    <xf numFmtId="9" fontId="14" fillId="0" borderId="5" applyNumberFormat="0" applyFont="0" applyFill="0" applyAlignment="0" applyProtection="0"/>
    <xf numFmtId="0" fontId="166" fillId="78" borderId="0" applyNumberFormat="0" applyBorder="0" applyAlignment="0" applyProtection="0"/>
    <xf numFmtId="0" fontId="166" fillId="79" borderId="0" applyNumberFormat="0" applyBorder="0" applyAlignment="0" applyProtection="0"/>
    <xf numFmtId="0" fontId="166" fillId="80" borderId="0" applyNumberFormat="0" applyBorder="0" applyAlignment="0" applyProtection="0"/>
    <xf numFmtId="0" fontId="152" fillId="61" borderId="0" applyNumberFormat="0" applyBorder="0" applyAlignment="0" applyProtection="0"/>
    <xf numFmtId="0" fontId="152" fillId="62" borderId="0" applyNumberFormat="0" applyBorder="0" applyAlignment="0" applyProtection="0"/>
    <xf numFmtId="0" fontId="152" fillId="63" borderId="0" applyNumberFormat="0" applyBorder="0" applyAlignment="0" applyProtection="0"/>
    <xf numFmtId="0" fontId="152" fillId="58" borderId="0" applyNumberFormat="0" applyBorder="0" applyAlignment="0" applyProtection="0"/>
    <xf numFmtId="0" fontId="152" fillId="59" borderId="0" applyNumberFormat="0" applyBorder="0" applyAlignment="0" applyProtection="0"/>
    <xf numFmtId="0" fontId="152" fillId="64" borderId="0" applyNumberFormat="0" applyBorder="0" applyAlignment="0" applyProtection="0"/>
    <xf numFmtId="0" fontId="161" fillId="52" borderId="47" applyNumberFormat="0" applyAlignment="0" applyProtection="0"/>
    <xf numFmtId="0" fontId="28" fillId="0" borderId="5">
      <alignment horizontal="left" vertical="center"/>
    </xf>
    <xf numFmtId="0" fontId="153" fillId="48" borderId="0" applyNumberFormat="0" applyBorder="0" applyAlignment="0" applyProtection="0"/>
    <xf numFmtId="0" fontId="153" fillId="48" borderId="0" applyNumberFormat="0" applyBorder="0" applyAlignment="0" applyProtection="0"/>
    <xf numFmtId="169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87" fontId="14" fillId="0" borderId="0" applyFont="0" applyFill="0" applyBorder="0" applyAlignment="0" applyProtection="0"/>
    <xf numFmtId="0" fontId="163" fillId="67" borderId="0" applyNumberFormat="0" applyBorder="0" applyAlignment="0" applyProtection="0"/>
    <xf numFmtId="0" fontId="14" fillId="68" borderId="53" applyNumberFormat="0" applyFont="0" applyAlignment="0" applyProtection="0"/>
    <xf numFmtId="0" fontId="164" fillId="65" borderId="54" applyNumberFormat="0" applyAlignment="0" applyProtection="0"/>
    <xf numFmtId="0" fontId="29" fillId="68" borderId="53" applyNumberFormat="0" applyFont="0" applyAlignment="0" applyProtection="0"/>
    <xf numFmtId="0" fontId="161" fillId="52" borderId="47" applyNumberFormat="0" applyAlignment="0" applyProtection="0"/>
    <xf numFmtId="0" fontId="154" fillId="65" borderId="47" applyNumberFormat="0" applyAlignment="0" applyProtection="0"/>
    <xf numFmtId="0" fontId="164" fillId="65" borderId="54" applyNumberFormat="0" applyAlignment="0" applyProtection="0"/>
    <xf numFmtId="0" fontId="164" fillId="65" borderId="54" applyNumberFormat="0" applyAlignment="0" applyProtection="0"/>
    <xf numFmtId="0" fontId="172" fillId="0" borderId="0" applyNumberFormat="0" applyFill="0" applyBorder="0" applyAlignment="0" applyProtection="0"/>
    <xf numFmtId="0" fontId="173" fillId="0" borderId="0"/>
    <xf numFmtId="166" fontId="114" fillId="0" borderId="45" applyFont="0" applyFill="0" applyBorder="0" applyAlignment="0" applyProtection="0"/>
    <xf numFmtId="49" fontId="34" fillId="0" borderId="0" applyFont="0" applyFill="0" applyBorder="0" applyAlignment="0"/>
    <xf numFmtId="0" fontId="167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20" fillId="0" borderId="0"/>
    <xf numFmtId="0" fontId="167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216" fontId="31" fillId="0" borderId="41">
      <alignment horizontal="centerContinuous"/>
    </xf>
    <xf numFmtId="0" fontId="165" fillId="0" borderId="0" applyNumberFormat="0" applyFill="0" applyBorder="0" applyAlignment="0" applyProtection="0"/>
    <xf numFmtId="0" fontId="158" fillId="0" borderId="49" applyNumberFormat="0" applyFill="0" applyAlignment="0" applyProtection="0"/>
    <xf numFmtId="0" fontId="159" fillId="0" borderId="50" applyNumberFormat="0" applyFill="0" applyAlignment="0" applyProtection="0"/>
    <xf numFmtId="0" fontId="160" fillId="0" borderId="51" applyNumberFormat="0" applyFill="0" applyAlignment="0" applyProtection="0"/>
    <xf numFmtId="0" fontId="160" fillId="0" borderId="0" applyNumberFormat="0" applyFill="0" applyBorder="0" applyAlignment="0" applyProtection="0"/>
    <xf numFmtId="0" fontId="165" fillId="0" borderId="0" applyNumberFormat="0" applyFill="0" applyBorder="0" applyAlignment="0" applyProtection="0"/>
    <xf numFmtId="0" fontId="158" fillId="0" borderId="49" applyNumberFormat="0" applyFill="0" applyAlignment="0" applyProtection="0"/>
    <xf numFmtId="0" fontId="159" fillId="0" borderId="50" applyNumberFormat="0" applyFill="0" applyAlignment="0" applyProtection="0"/>
    <xf numFmtId="0" fontId="160" fillId="0" borderId="51" applyNumberFormat="0" applyFill="0" applyAlignment="0" applyProtection="0"/>
    <xf numFmtId="0" fontId="160" fillId="0" borderId="0" applyNumberFormat="0" applyFill="0" applyBorder="0" applyAlignment="0" applyProtection="0"/>
    <xf numFmtId="0" fontId="169" fillId="61" borderId="0" applyNumberFormat="0" applyBorder="0" applyAlignment="0" applyProtection="0">
      <alignment vertical="center"/>
    </xf>
    <xf numFmtId="0" fontId="169" fillId="62" borderId="0" applyNumberFormat="0" applyBorder="0" applyAlignment="0" applyProtection="0">
      <alignment vertical="center"/>
    </xf>
    <xf numFmtId="0" fontId="169" fillId="63" borderId="0" applyNumberFormat="0" applyBorder="0" applyAlignment="0" applyProtection="0">
      <alignment vertical="center"/>
    </xf>
    <xf numFmtId="0" fontId="169" fillId="58" borderId="0" applyNumberFormat="0" applyBorder="0" applyAlignment="0" applyProtection="0">
      <alignment vertical="center"/>
    </xf>
    <xf numFmtId="0" fontId="169" fillId="59" borderId="0" applyNumberFormat="0" applyBorder="0" applyAlignment="0" applyProtection="0">
      <alignment vertical="center"/>
    </xf>
    <xf numFmtId="0" fontId="169" fillId="64" borderId="0" applyNumberFormat="0" applyBorder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0" fontId="175" fillId="66" borderId="48" applyNumberFormat="0" applyAlignment="0" applyProtection="0">
      <alignment vertical="center"/>
    </xf>
    <xf numFmtId="0" fontId="176" fillId="67" borderId="0" applyNumberFormat="0" applyBorder="0" applyAlignment="0" applyProtection="0">
      <alignment vertical="center"/>
    </xf>
    <xf numFmtId="0" fontId="14" fillId="68" borderId="53" applyNumberFormat="0" applyFont="0" applyAlignment="0" applyProtection="0">
      <alignment vertical="center"/>
    </xf>
    <xf numFmtId="0" fontId="177" fillId="0" borderId="52" applyNumberFormat="0" applyFill="0" applyAlignment="0" applyProtection="0">
      <alignment vertical="center"/>
    </xf>
    <xf numFmtId="0" fontId="178" fillId="52" borderId="47" applyNumberFormat="0" applyAlignment="0" applyProtection="0">
      <alignment vertical="center"/>
    </xf>
    <xf numFmtId="0" fontId="179" fillId="65" borderId="54" applyNumberFormat="0" applyAlignment="0" applyProtection="0">
      <alignment vertical="center"/>
    </xf>
    <xf numFmtId="0" fontId="180" fillId="48" borderId="0" applyNumberFormat="0" applyBorder="0" applyAlignment="0" applyProtection="0">
      <alignment vertical="center"/>
    </xf>
    <xf numFmtId="0" fontId="181" fillId="49" borderId="0" applyNumberFormat="0" applyBorder="0" applyAlignment="0" applyProtection="0">
      <alignment vertical="center"/>
    </xf>
    <xf numFmtId="0" fontId="182" fillId="0" borderId="49" applyNumberFormat="0" applyFill="0" applyAlignment="0" applyProtection="0">
      <alignment vertical="center"/>
    </xf>
    <xf numFmtId="0" fontId="183" fillId="0" borderId="50" applyNumberFormat="0" applyFill="0" applyAlignment="0" applyProtection="0">
      <alignment vertical="center"/>
    </xf>
    <xf numFmtId="0" fontId="184" fillId="0" borderId="51" applyNumberFormat="0" applyFill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5" fillId="65" borderId="47" applyNumberFormat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8" fillId="0" borderId="55" applyNumberFormat="0" applyFill="0" applyAlignment="0" applyProtection="0">
      <alignment vertical="center"/>
    </xf>
    <xf numFmtId="0" fontId="14" fillId="0" borderId="0"/>
    <xf numFmtId="0" fontId="166" fillId="0" borderId="55" applyNumberFormat="0" applyFill="0" applyAlignment="0" applyProtection="0"/>
    <xf numFmtId="171" fontId="14" fillId="0" borderId="0" applyFont="0" applyFill="0" applyBorder="0" applyAlignment="0" applyProtection="0"/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1" fontId="33" fillId="0" borderId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55" fillId="0" borderId="0" applyNumberFormat="0" applyFill="0" applyBorder="0" applyAlignment="0" applyProtection="0"/>
    <xf numFmtId="0" fontId="31" fillId="0" borderId="0"/>
    <xf numFmtId="234" fontId="45" fillId="0" borderId="0"/>
    <xf numFmtId="234" fontId="45" fillId="0" borderId="0"/>
    <xf numFmtId="0" fontId="31" fillId="0" borderId="0"/>
    <xf numFmtId="234" fontId="45" fillId="0" borderId="0"/>
    <xf numFmtId="0" fontId="31" fillId="0" borderId="0"/>
    <xf numFmtId="0" fontId="31" fillId="0" borderId="0"/>
    <xf numFmtId="9" fontId="14" fillId="0" borderId="0" applyFont="0" applyFill="0" applyBorder="0" applyAlignment="0" applyProtection="0"/>
    <xf numFmtId="0" fontId="31" fillId="0" borderId="0">
      <alignment vertical="top"/>
    </xf>
    <xf numFmtId="185" fontId="31" fillId="0" borderId="0">
      <alignment vertical="top"/>
    </xf>
    <xf numFmtId="185" fontId="31" fillId="0" borderId="0">
      <alignment vertical="top"/>
    </xf>
    <xf numFmtId="0" fontId="69" fillId="0" borderId="0">
      <alignment vertical="top"/>
    </xf>
    <xf numFmtId="185" fontId="31" fillId="0" borderId="0">
      <alignment vertical="top"/>
    </xf>
    <xf numFmtId="0" fontId="69" fillId="0" borderId="0">
      <alignment vertical="top"/>
    </xf>
    <xf numFmtId="0" fontId="31" fillId="0" borderId="0">
      <alignment vertical="top"/>
    </xf>
    <xf numFmtId="185" fontId="31" fillId="0" borderId="0">
      <alignment vertical="top"/>
    </xf>
    <xf numFmtId="0" fontId="69" fillId="0" borderId="0"/>
    <xf numFmtId="185" fontId="133" fillId="42" borderId="0">
      <alignment horizontal="right"/>
    </xf>
    <xf numFmtId="0" fontId="14" fillId="0" borderId="0"/>
    <xf numFmtId="0" fontId="189" fillId="0" borderId="0"/>
    <xf numFmtId="9" fontId="189" fillId="0" borderId="0" applyFont="0" applyFill="0" applyBorder="0" applyAlignment="0" applyProtection="0"/>
    <xf numFmtId="0" fontId="161" fillId="52" borderId="47" applyNumberFormat="0" applyAlignment="0" applyProtection="0"/>
    <xf numFmtId="0" fontId="28" fillId="0" borderId="5">
      <alignment horizontal="left" vertical="center"/>
    </xf>
    <xf numFmtId="10" fontId="55" fillId="28" borderId="1" applyNumberFormat="0" applyBorder="0" applyAlignment="0" applyProtection="0"/>
    <xf numFmtId="0" fontId="14" fillId="68" borderId="53" applyNumberFormat="0" applyFont="0" applyAlignment="0" applyProtection="0"/>
    <xf numFmtId="0" fontId="164" fillId="65" borderId="54" applyNumberFormat="0" applyAlignment="0" applyProtection="0"/>
    <xf numFmtId="0" fontId="164" fillId="65" borderId="54" applyNumberFormat="0" applyAlignment="0" applyProtection="0"/>
    <xf numFmtId="166" fontId="114" fillId="0" borderId="26" applyFont="0" applyFill="0" applyBorder="0" applyAlignment="0" applyProtection="0"/>
    <xf numFmtId="49" fontId="34" fillId="0" borderId="0" applyFont="0" applyFill="0" applyBorder="0" applyAlignment="0"/>
    <xf numFmtId="216" fontId="31" fillId="0" borderId="41">
      <alignment horizontal="centerContinuous"/>
    </xf>
    <xf numFmtId="0" fontId="14" fillId="68" borderId="53" applyNumberFormat="0" applyFont="0" applyAlignment="0" applyProtection="0">
      <alignment vertical="center"/>
    </xf>
    <xf numFmtId="0" fontId="178" fillId="52" borderId="47" applyNumberFormat="0" applyAlignment="0" applyProtection="0">
      <alignment vertical="center"/>
    </xf>
    <xf numFmtId="0" fontId="179" fillId="65" borderId="54" applyNumberFormat="0" applyAlignment="0" applyProtection="0">
      <alignment vertical="center"/>
    </xf>
    <xf numFmtId="0" fontId="185" fillId="65" borderId="47" applyNumberFormat="0" applyAlignment="0" applyProtection="0">
      <alignment vertical="center"/>
    </xf>
    <xf numFmtId="0" fontId="188" fillId="0" borderId="55" applyNumberFormat="0" applyFill="0" applyAlignment="0" applyProtection="0">
      <alignment vertical="center"/>
    </xf>
    <xf numFmtId="167" fontId="14" fillId="0" borderId="31">
      <protection locked="0"/>
    </xf>
    <xf numFmtId="10" fontId="55" fillId="28" borderId="1" applyNumberFormat="0" applyBorder="0" applyAlignment="0" applyProtection="0"/>
    <xf numFmtId="166" fontId="114" fillId="0" borderId="45" applyFont="0" applyFill="0" applyBorder="0" applyAlignment="0" applyProtection="0"/>
    <xf numFmtId="167" fontId="14" fillId="0" borderId="31">
      <protection locked="0"/>
    </xf>
    <xf numFmtId="0" fontId="28" fillId="0" borderId="5">
      <alignment horizontal="left" vertical="center"/>
    </xf>
    <xf numFmtId="9" fontId="14" fillId="0" borderId="5" applyNumberFormat="0" applyFont="0" applyFill="0" applyAlignment="0" applyProtection="0"/>
    <xf numFmtId="10" fontId="55" fillId="28" borderId="1" applyNumberFormat="0" applyBorder="0" applyAlignment="0" applyProtection="0"/>
    <xf numFmtId="0" fontId="29" fillId="68" borderId="53" applyNumberFormat="0" applyFont="0" applyAlignment="0" applyProtection="0"/>
    <xf numFmtId="0" fontId="28" fillId="0" borderId="5">
      <alignment horizontal="left" vertical="center"/>
    </xf>
    <xf numFmtId="216" fontId="31" fillId="0" borderId="41">
      <alignment horizontal="centerContinuous"/>
    </xf>
    <xf numFmtId="0" fontId="164" fillId="65" borderId="54" applyNumberFormat="0" applyAlignment="0" applyProtection="0"/>
    <xf numFmtId="9" fontId="149" fillId="0" borderId="5" applyNumberFormat="0" applyFont="0" applyFill="0" applyAlignment="0" applyProtection="0"/>
    <xf numFmtId="0" fontId="52" fillId="0" borderId="1" applyNumberFormat="0" applyFill="0" applyAlignment="0" applyProtection="0"/>
    <xf numFmtId="166" fontId="114" fillId="0" borderId="45" applyFont="0" applyFill="0" applyBorder="0" applyAlignment="0" applyProtection="0"/>
    <xf numFmtId="216" fontId="31" fillId="0" borderId="41">
      <alignment horizontal="centerContinuous"/>
    </xf>
    <xf numFmtId="10" fontId="55" fillId="28" borderId="1" applyNumberFormat="0" applyBorder="0" applyAlignment="0" applyProtection="0"/>
    <xf numFmtId="167" fontId="14" fillId="0" borderId="31">
      <protection locked="0"/>
    </xf>
    <xf numFmtId="10" fontId="55" fillId="28" borderId="1" applyNumberFormat="0" applyBorder="0" applyAlignment="0" applyProtection="0"/>
    <xf numFmtId="167" fontId="14" fillId="0" borderId="31">
      <protection locked="0"/>
    </xf>
    <xf numFmtId="0" fontId="52" fillId="0" borderId="1" applyNumberFormat="0" applyFill="0" applyAlignment="0" applyProtection="0"/>
    <xf numFmtId="0" fontId="52" fillId="0" borderId="1" applyNumberFormat="0" applyFill="0" applyAlignment="0" applyProtection="0"/>
    <xf numFmtId="10" fontId="55" fillId="28" borderId="1" applyNumberFormat="0" applyBorder="0" applyAlignment="0" applyProtection="0"/>
    <xf numFmtId="0" fontId="52" fillId="0" borderId="1" applyNumberFormat="0" applyFill="0" applyAlignment="0" applyProtection="0"/>
    <xf numFmtId="167" fontId="14" fillId="0" borderId="31">
      <protection locked="0"/>
    </xf>
    <xf numFmtId="216" fontId="31" fillId="0" borderId="41">
      <alignment horizontal="centerContinuous"/>
    </xf>
    <xf numFmtId="216" fontId="31" fillId="0" borderId="41">
      <alignment horizontal="centerContinuous"/>
    </xf>
    <xf numFmtId="166" fontId="114" fillId="0" borderId="45" applyFont="0" applyFill="0" applyBorder="0" applyAlignment="0" applyProtection="0"/>
    <xf numFmtId="9" fontId="149" fillId="0" borderId="5" applyNumberFormat="0" applyFont="0" applyFill="0" applyAlignment="0" applyProtection="0"/>
    <xf numFmtId="10" fontId="55" fillId="28" borderId="1" applyNumberFormat="0" applyBorder="0" applyAlignment="0" applyProtection="0"/>
    <xf numFmtId="167" fontId="149" fillId="0" borderId="31">
      <protection locked="0"/>
    </xf>
    <xf numFmtId="0" fontId="52" fillId="0" borderId="1" applyNumberFormat="0" applyFill="0" applyAlignment="0" applyProtection="0"/>
    <xf numFmtId="0" fontId="52" fillId="0" borderId="1" applyNumberFormat="0" applyFill="0" applyAlignment="0" applyProtection="0"/>
    <xf numFmtId="167" fontId="14" fillId="0" borderId="31">
      <protection locked="0"/>
    </xf>
    <xf numFmtId="0" fontId="28" fillId="0" borderId="5">
      <alignment horizontal="left" vertical="center"/>
    </xf>
    <xf numFmtId="10" fontId="55" fillId="28" borderId="1" applyNumberFormat="0" applyBorder="0" applyAlignment="0" applyProtection="0"/>
    <xf numFmtId="10" fontId="55" fillId="28" borderId="1" applyNumberFormat="0" applyBorder="0" applyAlignment="0" applyProtection="0"/>
    <xf numFmtId="167" fontId="14" fillId="0" borderId="31">
      <protection locked="0"/>
    </xf>
    <xf numFmtId="0" fontId="52" fillId="0" borderId="1" applyNumberFormat="0" applyFill="0" applyAlignment="0" applyProtection="0"/>
    <xf numFmtId="167" fontId="14" fillId="0" borderId="31">
      <protection locked="0"/>
    </xf>
    <xf numFmtId="0" fontId="28" fillId="0" borderId="5">
      <alignment horizontal="left" vertical="center"/>
    </xf>
    <xf numFmtId="216" fontId="31" fillId="0" borderId="41">
      <alignment horizontal="centerContinuous"/>
    </xf>
    <xf numFmtId="0" fontId="28" fillId="0" borderId="5">
      <alignment horizontal="left" vertical="center"/>
    </xf>
    <xf numFmtId="167" fontId="14" fillId="0" borderId="31">
      <protection locked="0"/>
    </xf>
    <xf numFmtId="0" fontId="52" fillId="0" borderId="1" applyNumberFormat="0" applyFill="0" applyAlignment="0" applyProtection="0"/>
    <xf numFmtId="216" fontId="31" fillId="0" borderId="41">
      <alignment horizontal="centerContinuous"/>
    </xf>
    <xf numFmtId="0" fontId="28" fillId="0" borderId="5">
      <alignment horizontal="left" vertical="center"/>
    </xf>
    <xf numFmtId="167" fontId="149" fillId="0" borderId="31">
      <protection locked="0"/>
    </xf>
    <xf numFmtId="0" fontId="52" fillId="0" borderId="1" applyNumberFormat="0" applyFill="0" applyAlignment="0" applyProtection="0"/>
    <xf numFmtId="9" fontId="149" fillId="0" borderId="5" applyNumberFormat="0" applyFont="0" applyFill="0" applyAlignment="0" applyProtection="0"/>
    <xf numFmtId="0" fontId="52" fillId="0" borderId="1" applyNumberFormat="0" applyFill="0" applyAlignment="0" applyProtection="0"/>
    <xf numFmtId="9" fontId="14" fillId="0" borderId="5" applyNumberFormat="0" applyFont="0" applyFill="0" applyAlignment="0" applyProtection="0"/>
    <xf numFmtId="0" fontId="28" fillId="0" borderId="5">
      <alignment horizontal="left" vertical="center"/>
    </xf>
    <xf numFmtId="0" fontId="28" fillId="0" borderId="5">
      <alignment horizontal="left" vertical="center"/>
    </xf>
    <xf numFmtId="0" fontId="52" fillId="0" borderId="1" applyNumberFormat="0" applyFill="0" applyAlignment="0" applyProtection="0"/>
    <xf numFmtId="216" fontId="31" fillId="0" borderId="41">
      <alignment horizontal="centerContinuous"/>
    </xf>
    <xf numFmtId="167" fontId="14" fillId="0" borderId="31">
      <protection locked="0"/>
    </xf>
    <xf numFmtId="216" fontId="31" fillId="0" borderId="41">
      <alignment horizontal="centerContinuous"/>
    </xf>
    <xf numFmtId="166" fontId="114" fillId="0" borderId="45" applyFont="0" applyFill="0" applyBorder="0" applyAlignment="0" applyProtection="0"/>
    <xf numFmtId="10" fontId="55" fillId="28" borderId="1" applyNumberFormat="0" applyBorder="0" applyAlignment="0" applyProtection="0"/>
    <xf numFmtId="0" fontId="28" fillId="0" borderId="5">
      <alignment horizontal="left" vertical="center"/>
    </xf>
    <xf numFmtId="167" fontId="14" fillId="0" borderId="31">
      <protection locked="0"/>
    </xf>
    <xf numFmtId="10" fontId="55" fillId="28" borderId="1" applyNumberFormat="0" applyBorder="0" applyAlignment="0" applyProtection="0"/>
    <xf numFmtId="166" fontId="114" fillId="0" borderId="45" applyFont="0" applyFill="0" applyBorder="0" applyAlignment="0" applyProtection="0"/>
    <xf numFmtId="10" fontId="55" fillId="28" borderId="1" applyNumberFormat="0" applyBorder="0" applyAlignment="0" applyProtection="0"/>
    <xf numFmtId="0" fontId="52" fillId="0" borderId="1" applyNumberFormat="0" applyFill="0" applyAlignment="0" applyProtection="0"/>
    <xf numFmtId="9" fontId="14" fillId="0" borderId="5" applyNumberFormat="0" applyFont="0" applyFill="0" applyAlignment="0" applyProtection="0"/>
    <xf numFmtId="0" fontId="28" fillId="0" borderId="5">
      <alignment horizontal="left" vertical="center"/>
    </xf>
    <xf numFmtId="216" fontId="31" fillId="0" borderId="41">
      <alignment horizontal="centerContinuous"/>
    </xf>
    <xf numFmtId="3" fontId="141" fillId="38" borderId="44" applyNumberFormat="0">
      <alignment horizontal="center"/>
    </xf>
    <xf numFmtId="0" fontId="28" fillId="0" borderId="5">
      <alignment horizontal="left" vertical="center"/>
    </xf>
    <xf numFmtId="0" fontId="28" fillId="0" borderId="5">
      <alignment horizontal="left" vertical="center"/>
    </xf>
    <xf numFmtId="166" fontId="114" fillId="0" borderId="45" applyFont="0" applyFill="0" applyBorder="0" applyAlignment="0" applyProtection="0"/>
    <xf numFmtId="10" fontId="55" fillId="28" borderId="1" applyNumberFormat="0" applyBorder="0" applyAlignment="0" applyProtection="0"/>
    <xf numFmtId="216" fontId="31" fillId="0" borderId="41">
      <alignment horizontal="centerContinuous"/>
    </xf>
    <xf numFmtId="9" fontId="14" fillId="0" borderId="5" applyNumberFormat="0" applyFont="0" applyFill="0" applyAlignment="0" applyProtection="0"/>
    <xf numFmtId="167" fontId="14" fillId="0" borderId="31">
      <protection locked="0"/>
    </xf>
    <xf numFmtId="10" fontId="55" fillId="28" borderId="1" applyNumberFormat="0" applyBorder="0" applyAlignment="0" applyProtection="0"/>
    <xf numFmtId="10" fontId="55" fillId="28" borderId="1" applyNumberFormat="0" applyBorder="0" applyAlignment="0" applyProtection="0"/>
    <xf numFmtId="9" fontId="149" fillId="0" borderId="5" applyNumberFormat="0" applyFont="0" applyFill="0" applyAlignment="0" applyProtection="0"/>
    <xf numFmtId="0" fontId="52" fillId="0" borderId="1" applyNumberFormat="0" applyFill="0" applyAlignment="0" applyProtection="0"/>
    <xf numFmtId="167" fontId="149" fillId="0" borderId="31">
      <protection locked="0"/>
    </xf>
    <xf numFmtId="167" fontId="149" fillId="0" borderId="31">
      <protection locked="0"/>
    </xf>
    <xf numFmtId="167" fontId="14" fillId="0" borderId="31">
      <protection locked="0"/>
    </xf>
    <xf numFmtId="216" fontId="31" fillId="0" borderId="41">
      <alignment horizontal="centerContinuous"/>
    </xf>
    <xf numFmtId="9" fontId="14" fillId="0" borderId="5" applyNumberFormat="0" applyFont="0" applyFill="0" applyAlignment="0" applyProtection="0"/>
    <xf numFmtId="0" fontId="52" fillId="0" borderId="1" applyNumberFormat="0" applyFill="0" applyAlignment="0" applyProtection="0"/>
    <xf numFmtId="0" fontId="28" fillId="0" borderId="5">
      <alignment horizontal="left" vertical="center"/>
    </xf>
    <xf numFmtId="167" fontId="14" fillId="0" borderId="31">
      <protection locked="0"/>
    </xf>
    <xf numFmtId="9" fontId="149" fillId="0" borderId="5" applyNumberFormat="0" applyFont="0" applyFill="0" applyAlignment="0" applyProtection="0"/>
    <xf numFmtId="167" fontId="149" fillId="0" borderId="31">
      <protection locked="0"/>
    </xf>
    <xf numFmtId="10" fontId="55" fillId="28" borderId="1" applyNumberFormat="0" applyBorder="0" applyAlignment="0" applyProtection="0"/>
    <xf numFmtId="9" fontId="149" fillId="0" borderId="5" applyNumberFormat="0" applyFont="0" applyFill="0" applyAlignment="0" applyProtection="0"/>
    <xf numFmtId="216" fontId="31" fillId="0" borderId="41">
      <alignment horizontal="centerContinuous"/>
    </xf>
    <xf numFmtId="9" fontId="14" fillId="0" borderId="5" applyNumberFormat="0" applyFont="0" applyFill="0" applyAlignment="0" applyProtection="0"/>
    <xf numFmtId="216" fontId="31" fillId="0" borderId="41">
      <alignment horizontal="centerContinuous"/>
    </xf>
    <xf numFmtId="167" fontId="14" fillId="0" borderId="31">
      <protection locked="0"/>
    </xf>
    <xf numFmtId="0" fontId="28" fillId="0" borderId="5">
      <alignment horizontal="left" vertical="center"/>
    </xf>
    <xf numFmtId="9" fontId="14" fillId="0" borderId="5" applyNumberFormat="0" applyFont="0" applyFill="0" applyAlignment="0" applyProtection="0"/>
    <xf numFmtId="0" fontId="52" fillId="0" borderId="1" applyNumberFormat="0" applyFill="0" applyAlignment="0" applyProtection="0"/>
    <xf numFmtId="10" fontId="55" fillId="28" borderId="1" applyNumberFormat="0" applyBorder="0" applyAlignment="0" applyProtection="0"/>
    <xf numFmtId="0" fontId="52" fillId="0" borderId="1" applyNumberFormat="0" applyFill="0" applyAlignment="0" applyProtection="0"/>
    <xf numFmtId="9" fontId="14" fillId="0" borderId="5" applyNumberFormat="0" applyFont="0" applyFill="0" applyAlignment="0" applyProtection="0"/>
    <xf numFmtId="10" fontId="55" fillId="28" borderId="1" applyNumberFormat="0" applyBorder="0" applyAlignment="0" applyProtection="0"/>
    <xf numFmtId="216" fontId="31" fillId="0" borderId="41">
      <alignment horizontal="centerContinuous"/>
    </xf>
    <xf numFmtId="9" fontId="14" fillId="0" borderId="5" applyNumberFormat="0" applyFont="0" applyFill="0" applyAlignment="0" applyProtection="0"/>
    <xf numFmtId="0" fontId="28" fillId="0" borderId="5">
      <alignment horizontal="left" vertical="center"/>
    </xf>
    <xf numFmtId="0" fontId="28" fillId="0" borderId="5">
      <alignment horizontal="left" vertical="center"/>
    </xf>
    <xf numFmtId="0" fontId="28" fillId="0" borderId="5">
      <alignment horizontal="left" vertical="center"/>
    </xf>
    <xf numFmtId="0" fontId="28" fillId="0" borderId="5">
      <alignment horizontal="left" vertical="center"/>
    </xf>
    <xf numFmtId="10" fontId="55" fillId="28" borderId="1" applyNumberFormat="0" applyBorder="0" applyAlignment="0" applyProtection="0"/>
    <xf numFmtId="0" fontId="166" fillId="0" borderId="55" applyNumberFormat="0" applyFill="0" applyAlignment="0" applyProtection="0"/>
    <xf numFmtId="167" fontId="14" fillId="0" borderId="31">
      <protection locked="0"/>
    </xf>
    <xf numFmtId="10" fontId="55" fillId="28" borderId="1" applyNumberFormat="0" applyBorder="0" applyAlignment="0" applyProtection="0"/>
    <xf numFmtId="0" fontId="52" fillId="0" borderId="1" applyNumberFormat="0" applyFill="0" applyAlignment="0" applyProtection="0"/>
    <xf numFmtId="166" fontId="114" fillId="0" borderId="45" applyFont="0" applyFill="0" applyBorder="0" applyAlignment="0" applyProtection="0"/>
    <xf numFmtId="0" fontId="28" fillId="0" borderId="5">
      <alignment horizontal="left" vertical="center"/>
    </xf>
    <xf numFmtId="9" fontId="14" fillId="0" borderId="5" applyNumberFormat="0" applyFont="0" applyFill="0" applyAlignment="0" applyProtection="0"/>
    <xf numFmtId="9" fontId="14" fillId="0" borderId="5" applyNumberFormat="0" applyFont="0" applyFill="0" applyAlignment="0" applyProtection="0"/>
    <xf numFmtId="167" fontId="14" fillId="0" borderId="31">
      <protection locked="0"/>
    </xf>
    <xf numFmtId="166" fontId="114" fillId="0" borderId="45" applyFont="0" applyFill="0" applyBorder="0" applyAlignment="0" applyProtection="0"/>
    <xf numFmtId="0" fontId="52" fillId="0" borderId="1" applyNumberFormat="0" applyFill="0" applyAlignment="0" applyProtection="0"/>
    <xf numFmtId="0" fontId="52" fillId="0" borderId="1" applyNumberFormat="0" applyFill="0" applyAlignment="0" applyProtection="0"/>
    <xf numFmtId="0" fontId="52" fillId="0" borderId="1" applyNumberFormat="0" applyFill="0" applyAlignment="0" applyProtection="0"/>
    <xf numFmtId="166" fontId="114" fillId="0" borderId="45" applyFont="0" applyFill="0" applyBorder="0" applyAlignment="0" applyProtection="0"/>
    <xf numFmtId="167" fontId="149" fillId="0" borderId="31">
      <protection locked="0"/>
    </xf>
    <xf numFmtId="167" fontId="149" fillId="0" borderId="31">
      <protection locked="0"/>
    </xf>
    <xf numFmtId="0" fontId="52" fillId="0" borderId="1" applyNumberFormat="0" applyFill="0" applyAlignment="0" applyProtection="0"/>
    <xf numFmtId="0" fontId="52" fillId="0" borderId="1" applyNumberFormat="0" applyFill="0" applyAlignment="0" applyProtection="0"/>
    <xf numFmtId="166" fontId="114" fillId="0" borderId="45" applyFont="0" applyFill="0" applyBorder="0" applyAlignment="0" applyProtection="0"/>
    <xf numFmtId="167" fontId="14" fillId="0" borderId="31">
      <protection locked="0"/>
    </xf>
    <xf numFmtId="0" fontId="52" fillId="0" borderId="1" applyNumberFormat="0" applyFill="0" applyAlignment="0" applyProtection="0"/>
    <xf numFmtId="10" fontId="55" fillId="28" borderId="1" applyNumberFormat="0" applyBorder="0" applyAlignment="0" applyProtection="0"/>
    <xf numFmtId="0" fontId="52" fillId="0" borderId="1" applyNumberFormat="0" applyFill="0" applyAlignment="0" applyProtection="0"/>
    <xf numFmtId="0" fontId="28" fillId="0" borderId="5">
      <alignment horizontal="left" vertical="center"/>
    </xf>
    <xf numFmtId="166" fontId="114" fillId="0" borderId="45" applyFont="0" applyFill="0" applyBorder="0" applyAlignment="0" applyProtection="0"/>
    <xf numFmtId="0" fontId="52" fillId="0" borderId="1" applyNumberFormat="0" applyFill="0" applyAlignment="0" applyProtection="0"/>
    <xf numFmtId="167" fontId="14" fillId="0" borderId="31">
      <protection locked="0"/>
    </xf>
    <xf numFmtId="0" fontId="28" fillId="0" borderId="5">
      <alignment horizontal="left" vertical="center"/>
    </xf>
    <xf numFmtId="10" fontId="55" fillId="28" borderId="1" applyNumberFormat="0" applyBorder="0" applyAlignment="0" applyProtection="0"/>
    <xf numFmtId="166" fontId="114" fillId="0" borderId="45" applyFont="0" applyFill="0" applyBorder="0" applyAlignment="0" applyProtection="0"/>
    <xf numFmtId="216" fontId="31" fillId="0" borderId="41">
      <alignment horizontal="centerContinuous"/>
    </xf>
    <xf numFmtId="0" fontId="28" fillId="0" borderId="5">
      <alignment horizontal="left" vertical="center"/>
    </xf>
    <xf numFmtId="166" fontId="114" fillId="0" borderId="45" applyFont="0" applyFill="0" applyBorder="0" applyAlignment="0" applyProtection="0"/>
    <xf numFmtId="0" fontId="52" fillId="0" borderId="1" applyNumberFormat="0" applyFill="0" applyAlignment="0" applyProtection="0"/>
    <xf numFmtId="167" fontId="14" fillId="0" borderId="31">
      <protection locked="0"/>
    </xf>
    <xf numFmtId="216" fontId="31" fillId="0" borderId="41">
      <alignment horizontal="centerContinuous"/>
    </xf>
    <xf numFmtId="10" fontId="55" fillId="28" borderId="1" applyNumberFormat="0" applyBorder="0" applyAlignment="0" applyProtection="0"/>
    <xf numFmtId="167" fontId="14" fillId="0" borderId="31">
      <protection locked="0"/>
    </xf>
    <xf numFmtId="216" fontId="31" fillId="0" borderId="41">
      <alignment horizontal="centerContinuous"/>
    </xf>
    <xf numFmtId="9" fontId="14" fillId="0" borderId="5" applyNumberFormat="0" applyFont="0" applyFill="0" applyAlignment="0" applyProtection="0"/>
    <xf numFmtId="166" fontId="114" fillId="0" borderId="26" applyFont="0" applyFill="0" applyBorder="0" applyAlignment="0" applyProtection="0"/>
    <xf numFmtId="0" fontId="52" fillId="0" borderId="1" applyNumberFormat="0" applyFill="0" applyAlignment="0" applyProtection="0"/>
    <xf numFmtId="167" fontId="14" fillId="0" borderId="31">
      <protection locked="0"/>
    </xf>
    <xf numFmtId="0" fontId="28" fillId="0" borderId="5">
      <alignment horizontal="left" vertical="center"/>
    </xf>
    <xf numFmtId="10" fontId="55" fillId="28" borderId="1" applyNumberFormat="0" applyBorder="0" applyAlignment="0" applyProtection="0"/>
    <xf numFmtId="10" fontId="55" fillId="28" borderId="1" applyNumberFormat="0" applyBorder="0" applyAlignment="0" applyProtection="0"/>
    <xf numFmtId="0" fontId="28" fillId="0" borderId="5">
      <alignment horizontal="left" vertical="center"/>
    </xf>
    <xf numFmtId="167" fontId="14" fillId="0" borderId="31">
      <protection locked="0"/>
    </xf>
    <xf numFmtId="0" fontId="52" fillId="0" borderId="1" applyNumberFormat="0" applyFill="0" applyAlignment="0" applyProtection="0"/>
    <xf numFmtId="166" fontId="114" fillId="0" borderId="26" applyFont="0" applyFill="0" applyBorder="0" applyAlignment="0" applyProtection="0"/>
    <xf numFmtId="10" fontId="55" fillId="28" borderId="1" applyNumberFormat="0" applyBorder="0" applyAlignment="0" applyProtection="0"/>
    <xf numFmtId="216" fontId="31" fillId="0" borderId="41">
      <alignment horizontal="centerContinuous"/>
    </xf>
    <xf numFmtId="0" fontId="52" fillId="0" borderId="1" applyNumberFormat="0" applyFill="0" applyAlignment="0" applyProtection="0"/>
    <xf numFmtId="9" fontId="149" fillId="0" borderId="5" applyNumberFormat="0" applyFont="0" applyFill="0" applyAlignment="0" applyProtection="0"/>
    <xf numFmtId="0" fontId="52" fillId="0" borderId="1" applyNumberFormat="0" applyFill="0" applyAlignment="0" applyProtection="0"/>
    <xf numFmtId="167" fontId="149" fillId="0" borderId="31">
      <protection locked="0"/>
    </xf>
    <xf numFmtId="167" fontId="14" fillId="0" borderId="31">
      <protection locked="0"/>
    </xf>
    <xf numFmtId="10" fontId="55" fillId="28" borderId="1" applyNumberFormat="0" applyBorder="0" applyAlignment="0" applyProtection="0"/>
    <xf numFmtId="10" fontId="55" fillId="28" borderId="1" applyNumberFormat="0" applyBorder="0" applyAlignment="0" applyProtection="0"/>
    <xf numFmtId="0" fontId="28" fillId="0" borderId="5">
      <alignment horizontal="left" vertical="center"/>
    </xf>
    <xf numFmtId="167" fontId="149" fillId="0" borderId="31">
      <protection locked="0"/>
    </xf>
    <xf numFmtId="0" fontId="52" fillId="0" borderId="1" applyNumberFormat="0" applyFill="0" applyAlignment="0" applyProtection="0"/>
    <xf numFmtId="0" fontId="52" fillId="0" borderId="1" applyNumberFormat="0" applyFill="0" applyAlignment="0" applyProtection="0"/>
    <xf numFmtId="167" fontId="14" fillId="0" borderId="31">
      <protection locked="0"/>
    </xf>
    <xf numFmtId="166" fontId="114" fillId="0" borderId="26" applyFont="0" applyFill="0" applyBorder="0" applyAlignment="0" applyProtection="0"/>
    <xf numFmtId="216" fontId="31" fillId="0" borderId="41">
      <alignment horizontal="centerContinuous"/>
    </xf>
    <xf numFmtId="0" fontId="52" fillId="0" borderId="1" applyNumberFormat="0" applyFill="0" applyAlignment="0" applyProtection="0"/>
    <xf numFmtId="167" fontId="14" fillId="0" borderId="31">
      <protection locked="0"/>
    </xf>
    <xf numFmtId="0" fontId="28" fillId="0" borderId="5">
      <alignment horizontal="left" vertical="center"/>
    </xf>
    <xf numFmtId="166" fontId="114" fillId="0" borderId="45" applyFont="0" applyFill="0" applyBorder="0" applyAlignment="0" applyProtection="0"/>
    <xf numFmtId="216" fontId="31" fillId="0" borderId="41">
      <alignment horizontal="centerContinuous"/>
    </xf>
    <xf numFmtId="9" fontId="14" fillId="0" borderId="5" applyNumberFormat="0" applyFont="0" applyFill="0" applyAlignment="0" applyProtection="0"/>
    <xf numFmtId="0" fontId="29" fillId="0" borderId="27" applyNumberFormat="0" applyFont="0" applyFill="0" applyAlignment="0" applyProtection="0"/>
    <xf numFmtId="0" fontId="52" fillId="0" borderId="1" applyNumberFormat="0" applyFill="0" applyAlignment="0" applyProtection="0"/>
    <xf numFmtId="167" fontId="14" fillId="0" borderId="31">
      <protection locked="0"/>
    </xf>
    <xf numFmtId="0" fontId="28" fillId="0" borderId="5">
      <alignment horizontal="left" vertical="center"/>
    </xf>
    <xf numFmtId="10" fontId="55" fillId="28" borderId="1" applyNumberFormat="0" applyBorder="0" applyAlignment="0" applyProtection="0"/>
    <xf numFmtId="9" fontId="14" fillId="0" borderId="5" applyNumberFormat="0" applyFont="0" applyFill="0" applyAlignment="0" applyProtection="0"/>
    <xf numFmtId="216" fontId="31" fillId="0" borderId="41">
      <alignment horizontal="centerContinuous"/>
    </xf>
    <xf numFmtId="9" fontId="14" fillId="0" borderId="5" applyNumberFormat="0" applyFont="0" applyFill="0" applyAlignment="0" applyProtection="0"/>
    <xf numFmtId="0" fontId="52" fillId="0" borderId="1" applyNumberFormat="0" applyFill="0" applyAlignment="0" applyProtection="0"/>
    <xf numFmtId="167" fontId="14" fillId="0" borderId="31">
      <protection locked="0"/>
    </xf>
    <xf numFmtId="0" fontId="28" fillId="0" borderId="5">
      <alignment horizontal="left" vertical="center"/>
    </xf>
    <xf numFmtId="10" fontId="55" fillId="28" borderId="1" applyNumberFormat="0" applyBorder="0" applyAlignment="0" applyProtection="0"/>
    <xf numFmtId="10" fontId="55" fillId="28" borderId="1" applyNumberFormat="0" applyBorder="0" applyAlignment="0" applyProtection="0"/>
    <xf numFmtId="0" fontId="28" fillId="0" borderId="5">
      <alignment horizontal="left" vertical="center"/>
    </xf>
    <xf numFmtId="167" fontId="14" fillId="0" borderId="31">
      <protection locked="0"/>
    </xf>
    <xf numFmtId="0" fontId="52" fillId="0" borderId="1" applyNumberFormat="0" applyFill="0" applyAlignment="0" applyProtection="0"/>
    <xf numFmtId="166" fontId="114" fillId="0" borderId="45" applyFont="0" applyFill="0" applyBorder="0" applyAlignment="0" applyProtection="0"/>
    <xf numFmtId="9" fontId="149" fillId="0" borderId="5" applyNumberFormat="0" applyFont="0" applyFill="0" applyAlignment="0" applyProtection="0"/>
    <xf numFmtId="0" fontId="52" fillId="0" borderId="1" applyNumberFormat="0" applyFill="0" applyAlignment="0" applyProtection="0"/>
    <xf numFmtId="167" fontId="149" fillId="0" borderId="31">
      <protection locked="0"/>
    </xf>
    <xf numFmtId="10" fontId="55" fillId="28" borderId="1" applyNumberFormat="0" applyBorder="0" applyAlignment="0" applyProtection="0"/>
    <xf numFmtId="0" fontId="28" fillId="0" borderId="5">
      <alignment horizontal="left" vertical="center"/>
    </xf>
    <xf numFmtId="167" fontId="149" fillId="0" borderId="31">
      <protection locked="0"/>
    </xf>
    <xf numFmtId="9" fontId="149" fillId="0" borderId="5" applyNumberFormat="0" applyFont="0" applyFill="0" applyAlignment="0" applyProtection="0"/>
    <xf numFmtId="166" fontId="114" fillId="0" borderId="45" applyFont="0" applyFill="0" applyBorder="0" applyAlignment="0" applyProtection="0"/>
    <xf numFmtId="216" fontId="31" fillId="0" borderId="41">
      <alignment horizontal="centerContinuous"/>
    </xf>
    <xf numFmtId="9" fontId="14" fillId="0" borderId="5" applyNumberFormat="0" applyFont="0" applyFill="0" applyAlignment="0" applyProtection="0"/>
    <xf numFmtId="0" fontId="52" fillId="0" borderId="1" applyNumberFormat="0" applyFill="0" applyAlignment="0" applyProtection="0"/>
    <xf numFmtId="167" fontId="14" fillId="0" borderId="31">
      <protection locked="0"/>
    </xf>
    <xf numFmtId="0" fontId="28" fillId="0" borderId="5">
      <alignment horizontal="left" vertical="center"/>
    </xf>
    <xf numFmtId="166" fontId="114" fillId="0" borderId="45" applyFont="0" applyFill="0" applyBorder="0" applyAlignment="0" applyProtection="0"/>
    <xf numFmtId="216" fontId="31" fillId="0" borderId="41">
      <alignment horizontal="centerContinuous"/>
    </xf>
    <xf numFmtId="9" fontId="14" fillId="0" borderId="5" applyNumberFormat="0" applyFont="0" applyFill="0" applyAlignment="0" applyProtection="0"/>
    <xf numFmtId="0" fontId="29" fillId="0" borderId="27" applyNumberFormat="0" applyFont="0" applyFill="0" applyAlignment="0" applyProtection="0"/>
    <xf numFmtId="0" fontId="52" fillId="0" borderId="1" applyNumberFormat="0" applyFill="0" applyAlignment="0" applyProtection="0"/>
    <xf numFmtId="167" fontId="14" fillId="0" borderId="31">
      <protection locked="0"/>
    </xf>
    <xf numFmtId="0" fontId="28" fillId="0" borderId="5">
      <alignment horizontal="left" vertical="center"/>
    </xf>
    <xf numFmtId="10" fontId="55" fillId="28" borderId="1" applyNumberFormat="0" applyBorder="0" applyAlignment="0" applyProtection="0"/>
    <xf numFmtId="9" fontId="14" fillId="0" borderId="5" applyNumberFormat="0" applyFont="0" applyFill="0" applyAlignment="0" applyProtection="0"/>
    <xf numFmtId="0" fontId="52" fillId="0" borderId="1" applyNumberFormat="0" applyFill="0" applyAlignment="0" applyProtection="0"/>
    <xf numFmtId="167" fontId="14" fillId="0" borderId="31">
      <protection locked="0"/>
    </xf>
    <xf numFmtId="0" fontId="28" fillId="0" borderId="5">
      <alignment horizontal="left" vertical="center"/>
    </xf>
    <xf numFmtId="10" fontId="55" fillId="28" borderId="1" applyNumberFormat="0" applyBorder="0" applyAlignment="0" applyProtection="0"/>
    <xf numFmtId="166" fontId="114" fillId="0" borderId="45" applyFont="0" applyFill="0" applyBorder="0" applyAlignment="0" applyProtection="0"/>
    <xf numFmtId="216" fontId="31" fillId="0" borderId="41">
      <alignment horizontal="centerContinuous"/>
    </xf>
    <xf numFmtId="9" fontId="14" fillId="0" borderId="5" applyNumberFormat="0" applyFont="0" applyFill="0" applyAlignment="0" applyProtection="0"/>
    <xf numFmtId="0" fontId="29" fillId="0" borderId="27" applyNumberFormat="0" applyFont="0" applyFill="0" applyAlignment="0" applyProtection="0"/>
    <xf numFmtId="0" fontId="52" fillId="0" borderId="1" applyNumberFormat="0" applyFill="0" applyAlignment="0" applyProtection="0"/>
    <xf numFmtId="167" fontId="14" fillId="0" borderId="31">
      <protection locked="0"/>
    </xf>
    <xf numFmtId="0" fontId="28" fillId="0" borderId="5">
      <alignment horizontal="left" vertical="center"/>
    </xf>
    <xf numFmtId="10" fontId="55" fillId="28" borderId="1" applyNumberFormat="0" applyBorder="0" applyAlignment="0" applyProtection="0"/>
    <xf numFmtId="9" fontId="14" fillId="0" borderId="5" applyNumberFormat="0" applyFont="0" applyFill="0" applyAlignment="0" applyProtection="0"/>
    <xf numFmtId="216" fontId="31" fillId="0" borderId="41">
      <alignment horizontal="centerContinuous"/>
    </xf>
    <xf numFmtId="9" fontId="14" fillId="0" borderId="5" applyNumberFormat="0" applyFont="0" applyFill="0" applyAlignment="0" applyProtection="0"/>
    <xf numFmtId="166" fontId="114" fillId="0" borderId="45" applyFont="0" applyFill="0" applyBorder="0" applyAlignment="0" applyProtection="0"/>
    <xf numFmtId="0" fontId="52" fillId="0" borderId="1" applyNumberFormat="0" applyFill="0" applyAlignment="0" applyProtection="0"/>
    <xf numFmtId="167" fontId="14" fillId="0" borderId="31">
      <protection locked="0"/>
    </xf>
    <xf numFmtId="0" fontId="28" fillId="0" borderId="5">
      <alignment horizontal="left" vertical="center"/>
    </xf>
    <xf numFmtId="10" fontId="55" fillId="28" borderId="1" applyNumberFormat="0" applyBorder="0" applyAlignment="0" applyProtection="0"/>
    <xf numFmtId="10" fontId="55" fillId="28" borderId="1" applyNumberFormat="0" applyBorder="0" applyAlignment="0" applyProtection="0"/>
    <xf numFmtId="0" fontId="28" fillId="0" borderId="5">
      <alignment horizontal="left" vertical="center"/>
    </xf>
    <xf numFmtId="167" fontId="14" fillId="0" borderId="31">
      <protection locked="0"/>
    </xf>
    <xf numFmtId="0" fontId="52" fillId="0" borderId="1" applyNumberFormat="0" applyFill="0" applyAlignment="0" applyProtection="0"/>
    <xf numFmtId="166" fontId="114" fillId="0" borderId="45" applyFont="0" applyFill="0" applyBorder="0" applyAlignment="0" applyProtection="0"/>
    <xf numFmtId="9" fontId="149" fillId="0" borderId="5" applyNumberFormat="0" applyFont="0" applyFill="0" applyAlignment="0" applyProtection="0"/>
    <xf numFmtId="0" fontId="52" fillId="0" borderId="1" applyNumberFormat="0" applyFill="0" applyAlignment="0" applyProtection="0"/>
    <xf numFmtId="167" fontId="149" fillId="0" borderId="31">
      <protection locked="0"/>
    </xf>
    <xf numFmtId="10" fontId="55" fillId="28" borderId="1" applyNumberFormat="0" applyBorder="0" applyAlignment="0" applyProtection="0"/>
    <xf numFmtId="10" fontId="55" fillId="28" borderId="1" applyNumberFormat="0" applyBorder="0" applyAlignment="0" applyProtection="0"/>
    <xf numFmtId="0" fontId="28" fillId="0" borderId="5">
      <alignment horizontal="left" vertical="center"/>
    </xf>
    <xf numFmtId="167" fontId="149" fillId="0" borderId="31">
      <protection locked="0"/>
    </xf>
    <xf numFmtId="9" fontId="149" fillId="0" borderId="5" applyNumberFormat="0" applyFont="0" applyFill="0" applyAlignment="0" applyProtection="0"/>
    <xf numFmtId="216" fontId="31" fillId="0" borderId="41">
      <alignment horizontal="centerContinuous"/>
    </xf>
    <xf numFmtId="0" fontId="52" fillId="0" borderId="1" applyNumberFormat="0" applyFill="0" applyAlignment="0" applyProtection="0"/>
    <xf numFmtId="10" fontId="55" fillId="28" borderId="1" applyNumberFormat="0" applyBorder="0" applyAlignment="0" applyProtection="0"/>
    <xf numFmtId="0" fontId="28" fillId="0" borderId="5">
      <alignment horizontal="left" vertical="center"/>
    </xf>
    <xf numFmtId="167" fontId="149" fillId="0" borderId="31">
      <protection locked="0"/>
    </xf>
    <xf numFmtId="0" fontId="28" fillId="0" borderId="5">
      <alignment horizontal="left" vertical="center"/>
    </xf>
    <xf numFmtId="9" fontId="14" fillId="0" borderId="5" applyNumberFormat="0" applyFont="0" applyFill="0" applyAlignment="0" applyProtection="0"/>
    <xf numFmtId="0" fontId="52" fillId="0" borderId="1" applyNumberFormat="0" applyFill="0" applyAlignment="0" applyProtection="0"/>
    <xf numFmtId="0" fontId="29" fillId="0" borderId="27" applyNumberFormat="0" applyFont="0" applyFill="0" applyAlignment="0" applyProtection="0"/>
    <xf numFmtId="0" fontId="28" fillId="0" borderId="5">
      <alignment horizontal="left" vertical="center"/>
    </xf>
    <xf numFmtId="0" fontId="52" fillId="0" borderId="1" applyNumberFormat="0" applyFill="0" applyAlignment="0" applyProtection="0"/>
    <xf numFmtId="0" fontId="29" fillId="0" borderId="27" applyNumberFormat="0" applyFont="0" applyFill="0" applyAlignment="0" applyProtection="0"/>
    <xf numFmtId="166" fontId="114" fillId="0" borderId="45" applyFont="0" applyFill="0" applyBorder="0" applyAlignment="0" applyProtection="0"/>
    <xf numFmtId="9" fontId="14" fillId="0" borderId="5" applyNumberFormat="0" applyFont="0" applyFill="0" applyAlignment="0" applyProtection="0"/>
    <xf numFmtId="10" fontId="55" fillId="28" borderId="1" applyNumberFormat="0" applyBorder="0" applyAlignment="0" applyProtection="0"/>
    <xf numFmtId="0" fontId="52" fillId="0" borderId="1" applyNumberFormat="0" applyFill="0" applyAlignment="0" applyProtection="0"/>
    <xf numFmtId="216" fontId="31" fillId="0" borderId="41">
      <alignment horizontal="centerContinuous"/>
    </xf>
    <xf numFmtId="9" fontId="14" fillId="0" borderId="5" applyNumberFormat="0" applyFont="0" applyFill="0" applyAlignment="0" applyProtection="0"/>
    <xf numFmtId="166" fontId="114" fillId="0" borderId="45" applyFont="0" applyFill="0" applyBorder="0" applyAlignment="0" applyProtection="0"/>
    <xf numFmtId="0" fontId="52" fillId="0" borderId="1" applyNumberFormat="0" applyFill="0" applyAlignment="0" applyProtection="0"/>
    <xf numFmtId="167" fontId="14" fillId="0" borderId="31">
      <protection locked="0"/>
    </xf>
    <xf numFmtId="0" fontId="52" fillId="0" borderId="1" applyNumberFormat="0" applyFill="0" applyAlignment="0" applyProtection="0"/>
    <xf numFmtId="9" fontId="14" fillId="0" borderId="5" applyNumberFormat="0" applyFont="0" applyFill="0" applyAlignment="0" applyProtection="0"/>
    <xf numFmtId="167" fontId="14" fillId="0" borderId="31">
      <protection locked="0"/>
    </xf>
    <xf numFmtId="167" fontId="14" fillId="0" borderId="31">
      <protection locked="0"/>
    </xf>
    <xf numFmtId="0" fontId="28" fillId="0" borderId="5">
      <alignment horizontal="left" vertical="center"/>
    </xf>
    <xf numFmtId="0" fontId="28" fillId="0" borderId="5">
      <alignment horizontal="left" vertical="center"/>
    </xf>
    <xf numFmtId="0" fontId="28" fillId="0" borderId="5">
      <alignment horizontal="left" vertical="center"/>
    </xf>
    <xf numFmtId="0" fontId="28" fillId="0" borderId="5">
      <alignment horizontal="left" vertical="center"/>
    </xf>
    <xf numFmtId="0" fontId="28" fillId="0" borderId="5">
      <alignment horizontal="left" vertical="center"/>
    </xf>
    <xf numFmtId="0" fontId="28" fillId="0" borderId="5">
      <alignment horizontal="left" vertical="center"/>
    </xf>
    <xf numFmtId="167" fontId="14" fillId="0" borderId="31">
      <protection locked="0"/>
    </xf>
    <xf numFmtId="0" fontId="52" fillId="0" borderId="1" applyNumberFormat="0" applyFill="0" applyAlignment="0" applyProtection="0"/>
    <xf numFmtId="166" fontId="114" fillId="0" borderId="45" applyFont="0" applyFill="0" applyBorder="0" applyAlignment="0" applyProtection="0"/>
    <xf numFmtId="9" fontId="14" fillId="0" borderId="5" applyNumberFormat="0" applyFont="0" applyFill="0" applyAlignment="0" applyProtection="0"/>
    <xf numFmtId="0" fontId="52" fillId="0" borderId="1" applyNumberFormat="0" applyFill="0" applyAlignment="0" applyProtection="0"/>
    <xf numFmtId="216" fontId="31" fillId="0" borderId="41">
      <alignment horizontal="centerContinuous"/>
    </xf>
    <xf numFmtId="166" fontId="114" fillId="0" borderId="45" applyFont="0" applyFill="0" applyBorder="0" applyAlignment="0" applyProtection="0"/>
    <xf numFmtId="0" fontId="29" fillId="0" borderId="27" applyNumberFormat="0" applyFont="0" applyFill="0" applyAlignment="0" applyProtection="0"/>
    <xf numFmtId="216" fontId="31" fillId="0" borderId="41">
      <alignment horizontal="centerContinuous"/>
    </xf>
    <xf numFmtId="9" fontId="14" fillId="0" borderId="5" applyNumberFormat="0" applyFont="0" applyFill="0" applyAlignment="0" applyProtection="0"/>
    <xf numFmtId="167" fontId="14" fillId="0" borderId="31">
      <protection locked="0"/>
    </xf>
    <xf numFmtId="9" fontId="14" fillId="0" borderId="5" applyNumberFormat="0" applyFont="0" applyFill="0" applyAlignment="0" applyProtection="0"/>
    <xf numFmtId="216" fontId="31" fillId="0" borderId="41">
      <alignment horizontal="centerContinuous"/>
    </xf>
    <xf numFmtId="10" fontId="55" fillId="28" borderId="1" applyNumberFormat="0" applyBorder="0" applyAlignment="0" applyProtection="0"/>
    <xf numFmtId="0" fontId="52" fillId="0" borderId="1" applyNumberFormat="0" applyFill="0" applyAlignment="0" applyProtection="0"/>
    <xf numFmtId="216" fontId="31" fillId="0" borderId="41">
      <alignment horizontal="centerContinuous"/>
    </xf>
    <xf numFmtId="167" fontId="14" fillId="0" borderId="31">
      <protection locked="0"/>
    </xf>
    <xf numFmtId="166" fontId="114" fillId="0" borderId="45" applyFont="0" applyFill="0" applyBorder="0" applyAlignment="0" applyProtection="0"/>
    <xf numFmtId="216" fontId="31" fillId="0" borderId="41">
      <alignment horizontal="centerContinuous"/>
    </xf>
    <xf numFmtId="0" fontId="52" fillId="0" borderId="1" applyNumberFormat="0" applyFill="0" applyAlignment="0" applyProtection="0"/>
    <xf numFmtId="10" fontId="55" fillId="28" borderId="1" applyNumberFormat="0" applyBorder="0" applyAlignment="0" applyProtection="0"/>
    <xf numFmtId="0" fontId="52" fillId="0" borderId="1" applyNumberFormat="0" applyFill="0" applyAlignment="0" applyProtection="0"/>
    <xf numFmtId="167" fontId="14" fillId="0" borderId="31">
      <protection locked="0"/>
    </xf>
    <xf numFmtId="0" fontId="52" fillId="0" borderId="1" applyNumberFormat="0" applyFill="0" applyAlignment="0" applyProtection="0"/>
    <xf numFmtId="166" fontId="114" fillId="0" borderId="45" applyFont="0" applyFill="0" applyBorder="0" applyAlignment="0" applyProtection="0"/>
    <xf numFmtId="216" fontId="31" fillId="0" borderId="41">
      <alignment horizontal="centerContinuous"/>
    </xf>
    <xf numFmtId="216" fontId="31" fillId="0" borderId="41">
      <alignment horizontal="centerContinuous"/>
    </xf>
    <xf numFmtId="10" fontId="55" fillId="28" borderId="1" applyNumberFormat="0" applyBorder="0" applyAlignment="0" applyProtection="0"/>
    <xf numFmtId="9" fontId="149" fillId="0" borderId="5" applyNumberFormat="0" applyFont="0" applyFill="0" applyAlignment="0" applyProtection="0"/>
    <xf numFmtId="167" fontId="14" fillId="0" borderId="31">
      <protection locked="0"/>
    </xf>
    <xf numFmtId="0" fontId="154" fillId="65" borderId="47" applyNumberFormat="0" applyAlignment="0" applyProtection="0"/>
    <xf numFmtId="166" fontId="114" fillId="0" borderId="45" applyFont="0" applyFill="0" applyBorder="0" applyAlignment="0" applyProtection="0"/>
    <xf numFmtId="0" fontId="161" fillId="52" borderId="47" applyNumberFormat="0" applyAlignment="0" applyProtection="0"/>
    <xf numFmtId="0" fontId="29" fillId="68" borderId="53" applyNumberFormat="0" applyFont="0" applyAlignment="0" applyProtection="0"/>
    <xf numFmtId="0" fontId="164" fillId="65" borderId="54" applyNumberFormat="0" applyAlignment="0" applyProtection="0"/>
    <xf numFmtId="166" fontId="114" fillId="0" borderId="45" applyFont="0" applyFill="0" applyBorder="0" applyAlignment="0" applyProtection="0"/>
    <xf numFmtId="0" fontId="166" fillId="0" borderId="55" applyNumberFormat="0" applyFill="0" applyAlignment="0" applyProtection="0"/>
    <xf numFmtId="167" fontId="14" fillId="0" borderId="31">
      <protection locked="0"/>
    </xf>
    <xf numFmtId="0" fontId="154" fillId="65" borderId="47" applyNumberFormat="0" applyAlignment="0" applyProtection="0"/>
    <xf numFmtId="0" fontId="154" fillId="65" borderId="47" applyNumberFormat="0" applyAlignment="0" applyProtection="0"/>
    <xf numFmtId="0" fontId="166" fillId="0" borderId="55" applyNumberFormat="0" applyFill="0" applyAlignment="0" applyProtection="0"/>
    <xf numFmtId="0" fontId="161" fillId="52" borderId="47" applyNumberFormat="0" applyAlignment="0" applyProtection="0"/>
    <xf numFmtId="0" fontId="52" fillId="0" borderId="1" applyNumberFormat="0" applyFill="0" applyAlignment="0" applyProtection="0"/>
    <xf numFmtId="0" fontId="154" fillId="65" borderId="47" applyNumberFormat="0" applyAlignment="0" applyProtection="0"/>
    <xf numFmtId="0" fontId="52" fillId="0" borderId="1" applyNumberFormat="0" applyFill="0" applyAlignment="0" applyProtection="0"/>
    <xf numFmtId="9" fontId="14" fillId="0" borderId="5" applyNumberFormat="0" applyFont="0" applyFill="0" applyAlignment="0" applyProtection="0"/>
    <xf numFmtId="166" fontId="114" fillId="0" borderId="45" applyFont="0" applyFill="0" applyBorder="0" applyAlignment="0" applyProtection="0"/>
    <xf numFmtId="0" fontId="52" fillId="0" borderId="1" applyNumberFormat="0" applyFill="0" applyAlignment="0" applyProtection="0"/>
    <xf numFmtId="216" fontId="31" fillId="0" borderId="41">
      <alignment horizontal="centerContinuous"/>
    </xf>
    <xf numFmtId="216" fontId="31" fillId="0" borderId="41">
      <alignment horizontal="centerContinuous"/>
    </xf>
    <xf numFmtId="166" fontId="114" fillId="0" borderId="45" applyFont="0" applyFill="0" applyBorder="0" applyAlignment="0" applyProtection="0"/>
    <xf numFmtId="0" fontId="52" fillId="0" borderId="1" applyNumberFormat="0" applyFill="0" applyAlignment="0" applyProtection="0"/>
    <xf numFmtId="167" fontId="14" fillId="0" borderId="31">
      <protection locked="0"/>
    </xf>
    <xf numFmtId="167" fontId="14" fillId="0" borderId="31">
      <protection locked="0"/>
    </xf>
    <xf numFmtId="167" fontId="14" fillId="0" borderId="31">
      <protection locked="0"/>
    </xf>
    <xf numFmtId="166" fontId="114" fillId="0" borderId="45" applyFont="0" applyFill="0" applyBorder="0" applyAlignment="0" applyProtection="0"/>
    <xf numFmtId="0" fontId="52" fillId="0" borderId="1" applyNumberFormat="0" applyFill="0" applyAlignment="0" applyProtection="0"/>
    <xf numFmtId="10" fontId="55" fillId="28" borderId="1" applyNumberFormat="0" applyBorder="0" applyAlignment="0" applyProtection="0"/>
    <xf numFmtId="166" fontId="114" fillId="0" borderId="45" applyFont="0" applyFill="0" applyBorder="0" applyAlignment="0" applyProtection="0"/>
    <xf numFmtId="9" fontId="14" fillId="0" borderId="5" applyNumberFormat="0" applyFont="0" applyFill="0" applyAlignment="0" applyProtection="0"/>
    <xf numFmtId="0" fontId="52" fillId="0" borderId="1" applyNumberFormat="0" applyFill="0" applyAlignment="0" applyProtection="0"/>
    <xf numFmtId="166" fontId="114" fillId="0" borderId="45" applyFont="0" applyFill="0" applyBorder="0" applyAlignment="0" applyProtection="0"/>
    <xf numFmtId="0" fontId="28" fillId="0" borderId="5">
      <alignment horizontal="left" vertical="center"/>
    </xf>
    <xf numFmtId="0" fontId="52" fillId="0" borderId="1" applyNumberFormat="0" applyFill="0" applyAlignment="0" applyProtection="0"/>
    <xf numFmtId="10" fontId="55" fillId="28" borderId="1" applyNumberFormat="0" applyBorder="0" applyAlignment="0" applyProtection="0"/>
    <xf numFmtId="10" fontId="55" fillId="28" borderId="1" applyNumberFormat="0" applyBorder="0" applyAlignment="0" applyProtection="0"/>
    <xf numFmtId="167" fontId="149" fillId="0" borderId="31">
      <protection locked="0"/>
    </xf>
    <xf numFmtId="10" fontId="55" fillId="28" borderId="1" applyNumberFormat="0" applyBorder="0" applyAlignment="0" applyProtection="0"/>
    <xf numFmtId="167" fontId="149" fillId="0" borderId="31">
      <protection locked="0"/>
    </xf>
    <xf numFmtId="0" fontId="52" fillId="0" borderId="1" applyNumberFormat="0" applyFill="0" applyAlignment="0" applyProtection="0"/>
    <xf numFmtId="166" fontId="114" fillId="0" borderId="45" applyFont="0" applyFill="0" applyBorder="0" applyAlignment="0" applyProtection="0"/>
    <xf numFmtId="0" fontId="52" fillId="0" borderId="1" applyNumberFormat="0" applyFill="0" applyAlignment="0" applyProtection="0"/>
    <xf numFmtId="167" fontId="14" fillId="0" borderId="31">
      <protection locked="0"/>
    </xf>
    <xf numFmtId="10" fontId="55" fillId="28" borderId="1" applyNumberFormat="0" applyBorder="0" applyAlignment="0" applyProtection="0"/>
    <xf numFmtId="10" fontId="55" fillId="28" borderId="1" applyNumberFormat="0" applyBorder="0" applyAlignment="0" applyProtection="0"/>
    <xf numFmtId="9" fontId="14" fillId="0" borderId="5" applyNumberFormat="0" applyFont="0" applyFill="0" applyAlignment="0" applyProtection="0"/>
    <xf numFmtId="216" fontId="31" fillId="0" borderId="41">
      <alignment horizontal="centerContinuous"/>
    </xf>
    <xf numFmtId="167" fontId="14" fillId="0" borderId="31">
      <protection locked="0"/>
    </xf>
    <xf numFmtId="10" fontId="55" fillId="28" borderId="1" applyNumberFormat="0" applyBorder="0" applyAlignment="0" applyProtection="0"/>
    <xf numFmtId="9" fontId="14" fillId="0" borderId="5" applyNumberFormat="0" applyFont="0" applyFill="0" applyAlignment="0" applyProtection="0"/>
    <xf numFmtId="0" fontId="29" fillId="0" borderId="46" applyNumberFormat="0" applyFont="0" applyFill="0" applyAlignment="0" applyProtection="0"/>
    <xf numFmtId="0" fontId="154" fillId="65" borderId="47" applyNumberFormat="0" applyAlignment="0" applyProtection="0"/>
    <xf numFmtId="0" fontId="154" fillId="65" borderId="47" applyNumberFormat="0" applyAlignment="0" applyProtection="0"/>
    <xf numFmtId="0" fontId="52" fillId="0" borderId="1" applyNumberFormat="0" applyFill="0" applyAlignment="0" applyProtection="0"/>
    <xf numFmtId="216" fontId="31" fillId="0" borderId="41">
      <alignment horizontal="centerContinuous"/>
    </xf>
    <xf numFmtId="9" fontId="14" fillId="0" borderId="5" applyNumberFormat="0" applyFont="0" applyFill="0" applyAlignment="0" applyProtection="0"/>
    <xf numFmtId="10" fontId="55" fillId="28" borderId="1" applyNumberFormat="0" applyBorder="0" applyAlignment="0" applyProtection="0"/>
    <xf numFmtId="10" fontId="55" fillId="28" borderId="1" applyNumberFormat="0" applyBorder="0" applyAlignment="0" applyProtection="0"/>
    <xf numFmtId="10" fontId="55" fillId="28" borderId="1" applyNumberFormat="0" applyBorder="0" applyAlignment="0" applyProtection="0"/>
    <xf numFmtId="167" fontId="149" fillId="0" borderId="31">
      <protection locked="0"/>
    </xf>
    <xf numFmtId="167" fontId="14" fillId="0" borderId="31">
      <protection locked="0"/>
    </xf>
    <xf numFmtId="0" fontId="154" fillId="65" borderId="47" applyNumberFormat="0" applyAlignment="0" applyProtection="0"/>
    <xf numFmtId="167" fontId="14" fillId="0" borderId="31">
      <protection locked="0"/>
    </xf>
    <xf numFmtId="167" fontId="14" fillId="0" borderId="31">
      <protection locked="0"/>
    </xf>
    <xf numFmtId="9" fontId="14" fillId="0" borderId="5" applyNumberFormat="0" applyFont="0" applyFill="0" applyAlignment="0" applyProtection="0"/>
    <xf numFmtId="167" fontId="14" fillId="0" borderId="31">
      <protection locked="0"/>
    </xf>
    <xf numFmtId="9" fontId="14" fillId="0" borderId="5" applyNumberFormat="0" applyFont="0" applyFill="0" applyAlignment="0" applyProtection="0"/>
    <xf numFmtId="167" fontId="14" fillId="0" borderId="31">
      <protection locked="0"/>
    </xf>
    <xf numFmtId="166" fontId="114" fillId="0" borderId="45" applyFont="0" applyFill="0" applyBorder="0" applyAlignment="0" applyProtection="0"/>
    <xf numFmtId="167" fontId="149" fillId="0" borderId="31">
      <protection locked="0"/>
    </xf>
    <xf numFmtId="216" fontId="31" fillId="0" borderId="41">
      <alignment horizontal="centerContinuous"/>
    </xf>
    <xf numFmtId="0" fontId="52" fillId="0" borderId="1" applyNumberFormat="0" applyFill="0" applyAlignment="0" applyProtection="0"/>
    <xf numFmtId="0" fontId="161" fillId="52" borderId="47" applyNumberFormat="0" applyAlignment="0" applyProtection="0"/>
    <xf numFmtId="0" fontId="28" fillId="0" borderId="5">
      <alignment horizontal="left" vertical="center"/>
    </xf>
    <xf numFmtId="0" fontId="14" fillId="68" borderId="53" applyNumberFormat="0" applyFont="0" applyAlignment="0" applyProtection="0"/>
    <xf numFmtId="0" fontId="164" fillId="65" borderId="54" applyNumberFormat="0" applyAlignment="0" applyProtection="0"/>
    <xf numFmtId="0" fontId="29" fillId="68" borderId="53" applyNumberFormat="0" applyFont="0" applyAlignment="0" applyProtection="0"/>
    <xf numFmtId="0" fontId="161" fillId="52" borderId="47" applyNumberFormat="0" applyAlignment="0" applyProtection="0"/>
    <xf numFmtId="0" fontId="154" fillId="65" borderId="47" applyNumberFormat="0" applyAlignment="0" applyProtection="0"/>
    <xf numFmtId="0" fontId="164" fillId="65" borderId="54" applyNumberFormat="0" applyAlignment="0" applyProtection="0"/>
    <xf numFmtId="0" fontId="164" fillId="65" borderId="54" applyNumberFormat="0" applyAlignment="0" applyProtection="0"/>
    <xf numFmtId="10" fontId="55" fillId="28" borderId="1" applyNumberFormat="0" applyBorder="0" applyAlignment="0" applyProtection="0"/>
    <xf numFmtId="166" fontId="114" fillId="0" borderId="45" applyFont="0" applyFill="0" applyBorder="0" applyAlignment="0" applyProtection="0"/>
    <xf numFmtId="166" fontId="114" fillId="0" borderId="45" applyFont="0" applyFill="0" applyBorder="0" applyAlignment="0" applyProtection="0"/>
    <xf numFmtId="167" fontId="14" fillId="0" borderId="31">
      <protection locked="0"/>
    </xf>
    <xf numFmtId="10" fontId="55" fillId="28" borderId="1" applyNumberFormat="0" applyBorder="0" applyAlignment="0" applyProtection="0"/>
    <xf numFmtId="216" fontId="31" fillId="0" borderId="41">
      <alignment horizontal="centerContinuous"/>
    </xf>
    <xf numFmtId="167" fontId="14" fillId="0" borderId="31">
      <protection locked="0"/>
    </xf>
    <xf numFmtId="0" fontId="28" fillId="0" borderId="5">
      <alignment horizontal="left" vertical="center"/>
    </xf>
    <xf numFmtId="10" fontId="55" fillId="28" borderId="1" applyNumberFormat="0" applyBorder="0" applyAlignment="0" applyProtection="0"/>
    <xf numFmtId="166" fontId="114" fillId="0" borderId="45" applyFont="0" applyFill="0" applyBorder="0" applyAlignment="0" applyProtection="0"/>
    <xf numFmtId="216" fontId="31" fillId="0" borderId="41">
      <alignment horizontal="centerContinuous"/>
    </xf>
    <xf numFmtId="0" fontId="52" fillId="0" borderId="1" applyNumberFormat="0" applyFill="0" applyAlignment="0" applyProtection="0"/>
    <xf numFmtId="167" fontId="14" fillId="0" borderId="31">
      <protection locked="0"/>
    </xf>
    <xf numFmtId="0" fontId="28" fillId="0" borderId="5">
      <alignment horizontal="left" vertical="center"/>
    </xf>
    <xf numFmtId="0" fontId="28" fillId="0" borderId="5">
      <alignment horizontal="left" vertical="center"/>
    </xf>
    <xf numFmtId="9" fontId="149" fillId="0" borderId="5" applyNumberFormat="0" applyFont="0" applyFill="0" applyAlignment="0" applyProtection="0"/>
    <xf numFmtId="0" fontId="28" fillId="0" borderId="5">
      <alignment horizontal="left" vertical="center"/>
    </xf>
    <xf numFmtId="0" fontId="14" fillId="68" borderId="53" applyNumberFormat="0" applyFont="0" applyAlignment="0" applyProtection="0">
      <alignment vertical="center"/>
    </xf>
    <xf numFmtId="0" fontId="178" fillId="52" borderId="47" applyNumberFormat="0" applyAlignment="0" applyProtection="0">
      <alignment vertical="center"/>
    </xf>
    <xf numFmtId="0" fontId="179" fillId="65" borderId="54" applyNumberFormat="0" applyAlignment="0" applyProtection="0">
      <alignment vertical="center"/>
    </xf>
    <xf numFmtId="167" fontId="14" fillId="0" borderId="31">
      <protection locked="0"/>
    </xf>
    <xf numFmtId="0" fontId="185" fillId="65" borderId="47" applyNumberFormat="0" applyAlignment="0" applyProtection="0">
      <alignment vertical="center"/>
    </xf>
    <xf numFmtId="0" fontId="188" fillId="0" borderId="55" applyNumberFormat="0" applyFill="0" applyAlignment="0" applyProtection="0">
      <alignment vertical="center"/>
    </xf>
    <xf numFmtId="0" fontId="166" fillId="0" borderId="55" applyNumberFormat="0" applyFill="0" applyAlignment="0" applyProtection="0"/>
    <xf numFmtId="10" fontId="55" fillId="28" borderId="1" applyNumberFormat="0" applyBorder="0" applyAlignment="0" applyProtection="0"/>
    <xf numFmtId="0" fontId="164" fillId="65" borderId="54" applyNumberFormat="0" applyAlignment="0" applyProtection="0"/>
    <xf numFmtId="0" fontId="52" fillId="0" borderId="1" applyNumberFormat="0" applyFill="0" applyAlignment="0" applyProtection="0"/>
    <xf numFmtId="0" fontId="29" fillId="68" borderId="53" applyNumberFormat="0" applyFont="0" applyAlignment="0" applyProtection="0"/>
    <xf numFmtId="166" fontId="114" fillId="0" borderId="45" applyFont="0" applyFill="0" applyBorder="0" applyAlignment="0" applyProtection="0"/>
    <xf numFmtId="0" fontId="52" fillId="0" borderId="1" applyNumberFormat="0" applyFill="0" applyAlignment="0" applyProtection="0"/>
    <xf numFmtId="9" fontId="14" fillId="0" borderId="5" applyNumberFormat="0" applyFont="0" applyFill="0" applyAlignment="0" applyProtection="0"/>
    <xf numFmtId="9" fontId="14" fillId="0" borderId="5" applyNumberFormat="0" applyFont="0" applyFill="0" applyAlignment="0" applyProtection="0"/>
    <xf numFmtId="0" fontId="138" fillId="40" borderId="44">
      <alignment horizontal="center"/>
    </xf>
    <xf numFmtId="0" fontId="28" fillId="0" borderId="5">
      <alignment horizontal="left" vertical="center"/>
    </xf>
    <xf numFmtId="0" fontId="161" fillId="52" borderId="47" applyNumberFormat="0" applyAlignment="0" applyProtection="0"/>
    <xf numFmtId="0" fontId="28" fillId="0" borderId="5">
      <alignment horizontal="left" vertical="center"/>
    </xf>
    <xf numFmtId="10" fontId="55" fillId="28" borderId="1" applyNumberFormat="0" applyBorder="0" applyAlignment="0" applyProtection="0"/>
    <xf numFmtId="0" fontId="14" fillId="68" borderId="53" applyNumberFormat="0" applyFont="0" applyAlignment="0" applyProtection="0"/>
    <xf numFmtId="0" fontId="164" fillId="65" borderId="54" applyNumberFormat="0" applyAlignment="0" applyProtection="0"/>
    <xf numFmtId="0" fontId="164" fillId="65" borderId="54" applyNumberFormat="0" applyAlignment="0" applyProtection="0"/>
    <xf numFmtId="0" fontId="52" fillId="0" borderId="1" applyNumberFormat="0" applyFill="0" applyAlignment="0" applyProtection="0"/>
    <xf numFmtId="216" fontId="31" fillId="0" borderId="41">
      <alignment horizontal="centerContinuous"/>
    </xf>
    <xf numFmtId="0" fontId="14" fillId="68" borderId="53" applyNumberFormat="0" applyFont="0" applyAlignment="0" applyProtection="0">
      <alignment vertical="center"/>
    </xf>
    <xf numFmtId="0" fontId="178" fillId="52" borderId="47" applyNumberFormat="0" applyAlignment="0" applyProtection="0">
      <alignment vertical="center"/>
    </xf>
    <xf numFmtId="0" fontId="179" fillId="65" borderId="54" applyNumberFormat="0" applyAlignment="0" applyProtection="0">
      <alignment vertical="center"/>
    </xf>
    <xf numFmtId="0" fontId="185" fillId="65" borderId="47" applyNumberFormat="0" applyAlignment="0" applyProtection="0">
      <alignment vertical="center"/>
    </xf>
    <xf numFmtId="0" fontId="188" fillId="0" borderId="55" applyNumberFormat="0" applyFill="0" applyAlignment="0" applyProtection="0">
      <alignment vertical="center"/>
    </xf>
    <xf numFmtId="0" fontId="161" fillId="52" borderId="47" applyNumberFormat="0" applyAlignment="0" applyProtection="0"/>
    <xf numFmtId="0" fontId="154" fillId="65" borderId="47" applyNumberFormat="0" applyAlignment="0" applyProtection="0"/>
    <xf numFmtId="0" fontId="52" fillId="0" borderId="1" applyNumberFormat="0" applyFill="0" applyAlignment="0" applyProtection="0"/>
    <xf numFmtId="216" fontId="31" fillId="0" borderId="41">
      <alignment horizontal="centerContinuous"/>
    </xf>
    <xf numFmtId="9" fontId="14" fillId="0" borderId="5" applyNumberFormat="0" applyFont="0" applyFill="0" applyAlignment="0" applyProtection="0"/>
    <xf numFmtId="167" fontId="14" fillId="0" borderId="31">
      <protection locked="0"/>
    </xf>
    <xf numFmtId="216" fontId="31" fillId="0" borderId="41">
      <alignment horizontal="centerContinuous"/>
    </xf>
    <xf numFmtId="166" fontId="114" fillId="0" borderId="45" applyFont="0" applyFill="0" applyBorder="0" applyAlignment="0" applyProtection="0"/>
    <xf numFmtId="0" fontId="52" fillId="0" borderId="1" applyNumberFormat="0" applyFill="0" applyAlignment="0" applyProtection="0"/>
    <xf numFmtId="9" fontId="14" fillId="0" borderId="5" applyNumberFormat="0" applyFont="0" applyFill="0" applyAlignment="0" applyProtection="0"/>
    <xf numFmtId="166" fontId="114" fillId="0" borderId="45" applyFont="0" applyFill="0" applyBorder="0" applyAlignment="0" applyProtection="0"/>
    <xf numFmtId="167" fontId="14" fillId="0" borderId="31">
      <protection locked="0"/>
    </xf>
    <xf numFmtId="167" fontId="14" fillId="0" borderId="31">
      <protection locked="0"/>
    </xf>
    <xf numFmtId="9" fontId="14" fillId="0" borderId="5" applyNumberFormat="0" applyFont="0" applyFill="0" applyAlignment="0" applyProtection="0"/>
    <xf numFmtId="0" fontId="29" fillId="0" borderId="46" applyNumberFormat="0" applyFont="0" applyFill="0" applyAlignment="0" applyProtection="0"/>
    <xf numFmtId="0" fontId="154" fillId="65" borderId="47" applyNumberFormat="0" applyAlignment="0" applyProtection="0"/>
    <xf numFmtId="0" fontId="154" fillId="65" borderId="47" applyNumberFormat="0" applyAlignment="0" applyProtection="0"/>
    <xf numFmtId="9" fontId="14" fillId="0" borderId="5" applyNumberFormat="0" applyFont="0" applyFill="0" applyAlignment="0" applyProtection="0"/>
    <xf numFmtId="0" fontId="28" fillId="0" borderId="5">
      <alignment horizontal="left" vertical="center"/>
    </xf>
    <xf numFmtId="167" fontId="14" fillId="0" borderId="31">
      <protection locked="0"/>
    </xf>
    <xf numFmtId="0" fontId="52" fillId="0" borderId="1" applyNumberFormat="0" applyFill="0" applyAlignment="0" applyProtection="0"/>
    <xf numFmtId="0" fontId="52" fillId="0" borderId="1" applyNumberFormat="0" applyFill="0" applyAlignment="0" applyProtection="0"/>
    <xf numFmtId="0" fontId="28" fillId="0" borderId="5">
      <alignment horizontal="left" vertical="center"/>
    </xf>
    <xf numFmtId="167" fontId="14" fillId="0" borderId="31">
      <protection locked="0"/>
    </xf>
    <xf numFmtId="0" fontId="52" fillId="0" borderId="1" applyNumberFormat="0" applyFill="0" applyAlignment="0" applyProtection="0"/>
    <xf numFmtId="9" fontId="14" fillId="0" borderId="5" applyNumberFormat="0" applyFont="0" applyFill="0" applyAlignment="0" applyProtection="0"/>
    <xf numFmtId="216" fontId="31" fillId="0" borderId="41">
      <alignment horizontal="centerContinuous"/>
    </xf>
    <xf numFmtId="9" fontId="14" fillId="0" borderId="5" applyNumberFormat="0" applyFont="0" applyFill="0" applyAlignment="0" applyProtection="0"/>
    <xf numFmtId="10" fontId="55" fillId="28" borderId="1" applyNumberFormat="0" applyBorder="0" applyAlignment="0" applyProtection="0"/>
    <xf numFmtId="0" fontId="28" fillId="0" borderId="5">
      <alignment horizontal="left" vertical="center"/>
    </xf>
    <xf numFmtId="216" fontId="31" fillId="0" borderId="41">
      <alignment horizontal="centerContinuous"/>
    </xf>
    <xf numFmtId="0" fontId="154" fillId="65" borderId="47" applyNumberFormat="0" applyAlignment="0" applyProtection="0"/>
    <xf numFmtId="167" fontId="14" fillId="0" borderId="31">
      <protection locked="0"/>
    </xf>
    <xf numFmtId="167" fontId="14" fillId="0" borderId="31">
      <protection locked="0"/>
    </xf>
    <xf numFmtId="0" fontId="28" fillId="0" borderId="5">
      <alignment horizontal="left" vertical="center"/>
    </xf>
    <xf numFmtId="167" fontId="14" fillId="0" borderId="31">
      <protection locked="0"/>
    </xf>
    <xf numFmtId="0" fontId="52" fillId="0" borderId="1" applyNumberFormat="0" applyFill="0" applyAlignment="0" applyProtection="0"/>
    <xf numFmtId="9" fontId="14" fillId="0" borderId="5" applyNumberFormat="0" applyFont="0" applyFill="0" applyAlignment="0" applyProtection="0"/>
    <xf numFmtId="216" fontId="31" fillId="0" borderId="41">
      <alignment horizontal="centerContinuous"/>
    </xf>
    <xf numFmtId="166" fontId="114" fillId="0" borderId="45" applyFont="0" applyFill="0" applyBorder="0" applyAlignment="0" applyProtection="0"/>
    <xf numFmtId="10" fontId="55" fillId="28" borderId="1" applyNumberFormat="0" applyBorder="0" applyAlignment="0" applyProtection="0"/>
    <xf numFmtId="0" fontId="28" fillId="0" borderId="5">
      <alignment horizontal="left" vertical="center"/>
    </xf>
    <xf numFmtId="0" fontId="161" fillId="52" borderId="47" applyNumberFormat="0" applyAlignment="0" applyProtection="0"/>
    <xf numFmtId="0" fontId="28" fillId="0" borderId="5">
      <alignment horizontal="left" vertical="center"/>
    </xf>
    <xf numFmtId="0" fontId="14" fillId="68" borderId="53" applyNumberFormat="0" applyFont="0" applyAlignment="0" applyProtection="0"/>
    <xf numFmtId="0" fontId="164" fillId="65" borderId="54" applyNumberFormat="0" applyAlignment="0" applyProtection="0"/>
    <xf numFmtId="0" fontId="29" fillId="68" borderId="53" applyNumberFormat="0" applyFont="0" applyAlignment="0" applyProtection="0"/>
    <xf numFmtId="0" fontId="161" fillId="52" borderId="47" applyNumberFormat="0" applyAlignment="0" applyProtection="0"/>
    <xf numFmtId="0" fontId="154" fillId="65" borderId="47" applyNumberFormat="0" applyAlignment="0" applyProtection="0"/>
    <xf numFmtId="0" fontId="164" fillId="65" borderId="54" applyNumberFormat="0" applyAlignment="0" applyProtection="0"/>
    <xf numFmtId="0" fontId="164" fillId="65" borderId="54" applyNumberFormat="0" applyAlignment="0" applyProtection="0"/>
    <xf numFmtId="166" fontId="114" fillId="0" borderId="45" applyFont="0" applyFill="0" applyBorder="0" applyAlignment="0" applyProtection="0"/>
    <xf numFmtId="216" fontId="31" fillId="0" borderId="41">
      <alignment horizontal="centerContinuous"/>
    </xf>
    <xf numFmtId="0" fontId="14" fillId="68" borderId="53" applyNumberFormat="0" applyFont="0" applyAlignment="0" applyProtection="0">
      <alignment vertical="center"/>
    </xf>
    <xf numFmtId="0" fontId="178" fillId="52" borderId="47" applyNumberFormat="0" applyAlignment="0" applyProtection="0">
      <alignment vertical="center"/>
    </xf>
    <xf numFmtId="0" fontId="179" fillId="65" borderId="54" applyNumberFormat="0" applyAlignment="0" applyProtection="0">
      <alignment vertical="center"/>
    </xf>
    <xf numFmtId="0" fontId="185" fillId="65" borderId="47" applyNumberFormat="0" applyAlignment="0" applyProtection="0">
      <alignment vertical="center"/>
    </xf>
    <xf numFmtId="0" fontId="188" fillId="0" borderId="55" applyNumberFormat="0" applyFill="0" applyAlignment="0" applyProtection="0">
      <alignment vertical="center"/>
    </xf>
    <xf numFmtId="0" fontId="166" fillId="0" borderId="55" applyNumberFormat="0" applyFill="0" applyAlignment="0" applyProtection="0"/>
    <xf numFmtId="0" fontId="52" fillId="0" borderId="1" applyNumberFormat="0" applyFill="0" applyAlignment="0" applyProtection="0"/>
    <xf numFmtId="10" fontId="55" fillId="28" borderId="1" applyNumberFormat="0" applyBorder="0" applyAlignment="0" applyProtection="0"/>
    <xf numFmtId="10" fontId="55" fillId="28" borderId="1" applyNumberFormat="0" applyBorder="0" applyAlignment="0" applyProtection="0"/>
    <xf numFmtId="0" fontId="161" fillId="52" borderId="47" applyNumberFormat="0" applyAlignment="0" applyProtection="0"/>
    <xf numFmtId="10" fontId="55" fillId="28" borderId="1" applyNumberFormat="0" applyBorder="0" applyAlignment="0" applyProtection="0"/>
    <xf numFmtId="0" fontId="14" fillId="68" borderId="53" applyNumberFormat="0" applyFont="0" applyAlignment="0" applyProtection="0"/>
    <xf numFmtId="0" fontId="164" fillId="65" borderId="54" applyNumberFormat="0" applyAlignment="0" applyProtection="0"/>
    <xf numFmtId="0" fontId="164" fillId="65" borderId="54" applyNumberFormat="0" applyAlignment="0" applyProtection="0"/>
    <xf numFmtId="167" fontId="14" fillId="0" borderId="31">
      <protection locked="0"/>
    </xf>
    <xf numFmtId="216" fontId="31" fillId="0" borderId="41">
      <alignment horizontal="centerContinuous"/>
    </xf>
    <xf numFmtId="0" fontId="14" fillId="68" borderId="53" applyNumberFormat="0" applyFont="0" applyAlignment="0" applyProtection="0">
      <alignment vertical="center"/>
    </xf>
    <xf numFmtId="0" fontId="178" fillId="52" borderId="47" applyNumberFormat="0" applyAlignment="0" applyProtection="0">
      <alignment vertical="center"/>
    </xf>
    <xf numFmtId="0" fontId="179" fillId="65" borderId="54" applyNumberFormat="0" applyAlignment="0" applyProtection="0">
      <alignment vertical="center"/>
    </xf>
    <xf numFmtId="0" fontId="185" fillId="65" borderId="47" applyNumberFormat="0" applyAlignment="0" applyProtection="0">
      <alignment vertical="center"/>
    </xf>
    <xf numFmtId="0" fontId="188" fillId="0" borderId="55" applyNumberFormat="0" applyFill="0" applyAlignment="0" applyProtection="0">
      <alignment vertical="center"/>
    </xf>
    <xf numFmtId="9" fontId="14" fillId="0" borderId="5" applyNumberFormat="0" applyFont="0" applyFill="0" applyAlignment="0" applyProtection="0"/>
    <xf numFmtId="0" fontId="29" fillId="0" borderId="27" applyNumberFormat="0" applyFont="0" applyFill="0" applyAlignment="0" applyProtection="0"/>
    <xf numFmtId="0" fontId="154" fillId="65" borderId="47" applyNumberFormat="0" applyAlignment="0" applyProtection="0"/>
    <xf numFmtId="0" fontId="154" fillId="65" borderId="47" applyNumberFormat="0" applyAlignment="0" applyProtection="0"/>
    <xf numFmtId="167" fontId="14" fillId="0" borderId="31">
      <protection locked="0"/>
    </xf>
    <xf numFmtId="9" fontId="14" fillId="0" borderId="5" applyNumberFormat="0" applyFont="0" applyFill="0" applyAlignment="0" applyProtection="0"/>
    <xf numFmtId="0" fontId="161" fillId="52" borderId="47" applyNumberFormat="0" applyAlignment="0" applyProtection="0"/>
    <xf numFmtId="0" fontId="28" fillId="0" borderId="5">
      <alignment horizontal="left" vertical="center"/>
    </xf>
    <xf numFmtId="0" fontId="14" fillId="68" borderId="53" applyNumberFormat="0" applyFont="0" applyAlignment="0" applyProtection="0"/>
    <xf numFmtId="0" fontId="164" fillId="65" borderId="54" applyNumberFormat="0" applyAlignment="0" applyProtection="0"/>
    <xf numFmtId="0" fontId="164" fillId="65" borderId="54" applyNumberFormat="0" applyAlignment="0" applyProtection="0"/>
    <xf numFmtId="166" fontId="114" fillId="0" borderId="45" applyFont="0" applyFill="0" applyBorder="0" applyAlignment="0" applyProtection="0"/>
    <xf numFmtId="216" fontId="31" fillId="0" borderId="41">
      <alignment horizontal="centerContinuous"/>
    </xf>
    <xf numFmtId="0" fontId="14" fillId="68" borderId="53" applyNumberFormat="0" applyFont="0" applyAlignment="0" applyProtection="0">
      <alignment vertical="center"/>
    </xf>
    <xf numFmtId="0" fontId="178" fillId="52" borderId="47" applyNumberFormat="0" applyAlignment="0" applyProtection="0">
      <alignment vertical="center"/>
    </xf>
    <xf numFmtId="0" fontId="179" fillId="65" borderId="54" applyNumberFormat="0" applyAlignment="0" applyProtection="0">
      <alignment vertical="center"/>
    </xf>
    <xf numFmtId="0" fontId="185" fillId="65" borderId="47" applyNumberFormat="0" applyAlignment="0" applyProtection="0">
      <alignment vertical="center"/>
    </xf>
    <xf numFmtId="0" fontId="188" fillId="0" borderId="55" applyNumberFormat="0" applyFill="0" applyAlignment="0" applyProtection="0">
      <alignment vertical="center"/>
    </xf>
    <xf numFmtId="0" fontId="28" fillId="0" borderId="5">
      <alignment horizontal="left" vertical="center"/>
    </xf>
    <xf numFmtId="10" fontId="55" fillId="28" borderId="1" applyNumberFormat="0" applyBorder="0" applyAlignment="0" applyProtection="0"/>
    <xf numFmtId="0" fontId="14" fillId="0" borderId="0"/>
    <xf numFmtId="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9" fontId="14" fillId="0" borderId="57" applyNumberFormat="0" applyFont="0" applyFill="0" applyAlignment="0" applyProtection="0"/>
    <xf numFmtId="0" fontId="52" fillId="0" borderId="58" applyNumberFormat="0" applyFill="0" applyAlignment="0" applyProtection="0"/>
    <xf numFmtId="167" fontId="14" fillId="0" borderId="31">
      <protection locked="0"/>
    </xf>
    <xf numFmtId="0" fontId="28" fillId="0" borderId="5">
      <alignment horizontal="left" vertical="center"/>
    </xf>
    <xf numFmtId="166" fontId="114" fillId="0" borderId="45" applyFont="0" applyFill="0" applyBorder="0" applyAlignment="0" applyProtection="0"/>
    <xf numFmtId="216" fontId="31" fillId="0" borderId="41">
      <alignment horizontal="centerContinuous"/>
    </xf>
    <xf numFmtId="9" fontId="14" fillId="0" borderId="57" applyNumberFormat="0" applyFont="0" applyFill="0" applyAlignment="0" applyProtection="0"/>
    <xf numFmtId="0" fontId="29" fillId="0" borderId="46" applyNumberFormat="0" applyFont="0" applyFill="0" applyAlignment="0" applyProtection="0"/>
    <xf numFmtId="0" fontId="52" fillId="0" borderId="58" applyNumberFormat="0" applyFill="0" applyAlignment="0" applyProtection="0"/>
    <xf numFmtId="167" fontId="14" fillId="0" borderId="31">
      <protection locked="0"/>
    </xf>
    <xf numFmtId="0" fontId="28" fillId="0" borderId="57">
      <alignment horizontal="left" vertical="center"/>
    </xf>
    <xf numFmtId="10" fontId="55" fillId="28" borderId="58" applyNumberFormat="0" applyBorder="0" applyAlignment="0" applyProtection="0"/>
    <xf numFmtId="9" fontId="14" fillId="0" borderId="57" applyNumberFormat="0" applyFont="0" applyFill="0" applyAlignment="0" applyProtection="0"/>
    <xf numFmtId="0" fontId="52" fillId="0" borderId="58" applyNumberFormat="0" applyFill="0" applyAlignment="0" applyProtection="0"/>
    <xf numFmtId="167" fontId="14" fillId="0" borderId="31">
      <protection locked="0"/>
    </xf>
    <xf numFmtId="0" fontId="28" fillId="0" borderId="5">
      <alignment horizontal="left" vertical="center"/>
    </xf>
    <xf numFmtId="166" fontId="114" fillId="0" borderId="45" applyFont="0" applyFill="0" applyBorder="0" applyAlignment="0" applyProtection="0"/>
    <xf numFmtId="216" fontId="31" fillId="0" borderId="41">
      <alignment horizontal="centerContinuous"/>
    </xf>
    <xf numFmtId="9" fontId="14" fillId="0" borderId="57" applyNumberFormat="0" applyFont="0" applyFill="0" applyAlignment="0" applyProtection="0"/>
    <xf numFmtId="0" fontId="29" fillId="0" borderId="46" applyNumberFormat="0" applyFont="0" applyFill="0" applyAlignment="0" applyProtection="0"/>
    <xf numFmtId="0" fontId="52" fillId="0" borderId="58" applyNumberFormat="0" applyFill="0" applyAlignment="0" applyProtection="0"/>
    <xf numFmtId="167" fontId="14" fillId="0" borderId="31">
      <protection locked="0"/>
    </xf>
    <xf numFmtId="0" fontId="28" fillId="0" borderId="57">
      <alignment horizontal="left" vertical="center"/>
    </xf>
    <xf numFmtId="10" fontId="55" fillId="28" borderId="58" applyNumberFormat="0" applyBorder="0" applyAlignment="0" applyProtection="0"/>
    <xf numFmtId="9" fontId="14" fillId="0" borderId="57" applyNumberFormat="0" applyFont="0" applyFill="0" applyAlignment="0" applyProtection="0"/>
    <xf numFmtId="216" fontId="31" fillId="0" borderId="41">
      <alignment horizontal="centerContinuous"/>
    </xf>
    <xf numFmtId="9" fontId="14" fillId="0" borderId="57" applyNumberFormat="0" applyFont="0" applyFill="0" applyAlignment="0" applyProtection="0"/>
    <xf numFmtId="167" fontId="14" fillId="0" borderId="31">
      <protection locked="0"/>
    </xf>
    <xf numFmtId="0" fontId="28" fillId="0" borderId="57">
      <alignment horizontal="left" vertical="center"/>
    </xf>
    <xf numFmtId="0" fontId="28" fillId="0" borderId="57">
      <alignment horizontal="left" vertical="center"/>
    </xf>
    <xf numFmtId="167" fontId="14" fillId="0" borderId="31">
      <protection locked="0"/>
    </xf>
    <xf numFmtId="166" fontId="114" fillId="0" borderId="45" applyFont="0" applyFill="0" applyBorder="0" applyAlignment="0" applyProtection="0"/>
    <xf numFmtId="9" fontId="149" fillId="0" borderId="57" applyNumberFormat="0" applyFont="0" applyFill="0" applyAlignment="0" applyProtection="0"/>
    <xf numFmtId="0" fontId="52" fillId="0" borderId="58" applyNumberFormat="0" applyFill="0" applyAlignment="0" applyProtection="0"/>
    <xf numFmtId="167" fontId="149" fillId="0" borderId="31">
      <protection locked="0"/>
    </xf>
    <xf numFmtId="10" fontId="55" fillId="28" borderId="58" applyNumberFormat="0" applyBorder="0" applyAlignment="0" applyProtection="0"/>
    <xf numFmtId="0" fontId="28" fillId="0" borderId="57">
      <alignment horizontal="left" vertical="center"/>
    </xf>
    <xf numFmtId="167" fontId="149" fillId="0" borderId="31">
      <protection locked="0"/>
    </xf>
    <xf numFmtId="9" fontId="149" fillId="0" borderId="57" applyNumberFormat="0" applyFont="0" applyFill="0" applyAlignment="0" applyProtection="0"/>
    <xf numFmtId="166" fontId="114" fillId="0" borderId="45" applyFont="0" applyFill="0" applyBorder="0" applyAlignment="0" applyProtection="0"/>
    <xf numFmtId="216" fontId="31" fillId="0" borderId="41">
      <alignment horizontal="centerContinuous"/>
    </xf>
    <xf numFmtId="0" fontId="52" fillId="0" borderId="58" applyNumberFormat="0" applyFill="0" applyAlignment="0" applyProtection="0"/>
    <xf numFmtId="167" fontId="14" fillId="0" borderId="31">
      <protection locked="0"/>
    </xf>
    <xf numFmtId="0" fontId="28" fillId="0" borderId="57">
      <alignment horizontal="left" vertical="center"/>
    </xf>
    <xf numFmtId="166" fontId="114" fillId="0" borderId="45" applyFont="0" applyFill="0" applyBorder="0" applyAlignment="0" applyProtection="0"/>
    <xf numFmtId="216" fontId="31" fillId="0" borderId="41">
      <alignment horizontal="centerContinuous"/>
    </xf>
    <xf numFmtId="9" fontId="14" fillId="0" borderId="57" applyNumberFormat="0" applyFont="0" applyFill="0" applyAlignment="0" applyProtection="0"/>
    <xf numFmtId="0" fontId="29" fillId="0" borderId="46" applyNumberFormat="0" applyFont="0" applyFill="0" applyAlignment="0" applyProtection="0"/>
    <xf numFmtId="0" fontId="52" fillId="0" borderId="58" applyNumberFormat="0" applyFill="0" applyAlignment="0" applyProtection="0"/>
    <xf numFmtId="0" fontId="28" fillId="0" borderId="57">
      <alignment horizontal="left" vertical="center"/>
    </xf>
    <xf numFmtId="10" fontId="55" fillId="28" borderId="58" applyNumberFormat="0" applyBorder="0" applyAlignment="0" applyProtection="0"/>
    <xf numFmtId="9" fontId="14" fillId="0" borderId="57" applyNumberFormat="0" applyFont="0" applyFill="0" applyAlignment="0" applyProtection="0"/>
    <xf numFmtId="216" fontId="31" fillId="0" borderId="41">
      <alignment horizontal="centerContinuous"/>
    </xf>
    <xf numFmtId="9" fontId="14" fillId="0" borderId="57" applyNumberFormat="0" applyFont="0" applyFill="0" applyAlignment="0" applyProtection="0"/>
    <xf numFmtId="0" fontId="52" fillId="0" borderId="58" applyNumberFormat="0" applyFill="0" applyAlignment="0" applyProtection="0"/>
    <xf numFmtId="167" fontId="14" fillId="0" borderId="31">
      <protection locked="0"/>
    </xf>
    <xf numFmtId="0" fontId="28" fillId="0" borderId="57">
      <alignment horizontal="left" vertical="center"/>
    </xf>
    <xf numFmtId="10" fontId="55" fillId="28" borderId="58" applyNumberFormat="0" applyBorder="0" applyAlignment="0" applyProtection="0"/>
    <xf numFmtId="10" fontId="55" fillId="28" borderId="58" applyNumberFormat="0" applyBorder="0" applyAlignment="0" applyProtection="0"/>
    <xf numFmtId="0" fontId="28" fillId="0" borderId="57">
      <alignment horizontal="left" vertical="center"/>
    </xf>
    <xf numFmtId="167" fontId="14" fillId="0" borderId="31">
      <protection locked="0"/>
    </xf>
    <xf numFmtId="0" fontId="52" fillId="0" borderId="58" applyNumberFormat="0" applyFill="0" applyAlignment="0" applyProtection="0"/>
    <xf numFmtId="166" fontId="114" fillId="0" borderId="45" applyFont="0" applyFill="0" applyBorder="0" applyAlignment="0" applyProtection="0"/>
    <xf numFmtId="9" fontId="149" fillId="0" borderId="57" applyNumberFormat="0" applyFont="0" applyFill="0" applyAlignment="0" applyProtection="0"/>
    <xf numFmtId="0" fontId="52" fillId="0" borderId="58" applyNumberFormat="0" applyFill="0" applyAlignment="0" applyProtection="0"/>
    <xf numFmtId="167" fontId="149" fillId="0" borderId="31">
      <protection locked="0"/>
    </xf>
    <xf numFmtId="10" fontId="55" fillId="28" borderId="58" applyNumberFormat="0" applyBorder="0" applyAlignment="0" applyProtection="0"/>
    <xf numFmtId="0" fontId="28" fillId="0" borderId="57">
      <alignment horizontal="left" vertical="center"/>
    </xf>
    <xf numFmtId="167" fontId="149" fillId="0" borderId="31">
      <protection locked="0"/>
    </xf>
    <xf numFmtId="9" fontId="149" fillId="0" borderId="57" applyNumberFormat="0" applyFont="0" applyFill="0" applyAlignment="0" applyProtection="0"/>
    <xf numFmtId="166" fontId="114" fillId="0" borderId="45" applyFont="0" applyFill="0" applyBorder="0" applyAlignment="0" applyProtection="0"/>
    <xf numFmtId="216" fontId="31" fillId="0" borderId="41">
      <alignment horizontal="centerContinuous"/>
    </xf>
    <xf numFmtId="9" fontId="14" fillId="0" borderId="57" applyNumberFormat="0" applyFont="0" applyFill="0" applyAlignment="0" applyProtection="0"/>
    <xf numFmtId="0" fontId="52" fillId="0" borderId="58" applyNumberFormat="0" applyFill="0" applyAlignment="0" applyProtection="0"/>
    <xf numFmtId="167" fontId="14" fillId="0" borderId="31">
      <protection locked="0"/>
    </xf>
    <xf numFmtId="0" fontId="28" fillId="0" borderId="57">
      <alignment horizontal="left" vertical="center"/>
    </xf>
    <xf numFmtId="166" fontId="114" fillId="0" borderId="45" applyFont="0" applyFill="0" applyBorder="0" applyAlignment="0" applyProtection="0"/>
    <xf numFmtId="216" fontId="31" fillId="0" borderId="41">
      <alignment horizontal="centerContinuous"/>
    </xf>
    <xf numFmtId="9" fontId="14" fillId="0" borderId="57" applyNumberFormat="0" applyFont="0" applyFill="0" applyAlignment="0" applyProtection="0"/>
    <xf numFmtId="0" fontId="29" fillId="0" borderId="46" applyNumberFormat="0" applyFont="0" applyFill="0" applyAlignment="0" applyProtection="0"/>
    <xf numFmtId="0" fontId="52" fillId="0" borderId="58" applyNumberFormat="0" applyFill="0" applyAlignment="0" applyProtection="0"/>
    <xf numFmtId="167" fontId="14" fillId="0" borderId="31">
      <protection locked="0"/>
    </xf>
    <xf numFmtId="0" fontId="28" fillId="0" borderId="57">
      <alignment horizontal="left" vertical="center"/>
    </xf>
    <xf numFmtId="10" fontId="55" fillId="28" borderId="58" applyNumberFormat="0" applyBorder="0" applyAlignment="0" applyProtection="0"/>
    <xf numFmtId="9" fontId="14" fillId="0" borderId="57" applyNumberFormat="0" applyFont="0" applyFill="0" applyAlignment="0" applyProtection="0"/>
    <xf numFmtId="0" fontId="52" fillId="0" borderId="58" applyNumberFormat="0" applyFill="0" applyAlignment="0" applyProtection="0"/>
    <xf numFmtId="167" fontId="14" fillId="0" borderId="31">
      <protection locked="0"/>
    </xf>
    <xf numFmtId="0" fontId="28" fillId="0" borderId="57">
      <alignment horizontal="left" vertical="center"/>
    </xf>
    <xf numFmtId="10" fontId="55" fillId="28" borderId="58" applyNumberFormat="0" applyBorder="0" applyAlignment="0" applyProtection="0"/>
    <xf numFmtId="166" fontId="114" fillId="0" borderId="45" applyFont="0" applyFill="0" applyBorder="0" applyAlignment="0" applyProtection="0"/>
    <xf numFmtId="216" fontId="31" fillId="0" borderId="41">
      <alignment horizontal="centerContinuous"/>
    </xf>
    <xf numFmtId="9" fontId="14" fillId="0" borderId="57" applyNumberFormat="0" applyFont="0" applyFill="0" applyAlignment="0" applyProtection="0"/>
    <xf numFmtId="0" fontId="29" fillId="0" borderId="46" applyNumberFormat="0" applyFont="0" applyFill="0" applyAlignment="0" applyProtection="0"/>
    <xf numFmtId="0" fontId="52" fillId="0" borderId="58" applyNumberFormat="0" applyFill="0" applyAlignment="0" applyProtection="0"/>
    <xf numFmtId="167" fontId="14" fillId="0" borderId="31">
      <protection locked="0"/>
    </xf>
    <xf numFmtId="0" fontId="28" fillId="0" borderId="57">
      <alignment horizontal="left" vertical="center"/>
    </xf>
    <xf numFmtId="10" fontId="55" fillId="28" borderId="58" applyNumberFormat="0" applyBorder="0" applyAlignment="0" applyProtection="0"/>
    <xf numFmtId="9" fontId="14" fillId="0" borderId="57" applyNumberFormat="0" applyFont="0" applyFill="0" applyAlignment="0" applyProtection="0"/>
    <xf numFmtId="216" fontId="31" fillId="0" borderId="41">
      <alignment horizontal="centerContinuous"/>
    </xf>
    <xf numFmtId="9" fontId="14" fillId="0" borderId="57" applyNumberFormat="0" applyFont="0" applyFill="0" applyAlignment="0" applyProtection="0"/>
    <xf numFmtId="166" fontId="114" fillId="0" borderId="45" applyFont="0" applyFill="0" applyBorder="0" applyAlignment="0" applyProtection="0"/>
    <xf numFmtId="0" fontId="52" fillId="0" borderId="58" applyNumberFormat="0" applyFill="0" applyAlignment="0" applyProtection="0"/>
    <xf numFmtId="167" fontId="14" fillId="0" borderId="31">
      <protection locked="0"/>
    </xf>
    <xf numFmtId="0" fontId="28" fillId="0" borderId="57">
      <alignment horizontal="left" vertical="center"/>
    </xf>
    <xf numFmtId="10" fontId="55" fillId="28" borderId="58" applyNumberFormat="0" applyBorder="0" applyAlignment="0" applyProtection="0"/>
    <xf numFmtId="10" fontId="55" fillId="28" borderId="58" applyNumberFormat="0" applyBorder="0" applyAlignment="0" applyProtection="0"/>
    <xf numFmtId="0" fontId="28" fillId="0" borderId="57">
      <alignment horizontal="left" vertical="center"/>
    </xf>
    <xf numFmtId="167" fontId="14" fillId="0" borderId="31">
      <protection locked="0"/>
    </xf>
    <xf numFmtId="0" fontId="52" fillId="0" borderId="58" applyNumberFormat="0" applyFill="0" applyAlignment="0" applyProtection="0"/>
    <xf numFmtId="166" fontId="114" fillId="0" borderId="45" applyFont="0" applyFill="0" applyBorder="0" applyAlignment="0" applyProtection="0"/>
    <xf numFmtId="9" fontId="149" fillId="0" borderId="57" applyNumberFormat="0" applyFont="0" applyFill="0" applyAlignment="0" applyProtection="0"/>
    <xf numFmtId="0" fontId="52" fillId="0" borderId="58" applyNumberFormat="0" applyFill="0" applyAlignment="0" applyProtection="0"/>
    <xf numFmtId="167" fontId="149" fillId="0" borderId="31">
      <protection locked="0"/>
    </xf>
    <xf numFmtId="10" fontId="55" fillId="28" borderId="58" applyNumberFormat="0" applyBorder="0" applyAlignment="0" applyProtection="0"/>
    <xf numFmtId="10" fontId="55" fillId="28" borderId="58" applyNumberFormat="0" applyBorder="0" applyAlignment="0" applyProtection="0"/>
    <xf numFmtId="0" fontId="28" fillId="0" borderId="57">
      <alignment horizontal="left" vertical="center"/>
    </xf>
    <xf numFmtId="167" fontId="149" fillId="0" borderId="31">
      <protection locked="0"/>
    </xf>
    <xf numFmtId="9" fontId="149" fillId="0" borderId="57" applyNumberFormat="0" applyFont="0" applyFill="0" applyAlignment="0" applyProtection="0"/>
    <xf numFmtId="216" fontId="31" fillId="0" borderId="41">
      <alignment horizontal="centerContinuous"/>
    </xf>
    <xf numFmtId="10" fontId="55" fillId="28" borderId="58" applyNumberFormat="0" applyBorder="0" applyAlignment="0" applyProtection="0"/>
    <xf numFmtId="0" fontId="28" fillId="0" borderId="57">
      <alignment horizontal="left" vertical="center"/>
    </xf>
    <xf numFmtId="9" fontId="14" fillId="0" borderId="57" applyNumberFormat="0" applyFont="0" applyFill="0" applyAlignment="0" applyProtection="0"/>
    <xf numFmtId="0" fontId="29" fillId="0" borderId="46" applyNumberFormat="0" applyFont="0" applyFill="0" applyAlignment="0" applyProtection="0"/>
    <xf numFmtId="0" fontId="52" fillId="0" borderId="58" applyNumberFormat="0" applyFill="0" applyAlignment="0" applyProtection="0"/>
    <xf numFmtId="0" fontId="29" fillId="0" borderId="46" applyNumberFormat="0" applyFont="0" applyFill="0" applyAlignment="0" applyProtection="0"/>
    <xf numFmtId="166" fontId="114" fillId="0" borderId="45" applyFont="0" applyFill="0" applyBorder="0" applyAlignment="0" applyProtection="0"/>
    <xf numFmtId="9" fontId="14" fillId="0" borderId="57" applyNumberFormat="0" applyFont="0" applyFill="0" applyAlignment="0" applyProtection="0"/>
    <xf numFmtId="10" fontId="55" fillId="28" borderId="58" applyNumberFormat="0" applyBorder="0" applyAlignment="0" applyProtection="0"/>
    <xf numFmtId="0" fontId="52" fillId="0" borderId="58" applyNumberFormat="0" applyFill="0" applyAlignment="0" applyProtection="0"/>
    <xf numFmtId="216" fontId="31" fillId="0" borderId="41">
      <alignment horizontal="centerContinuous"/>
    </xf>
    <xf numFmtId="9" fontId="14" fillId="0" borderId="57" applyNumberFormat="0" applyFont="0" applyFill="0" applyAlignment="0" applyProtection="0"/>
    <xf numFmtId="166" fontId="114" fillId="0" borderId="45" applyFont="0" applyFill="0" applyBorder="0" applyAlignment="0" applyProtection="0"/>
    <xf numFmtId="0" fontId="52" fillId="0" borderId="58" applyNumberFormat="0" applyFill="0" applyAlignment="0" applyProtection="0"/>
    <xf numFmtId="167" fontId="14" fillId="0" borderId="31">
      <protection locked="0"/>
    </xf>
    <xf numFmtId="0" fontId="52" fillId="0" borderId="58" applyNumberFormat="0" applyFill="0" applyAlignment="0" applyProtection="0"/>
    <xf numFmtId="9" fontId="14" fillId="0" borderId="57" applyNumberFormat="0" applyFont="0" applyFill="0" applyAlignment="0" applyProtection="0"/>
    <xf numFmtId="167" fontId="14" fillId="0" borderId="31">
      <protection locked="0"/>
    </xf>
    <xf numFmtId="167" fontId="14" fillId="0" borderId="31">
      <protection locked="0"/>
    </xf>
    <xf numFmtId="0" fontId="28" fillId="0" borderId="57">
      <alignment horizontal="left" vertical="center"/>
    </xf>
    <xf numFmtId="0" fontId="28" fillId="0" borderId="57">
      <alignment horizontal="left" vertical="center"/>
    </xf>
    <xf numFmtId="0" fontId="28" fillId="0" borderId="57">
      <alignment horizontal="left" vertical="center"/>
    </xf>
    <xf numFmtId="0" fontId="28" fillId="0" borderId="57">
      <alignment horizontal="left" vertical="center"/>
    </xf>
    <xf numFmtId="0" fontId="28" fillId="0" borderId="57">
      <alignment horizontal="left" vertical="center"/>
    </xf>
    <xf numFmtId="0" fontId="28" fillId="0" borderId="57">
      <alignment horizontal="left" vertical="center"/>
    </xf>
    <xf numFmtId="167" fontId="14" fillId="0" borderId="31">
      <protection locked="0"/>
    </xf>
    <xf numFmtId="0" fontId="52" fillId="0" borderId="58" applyNumberFormat="0" applyFill="0" applyAlignment="0" applyProtection="0"/>
    <xf numFmtId="166" fontId="114" fillId="0" borderId="45" applyFont="0" applyFill="0" applyBorder="0" applyAlignment="0" applyProtection="0"/>
    <xf numFmtId="9" fontId="14" fillId="0" borderId="57" applyNumberFormat="0" applyFont="0" applyFill="0" applyAlignment="0" applyProtection="0"/>
    <xf numFmtId="0" fontId="52" fillId="0" borderId="58" applyNumberFormat="0" applyFill="0" applyAlignment="0" applyProtection="0"/>
    <xf numFmtId="216" fontId="31" fillId="0" borderId="41">
      <alignment horizontal="centerContinuous"/>
    </xf>
    <xf numFmtId="166" fontId="114" fillId="0" borderId="45" applyFont="0" applyFill="0" applyBorder="0" applyAlignment="0" applyProtection="0"/>
    <xf numFmtId="0" fontId="29" fillId="0" borderId="46" applyNumberFormat="0" applyFont="0" applyFill="0" applyAlignment="0" applyProtection="0"/>
    <xf numFmtId="216" fontId="31" fillId="0" borderId="41">
      <alignment horizontal="centerContinuous"/>
    </xf>
    <xf numFmtId="9" fontId="14" fillId="0" borderId="57" applyNumberFormat="0" applyFont="0" applyFill="0" applyAlignment="0" applyProtection="0"/>
    <xf numFmtId="167" fontId="14" fillId="0" borderId="31">
      <protection locked="0"/>
    </xf>
    <xf numFmtId="9" fontId="14" fillId="0" borderId="57" applyNumberFormat="0" applyFont="0" applyFill="0" applyAlignment="0" applyProtection="0"/>
    <xf numFmtId="216" fontId="31" fillId="0" borderId="41">
      <alignment horizontal="centerContinuous"/>
    </xf>
    <xf numFmtId="0" fontId="154" fillId="65" borderId="47" applyNumberFormat="0" applyAlignment="0" applyProtection="0"/>
    <xf numFmtId="0" fontId="161" fillId="52" borderId="47" applyNumberFormat="0" applyAlignment="0" applyProtection="0"/>
    <xf numFmtId="0" fontId="29" fillId="68" borderId="53" applyNumberFormat="0" applyFont="0" applyAlignment="0" applyProtection="0"/>
    <xf numFmtId="0" fontId="164" fillId="65" borderId="54" applyNumberFormat="0" applyAlignment="0" applyProtection="0"/>
    <xf numFmtId="0" fontId="166" fillId="0" borderId="55" applyNumberFormat="0" applyFill="0" applyAlignment="0" applyProtection="0"/>
    <xf numFmtId="0" fontId="154" fillId="65" borderId="47" applyNumberFormat="0" applyAlignment="0" applyProtection="0"/>
    <xf numFmtId="9" fontId="14" fillId="0" borderId="57" applyNumberFormat="0" applyFont="0" applyFill="0" applyAlignment="0" applyProtection="0"/>
    <xf numFmtId="0" fontId="29" fillId="0" borderId="27" applyNumberFormat="0" applyFont="0" applyFill="0" applyAlignment="0" applyProtection="0"/>
    <xf numFmtId="0" fontId="154" fillId="65" borderId="47" applyNumberFormat="0" applyAlignment="0" applyProtection="0"/>
    <xf numFmtId="0" fontId="154" fillId="65" borderId="47" applyNumberFormat="0" applyAlignment="0" applyProtection="0"/>
    <xf numFmtId="0" fontId="154" fillId="65" borderId="47" applyNumberFormat="0" applyAlignment="0" applyProtection="0"/>
    <xf numFmtId="0" fontId="161" fillId="52" borderId="47" applyNumberFormat="0" applyAlignment="0" applyProtection="0"/>
    <xf numFmtId="0" fontId="28" fillId="0" borderId="57">
      <alignment horizontal="left" vertical="center"/>
    </xf>
    <xf numFmtId="0" fontId="14" fillId="68" borderId="53" applyNumberFormat="0" applyFont="0" applyAlignment="0" applyProtection="0"/>
    <xf numFmtId="0" fontId="164" fillId="65" borderId="54" applyNumberFormat="0" applyAlignment="0" applyProtection="0"/>
    <xf numFmtId="0" fontId="29" fillId="68" borderId="53" applyNumberFormat="0" applyFont="0" applyAlignment="0" applyProtection="0"/>
    <xf numFmtId="0" fontId="161" fillId="52" borderId="47" applyNumberFormat="0" applyAlignment="0" applyProtection="0"/>
    <xf numFmtId="0" fontId="154" fillId="65" borderId="47" applyNumberFormat="0" applyAlignment="0" applyProtection="0"/>
    <xf numFmtId="0" fontId="164" fillId="65" borderId="54" applyNumberFormat="0" applyAlignment="0" applyProtection="0"/>
    <xf numFmtId="0" fontId="164" fillId="65" borderId="54" applyNumberFormat="0" applyAlignment="0" applyProtection="0"/>
    <xf numFmtId="166" fontId="114" fillId="0" borderId="45" applyFont="0" applyFill="0" applyBorder="0" applyAlignment="0" applyProtection="0"/>
    <xf numFmtId="216" fontId="31" fillId="0" borderId="41">
      <alignment horizontal="centerContinuous"/>
    </xf>
    <xf numFmtId="0" fontId="14" fillId="68" borderId="53" applyNumberFormat="0" applyFont="0" applyAlignment="0" applyProtection="0">
      <alignment vertical="center"/>
    </xf>
    <xf numFmtId="0" fontId="178" fillId="52" borderId="47" applyNumberFormat="0" applyAlignment="0" applyProtection="0">
      <alignment vertical="center"/>
    </xf>
    <xf numFmtId="0" fontId="179" fillId="65" borderId="54" applyNumberFormat="0" applyAlignment="0" applyProtection="0">
      <alignment vertical="center"/>
    </xf>
    <xf numFmtId="0" fontId="185" fillId="65" borderId="47" applyNumberFormat="0" applyAlignment="0" applyProtection="0">
      <alignment vertical="center"/>
    </xf>
    <xf numFmtId="0" fontId="188" fillId="0" borderId="55" applyNumberFormat="0" applyFill="0" applyAlignment="0" applyProtection="0">
      <alignment vertical="center"/>
    </xf>
    <xf numFmtId="0" fontId="166" fillId="0" borderId="55" applyNumberFormat="0" applyFill="0" applyAlignment="0" applyProtection="0"/>
    <xf numFmtId="0" fontId="161" fillId="52" borderId="47" applyNumberFormat="0" applyAlignment="0" applyProtection="0"/>
    <xf numFmtId="0" fontId="14" fillId="68" borderId="53" applyNumberFormat="0" applyFont="0" applyAlignment="0" applyProtection="0"/>
    <xf numFmtId="0" fontId="164" fillId="65" borderId="54" applyNumberFormat="0" applyAlignment="0" applyProtection="0"/>
    <xf numFmtId="0" fontId="164" fillId="65" borderId="54" applyNumberFormat="0" applyAlignment="0" applyProtection="0"/>
    <xf numFmtId="216" fontId="31" fillId="0" borderId="41">
      <alignment horizontal="centerContinuous"/>
    </xf>
    <xf numFmtId="0" fontId="14" fillId="68" borderId="53" applyNumberFormat="0" applyFont="0" applyAlignment="0" applyProtection="0">
      <alignment vertical="center"/>
    </xf>
    <xf numFmtId="0" fontId="178" fillId="52" borderId="47" applyNumberFormat="0" applyAlignment="0" applyProtection="0">
      <alignment vertical="center"/>
    </xf>
    <xf numFmtId="0" fontId="179" fillId="65" borderId="54" applyNumberFormat="0" applyAlignment="0" applyProtection="0">
      <alignment vertical="center"/>
    </xf>
    <xf numFmtId="0" fontId="185" fillId="65" borderId="47" applyNumberFormat="0" applyAlignment="0" applyProtection="0">
      <alignment vertical="center"/>
    </xf>
    <xf numFmtId="0" fontId="188" fillId="0" borderId="55" applyNumberFormat="0" applyFill="0" applyAlignment="0" applyProtection="0">
      <alignment vertical="center"/>
    </xf>
    <xf numFmtId="166" fontId="114" fillId="0" borderId="45" applyFont="0" applyFill="0" applyBorder="0" applyAlignment="0" applyProtection="0"/>
    <xf numFmtId="0" fontId="28" fillId="0" borderId="5">
      <alignment horizontal="left" vertical="center"/>
    </xf>
    <xf numFmtId="9" fontId="14" fillId="0" borderId="5" applyNumberFormat="0" applyFont="0" applyFill="0" applyAlignment="0" applyProtection="0"/>
    <xf numFmtId="0" fontId="29" fillId="68" borderId="53" applyNumberFormat="0" applyFont="0" applyAlignment="0" applyProtection="0"/>
    <xf numFmtId="0" fontId="28" fillId="0" borderId="5">
      <alignment horizontal="left" vertical="center"/>
    </xf>
    <xf numFmtId="216" fontId="31" fillId="0" borderId="41">
      <alignment horizontal="centerContinuous"/>
    </xf>
    <xf numFmtId="0" fontId="164" fillId="65" borderId="54" applyNumberFormat="0" applyAlignment="0" applyProtection="0"/>
    <xf numFmtId="166" fontId="114" fillId="0" borderId="45" applyFont="0" applyFill="0" applyBorder="0" applyAlignment="0" applyProtection="0"/>
    <xf numFmtId="216" fontId="31" fillId="0" borderId="41">
      <alignment horizontal="centerContinuous"/>
    </xf>
    <xf numFmtId="216" fontId="31" fillId="0" borderId="41">
      <alignment horizontal="centerContinuous"/>
    </xf>
    <xf numFmtId="216" fontId="31" fillId="0" borderId="41">
      <alignment horizontal="centerContinuous"/>
    </xf>
    <xf numFmtId="166" fontId="114" fillId="0" borderId="45" applyFont="0" applyFill="0" applyBorder="0" applyAlignment="0" applyProtection="0"/>
    <xf numFmtId="9" fontId="149" fillId="0" borderId="5" applyNumberFormat="0" applyFont="0" applyFill="0" applyAlignment="0" applyProtection="0"/>
    <xf numFmtId="0" fontId="28" fillId="0" borderId="5">
      <alignment horizontal="left" vertical="center"/>
    </xf>
    <xf numFmtId="216" fontId="31" fillId="0" borderId="41">
      <alignment horizontal="centerContinuous"/>
    </xf>
    <xf numFmtId="0" fontId="28" fillId="0" borderId="5">
      <alignment horizontal="left" vertical="center"/>
    </xf>
    <xf numFmtId="216" fontId="31" fillId="0" borderId="41">
      <alignment horizontal="centerContinuous"/>
    </xf>
    <xf numFmtId="9" fontId="149" fillId="0" borderId="5" applyNumberFormat="0" applyFont="0" applyFill="0" applyAlignment="0" applyProtection="0"/>
    <xf numFmtId="0" fontId="28" fillId="0" borderId="5">
      <alignment horizontal="left" vertical="center"/>
    </xf>
    <xf numFmtId="216" fontId="31" fillId="0" borderId="41">
      <alignment horizontal="centerContinuous"/>
    </xf>
    <xf numFmtId="216" fontId="31" fillId="0" borderId="41">
      <alignment horizontal="centerContinuous"/>
    </xf>
    <xf numFmtId="166" fontId="114" fillId="0" borderId="45" applyFont="0" applyFill="0" applyBorder="0" applyAlignment="0" applyProtection="0"/>
    <xf numFmtId="0" fontId="28" fillId="0" borderId="5">
      <alignment horizontal="left" vertical="center"/>
    </xf>
    <xf numFmtId="166" fontId="114" fillId="0" borderId="45" applyFont="0" applyFill="0" applyBorder="0" applyAlignment="0" applyProtection="0"/>
    <xf numFmtId="0" fontId="28" fillId="0" borderId="5">
      <alignment horizontal="left" vertical="center"/>
    </xf>
    <xf numFmtId="216" fontId="31" fillId="0" borderId="41">
      <alignment horizontal="centerContinuous"/>
    </xf>
    <xf numFmtId="0" fontId="28" fillId="0" borderId="5">
      <alignment horizontal="left" vertical="center"/>
    </xf>
    <xf numFmtId="166" fontId="114" fillId="0" borderId="45" applyFont="0" applyFill="0" applyBorder="0" applyAlignment="0" applyProtection="0"/>
    <xf numFmtId="216" fontId="31" fillId="0" borderId="41">
      <alignment horizontal="centerContinuous"/>
    </xf>
    <xf numFmtId="216" fontId="31" fillId="0" borderId="41">
      <alignment horizontal="centerContinuous"/>
    </xf>
    <xf numFmtId="216" fontId="31" fillId="0" borderId="41">
      <alignment horizontal="centerContinuous"/>
    </xf>
    <xf numFmtId="216" fontId="31" fillId="0" borderId="41">
      <alignment horizontal="centerContinuous"/>
    </xf>
    <xf numFmtId="0" fontId="28" fillId="0" borderId="5">
      <alignment horizontal="left" vertical="center"/>
    </xf>
    <xf numFmtId="216" fontId="31" fillId="0" borderId="41">
      <alignment horizontal="centerContinuous"/>
    </xf>
    <xf numFmtId="0" fontId="166" fillId="0" borderId="55" applyNumberFormat="0" applyFill="0" applyAlignment="0" applyProtection="0"/>
    <xf numFmtId="166" fontId="114" fillId="0" borderId="45" applyFont="0" applyFill="0" applyBorder="0" applyAlignment="0" applyProtection="0"/>
    <xf numFmtId="0" fontId="28" fillId="0" borderId="5">
      <alignment horizontal="left" vertical="center"/>
    </xf>
    <xf numFmtId="166" fontId="114" fillId="0" borderId="45" applyFont="0" applyFill="0" applyBorder="0" applyAlignment="0" applyProtection="0"/>
    <xf numFmtId="166" fontId="114" fillId="0" borderId="45" applyFont="0" applyFill="0" applyBorder="0" applyAlignment="0" applyProtection="0"/>
    <xf numFmtId="166" fontId="114" fillId="0" borderId="45" applyFont="0" applyFill="0" applyBorder="0" applyAlignment="0" applyProtection="0"/>
    <xf numFmtId="166" fontId="114" fillId="0" borderId="45" applyFont="0" applyFill="0" applyBorder="0" applyAlignment="0" applyProtection="0"/>
    <xf numFmtId="0" fontId="28" fillId="0" borderId="5">
      <alignment horizontal="left" vertical="center"/>
    </xf>
    <xf numFmtId="166" fontId="114" fillId="0" borderId="45" applyFont="0" applyFill="0" applyBorder="0" applyAlignment="0" applyProtection="0"/>
    <xf numFmtId="216" fontId="31" fillId="0" borderId="41">
      <alignment horizontal="centerContinuous"/>
    </xf>
    <xf numFmtId="0" fontId="28" fillId="0" borderId="5">
      <alignment horizontal="left" vertical="center"/>
    </xf>
    <xf numFmtId="166" fontId="114" fillId="0" borderId="45" applyFont="0" applyFill="0" applyBorder="0" applyAlignment="0" applyProtection="0"/>
    <xf numFmtId="216" fontId="31" fillId="0" borderId="41">
      <alignment horizontal="centerContinuous"/>
    </xf>
    <xf numFmtId="216" fontId="31" fillId="0" borderId="41">
      <alignment horizontal="centerContinuous"/>
    </xf>
    <xf numFmtId="9" fontId="14" fillId="0" borderId="57" applyNumberFormat="0" applyFont="0" applyFill="0" applyAlignment="0" applyProtection="0"/>
    <xf numFmtId="0" fontId="28" fillId="0" borderId="57">
      <alignment horizontal="left" vertical="center"/>
    </xf>
    <xf numFmtId="216" fontId="31" fillId="0" borderId="41">
      <alignment horizontal="centerContinuous"/>
    </xf>
    <xf numFmtId="9" fontId="149" fillId="0" borderId="57" applyNumberFormat="0" applyFont="0" applyFill="0" applyAlignment="0" applyProtection="0"/>
    <xf numFmtId="0" fontId="28" fillId="0" borderId="57">
      <alignment horizontal="left" vertical="center"/>
    </xf>
    <xf numFmtId="216" fontId="31" fillId="0" borderId="41">
      <alignment horizontal="centerContinuous"/>
    </xf>
    <xf numFmtId="0" fontId="28" fillId="0" borderId="5">
      <alignment horizontal="left" vertical="center"/>
    </xf>
    <xf numFmtId="166" fontId="114" fillId="0" borderId="45" applyFont="0" applyFill="0" applyBorder="0" applyAlignment="0" applyProtection="0"/>
    <xf numFmtId="216" fontId="31" fillId="0" borderId="41">
      <alignment horizontal="centerContinuous"/>
    </xf>
    <xf numFmtId="9" fontId="14" fillId="0" borderId="57" applyNumberFormat="0" applyFont="0" applyFill="0" applyAlignment="0" applyProtection="0"/>
    <xf numFmtId="0" fontId="29" fillId="0" borderId="46" applyNumberFormat="0" applyFont="0" applyFill="0" applyAlignment="0" applyProtection="0"/>
    <xf numFmtId="0" fontId="28" fillId="0" borderId="57">
      <alignment horizontal="left" vertical="center"/>
    </xf>
    <xf numFmtId="9" fontId="14" fillId="0" borderId="57" applyNumberFormat="0" applyFont="0" applyFill="0" applyAlignment="0" applyProtection="0"/>
    <xf numFmtId="216" fontId="31" fillId="0" borderId="41">
      <alignment horizontal="centerContinuous"/>
    </xf>
    <xf numFmtId="9" fontId="14" fillId="0" borderId="57" applyNumberFormat="0" applyFont="0" applyFill="0" applyAlignment="0" applyProtection="0"/>
    <xf numFmtId="0" fontId="28" fillId="0" borderId="57">
      <alignment horizontal="left" vertical="center"/>
    </xf>
    <xf numFmtId="0" fontId="28" fillId="0" borderId="57">
      <alignment horizontal="left" vertical="center"/>
    </xf>
    <xf numFmtId="166" fontId="114" fillId="0" borderId="45" applyFont="0" applyFill="0" applyBorder="0" applyAlignment="0" applyProtection="0"/>
    <xf numFmtId="9" fontId="149" fillId="0" borderId="57" applyNumberFormat="0" applyFont="0" applyFill="0" applyAlignment="0" applyProtection="0"/>
    <xf numFmtId="0" fontId="28" fillId="0" borderId="5">
      <alignment horizontal="left" vertical="center"/>
    </xf>
    <xf numFmtId="9" fontId="149" fillId="0" borderId="57" applyNumberFormat="0" applyFont="0" applyFill="0" applyAlignment="0" applyProtection="0"/>
    <xf numFmtId="166" fontId="114" fillId="0" borderId="45" applyFont="0" applyFill="0" applyBorder="0" applyAlignment="0" applyProtection="0"/>
    <xf numFmtId="216" fontId="31" fillId="0" borderId="41">
      <alignment horizontal="centerContinuous"/>
    </xf>
    <xf numFmtId="9" fontId="14" fillId="0" borderId="57" applyNumberFormat="0" applyFont="0" applyFill="0" applyAlignment="0" applyProtection="0"/>
    <xf numFmtId="0" fontId="28" fillId="0" borderId="5">
      <alignment horizontal="left" vertical="center"/>
    </xf>
    <xf numFmtId="166" fontId="114" fillId="0" borderId="45" applyFont="0" applyFill="0" applyBorder="0" applyAlignment="0" applyProtection="0"/>
    <xf numFmtId="216" fontId="31" fillId="0" borderId="41">
      <alignment horizontal="centerContinuous"/>
    </xf>
    <xf numFmtId="9" fontId="14" fillId="0" borderId="57" applyNumberFormat="0" applyFont="0" applyFill="0" applyAlignment="0" applyProtection="0"/>
    <xf numFmtId="0" fontId="29" fillId="0" borderId="46" applyNumberFormat="0" applyFont="0" applyFill="0" applyAlignment="0" applyProtection="0"/>
    <xf numFmtId="0" fontId="28" fillId="0" borderId="57">
      <alignment horizontal="left" vertical="center"/>
    </xf>
    <xf numFmtId="9" fontId="14" fillId="0" borderId="57" applyNumberFormat="0" applyFont="0" applyFill="0" applyAlignment="0" applyProtection="0"/>
    <xf numFmtId="0" fontId="28" fillId="0" borderId="57">
      <alignment horizontal="left" vertical="center"/>
    </xf>
    <xf numFmtId="166" fontId="114" fillId="0" borderId="45" applyFont="0" applyFill="0" applyBorder="0" applyAlignment="0" applyProtection="0"/>
    <xf numFmtId="216" fontId="31" fillId="0" borderId="41">
      <alignment horizontal="centerContinuous"/>
    </xf>
    <xf numFmtId="9" fontId="14" fillId="0" borderId="57" applyNumberFormat="0" applyFont="0" applyFill="0" applyAlignment="0" applyProtection="0"/>
    <xf numFmtId="0" fontId="29" fillId="0" borderId="46" applyNumberFormat="0" applyFont="0" applyFill="0" applyAlignment="0" applyProtection="0"/>
    <xf numFmtId="0" fontId="28" fillId="0" borderId="57">
      <alignment horizontal="left" vertical="center"/>
    </xf>
    <xf numFmtId="9" fontId="14" fillId="0" borderId="57" applyNumberFormat="0" applyFont="0" applyFill="0" applyAlignment="0" applyProtection="0"/>
    <xf numFmtId="216" fontId="31" fillId="0" borderId="41">
      <alignment horizontal="centerContinuous"/>
    </xf>
    <xf numFmtId="9" fontId="14" fillId="0" borderId="57" applyNumberFormat="0" applyFont="0" applyFill="0" applyAlignment="0" applyProtection="0"/>
    <xf numFmtId="166" fontId="114" fillId="0" borderId="45" applyFont="0" applyFill="0" applyBorder="0" applyAlignment="0" applyProtection="0"/>
    <xf numFmtId="0" fontId="28" fillId="0" borderId="57">
      <alignment horizontal="left" vertical="center"/>
    </xf>
    <xf numFmtId="0" fontId="28" fillId="0" borderId="57">
      <alignment horizontal="left" vertical="center"/>
    </xf>
    <xf numFmtId="166" fontId="114" fillId="0" borderId="45" applyFont="0" applyFill="0" applyBorder="0" applyAlignment="0" applyProtection="0"/>
    <xf numFmtId="9" fontId="149" fillId="0" borderId="57" applyNumberFormat="0" applyFont="0" applyFill="0" applyAlignment="0" applyProtection="0"/>
    <xf numFmtId="0" fontId="28" fillId="0" borderId="57">
      <alignment horizontal="left" vertical="center"/>
    </xf>
    <xf numFmtId="9" fontId="149" fillId="0" borderId="57" applyNumberFormat="0" applyFont="0" applyFill="0" applyAlignment="0" applyProtection="0"/>
    <xf numFmtId="216" fontId="31" fillId="0" borderId="41">
      <alignment horizontal="centerContinuous"/>
    </xf>
    <xf numFmtId="0" fontId="28" fillId="0" borderId="57">
      <alignment horizontal="left" vertical="center"/>
    </xf>
    <xf numFmtId="0" fontId="28" fillId="0" borderId="5">
      <alignment horizontal="left" vertical="center"/>
    </xf>
    <xf numFmtId="9" fontId="14" fillId="0" borderId="57" applyNumberFormat="0" applyFont="0" applyFill="0" applyAlignment="0" applyProtection="0"/>
    <xf numFmtId="0" fontId="29" fillId="0" borderId="46" applyNumberFormat="0" applyFont="0" applyFill="0" applyAlignment="0" applyProtection="0"/>
    <xf numFmtId="0" fontId="29" fillId="0" borderId="46" applyNumberFormat="0" applyFont="0" applyFill="0" applyAlignment="0" applyProtection="0"/>
    <xf numFmtId="166" fontId="114" fillId="0" borderId="45" applyFont="0" applyFill="0" applyBorder="0" applyAlignment="0" applyProtection="0"/>
    <xf numFmtId="9" fontId="14" fillId="0" borderId="57" applyNumberFormat="0" applyFont="0" applyFill="0" applyAlignment="0" applyProtection="0"/>
    <xf numFmtId="216" fontId="31" fillId="0" borderId="41">
      <alignment horizontal="centerContinuous"/>
    </xf>
    <xf numFmtId="9" fontId="14" fillId="0" borderId="57" applyNumberFormat="0" applyFont="0" applyFill="0" applyAlignment="0" applyProtection="0"/>
    <xf numFmtId="166" fontId="114" fillId="0" borderId="45" applyFont="0" applyFill="0" applyBorder="0" applyAlignment="0" applyProtection="0"/>
    <xf numFmtId="9" fontId="14" fillId="0" borderId="57" applyNumberFormat="0" applyFont="0" applyFill="0" applyAlignment="0" applyProtection="0"/>
    <xf numFmtId="0" fontId="28" fillId="0" borderId="57">
      <alignment horizontal="left" vertical="center"/>
    </xf>
    <xf numFmtId="0" fontId="28" fillId="0" borderId="57">
      <alignment horizontal="left" vertical="center"/>
    </xf>
    <xf numFmtId="0" fontId="28" fillId="0" borderId="57">
      <alignment horizontal="left" vertical="center"/>
    </xf>
    <xf numFmtId="0" fontId="28" fillId="0" borderId="57">
      <alignment horizontal="left" vertical="center"/>
    </xf>
    <xf numFmtId="0" fontId="28" fillId="0" borderId="57">
      <alignment horizontal="left" vertical="center"/>
    </xf>
    <xf numFmtId="0" fontId="28" fillId="0" borderId="57">
      <alignment horizontal="left" vertical="center"/>
    </xf>
    <xf numFmtId="166" fontId="114" fillId="0" borderId="45" applyFont="0" applyFill="0" applyBorder="0" applyAlignment="0" applyProtection="0"/>
    <xf numFmtId="9" fontId="14" fillId="0" borderId="57" applyNumberFormat="0" applyFont="0" applyFill="0" applyAlignment="0" applyProtection="0"/>
    <xf numFmtId="216" fontId="31" fillId="0" borderId="41">
      <alignment horizontal="centerContinuous"/>
    </xf>
    <xf numFmtId="166" fontId="114" fillId="0" borderId="45" applyFont="0" applyFill="0" applyBorder="0" applyAlignment="0" applyProtection="0"/>
    <xf numFmtId="0" fontId="29" fillId="0" borderId="46" applyNumberFormat="0" applyFont="0" applyFill="0" applyAlignment="0" applyProtection="0"/>
    <xf numFmtId="216" fontId="31" fillId="0" borderId="41">
      <alignment horizontal="centerContinuous"/>
    </xf>
    <xf numFmtId="9" fontId="14" fillId="0" borderId="57" applyNumberFormat="0" applyFont="0" applyFill="0" applyAlignment="0" applyProtection="0"/>
    <xf numFmtId="9" fontId="14" fillId="0" borderId="57" applyNumberFormat="0" applyFont="0" applyFill="0" applyAlignment="0" applyProtection="0"/>
    <xf numFmtId="216" fontId="31" fillId="0" borderId="41">
      <alignment horizontal="centerContinuous"/>
    </xf>
    <xf numFmtId="216" fontId="31" fillId="0" borderId="41">
      <alignment horizontal="centerContinuous"/>
    </xf>
    <xf numFmtId="166" fontId="114" fillId="0" borderId="45" applyFont="0" applyFill="0" applyBorder="0" applyAlignment="0" applyProtection="0"/>
    <xf numFmtId="216" fontId="31" fillId="0" borderId="41">
      <alignment horizontal="centerContinuous"/>
    </xf>
    <xf numFmtId="166" fontId="114" fillId="0" borderId="45" applyFont="0" applyFill="0" applyBorder="0" applyAlignment="0" applyProtection="0"/>
    <xf numFmtId="216" fontId="31" fillId="0" borderId="41">
      <alignment horizontal="centerContinuous"/>
    </xf>
    <xf numFmtId="216" fontId="31" fillId="0" borderId="41">
      <alignment horizontal="centerContinuous"/>
    </xf>
    <xf numFmtId="0" fontId="154" fillId="65" borderId="47" applyNumberFormat="0" applyAlignment="0" applyProtection="0"/>
    <xf numFmtId="166" fontId="114" fillId="0" borderId="45" applyFont="0" applyFill="0" applyBorder="0" applyAlignment="0" applyProtection="0"/>
    <xf numFmtId="0" fontId="161" fillId="52" borderId="47" applyNumberFormat="0" applyAlignment="0" applyProtection="0"/>
    <xf numFmtId="0" fontId="29" fillId="68" borderId="53" applyNumberFormat="0" applyFont="0" applyAlignment="0" applyProtection="0"/>
    <xf numFmtId="0" fontId="164" fillId="65" borderId="54" applyNumberFormat="0" applyAlignment="0" applyProtection="0"/>
    <xf numFmtId="166" fontId="114" fillId="0" borderId="45" applyFont="0" applyFill="0" applyBorder="0" applyAlignment="0" applyProtection="0"/>
    <xf numFmtId="0" fontId="166" fillId="0" borderId="55" applyNumberFormat="0" applyFill="0" applyAlignment="0" applyProtection="0"/>
    <xf numFmtId="0" fontId="154" fillId="65" borderId="47" applyNumberFormat="0" applyAlignment="0" applyProtection="0"/>
    <xf numFmtId="0" fontId="154" fillId="65" borderId="47" applyNumberFormat="0" applyAlignment="0" applyProtection="0"/>
    <xf numFmtId="0" fontId="166" fillId="0" borderId="55" applyNumberFormat="0" applyFill="0" applyAlignment="0" applyProtection="0"/>
    <xf numFmtId="0" fontId="161" fillId="52" borderId="47" applyNumberFormat="0" applyAlignment="0" applyProtection="0"/>
    <xf numFmtId="0" fontId="154" fillId="65" borderId="47" applyNumberFormat="0" applyAlignment="0" applyProtection="0"/>
    <xf numFmtId="166" fontId="114" fillId="0" borderId="45" applyFont="0" applyFill="0" applyBorder="0" applyAlignment="0" applyProtection="0"/>
    <xf numFmtId="216" fontId="31" fillId="0" borderId="41">
      <alignment horizontal="centerContinuous"/>
    </xf>
    <xf numFmtId="216" fontId="31" fillId="0" borderId="41">
      <alignment horizontal="centerContinuous"/>
    </xf>
    <xf numFmtId="166" fontId="114" fillId="0" borderId="45" applyFont="0" applyFill="0" applyBorder="0" applyAlignment="0" applyProtection="0"/>
    <xf numFmtId="166" fontId="114" fillId="0" borderId="45" applyFont="0" applyFill="0" applyBorder="0" applyAlignment="0" applyProtection="0"/>
    <xf numFmtId="166" fontId="114" fillId="0" borderId="45" applyFont="0" applyFill="0" applyBorder="0" applyAlignment="0" applyProtection="0"/>
    <xf numFmtId="166" fontId="114" fillId="0" borderId="45" applyFont="0" applyFill="0" applyBorder="0" applyAlignment="0" applyProtection="0"/>
    <xf numFmtId="0" fontId="28" fillId="0" borderId="5">
      <alignment horizontal="left" vertical="center"/>
    </xf>
    <xf numFmtId="166" fontId="114" fillId="0" borderId="45" applyFont="0" applyFill="0" applyBorder="0" applyAlignment="0" applyProtection="0"/>
    <xf numFmtId="216" fontId="31" fillId="0" borderId="41">
      <alignment horizontal="centerContinuous"/>
    </xf>
    <xf numFmtId="9" fontId="14" fillId="0" borderId="5" applyNumberFormat="0" applyFont="0" applyFill="0" applyAlignment="0" applyProtection="0"/>
    <xf numFmtId="0" fontId="29" fillId="0" borderId="46" applyNumberFormat="0" applyFont="0" applyFill="0" applyAlignment="0" applyProtection="0"/>
    <xf numFmtId="0" fontId="154" fillId="65" borderId="47" applyNumberFormat="0" applyAlignment="0" applyProtection="0"/>
    <xf numFmtId="0" fontId="154" fillId="65" borderId="47" applyNumberFormat="0" applyAlignment="0" applyProtection="0"/>
    <xf numFmtId="216" fontId="31" fillId="0" borderId="41">
      <alignment horizontal="centerContinuous"/>
    </xf>
    <xf numFmtId="9" fontId="14" fillId="0" borderId="5" applyNumberFormat="0" applyFont="0" applyFill="0" applyAlignment="0" applyProtection="0"/>
    <xf numFmtId="0" fontId="154" fillId="65" borderId="47" applyNumberFormat="0" applyAlignment="0" applyProtection="0"/>
    <xf numFmtId="9" fontId="14" fillId="0" borderId="57" applyNumberFormat="0" applyFont="0" applyFill="0" applyAlignment="0" applyProtection="0"/>
    <xf numFmtId="166" fontId="114" fillId="0" borderId="45" applyFont="0" applyFill="0" applyBorder="0" applyAlignment="0" applyProtection="0"/>
    <xf numFmtId="216" fontId="31" fillId="0" borderId="41">
      <alignment horizontal="centerContinuous"/>
    </xf>
    <xf numFmtId="0" fontId="161" fillId="52" borderId="47" applyNumberFormat="0" applyAlignment="0" applyProtection="0"/>
    <xf numFmtId="0" fontId="28" fillId="0" borderId="5">
      <alignment horizontal="left" vertical="center"/>
    </xf>
    <xf numFmtId="0" fontId="14" fillId="68" borderId="53" applyNumberFormat="0" applyFont="0" applyAlignment="0" applyProtection="0"/>
    <xf numFmtId="0" fontId="164" fillId="65" borderId="54" applyNumberFormat="0" applyAlignment="0" applyProtection="0"/>
    <xf numFmtId="0" fontId="29" fillId="68" borderId="53" applyNumberFormat="0" applyFont="0" applyAlignment="0" applyProtection="0"/>
    <xf numFmtId="0" fontId="161" fillId="52" borderId="47" applyNumberFormat="0" applyAlignment="0" applyProtection="0"/>
    <xf numFmtId="0" fontId="154" fillId="65" borderId="47" applyNumberFormat="0" applyAlignment="0" applyProtection="0"/>
    <xf numFmtId="0" fontId="164" fillId="65" borderId="54" applyNumberFormat="0" applyAlignment="0" applyProtection="0"/>
    <xf numFmtId="0" fontId="164" fillId="65" borderId="54" applyNumberFormat="0" applyAlignment="0" applyProtection="0"/>
    <xf numFmtId="166" fontId="114" fillId="0" borderId="45" applyFont="0" applyFill="0" applyBorder="0" applyAlignment="0" applyProtection="0"/>
    <xf numFmtId="166" fontId="114" fillId="0" borderId="45" applyFont="0" applyFill="0" applyBorder="0" applyAlignment="0" applyProtection="0"/>
    <xf numFmtId="216" fontId="31" fillId="0" borderId="41">
      <alignment horizontal="centerContinuous"/>
    </xf>
    <xf numFmtId="166" fontId="114" fillId="0" borderId="45" applyFont="0" applyFill="0" applyBorder="0" applyAlignment="0" applyProtection="0"/>
    <xf numFmtId="216" fontId="31" fillId="0" borderId="41">
      <alignment horizontal="centerContinuous"/>
    </xf>
    <xf numFmtId="0" fontId="14" fillId="68" borderId="53" applyNumberFormat="0" applyFont="0" applyAlignment="0" applyProtection="0">
      <alignment vertical="center"/>
    </xf>
    <xf numFmtId="0" fontId="178" fillId="52" borderId="47" applyNumberFormat="0" applyAlignment="0" applyProtection="0">
      <alignment vertical="center"/>
    </xf>
    <xf numFmtId="0" fontId="179" fillId="65" borderId="54" applyNumberFormat="0" applyAlignment="0" applyProtection="0">
      <alignment vertical="center"/>
    </xf>
    <xf numFmtId="0" fontId="185" fillId="65" borderId="47" applyNumberFormat="0" applyAlignment="0" applyProtection="0">
      <alignment vertical="center"/>
    </xf>
    <xf numFmtId="0" fontId="188" fillId="0" borderId="55" applyNumberFormat="0" applyFill="0" applyAlignment="0" applyProtection="0">
      <alignment vertical="center"/>
    </xf>
    <xf numFmtId="0" fontId="166" fillId="0" borderId="55" applyNumberFormat="0" applyFill="0" applyAlignment="0" applyProtection="0"/>
    <xf numFmtId="0" fontId="164" fillId="65" borderId="54" applyNumberFormat="0" applyAlignment="0" applyProtection="0"/>
    <xf numFmtId="0" fontId="29" fillId="68" borderId="53" applyNumberFormat="0" applyFont="0" applyAlignment="0" applyProtection="0"/>
    <xf numFmtId="166" fontId="114" fillId="0" borderId="45" applyFont="0" applyFill="0" applyBorder="0" applyAlignment="0" applyProtection="0"/>
    <xf numFmtId="0" fontId="161" fillId="52" borderId="47" applyNumberFormat="0" applyAlignment="0" applyProtection="0"/>
    <xf numFmtId="0" fontId="28" fillId="0" borderId="57">
      <alignment horizontal="left" vertical="center"/>
    </xf>
    <xf numFmtId="0" fontId="14" fillId="68" borderId="53" applyNumberFormat="0" applyFont="0" applyAlignment="0" applyProtection="0"/>
    <xf numFmtId="0" fontId="164" fillId="65" borderId="54" applyNumberFormat="0" applyAlignment="0" applyProtection="0"/>
    <xf numFmtId="0" fontId="164" fillId="65" borderId="54" applyNumberFormat="0" applyAlignment="0" applyProtection="0"/>
    <xf numFmtId="216" fontId="31" fillId="0" borderId="41">
      <alignment horizontal="centerContinuous"/>
    </xf>
    <xf numFmtId="0" fontId="14" fillId="68" borderId="53" applyNumberFormat="0" applyFont="0" applyAlignment="0" applyProtection="0">
      <alignment vertical="center"/>
    </xf>
    <xf numFmtId="0" fontId="178" fillId="52" borderId="47" applyNumberFormat="0" applyAlignment="0" applyProtection="0">
      <alignment vertical="center"/>
    </xf>
    <xf numFmtId="0" fontId="179" fillId="65" borderId="54" applyNumberFormat="0" applyAlignment="0" applyProtection="0">
      <alignment vertical="center"/>
    </xf>
    <xf numFmtId="0" fontId="185" fillId="65" borderId="47" applyNumberFormat="0" applyAlignment="0" applyProtection="0">
      <alignment vertical="center"/>
    </xf>
    <xf numFmtId="0" fontId="188" fillId="0" borderId="55" applyNumberFormat="0" applyFill="0" applyAlignment="0" applyProtection="0">
      <alignment vertical="center"/>
    </xf>
    <xf numFmtId="0" fontId="161" fillId="52" borderId="47" applyNumberFormat="0" applyAlignment="0" applyProtection="0"/>
    <xf numFmtId="0" fontId="154" fillId="65" borderId="47" applyNumberFormat="0" applyAlignment="0" applyProtection="0"/>
    <xf numFmtId="216" fontId="31" fillId="0" borderId="41">
      <alignment horizontal="centerContinuous"/>
    </xf>
    <xf numFmtId="216" fontId="31" fillId="0" borderId="41">
      <alignment horizontal="centerContinuous"/>
    </xf>
    <xf numFmtId="166" fontId="114" fillId="0" borderId="45" applyFont="0" applyFill="0" applyBorder="0" applyAlignment="0" applyProtection="0"/>
    <xf numFmtId="166" fontId="114" fillId="0" borderId="45" applyFont="0" applyFill="0" applyBorder="0" applyAlignment="0" applyProtection="0"/>
    <xf numFmtId="9" fontId="14" fillId="0" borderId="5" applyNumberFormat="0" applyFont="0" applyFill="0" applyAlignment="0" applyProtection="0"/>
    <xf numFmtId="0" fontId="29" fillId="0" borderId="46" applyNumberFormat="0" applyFont="0" applyFill="0" applyAlignment="0" applyProtection="0"/>
    <xf numFmtId="0" fontId="154" fillId="65" borderId="47" applyNumberFormat="0" applyAlignment="0" applyProtection="0"/>
    <xf numFmtId="0" fontId="154" fillId="65" borderId="47" applyNumberFormat="0" applyAlignment="0" applyProtection="0"/>
    <xf numFmtId="216" fontId="31" fillId="0" borderId="41">
      <alignment horizontal="centerContinuous"/>
    </xf>
    <xf numFmtId="216" fontId="31" fillId="0" borderId="41">
      <alignment horizontal="centerContinuous"/>
    </xf>
    <xf numFmtId="0" fontId="154" fillId="65" borderId="47" applyNumberFormat="0" applyAlignment="0" applyProtection="0"/>
    <xf numFmtId="216" fontId="31" fillId="0" borderId="41">
      <alignment horizontal="centerContinuous"/>
    </xf>
    <xf numFmtId="166" fontId="114" fillId="0" borderId="45" applyFont="0" applyFill="0" applyBorder="0" applyAlignment="0" applyProtection="0"/>
    <xf numFmtId="0" fontId="28" fillId="0" borderId="5">
      <alignment horizontal="left" vertical="center"/>
    </xf>
    <xf numFmtId="0" fontId="161" fillId="52" borderId="47" applyNumberFormat="0" applyAlignment="0" applyProtection="0"/>
    <xf numFmtId="0" fontId="28" fillId="0" borderId="5">
      <alignment horizontal="left" vertical="center"/>
    </xf>
    <xf numFmtId="0" fontId="14" fillId="68" borderId="53" applyNumberFormat="0" applyFont="0" applyAlignment="0" applyProtection="0"/>
    <xf numFmtId="0" fontId="164" fillId="65" borderId="54" applyNumberFormat="0" applyAlignment="0" applyProtection="0"/>
    <xf numFmtId="0" fontId="29" fillId="68" borderId="53" applyNumberFormat="0" applyFont="0" applyAlignment="0" applyProtection="0"/>
    <xf numFmtId="0" fontId="161" fillId="52" borderId="47" applyNumberFormat="0" applyAlignment="0" applyProtection="0"/>
    <xf numFmtId="0" fontId="154" fillId="65" borderId="47" applyNumberFormat="0" applyAlignment="0" applyProtection="0"/>
    <xf numFmtId="0" fontId="164" fillId="65" borderId="54" applyNumberFormat="0" applyAlignment="0" applyProtection="0"/>
    <xf numFmtId="0" fontId="164" fillId="65" borderId="54" applyNumberFormat="0" applyAlignment="0" applyProtection="0"/>
    <xf numFmtId="166" fontId="114" fillId="0" borderId="45" applyFont="0" applyFill="0" applyBorder="0" applyAlignment="0" applyProtection="0"/>
    <xf numFmtId="216" fontId="31" fillId="0" borderId="41">
      <alignment horizontal="centerContinuous"/>
    </xf>
    <xf numFmtId="0" fontId="14" fillId="68" borderId="53" applyNumberFormat="0" applyFont="0" applyAlignment="0" applyProtection="0">
      <alignment vertical="center"/>
    </xf>
    <xf numFmtId="0" fontId="178" fillId="52" borderId="47" applyNumberFormat="0" applyAlignment="0" applyProtection="0">
      <alignment vertical="center"/>
    </xf>
    <xf numFmtId="0" fontId="179" fillId="65" borderId="54" applyNumberFormat="0" applyAlignment="0" applyProtection="0">
      <alignment vertical="center"/>
    </xf>
    <xf numFmtId="0" fontId="185" fillId="65" borderId="47" applyNumberFormat="0" applyAlignment="0" applyProtection="0">
      <alignment vertical="center"/>
    </xf>
    <xf numFmtId="0" fontId="188" fillId="0" borderId="55" applyNumberFormat="0" applyFill="0" applyAlignment="0" applyProtection="0">
      <alignment vertical="center"/>
    </xf>
    <xf numFmtId="0" fontId="166" fillId="0" borderId="55" applyNumberFormat="0" applyFill="0" applyAlignment="0" applyProtection="0"/>
    <xf numFmtId="0" fontId="161" fillId="52" borderId="47" applyNumberFormat="0" applyAlignment="0" applyProtection="0"/>
    <xf numFmtId="0" fontId="14" fillId="68" borderId="53" applyNumberFormat="0" applyFont="0" applyAlignment="0" applyProtection="0"/>
    <xf numFmtId="0" fontId="164" fillId="65" borderId="54" applyNumberFormat="0" applyAlignment="0" applyProtection="0"/>
    <xf numFmtId="0" fontId="164" fillId="65" borderId="54" applyNumberFormat="0" applyAlignment="0" applyProtection="0"/>
    <xf numFmtId="216" fontId="31" fillId="0" borderId="41">
      <alignment horizontal="centerContinuous"/>
    </xf>
    <xf numFmtId="0" fontId="14" fillId="68" borderId="53" applyNumberFormat="0" applyFont="0" applyAlignment="0" applyProtection="0">
      <alignment vertical="center"/>
    </xf>
    <xf numFmtId="0" fontId="178" fillId="52" borderId="47" applyNumberFormat="0" applyAlignment="0" applyProtection="0">
      <alignment vertical="center"/>
    </xf>
    <xf numFmtId="0" fontId="179" fillId="65" borderId="54" applyNumberFormat="0" applyAlignment="0" applyProtection="0">
      <alignment vertical="center"/>
    </xf>
    <xf numFmtId="0" fontId="185" fillId="65" borderId="47" applyNumberFormat="0" applyAlignment="0" applyProtection="0">
      <alignment vertical="center"/>
    </xf>
    <xf numFmtId="0" fontId="188" fillId="0" borderId="55" applyNumberFormat="0" applyFill="0" applyAlignment="0" applyProtection="0">
      <alignment vertical="center"/>
    </xf>
    <xf numFmtId="9" fontId="14" fillId="0" borderId="5" applyNumberFormat="0" applyFont="0" applyFill="0" applyAlignment="0" applyProtection="0"/>
    <xf numFmtId="0" fontId="29" fillId="0" borderId="46" applyNumberFormat="0" applyFont="0" applyFill="0" applyAlignment="0" applyProtection="0"/>
    <xf numFmtId="0" fontId="154" fillId="65" borderId="47" applyNumberFormat="0" applyAlignment="0" applyProtection="0"/>
    <xf numFmtId="0" fontId="154" fillId="65" borderId="47" applyNumberFormat="0" applyAlignment="0" applyProtection="0"/>
    <xf numFmtId="0" fontId="161" fillId="52" borderId="47" applyNumberFormat="0" applyAlignment="0" applyProtection="0"/>
    <xf numFmtId="0" fontId="28" fillId="0" borderId="5">
      <alignment horizontal="left" vertical="center"/>
    </xf>
    <xf numFmtId="0" fontId="14" fillId="68" borderId="53" applyNumberFormat="0" applyFont="0" applyAlignment="0" applyProtection="0"/>
    <xf numFmtId="0" fontId="164" fillId="65" borderId="54" applyNumberFormat="0" applyAlignment="0" applyProtection="0"/>
    <xf numFmtId="0" fontId="164" fillId="65" borderId="54" applyNumberFormat="0" applyAlignment="0" applyProtection="0"/>
    <xf numFmtId="166" fontId="114" fillId="0" borderId="45" applyFont="0" applyFill="0" applyBorder="0" applyAlignment="0" applyProtection="0"/>
    <xf numFmtId="216" fontId="31" fillId="0" borderId="41">
      <alignment horizontal="centerContinuous"/>
    </xf>
    <xf numFmtId="0" fontId="14" fillId="68" borderId="53" applyNumberFormat="0" applyFont="0" applyAlignment="0" applyProtection="0">
      <alignment vertical="center"/>
    </xf>
    <xf numFmtId="0" fontId="178" fillId="52" borderId="47" applyNumberFormat="0" applyAlignment="0" applyProtection="0">
      <alignment vertical="center"/>
    </xf>
    <xf numFmtId="0" fontId="179" fillId="65" borderId="54" applyNumberFormat="0" applyAlignment="0" applyProtection="0">
      <alignment vertical="center"/>
    </xf>
    <xf numFmtId="0" fontId="185" fillId="65" borderId="47" applyNumberFormat="0" applyAlignment="0" applyProtection="0">
      <alignment vertical="center"/>
    </xf>
    <xf numFmtId="0" fontId="188" fillId="0" borderId="55" applyNumberFormat="0" applyFill="0" applyAlignment="0" applyProtection="0">
      <alignment vertical="center"/>
    </xf>
    <xf numFmtId="9" fontId="149" fillId="0" borderId="57" applyNumberFormat="0" applyFont="0" applyFill="0" applyAlignment="0" applyProtection="0"/>
    <xf numFmtId="0" fontId="28" fillId="0" borderId="57">
      <alignment horizontal="left" vertical="center"/>
    </xf>
    <xf numFmtId="0" fontId="28" fillId="0" borderId="57">
      <alignment horizontal="left" vertical="center"/>
    </xf>
    <xf numFmtId="9" fontId="14" fillId="0" borderId="57" applyNumberFormat="0" applyFont="0" applyFill="0" applyAlignment="0" applyProtection="0"/>
    <xf numFmtId="0" fontId="28" fillId="0" borderId="57">
      <alignment horizontal="left" vertical="center"/>
    </xf>
    <xf numFmtId="9" fontId="14" fillId="0" borderId="57" applyNumberFormat="0" applyFont="0" applyFill="0" applyAlignment="0" applyProtection="0"/>
    <xf numFmtId="0" fontId="28" fillId="0" borderId="57">
      <alignment horizontal="left" vertical="center"/>
    </xf>
    <xf numFmtId="9" fontId="14" fillId="0" borderId="57" applyNumberFormat="0" applyFont="0" applyFill="0" applyAlignment="0" applyProtection="0"/>
    <xf numFmtId="9" fontId="149" fillId="0" borderId="57" applyNumberFormat="0" applyFont="0" applyFill="0" applyAlignment="0" applyProtection="0"/>
    <xf numFmtId="9" fontId="14" fillId="0" borderId="57" applyNumberFormat="0" applyFont="0" applyFill="0" applyAlignment="0" applyProtection="0"/>
    <xf numFmtId="0" fontId="28" fillId="0" borderId="57">
      <alignment horizontal="left" vertical="center"/>
    </xf>
    <xf numFmtId="9" fontId="149" fillId="0" borderId="57" applyNumberFormat="0" applyFont="0" applyFill="0" applyAlignment="0" applyProtection="0"/>
    <xf numFmtId="9" fontId="149" fillId="0" borderId="57" applyNumberFormat="0" applyFont="0" applyFill="0" applyAlignment="0" applyProtection="0"/>
    <xf numFmtId="9" fontId="14" fillId="0" borderId="57" applyNumberFormat="0" applyFont="0" applyFill="0" applyAlignment="0" applyProtection="0"/>
    <xf numFmtId="9" fontId="14" fillId="0" borderId="57" applyNumberFormat="0" applyFont="0" applyFill="0" applyAlignment="0" applyProtection="0"/>
    <xf numFmtId="9" fontId="14" fillId="0" borderId="57" applyNumberFormat="0" applyFont="0" applyFill="0" applyAlignment="0" applyProtection="0"/>
    <xf numFmtId="9" fontId="14" fillId="0" borderId="57" applyNumberFormat="0" applyFont="0" applyFill="0" applyAlignment="0" applyProtection="0"/>
    <xf numFmtId="0" fontId="28" fillId="0" borderId="57">
      <alignment horizontal="left" vertical="center"/>
    </xf>
    <xf numFmtId="0" fontId="28" fillId="0" borderId="57">
      <alignment horizontal="left" vertical="center"/>
    </xf>
    <xf numFmtId="0" fontId="28" fillId="0" borderId="57">
      <alignment horizontal="left" vertical="center"/>
    </xf>
    <xf numFmtId="0" fontId="28" fillId="0" borderId="57">
      <alignment horizontal="left" vertical="center"/>
    </xf>
    <xf numFmtId="9" fontId="14" fillId="0" borderId="57" applyNumberFormat="0" applyFont="0" applyFill="0" applyAlignment="0" applyProtection="0"/>
    <xf numFmtId="9" fontId="14" fillId="0" borderId="57" applyNumberFormat="0" applyFont="0" applyFill="0" applyAlignment="0" applyProtection="0"/>
    <xf numFmtId="0" fontId="28" fillId="0" borderId="57">
      <alignment horizontal="left" vertical="center"/>
    </xf>
    <xf numFmtId="0" fontId="28" fillId="0" borderId="57">
      <alignment horizontal="left" vertical="center"/>
    </xf>
    <xf numFmtId="0" fontId="28" fillId="0" borderId="57">
      <alignment horizontal="left" vertical="center"/>
    </xf>
    <xf numFmtId="9" fontId="149" fillId="0" borderId="57" applyNumberFormat="0" applyFont="0" applyFill="0" applyAlignment="0" applyProtection="0"/>
    <xf numFmtId="9" fontId="14" fillId="0" borderId="57" applyNumberFormat="0" applyFont="0" applyFill="0" applyAlignment="0" applyProtection="0"/>
    <xf numFmtId="9" fontId="14" fillId="0" borderId="57" applyNumberFormat="0" applyFont="0" applyFill="0" applyAlignment="0" applyProtection="0"/>
    <xf numFmtId="9" fontId="14" fillId="0" borderId="57" applyNumberFormat="0" applyFont="0" applyFill="0" applyAlignment="0" applyProtection="0"/>
    <xf numFmtId="9" fontId="14" fillId="0" borderId="57" applyNumberFormat="0" applyFont="0" applyFill="0" applyAlignment="0" applyProtection="0"/>
    <xf numFmtId="0" fontId="28" fillId="0" borderId="57">
      <alignment horizontal="left" vertical="center"/>
    </xf>
    <xf numFmtId="0" fontId="28" fillId="0" borderId="57">
      <alignment horizontal="left" vertical="center"/>
    </xf>
    <xf numFmtId="0" fontId="28" fillId="0" borderId="57">
      <alignment horizontal="left" vertical="center"/>
    </xf>
    <xf numFmtId="9" fontId="149" fillId="0" borderId="57" applyNumberFormat="0" applyFont="0" applyFill="0" applyAlignment="0" applyProtection="0"/>
    <xf numFmtId="0" fontId="28" fillId="0" borderId="57">
      <alignment horizontal="left" vertical="center"/>
    </xf>
    <xf numFmtId="9" fontId="14" fillId="0" borderId="57" applyNumberFormat="0" applyFont="0" applyFill="0" applyAlignment="0" applyProtection="0"/>
    <xf numFmtId="9" fontId="14" fillId="0" borderId="57" applyNumberFormat="0" applyFont="0" applyFill="0" applyAlignment="0" applyProtection="0"/>
    <xf numFmtId="0" fontId="28" fillId="0" borderId="57">
      <alignment horizontal="left" vertical="center"/>
    </xf>
    <xf numFmtId="9" fontId="14" fillId="0" borderId="57" applyNumberFormat="0" applyFont="0" applyFill="0" applyAlignment="0" applyProtection="0"/>
    <xf numFmtId="9" fontId="14" fillId="0" borderId="57" applyNumberFormat="0" applyFont="0" applyFill="0" applyAlignment="0" applyProtection="0"/>
    <xf numFmtId="9" fontId="14" fillId="0" borderId="57" applyNumberFormat="0" applyFont="0" applyFill="0" applyAlignment="0" applyProtection="0"/>
    <xf numFmtId="0" fontId="28" fillId="0" borderId="57">
      <alignment horizontal="left" vertical="center"/>
    </xf>
    <xf numFmtId="0" fontId="28" fillId="0" borderId="57">
      <alignment horizontal="left" vertical="center"/>
    </xf>
    <xf numFmtId="9" fontId="14" fillId="0" borderId="57" applyNumberFormat="0" applyFont="0" applyFill="0" applyAlignment="0" applyProtection="0"/>
    <xf numFmtId="9" fontId="14" fillId="0" borderId="57" applyNumberFormat="0" applyFont="0" applyFill="0" applyAlignment="0" applyProtection="0"/>
    <xf numFmtId="0" fontId="28" fillId="0" borderId="57">
      <alignment horizontal="left" vertical="center"/>
    </xf>
    <xf numFmtId="0" fontId="28" fillId="0" borderId="57">
      <alignment horizontal="left" vertical="center"/>
    </xf>
    <xf numFmtId="9" fontId="14" fillId="0" borderId="57" applyNumberFormat="0" applyFont="0" applyFill="0" applyAlignment="0" applyProtection="0"/>
    <xf numFmtId="9" fontId="14" fillId="0" borderId="57" applyNumberFormat="0" applyFont="0" applyFill="0" applyAlignment="0" applyProtection="0"/>
    <xf numFmtId="9" fontId="14" fillId="0" borderId="57" applyNumberFormat="0" applyFont="0" applyFill="0" applyAlignment="0" applyProtection="0"/>
    <xf numFmtId="0" fontId="28" fillId="0" borderId="57">
      <alignment horizontal="left" vertical="center"/>
    </xf>
    <xf numFmtId="0" fontId="28" fillId="0" borderId="57">
      <alignment horizontal="left" vertical="center"/>
    </xf>
    <xf numFmtId="43" fontId="12" fillId="0" borderId="0" applyFont="0" applyFill="0" applyBorder="0" applyAlignment="0" applyProtection="0"/>
    <xf numFmtId="0" fontId="4" fillId="0" borderId="0"/>
    <xf numFmtId="43" fontId="14" fillId="0" borderId="0" applyFont="0" applyFill="0" applyBorder="0" applyAlignment="0" applyProtection="0"/>
    <xf numFmtId="0" fontId="12" fillId="0" borderId="0"/>
    <xf numFmtId="255" fontId="195" fillId="0" borderId="0" applyFont="0" applyFill="0" applyBorder="0" applyAlignment="0" applyProtection="0"/>
    <xf numFmtId="0" fontId="12" fillId="0" borderId="0"/>
    <xf numFmtId="255" fontId="195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2" fillId="0" borderId="0"/>
    <xf numFmtId="0" fontId="14" fillId="0" borderId="0"/>
    <xf numFmtId="180" fontId="149" fillId="0" borderId="0" applyFont="0" applyFill="0" applyBorder="0" applyAlignment="0" applyProtection="0"/>
    <xf numFmtId="0" fontId="149" fillId="0" borderId="0"/>
    <xf numFmtId="17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37" fontId="197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14" fillId="0" borderId="0">
      <alignment vertical="top"/>
    </xf>
    <xf numFmtId="175" fontId="4" fillId="0" borderId="0" applyFont="0" applyFill="0" applyBorder="0" applyAlignment="0" applyProtection="0"/>
    <xf numFmtId="0" fontId="14" fillId="0" borderId="0"/>
    <xf numFmtId="0" fontId="150" fillId="0" borderId="0"/>
    <xf numFmtId="180" fontId="150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459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horizontal="left"/>
    </xf>
    <xf numFmtId="9" fontId="0" fillId="0" borderId="1" xfId="0" applyNumberFormat="1" applyBorder="1"/>
    <xf numFmtId="9" fontId="0" fillId="0" borderId="0" xfId="0" applyNumberFormat="1"/>
    <xf numFmtId="3" fontId="0" fillId="0" borderId="1" xfId="0" applyNumberFormat="1" applyBorder="1"/>
    <xf numFmtId="3" fontId="1" fillId="0" borderId="1" xfId="0" applyNumberFormat="1" applyFont="1" applyBorder="1"/>
    <xf numFmtId="3" fontId="0" fillId="0" borderId="0" xfId="0" applyNumberFormat="1"/>
    <xf numFmtId="172" fontId="0" fillId="0" borderId="1" xfId="0" applyNumberFormat="1" applyBorder="1"/>
    <xf numFmtId="3" fontId="3" fillId="4" borderId="1" xfId="0" applyNumberFormat="1" applyFont="1" applyFill="1" applyBorder="1" applyAlignment="1">
      <alignment horizontal="center"/>
    </xf>
    <xf numFmtId="9" fontId="6" fillId="0" borderId="1" xfId="0" applyNumberFormat="1" applyFont="1" applyBorder="1"/>
    <xf numFmtId="0" fontId="6" fillId="0" borderId="0" xfId="0" applyFont="1"/>
    <xf numFmtId="3" fontId="0" fillId="0" borderId="3" xfId="0" applyNumberFormat="1" applyBorder="1"/>
    <xf numFmtId="3" fontId="7" fillId="0" borderId="2" xfId="0" applyNumberFormat="1" applyFont="1" applyBorder="1"/>
    <xf numFmtId="9" fontId="7" fillId="0" borderId="2" xfId="0" applyNumberFormat="1" applyFont="1" applyBorder="1"/>
    <xf numFmtId="0" fontId="9" fillId="0" borderId="1" xfId="0" applyFont="1" applyBorder="1" applyAlignment="1">
      <alignment horizontal="left" indent="2"/>
    </xf>
    <xf numFmtId="3" fontId="7" fillId="0" borderId="1" xfId="0" applyNumberFormat="1" applyFont="1" applyBorder="1"/>
    <xf numFmtId="3" fontId="8" fillId="0" borderId="1" xfId="0" applyNumberFormat="1" applyFont="1" applyBorder="1"/>
    <xf numFmtId="0" fontId="6" fillId="0" borderId="1" xfId="0" applyFont="1" applyBorder="1"/>
    <xf numFmtId="3" fontId="8" fillId="0" borderId="2" xfId="0" applyNumberFormat="1" applyFont="1" applyBorder="1"/>
    <xf numFmtId="9" fontId="8" fillId="0" borderId="2" xfId="0" applyNumberFormat="1" applyFont="1" applyBorder="1"/>
    <xf numFmtId="39" fontId="11" fillId="0" borderId="10" xfId="6" applyNumberFormat="1">
      <alignment horizontal="right" vertical="center"/>
    </xf>
    <xf numFmtId="39" fontId="10" fillId="0" borderId="11" xfId="7" applyNumberFormat="1" applyBorder="1">
      <alignment horizontal="right" vertical="center"/>
    </xf>
    <xf numFmtId="4" fontId="8" fillId="0" borderId="2" xfId="0" applyNumberFormat="1" applyFont="1" applyBorder="1"/>
    <xf numFmtId="0" fontId="8" fillId="0" borderId="2" xfId="0" applyFont="1" applyBorder="1" applyAlignment="1">
      <alignment horizontal="left" indent="3"/>
    </xf>
    <xf numFmtId="0" fontId="7" fillId="0" borderId="2" xfId="0" applyFont="1" applyBorder="1" applyAlignment="1">
      <alignment horizontal="left" indent="3"/>
    </xf>
    <xf numFmtId="9" fontId="9" fillId="0" borderId="1" xfId="0" applyNumberFormat="1" applyFont="1" applyBorder="1" applyAlignment="1">
      <alignment horizontal="left" indent="5"/>
    </xf>
    <xf numFmtId="0" fontId="9" fillId="0" borderId="1" xfId="0" applyFont="1" applyBorder="1" applyAlignment="1">
      <alignment horizontal="left" indent="1"/>
    </xf>
    <xf numFmtId="9" fontId="13" fillId="0" borderId="1" xfId="0" applyNumberFormat="1" applyFont="1" applyBorder="1"/>
    <xf numFmtId="0" fontId="7" fillId="7" borderId="1" xfId="0" applyFont="1" applyFill="1" applyBorder="1"/>
    <xf numFmtId="3" fontId="7" fillId="7" borderId="1" xfId="0" applyNumberFormat="1" applyFont="1" applyFill="1" applyBorder="1"/>
    <xf numFmtId="3" fontId="7" fillId="7" borderId="2" xfId="0" applyNumberFormat="1" applyFont="1" applyFill="1" applyBorder="1"/>
    <xf numFmtId="9" fontId="7" fillId="7" borderId="2" xfId="0" applyNumberFormat="1" applyFont="1" applyFill="1" applyBorder="1"/>
    <xf numFmtId="0" fontId="8" fillId="7" borderId="1" xfId="0" applyFont="1" applyFill="1" applyBorder="1"/>
    <xf numFmtId="3" fontId="8" fillId="7" borderId="1" xfId="0" applyNumberFormat="1" applyFont="1" applyFill="1" applyBorder="1"/>
    <xf numFmtId="3" fontId="8" fillId="7" borderId="2" xfId="0" applyNumberFormat="1" applyFont="1" applyFill="1" applyBorder="1"/>
    <xf numFmtId="9" fontId="8" fillId="7" borderId="2" xfId="0" applyNumberFormat="1" applyFont="1" applyFill="1" applyBorder="1"/>
    <xf numFmtId="3" fontId="1" fillId="0" borderId="1" xfId="0" applyNumberFormat="1" applyFont="1" applyBorder="1" applyAlignment="1">
      <alignment horizontal="right"/>
    </xf>
    <xf numFmtId="3" fontId="9" fillId="0" borderId="1" xfId="0" applyNumberFormat="1" applyFont="1" applyBorder="1"/>
    <xf numFmtId="3" fontId="6" fillId="0" borderId="1" xfId="0" applyNumberFormat="1" applyFont="1" applyBorder="1"/>
    <xf numFmtId="0" fontId="1" fillId="0" borderId="0" xfId="0" applyFont="1" applyAlignment="1">
      <alignment horizontal="right"/>
    </xf>
    <xf numFmtId="3" fontId="3" fillId="0" borderId="1" xfId="0" applyNumberFormat="1" applyFont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2" fillId="8" borderId="4" xfId="0" applyFont="1" applyFill="1" applyBorder="1"/>
    <xf numFmtId="9" fontId="0" fillId="8" borderId="6" xfId="0" applyNumberFormat="1" applyFill="1" applyBorder="1"/>
    <xf numFmtId="0" fontId="0" fillId="8" borderId="0" xfId="0" applyFill="1"/>
    <xf numFmtId="9" fontId="1" fillId="8" borderId="6" xfId="0" applyNumberFormat="1" applyFont="1" applyFill="1" applyBorder="1"/>
    <xf numFmtId="0" fontId="1" fillId="8" borderId="0" xfId="0" applyFont="1" applyFill="1"/>
    <xf numFmtId="37" fontId="0" fillId="0" borderId="0" xfId="0" applyNumberFormat="1"/>
    <xf numFmtId="37" fontId="0" fillId="0" borderId="1" xfId="0" applyNumberFormat="1" applyBorder="1"/>
    <xf numFmtId="37" fontId="1" fillId="0" borderId="1" xfId="0" applyNumberFormat="1" applyFont="1" applyBorder="1"/>
    <xf numFmtId="9" fontId="1" fillId="0" borderId="1" xfId="0" applyNumberFormat="1" applyFont="1" applyBorder="1"/>
    <xf numFmtId="9" fontId="0" fillId="0" borderId="3" xfId="0" applyNumberFormat="1" applyBorder="1"/>
    <xf numFmtId="9" fontId="1" fillId="0" borderId="3" xfId="0" applyNumberFormat="1" applyFont="1" applyBorder="1"/>
    <xf numFmtId="10" fontId="6" fillId="0" borderId="1" xfId="0" applyNumberFormat="1" applyFont="1" applyBorder="1"/>
    <xf numFmtId="3" fontId="5" fillId="2" borderId="1" xfId="0" applyNumberFormat="1" applyFont="1" applyFill="1" applyBorder="1" applyAlignment="1">
      <alignment horizontal="left"/>
    </xf>
    <xf numFmtId="0" fontId="10" fillId="5" borderId="7" xfId="3" quotePrefix="1" applyNumberFormat="1" applyAlignment="1"/>
    <xf numFmtId="0" fontId="11" fillId="6" borderId="7" xfId="4" quotePrefix="1" applyNumberFormat="1" applyAlignment="1"/>
    <xf numFmtId="174" fontId="11" fillId="0" borderId="10" xfId="6" applyNumberFormat="1">
      <alignment horizontal="right" vertical="center"/>
    </xf>
    <xf numFmtId="174" fontId="11" fillId="0" borderId="14" xfId="6" applyNumberFormat="1" applyBorder="1">
      <alignment horizontal="right" vertical="center"/>
    </xf>
    <xf numFmtId="37" fontId="11" fillId="0" borderId="10" xfId="6" applyNumberFormat="1">
      <alignment horizontal="right" vertical="center"/>
    </xf>
    <xf numFmtId="37" fontId="11" fillId="0" borderId="14" xfId="6" applyNumberFormat="1" applyBorder="1">
      <alignment horizontal="right" vertical="center"/>
    </xf>
    <xf numFmtId="37" fontId="11" fillId="0" borderId="12" xfId="6" applyNumberFormat="1" applyBorder="1">
      <alignment horizontal="right" vertical="center"/>
    </xf>
    <xf numFmtId="37" fontId="11" fillId="0" borderId="15" xfId="6" applyNumberFormat="1" applyBorder="1">
      <alignment horizontal="right" vertical="center"/>
    </xf>
    <xf numFmtId="0" fontId="10" fillId="5" borderId="9" xfId="5" quotePrefix="1" applyNumberFormat="1" applyBorder="1" applyAlignment="1"/>
    <xf numFmtId="174" fontId="10" fillId="0" borderId="11" xfId="7" applyNumberFormat="1" applyBorder="1">
      <alignment horizontal="right" vertical="center"/>
    </xf>
    <xf numFmtId="37" fontId="10" fillId="0" borderId="11" xfId="7" applyNumberFormat="1" applyBorder="1">
      <alignment horizontal="right" vertical="center"/>
    </xf>
    <xf numFmtId="37" fontId="10" fillId="0" borderId="13" xfId="7" applyNumberFormat="1" applyBorder="1">
      <alignment horizontal="right" vertical="center"/>
    </xf>
    <xf numFmtId="9" fontId="0" fillId="0" borderId="3" xfId="47" applyFont="1" applyFill="1" applyBorder="1"/>
    <xf numFmtId="176" fontId="9" fillId="0" borderId="1" xfId="0" applyNumberFormat="1" applyFont="1" applyBorder="1" applyAlignment="1">
      <alignment horizontal="left" indent="5"/>
    </xf>
    <xf numFmtId="3" fontId="0" fillId="2" borderId="1" xfId="0" applyNumberFormat="1" applyFill="1" applyBorder="1"/>
    <xf numFmtId="4" fontId="0" fillId="0" borderId="3" xfId="0" applyNumberFormat="1" applyBorder="1"/>
    <xf numFmtId="4" fontId="0" fillId="0" borderId="1" xfId="0" applyNumberFormat="1" applyBorder="1"/>
    <xf numFmtId="10" fontId="9" fillId="0" borderId="1" xfId="0" applyNumberFormat="1" applyFont="1" applyBorder="1" applyAlignment="1">
      <alignment horizontal="left" indent="5"/>
    </xf>
    <xf numFmtId="0" fontId="0" fillId="24" borderId="0" xfId="0" applyFill="1"/>
    <xf numFmtId="174" fontId="0" fillId="24" borderId="0" xfId="0" applyNumberFormat="1" applyFill="1"/>
    <xf numFmtId="37" fontId="0" fillId="24" borderId="0" xfId="0" applyNumberFormat="1" applyFill="1"/>
    <xf numFmtId="4" fontId="0" fillId="24" borderId="0" xfId="0" applyNumberFormat="1" applyFill="1"/>
    <xf numFmtId="174" fontId="1" fillId="24" borderId="0" xfId="0" applyNumberFormat="1" applyFont="1" applyFill="1"/>
    <xf numFmtId="174" fontId="1" fillId="24" borderId="0" xfId="0" applyNumberFormat="1" applyFont="1" applyFill="1" applyAlignment="1">
      <alignment horizontal="right"/>
    </xf>
    <xf numFmtId="4" fontId="8" fillId="0" borderId="1" xfId="0" applyNumberFormat="1" applyFont="1" applyBorder="1"/>
    <xf numFmtId="174" fontId="1" fillId="24" borderId="0" xfId="0" applyNumberFormat="1" applyFont="1" applyFill="1" applyAlignment="1">
      <alignment horizontal="left"/>
    </xf>
    <xf numFmtId="0" fontId="1" fillId="24" borderId="0" xfId="0" applyFont="1" applyFill="1" applyAlignment="1">
      <alignment horizontal="left"/>
    </xf>
    <xf numFmtId="37" fontId="1" fillId="24" borderId="0" xfId="0" applyNumberFormat="1" applyFont="1" applyFill="1" applyAlignment="1">
      <alignment horizontal="left"/>
    </xf>
    <xf numFmtId="176" fontId="1" fillId="24" borderId="0" xfId="0" applyNumberFormat="1" applyFont="1" applyFill="1" applyAlignment="1">
      <alignment horizontal="left"/>
    </xf>
    <xf numFmtId="0" fontId="11" fillId="5" borderId="7" xfId="3" quotePrefix="1" applyNumberFormat="1" applyFont="1" applyAlignment="1">
      <alignment horizontal="center"/>
    </xf>
    <xf numFmtId="3" fontId="8" fillId="2" borderId="2" xfId="0" applyNumberFormat="1" applyFont="1" applyFill="1" applyBorder="1"/>
    <xf numFmtId="37" fontId="1" fillId="0" borderId="0" xfId="0" applyNumberFormat="1" applyFont="1"/>
    <xf numFmtId="9" fontId="6" fillId="0" borderId="0" xfId="0" applyNumberFormat="1" applyFont="1"/>
    <xf numFmtId="3" fontId="11" fillId="0" borderId="14" xfId="6" applyNumberFormat="1" applyBorder="1">
      <alignment horizontal="right" vertical="center"/>
    </xf>
    <xf numFmtId="4" fontId="0" fillId="0" borderId="0" xfId="0" applyNumberFormat="1"/>
    <xf numFmtId="4" fontId="7" fillId="7" borderId="1" xfId="0" applyNumberFormat="1" applyFont="1" applyFill="1" applyBorder="1"/>
    <xf numFmtId="172" fontId="0" fillId="0" borderId="0" xfId="0" applyNumberFormat="1"/>
    <xf numFmtId="3" fontId="10" fillId="0" borderId="11" xfId="7" applyNumberFormat="1" applyBorder="1">
      <alignment horizontal="right" vertical="center"/>
    </xf>
    <xf numFmtId="37" fontId="11" fillId="81" borderId="10" xfId="6" applyNumberFormat="1" applyFill="1">
      <alignment horizontal="right" vertical="center"/>
    </xf>
    <xf numFmtId="37" fontId="10" fillId="81" borderId="11" xfId="7" applyNumberFormat="1" applyFill="1" applyBorder="1">
      <alignment horizontal="right" vertical="center"/>
    </xf>
    <xf numFmtId="3" fontId="11" fillId="81" borderId="10" xfId="6" applyNumberFormat="1" applyFill="1">
      <alignment horizontal="right" vertical="center"/>
    </xf>
    <xf numFmtId="3" fontId="10" fillId="81" borderId="11" xfId="7" applyNumberFormat="1" applyFill="1" applyBorder="1">
      <alignment horizontal="right" vertical="center"/>
    </xf>
    <xf numFmtId="37" fontId="190" fillId="0" borderId="10" xfId="6" applyNumberFormat="1" applyFont="1">
      <alignment horizontal="right" vertical="center"/>
    </xf>
    <xf numFmtId="37" fontId="190" fillId="81" borderId="10" xfId="6" applyNumberFormat="1" applyFont="1" applyFill="1">
      <alignment horizontal="right" vertical="center"/>
    </xf>
    <xf numFmtId="3" fontId="11" fillId="0" borderId="0" xfId="6" applyNumberFormat="1" applyBorder="1">
      <alignment horizontal="right" vertical="center"/>
    </xf>
    <xf numFmtId="9" fontId="1" fillId="0" borderId="1" xfId="47" applyFont="1" applyBorder="1"/>
    <xf numFmtId="4" fontId="11" fillId="6" borderId="7" xfId="4" quotePrefix="1" applyNumberFormat="1" applyAlignment="1"/>
    <xf numFmtId="4" fontId="11" fillId="0" borderId="10" xfId="6" applyNumberFormat="1">
      <alignment horizontal="right" vertical="center"/>
    </xf>
    <xf numFmtId="176" fontId="13" fillId="0" borderId="1" xfId="0" applyNumberFormat="1" applyFont="1" applyBorder="1"/>
    <xf numFmtId="10" fontId="13" fillId="0" borderId="1" xfId="0" applyNumberFormat="1" applyFont="1" applyBorder="1"/>
    <xf numFmtId="4" fontId="0" fillId="8" borderId="0" xfId="0" applyNumberFormat="1" applyFill="1"/>
    <xf numFmtId="176" fontId="6" fillId="0" borderId="1" xfId="0" applyNumberFormat="1" applyFont="1" applyBorder="1"/>
    <xf numFmtId="10" fontId="8" fillId="7" borderId="2" xfId="0" applyNumberFormat="1" applyFont="1" applyFill="1" applyBorder="1"/>
    <xf numFmtId="10" fontId="7" fillId="7" borderId="2" xfId="0" applyNumberFormat="1" applyFont="1" applyFill="1" applyBorder="1"/>
    <xf numFmtId="3" fontId="191" fillId="82" borderId="1" xfId="0" applyNumberFormat="1" applyFont="1" applyFill="1" applyBorder="1"/>
    <xf numFmtId="3" fontId="191" fillId="82" borderId="6" xfId="0" applyNumberFormat="1" applyFont="1" applyFill="1" applyBorder="1"/>
    <xf numFmtId="176" fontId="6" fillId="0" borderId="1" xfId="47" applyNumberFormat="1" applyFont="1" applyBorder="1"/>
    <xf numFmtId="176" fontId="13" fillId="0" borderId="1" xfId="47" applyNumberFormat="1" applyFont="1" applyBorder="1"/>
    <xf numFmtId="10" fontId="6" fillId="0" borderId="1" xfId="47" applyNumberFormat="1" applyFont="1" applyBorder="1"/>
    <xf numFmtId="0" fontId="0" fillId="0" borderId="0" xfId="0" applyAlignment="1">
      <alignment vertical="top"/>
    </xf>
    <xf numFmtId="0" fontId="0" fillId="0" borderId="59" xfId="0" applyBorder="1"/>
    <xf numFmtId="0" fontId="0" fillId="0" borderId="23" xfId="0" applyBorder="1"/>
    <xf numFmtId="10" fontId="0" fillId="0" borderId="1" xfId="47" applyNumberFormat="1" applyFont="1" applyBorder="1"/>
    <xf numFmtId="4" fontId="192" fillId="0" borderId="0" xfId="0" applyNumberFormat="1" applyFont="1"/>
    <xf numFmtId="10" fontId="8" fillId="0" borderId="2" xfId="0" applyNumberFormat="1" applyFont="1" applyBorder="1"/>
    <xf numFmtId="4" fontId="13" fillId="0" borderId="1" xfId="0" applyNumberFormat="1" applyFont="1" applyBorder="1"/>
    <xf numFmtId="10" fontId="193" fillId="0" borderId="0" xfId="47" applyNumberFormat="1" applyFont="1"/>
    <xf numFmtId="176" fontId="0" fillId="0" borderId="3" xfId="0" applyNumberFormat="1" applyBorder="1"/>
    <xf numFmtId="4" fontId="193" fillId="0" borderId="0" xfId="47" applyNumberFormat="1" applyFont="1"/>
    <xf numFmtId="4" fontId="1" fillId="0" borderId="0" xfId="0" applyNumberFormat="1" applyFont="1"/>
    <xf numFmtId="3" fontId="11" fillId="0" borderId="10" xfId="6" applyNumberFormat="1">
      <alignment horizontal="right" vertical="center"/>
    </xf>
    <xf numFmtId="4" fontId="194" fillId="83" borderId="0" xfId="47" applyNumberFormat="1" applyFont="1" applyFill="1" applyAlignment="1">
      <alignment horizontal="center"/>
    </xf>
    <xf numFmtId="176" fontId="0" fillId="0" borderId="1" xfId="47" applyNumberFormat="1" applyFont="1" applyBorder="1"/>
    <xf numFmtId="176" fontId="0" fillId="0" borderId="1" xfId="0" applyNumberFormat="1" applyBorder="1"/>
    <xf numFmtId="176" fontId="1" fillId="0" borderId="1" xfId="0" applyNumberFormat="1" applyFont="1" applyBorder="1"/>
    <xf numFmtId="10" fontId="0" fillId="0" borderId="3" xfId="47" applyNumberFormat="1" applyFont="1" applyBorder="1"/>
    <xf numFmtId="254" fontId="0" fillId="0" borderId="0" xfId="0" applyNumberFormat="1"/>
    <xf numFmtId="39" fontId="11" fillId="0" borderId="0" xfId="6" applyNumberFormat="1" applyBorder="1">
      <alignment horizontal="right" vertical="center"/>
    </xf>
    <xf numFmtId="37" fontId="11" fillId="0" borderId="60" xfId="6" applyNumberFormat="1" applyBorder="1">
      <alignment horizontal="right" vertical="center"/>
    </xf>
    <xf numFmtId="3" fontId="1" fillId="0" borderId="0" xfId="0" applyNumberFormat="1" applyFont="1"/>
    <xf numFmtId="172" fontId="11" fillId="0" borderId="10" xfId="6" applyNumberFormat="1">
      <alignment horizontal="right" vertical="center"/>
    </xf>
    <xf numFmtId="172" fontId="11" fillId="0" borderId="10" xfId="1929" applyNumberFormat="1" applyFont="1" applyBorder="1" applyAlignment="1">
      <alignment horizontal="right" vertical="center"/>
    </xf>
    <xf numFmtId="10" fontId="0" fillId="0" borderId="1" xfId="0" applyNumberFormat="1" applyBorder="1"/>
    <xf numFmtId="10" fontId="1" fillId="0" borderId="1" xfId="0" applyNumberFormat="1" applyFont="1" applyBorder="1"/>
    <xf numFmtId="37" fontId="6" fillId="0" borderId="0" xfId="0" applyNumberFormat="1" applyFont="1"/>
    <xf numFmtId="10" fontId="0" fillId="0" borderId="0" xfId="0" applyNumberFormat="1"/>
    <xf numFmtId="0" fontId="198" fillId="24" borderId="0" xfId="0" applyFont="1" applyFill="1" applyAlignment="1">
      <alignment horizontal="center"/>
    </xf>
    <xf numFmtId="0" fontId="199" fillId="24" borderId="19" xfId="0" applyFont="1" applyFill="1" applyBorder="1"/>
    <xf numFmtId="0" fontId="199" fillId="24" borderId="19" xfId="0" applyFont="1" applyFill="1" applyBorder="1" applyAlignment="1">
      <alignment horizontal="center"/>
    </xf>
    <xf numFmtId="0" fontId="199" fillId="24" borderId="0" xfId="0" applyFont="1" applyFill="1"/>
    <xf numFmtId="0" fontId="200" fillId="0" borderId="19" xfId="0" applyFont="1" applyBorder="1"/>
    <xf numFmtId="0" fontId="200" fillId="25" borderId="0" xfId="0" applyFont="1" applyFill="1" applyAlignment="1">
      <alignment horizontal="center"/>
    </xf>
    <xf numFmtId="0" fontId="200" fillId="24" borderId="0" xfId="0" applyFont="1" applyFill="1" applyAlignment="1">
      <alignment horizontal="center"/>
    </xf>
    <xf numFmtId="0" fontId="202" fillId="24" borderId="0" xfId="0" applyFont="1" applyFill="1" applyAlignment="1">
      <alignment horizontal="center"/>
    </xf>
    <xf numFmtId="0" fontId="201" fillId="24" borderId="19" xfId="0" applyFont="1" applyFill="1" applyBorder="1" applyAlignment="1">
      <alignment horizontal="center"/>
    </xf>
    <xf numFmtId="0" fontId="199" fillId="24" borderId="0" xfId="0" applyFont="1" applyFill="1" applyAlignment="1">
      <alignment horizontal="center"/>
    </xf>
    <xf numFmtId="3" fontId="199" fillId="24" borderId="0" xfId="0" applyNumberFormat="1" applyFont="1" applyFill="1" applyAlignment="1">
      <alignment horizontal="center"/>
    </xf>
    <xf numFmtId="9" fontId="199" fillId="24" borderId="0" xfId="0" applyNumberFormat="1" applyFont="1" applyFill="1" applyAlignment="1">
      <alignment horizontal="center"/>
    </xf>
    <xf numFmtId="0" fontId="201" fillId="24" borderId="0" xfId="0" applyFont="1" applyFill="1"/>
    <xf numFmtId="179" fontId="199" fillId="24" borderId="0" xfId="0" applyNumberFormat="1" applyFont="1" applyFill="1" applyAlignment="1">
      <alignment horizontal="right"/>
    </xf>
    <xf numFmtId="176" fontId="199" fillId="24" borderId="0" xfId="0" applyNumberFormat="1" applyFont="1" applyFill="1" applyAlignment="1">
      <alignment horizontal="center"/>
    </xf>
    <xf numFmtId="9" fontId="199" fillId="24" borderId="0" xfId="47" applyFont="1" applyFill="1" applyAlignment="1">
      <alignment horizontal="right"/>
    </xf>
    <xf numFmtId="3" fontId="199" fillId="24" borderId="0" xfId="0" applyNumberFormat="1" applyFont="1" applyFill="1"/>
    <xf numFmtId="179" fontId="199" fillId="24" borderId="0" xfId="0" applyNumberFormat="1" applyFont="1" applyFill="1" applyAlignment="1">
      <alignment horizontal="center"/>
    </xf>
    <xf numFmtId="176" fontId="203" fillId="24" borderId="0" xfId="0" applyNumberFormat="1" applyFont="1" applyFill="1" applyAlignment="1">
      <alignment horizontal="center"/>
    </xf>
    <xf numFmtId="37" fontId="199" fillId="24" borderId="0" xfId="0" applyNumberFormat="1" applyFont="1" applyFill="1"/>
    <xf numFmtId="177" fontId="199" fillId="24" borderId="0" xfId="0" applyNumberFormat="1" applyFont="1" applyFill="1" applyAlignment="1">
      <alignment horizontal="right"/>
    </xf>
    <xf numFmtId="10" fontId="199" fillId="24" borderId="0" xfId="0" applyNumberFormat="1" applyFont="1" applyFill="1" applyAlignment="1">
      <alignment horizontal="right"/>
    </xf>
    <xf numFmtId="176" fontId="199" fillId="24" borderId="0" xfId="0" applyNumberFormat="1" applyFont="1" applyFill="1"/>
    <xf numFmtId="0" fontId="201" fillId="24" borderId="19" xfId="0" applyFont="1" applyFill="1" applyBorder="1"/>
    <xf numFmtId="179" fontId="199" fillId="24" borderId="19" xfId="0" applyNumberFormat="1" applyFont="1" applyFill="1" applyBorder="1" applyAlignment="1">
      <alignment horizontal="center"/>
    </xf>
    <xf numFmtId="176" fontId="203" fillId="24" borderId="19" xfId="0" applyNumberFormat="1" applyFont="1" applyFill="1" applyBorder="1" applyAlignment="1">
      <alignment horizontal="center"/>
    </xf>
    <xf numFmtId="2" fontId="199" fillId="24" borderId="0" xfId="0" applyNumberFormat="1" applyFont="1" applyFill="1"/>
    <xf numFmtId="179" fontId="199" fillId="24" borderId="0" xfId="0" applyNumberFormat="1" applyFont="1" applyFill="1"/>
    <xf numFmtId="179" fontId="199" fillId="24" borderId="19" xfId="0" applyNumberFormat="1" applyFont="1" applyFill="1" applyBorder="1" applyAlignment="1">
      <alignment horizontal="right"/>
    </xf>
    <xf numFmtId="0" fontId="199" fillId="24" borderId="20" xfId="0" applyFont="1" applyFill="1" applyBorder="1"/>
    <xf numFmtId="0" fontId="199" fillId="24" borderId="20" xfId="0" applyFont="1" applyFill="1" applyBorder="1" applyAlignment="1">
      <alignment horizontal="center"/>
    </xf>
    <xf numFmtId="4" fontId="199" fillId="24" borderId="0" xfId="0" applyNumberFormat="1" applyFont="1" applyFill="1"/>
    <xf numFmtId="10" fontId="199" fillId="24" borderId="0" xfId="47" applyNumberFormat="1" applyFont="1" applyFill="1"/>
    <xf numFmtId="176" fontId="199" fillId="24" borderId="19" xfId="0" applyNumberFormat="1" applyFont="1" applyFill="1" applyBorder="1" applyAlignment="1">
      <alignment horizontal="center"/>
    </xf>
    <xf numFmtId="9" fontId="199" fillId="24" borderId="0" xfId="47" applyFont="1" applyFill="1"/>
    <xf numFmtId="176" fontId="204" fillId="24" borderId="0" xfId="0" applyNumberFormat="1" applyFont="1" applyFill="1" applyAlignment="1">
      <alignment horizontal="center"/>
    </xf>
    <xf numFmtId="176" fontId="199" fillId="24" borderId="0" xfId="0" applyNumberFormat="1" applyFont="1" applyFill="1" applyAlignment="1">
      <alignment horizontal="right"/>
    </xf>
    <xf numFmtId="9" fontId="199" fillId="24" borderId="0" xfId="47" applyFont="1" applyFill="1" applyBorder="1" applyAlignment="1"/>
    <xf numFmtId="176" fontId="204" fillId="24" borderId="19" xfId="0" applyNumberFormat="1" applyFont="1" applyFill="1" applyBorder="1" applyAlignment="1">
      <alignment horizontal="center"/>
    </xf>
    <xf numFmtId="176" fontId="203" fillId="24" borderId="19" xfId="47" applyNumberFormat="1" applyFont="1" applyFill="1" applyBorder="1" applyAlignment="1">
      <alignment horizontal="center"/>
    </xf>
    <xf numFmtId="178" fontId="199" fillId="24" borderId="0" xfId="0" applyNumberFormat="1" applyFont="1" applyFill="1" applyAlignment="1">
      <alignment horizontal="right"/>
    </xf>
    <xf numFmtId="178" fontId="199" fillId="24" borderId="0" xfId="0" applyNumberFormat="1" applyFont="1" applyFill="1" applyAlignment="1">
      <alignment horizontal="center"/>
    </xf>
    <xf numFmtId="178" fontId="199" fillId="24" borderId="19" xfId="0" applyNumberFormat="1" applyFont="1" applyFill="1" applyBorder="1" applyAlignment="1">
      <alignment horizontal="center"/>
    </xf>
    <xf numFmtId="176" fontId="204" fillId="24" borderId="19" xfId="47" applyNumberFormat="1" applyFont="1" applyFill="1" applyBorder="1" applyAlignment="1">
      <alignment horizontal="center"/>
    </xf>
    <xf numFmtId="178" fontId="199" fillId="24" borderId="19" xfId="0" applyNumberFormat="1" applyFont="1" applyFill="1" applyBorder="1" applyAlignment="1">
      <alignment horizontal="right"/>
    </xf>
    <xf numFmtId="178" fontId="199" fillId="24" borderId="0" xfId="0" applyNumberFormat="1" applyFont="1" applyFill="1"/>
    <xf numFmtId="3" fontId="201" fillId="24" borderId="19" xfId="0" applyNumberFormat="1" applyFont="1" applyFill="1" applyBorder="1" applyAlignment="1">
      <alignment horizontal="center"/>
    </xf>
    <xf numFmtId="9" fontId="201" fillId="24" borderId="19" xfId="0" applyNumberFormat="1" applyFont="1" applyFill="1" applyBorder="1" applyAlignment="1">
      <alignment horizontal="center"/>
    </xf>
    <xf numFmtId="9" fontId="201" fillId="24" borderId="0" xfId="0" applyNumberFormat="1" applyFont="1" applyFill="1" applyAlignment="1">
      <alignment horizontal="center"/>
    </xf>
    <xf numFmtId="0" fontId="205" fillId="24" borderId="0" xfId="0" applyFont="1" applyFill="1" applyAlignment="1">
      <alignment horizontal="center"/>
    </xf>
    <xf numFmtId="3" fontId="201" fillId="24" borderId="0" xfId="0" applyNumberFormat="1" applyFont="1" applyFill="1" applyAlignment="1">
      <alignment horizontal="center"/>
    </xf>
    <xf numFmtId="0" fontId="201" fillId="24" borderId="0" xfId="0" applyFont="1" applyFill="1" applyAlignment="1">
      <alignment horizontal="center"/>
    </xf>
    <xf numFmtId="9" fontId="199" fillId="24" borderId="19" xfId="0" applyNumberFormat="1" applyFont="1" applyFill="1" applyBorder="1" applyAlignment="1">
      <alignment horizontal="center"/>
    </xf>
    <xf numFmtId="0" fontId="198" fillId="24" borderId="0" xfId="0" applyFont="1" applyFill="1" applyAlignment="1">
      <alignment horizontal="left"/>
    </xf>
    <xf numFmtId="9" fontId="199" fillId="24" borderId="0" xfId="0" applyNumberFormat="1" applyFont="1" applyFill="1" applyAlignment="1">
      <alignment horizontal="left"/>
    </xf>
    <xf numFmtId="9" fontId="199" fillId="24" borderId="19" xfId="0" applyNumberFormat="1" applyFont="1" applyFill="1" applyBorder="1" applyAlignment="1">
      <alignment horizontal="left"/>
    </xf>
    <xf numFmtId="9" fontId="201" fillId="24" borderId="0" xfId="0" applyNumberFormat="1" applyFont="1" applyFill="1" applyAlignment="1">
      <alignment horizontal="left"/>
    </xf>
    <xf numFmtId="0" fontId="199" fillId="24" borderId="0" xfId="0" applyFont="1" applyFill="1" applyAlignment="1">
      <alignment horizontal="left"/>
    </xf>
    <xf numFmtId="3" fontId="199" fillId="24" borderId="0" xfId="0" applyNumberFormat="1" applyFont="1" applyFill="1" applyAlignment="1">
      <alignment horizontal="right"/>
    </xf>
    <xf numFmtId="3" fontId="199" fillId="24" borderId="19" xfId="0" applyNumberFormat="1" applyFont="1" applyFill="1" applyBorder="1" applyAlignment="1">
      <alignment horizontal="right"/>
    </xf>
    <xf numFmtId="0" fontId="199" fillId="24" borderId="61" xfId="0" applyFont="1" applyFill="1" applyBorder="1"/>
    <xf numFmtId="9" fontId="199" fillId="24" borderId="61" xfId="0" applyNumberFormat="1" applyFont="1" applyFill="1" applyBorder="1" applyAlignment="1">
      <alignment horizontal="center"/>
    </xf>
    <xf numFmtId="0" fontId="199" fillId="24" borderId="61" xfId="0" applyFont="1" applyFill="1" applyBorder="1" applyAlignment="1">
      <alignment horizontal="center"/>
    </xf>
    <xf numFmtId="0" fontId="206" fillId="24" borderId="0" xfId="0" applyFont="1" applyFill="1" applyAlignment="1">
      <alignment horizontal="left"/>
    </xf>
    <xf numFmtId="0" fontId="207" fillId="24" borderId="0" xfId="0" applyFont="1" applyFill="1" applyAlignment="1">
      <alignment horizontal="center" vertical="center"/>
    </xf>
    <xf numFmtId="0" fontId="207" fillId="24" borderId="19" xfId="0" applyFont="1" applyFill="1" applyBorder="1" applyAlignment="1">
      <alignment horizontal="center" vertical="center"/>
    </xf>
    <xf numFmtId="9" fontId="199" fillId="24" borderId="61" xfId="0" applyNumberFormat="1" applyFont="1" applyFill="1" applyBorder="1" applyAlignment="1">
      <alignment horizontal="left"/>
    </xf>
    <xf numFmtId="3" fontId="199" fillId="24" borderId="61" xfId="0" applyNumberFormat="1" applyFont="1" applyFill="1" applyBorder="1" applyAlignment="1">
      <alignment horizontal="right"/>
    </xf>
    <xf numFmtId="0" fontId="206" fillId="84" borderId="0" xfId="0" applyFont="1" applyFill="1" applyAlignment="1">
      <alignment horizontal="left"/>
    </xf>
    <xf numFmtId="0" fontId="207" fillId="84" borderId="0" xfId="0" applyFont="1" applyFill="1" applyAlignment="1">
      <alignment horizontal="center" vertical="center"/>
    </xf>
    <xf numFmtId="0" fontId="205" fillId="85" borderId="0" xfId="0" applyFont="1" applyFill="1" applyAlignment="1">
      <alignment horizontal="center"/>
    </xf>
    <xf numFmtId="0" fontId="200" fillId="85" borderId="0" xfId="0" applyFont="1" applyFill="1" applyAlignment="1">
      <alignment horizontal="center"/>
    </xf>
    <xf numFmtId="0" fontId="201" fillId="84" borderId="19" xfId="0" applyFont="1" applyFill="1" applyBorder="1"/>
    <xf numFmtId="0" fontId="207" fillId="84" borderId="19" xfId="0" applyFont="1" applyFill="1" applyBorder="1" applyAlignment="1">
      <alignment horizontal="center" vertical="center"/>
    </xf>
    <xf numFmtId="0" fontId="199" fillId="84" borderId="62" xfId="0" applyFont="1" applyFill="1" applyBorder="1"/>
    <xf numFmtId="3" fontId="199" fillId="84" borderId="62" xfId="0" applyNumberFormat="1" applyFont="1" applyFill="1" applyBorder="1" applyAlignment="1">
      <alignment horizontal="right"/>
    </xf>
    <xf numFmtId="0" fontId="199" fillId="84" borderId="64" xfId="0" applyFont="1" applyFill="1" applyBorder="1" applyAlignment="1">
      <alignment horizontal="center"/>
    </xf>
    <xf numFmtId="3" fontId="199" fillId="84" borderId="64" xfId="0" applyNumberFormat="1" applyFont="1" applyFill="1" applyBorder="1" applyAlignment="1">
      <alignment horizontal="right"/>
    </xf>
    <xf numFmtId="9" fontId="199" fillId="84" borderId="64" xfId="0" applyNumberFormat="1" applyFont="1" applyFill="1" applyBorder="1" applyAlignment="1">
      <alignment horizontal="center"/>
    </xf>
    <xf numFmtId="9" fontId="199" fillId="85" borderId="0" xfId="0" applyNumberFormat="1" applyFont="1" applyFill="1" applyAlignment="1">
      <alignment horizontal="center"/>
    </xf>
    <xf numFmtId="9" fontId="199" fillId="84" borderId="0" xfId="0" applyNumberFormat="1" applyFont="1" applyFill="1" applyAlignment="1">
      <alignment horizontal="left"/>
    </xf>
    <xf numFmtId="3" fontId="199" fillId="84" borderId="0" xfId="0" applyNumberFormat="1" applyFont="1" applyFill="1" applyAlignment="1">
      <alignment horizontal="right"/>
    </xf>
    <xf numFmtId="0" fontId="199" fillId="84" borderId="0" xfId="0" applyFont="1" applyFill="1"/>
    <xf numFmtId="9" fontId="199" fillId="84" borderId="0" xfId="0" applyNumberFormat="1" applyFont="1" applyFill="1" applyAlignment="1">
      <alignment horizontal="center"/>
    </xf>
    <xf numFmtId="0" fontId="199" fillId="84" borderId="0" xfId="0" applyFont="1" applyFill="1" applyAlignment="1">
      <alignment horizontal="center"/>
    </xf>
    <xf numFmtId="9" fontId="199" fillId="84" borderId="19" xfId="0" applyNumberFormat="1" applyFont="1" applyFill="1" applyBorder="1" applyAlignment="1">
      <alignment horizontal="left"/>
    </xf>
    <xf numFmtId="3" fontId="199" fillId="84" borderId="19" xfId="0" applyNumberFormat="1" applyFont="1" applyFill="1" applyBorder="1" applyAlignment="1">
      <alignment horizontal="right"/>
    </xf>
    <xf numFmtId="0" fontId="201" fillId="84" borderId="63" xfId="0" applyFont="1" applyFill="1" applyBorder="1"/>
    <xf numFmtId="3" fontId="201" fillId="84" borderId="63" xfId="0" applyNumberFormat="1" applyFont="1" applyFill="1" applyBorder="1" applyAlignment="1">
      <alignment horizontal="right"/>
    </xf>
    <xf numFmtId="0" fontId="201" fillId="84" borderId="65" xfId="0" applyFont="1" applyFill="1" applyBorder="1" applyAlignment="1">
      <alignment horizontal="center"/>
    </xf>
    <xf numFmtId="3" fontId="201" fillId="84" borderId="65" xfId="0" applyNumberFormat="1" applyFont="1" applyFill="1" applyBorder="1" applyAlignment="1">
      <alignment horizontal="right"/>
    </xf>
    <xf numFmtId="9" fontId="201" fillId="85" borderId="0" xfId="0" applyNumberFormat="1" applyFont="1" applyFill="1" applyAlignment="1">
      <alignment horizontal="center"/>
    </xf>
    <xf numFmtId="9" fontId="201" fillId="24" borderId="19" xfId="0" applyNumberFormat="1" applyFont="1" applyFill="1" applyBorder="1" applyAlignment="1">
      <alignment horizontal="left"/>
    </xf>
    <xf numFmtId="4" fontId="201" fillId="24" borderId="19" xfId="0" applyNumberFormat="1" applyFont="1" applyFill="1" applyBorder="1" applyAlignment="1">
      <alignment horizontal="right"/>
    </xf>
    <xf numFmtId="9" fontId="199" fillId="24" borderId="61" xfId="0" applyNumberFormat="1" applyFont="1" applyFill="1" applyBorder="1" applyAlignment="1">
      <alignment horizontal="center" vertical="center"/>
    </xf>
    <xf numFmtId="9" fontId="199" fillId="24" borderId="0" xfId="0" applyNumberFormat="1" applyFont="1" applyFill="1" applyAlignment="1">
      <alignment horizontal="center" vertical="center"/>
    </xf>
    <xf numFmtId="9" fontId="199" fillId="24" borderId="19" xfId="0" applyNumberFormat="1" applyFont="1" applyFill="1" applyBorder="1" applyAlignment="1">
      <alignment horizontal="center" vertical="center"/>
    </xf>
    <xf numFmtId="9" fontId="201" fillId="24" borderId="19" xfId="0" applyNumberFormat="1" applyFont="1" applyFill="1" applyBorder="1" applyAlignment="1">
      <alignment horizontal="center" vertical="center"/>
    </xf>
    <xf numFmtId="4" fontId="201" fillId="24" borderId="0" xfId="0" applyNumberFormat="1" applyFont="1" applyFill="1" applyAlignment="1">
      <alignment horizontal="center"/>
    </xf>
    <xf numFmtId="4" fontId="199" fillId="24" borderId="0" xfId="0" applyNumberFormat="1" applyFont="1" applyFill="1" applyAlignment="1">
      <alignment horizontal="center"/>
    </xf>
    <xf numFmtId="176" fontId="201" fillId="84" borderId="65" xfId="0" applyNumberFormat="1" applyFont="1" applyFill="1" applyBorder="1" applyAlignment="1">
      <alignment horizontal="center"/>
    </xf>
    <xf numFmtId="2" fontId="0" fillId="0" borderId="0" xfId="0" applyNumberFormat="1"/>
    <xf numFmtId="4" fontId="201" fillId="24" borderId="0" xfId="0" applyNumberFormat="1" applyFont="1" applyFill="1" applyAlignment="1">
      <alignment horizontal="right"/>
    </xf>
    <xf numFmtId="0" fontId="201" fillId="24" borderId="19" xfId="0" applyFont="1" applyFill="1" applyBorder="1" applyAlignment="1">
      <alignment horizontal="left"/>
    </xf>
    <xf numFmtId="0" fontId="208" fillId="84" borderId="19" xfId="0" applyFont="1" applyFill="1" applyBorder="1" applyAlignment="1">
      <alignment horizontal="center" vertical="center"/>
    </xf>
    <xf numFmtId="9" fontId="208" fillId="24" borderId="61" xfId="0" applyNumberFormat="1" applyFont="1" applyFill="1" applyBorder="1" applyAlignment="1">
      <alignment horizontal="left"/>
    </xf>
    <xf numFmtId="0" fontId="208" fillId="24" borderId="19" xfId="0" applyFont="1" applyFill="1" applyBorder="1" applyAlignment="1">
      <alignment horizontal="left"/>
    </xf>
    <xf numFmtId="0" fontId="207" fillId="84" borderId="19" xfId="0" applyFont="1" applyFill="1" applyBorder="1" applyAlignment="1">
      <alignment horizontal="right" vertical="center"/>
    </xf>
    <xf numFmtId="0" fontId="208" fillId="84" borderId="19" xfId="0" applyFont="1" applyFill="1" applyBorder="1" applyAlignment="1">
      <alignment horizontal="right" vertical="center"/>
    </xf>
    <xf numFmtId="9" fontId="199" fillId="24" borderId="0" xfId="47" applyFont="1" applyFill="1" applyAlignment="1">
      <alignment horizontal="center"/>
    </xf>
    <xf numFmtId="9" fontId="199" fillId="84" borderId="64" xfId="47" applyFont="1" applyFill="1" applyBorder="1" applyAlignment="1">
      <alignment horizontal="center"/>
    </xf>
    <xf numFmtId="9" fontId="199" fillId="84" borderId="0" xfId="47" applyFont="1" applyFill="1" applyAlignment="1">
      <alignment horizontal="center"/>
    </xf>
    <xf numFmtId="9" fontId="201" fillId="24" borderId="19" xfId="47" applyFont="1" applyFill="1" applyBorder="1" applyAlignment="1">
      <alignment horizontal="center"/>
    </xf>
    <xf numFmtId="9" fontId="201" fillId="84" borderId="65" xfId="47" applyFont="1" applyFill="1" applyBorder="1" applyAlignment="1">
      <alignment horizontal="center"/>
    </xf>
    <xf numFmtId="9" fontId="201" fillId="84" borderId="65" xfId="0" applyNumberFormat="1" applyFont="1" applyFill="1" applyBorder="1" applyAlignment="1">
      <alignment horizontal="center"/>
    </xf>
    <xf numFmtId="0" fontId="201" fillId="84" borderId="0" xfId="0" applyFont="1" applyFill="1"/>
    <xf numFmtId="0" fontId="207" fillId="84" borderId="65" xfId="0" applyFont="1" applyFill="1" applyBorder="1" applyAlignment="1">
      <alignment horizontal="center" vertical="center"/>
    </xf>
    <xf numFmtId="9" fontId="201" fillId="24" borderId="61" xfId="0" applyNumberFormat="1" applyFont="1" applyFill="1" applyBorder="1" applyAlignment="1">
      <alignment horizontal="left"/>
    </xf>
    <xf numFmtId="9" fontId="199" fillId="84" borderId="19" xfId="0" applyNumberFormat="1" applyFont="1" applyFill="1" applyBorder="1" applyAlignment="1">
      <alignment horizontal="center"/>
    </xf>
    <xf numFmtId="9" fontId="201" fillId="84" borderId="0" xfId="0" applyNumberFormat="1" applyFont="1" applyFill="1" applyAlignment="1">
      <alignment horizontal="center"/>
    </xf>
    <xf numFmtId="9" fontId="201" fillId="84" borderId="19" xfId="0" applyNumberFormat="1" applyFont="1" applyFill="1" applyBorder="1" applyAlignment="1">
      <alignment horizontal="center"/>
    </xf>
    <xf numFmtId="9" fontId="203" fillId="84" borderId="0" xfId="0" applyNumberFormat="1" applyFont="1" applyFill="1" applyAlignment="1">
      <alignment horizontal="center"/>
    </xf>
    <xf numFmtId="9" fontId="203" fillId="84" borderId="19" xfId="0" applyNumberFormat="1" applyFont="1" applyFill="1" applyBorder="1" applyAlignment="1">
      <alignment horizontal="center"/>
    </xf>
    <xf numFmtId="0" fontId="206" fillId="84" borderId="0" xfId="0" applyFont="1" applyFill="1" applyAlignment="1">
      <alignment horizontal="center"/>
    </xf>
    <xf numFmtId="176" fontId="7" fillId="7" borderId="2" xfId="0" applyNumberFormat="1" applyFont="1" applyFill="1" applyBorder="1"/>
    <xf numFmtId="4" fontId="6" fillId="0" borderId="0" xfId="0" applyNumberFormat="1" applyFont="1"/>
    <xf numFmtId="10" fontId="7" fillId="0" borderId="0" xfId="47" applyNumberFormat="1" applyFont="1"/>
    <xf numFmtId="176" fontId="201" fillId="24" borderId="19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4" fontId="3" fillId="3" borderId="0" xfId="0" applyNumberFormat="1" applyFont="1" applyFill="1" applyAlignment="1">
      <alignment horizontal="center"/>
    </xf>
    <xf numFmtId="1" fontId="3" fillId="3" borderId="0" xfId="0" applyNumberFormat="1" applyFont="1" applyFill="1" applyAlignment="1">
      <alignment horizontal="center"/>
    </xf>
    <xf numFmtId="14" fontId="1" fillId="0" borderId="0" xfId="0" applyNumberFormat="1" applyFont="1" applyAlignment="1">
      <alignment horizontal="left"/>
    </xf>
    <xf numFmtId="14" fontId="3" fillId="3" borderId="0" xfId="0" applyNumberFormat="1" applyFont="1" applyFill="1" applyAlignment="1">
      <alignment horizontal="left"/>
    </xf>
    <xf numFmtId="1" fontId="3" fillId="3" borderId="0" xfId="0" applyNumberFormat="1" applyFont="1" applyFill="1" applyAlignment="1">
      <alignment horizontal="left"/>
    </xf>
    <xf numFmtId="10" fontId="1" fillId="0" borderId="0" xfId="51" applyNumberFormat="1" applyFont="1" applyAlignment="1">
      <alignment horizontal="left"/>
    </xf>
    <xf numFmtId="4" fontId="210" fillId="0" borderId="0" xfId="0" applyNumberFormat="1" applyFont="1"/>
    <xf numFmtId="4" fontId="209" fillId="0" borderId="0" xfId="0" applyNumberFormat="1" applyFont="1"/>
    <xf numFmtId="0" fontId="211" fillId="0" borderId="0" xfId="0" applyFont="1"/>
    <xf numFmtId="2" fontId="211" fillId="0" borderId="0" xfId="0" applyNumberFormat="1" applyFont="1"/>
    <xf numFmtId="10" fontId="211" fillId="0" borderId="0" xfId="47" applyNumberFormat="1" applyFont="1"/>
    <xf numFmtId="2" fontId="212" fillId="0" borderId="0" xfId="0" applyNumberFormat="1" applyFont="1"/>
    <xf numFmtId="0" fontId="213" fillId="0" borderId="0" xfId="0" applyFont="1"/>
    <xf numFmtId="0" fontId="201" fillId="24" borderId="59" xfId="0" applyFont="1" applyFill="1" applyBorder="1"/>
    <xf numFmtId="37" fontId="199" fillId="24" borderId="59" xfId="0" applyNumberFormat="1" applyFont="1" applyFill="1" applyBorder="1"/>
    <xf numFmtId="4" fontId="9" fillId="0" borderId="1" xfId="0" applyNumberFormat="1" applyFont="1" applyBorder="1" applyAlignment="1">
      <alignment horizontal="left" indent="5"/>
    </xf>
    <xf numFmtId="176" fontId="199" fillId="84" borderId="0" xfId="0" applyNumberFormat="1" applyFont="1" applyFill="1" applyAlignment="1">
      <alignment horizontal="center"/>
    </xf>
    <xf numFmtId="176" fontId="199" fillId="84" borderId="19" xfId="0" applyNumberFormat="1" applyFont="1" applyFill="1" applyBorder="1" applyAlignment="1">
      <alignment horizontal="center"/>
    </xf>
    <xf numFmtId="4" fontId="6" fillId="0" borderId="1" xfId="0" applyNumberFormat="1" applyFont="1" applyBorder="1"/>
    <xf numFmtId="10" fontId="6" fillId="0" borderId="0" xfId="0" applyNumberFormat="1" applyFont="1"/>
    <xf numFmtId="43" fontId="0" fillId="0" borderId="0" xfId="1929" applyFont="1"/>
    <xf numFmtId="4" fontId="0" fillId="0" borderId="0" xfId="1929" applyNumberFormat="1" applyFont="1"/>
    <xf numFmtId="4" fontId="210" fillId="0" borderId="0" xfId="1929" applyNumberFormat="1" applyFont="1"/>
    <xf numFmtId="0" fontId="0" fillId="0" borderId="24" xfId="0" applyBorder="1"/>
    <xf numFmtId="0" fontId="0" fillId="0" borderId="3" xfId="0" applyBorder="1"/>
    <xf numFmtId="4" fontId="0" fillId="0" borderId="24" xfId="0" applyNumberFormat="1" applyBorder="1"/>
    <xf numFmtId="4" fontId="1" fillId="0" borderId="1" xfId="0" applyNumberFormat="1" applyFont="1" applyBorder="1"/>
    <xf numFmtId="43" fontId="13" fillId="0" borderId="1" xfId="1929" applyFont="1" applyBorder="1"/>
    <xf numFmtId="4" fontId="210" fillId="2" borderId="0" xfId="0" applyNumberFormat="1" applyFont="1" applyFill="1"/>
    <xf numFmtId="4" fontId="0" fillId="2" borderId="0" xfId="0" applyNumberFormat="1" applyFill="1"/>
    <xf numFmtId="0" fontId="0" fillId="2" borderId="0" xfId="0" applyFill="1"/>
    <xf numFmtId="4" fontId="209" fillId="2" borderId="0" xfId="0" applyNumberFormat="1" applyFont="1" applyFill="1"/>
    <xf numFmtId="0" fontId="210" fillId="2" borderId="0" xfId="0" applyFont="1" applyFill="1"/>
    <xf numFmtId="10" fontId="7" fillId="0" borderId="2" xfId="47" applyNumberFormat="1" applyFont="1" applyBorder="1"/>
    <xf numFmtId="43" fontId="0" fillId="0" borderId="0" xfId="0" applyNumberFormat="1"/>
    <xf numFmtId="2" fontId="214" fillId="0" borderId="0" xfId="0" applyNumberFormat="1" applyFont="1"/>
    <xf numFmtId="10" fontId="214" fillId="0" borderId="0" xfId="47" applyNumberFormat="1" applyFont="1"/>
    <xf numFmtId="37" fontId="11" fillId="81" borderId="0" xfId="6" applyNumberFormat="1" applyFill="1" applyBorder="1">
      <alignment horizontal="right" vertical="center"/>
    </xf>
    <xf numFmtId="0" fontId="214" fillId="0" borderId="0" xfId="0" applyFont="1"/>
    <xf numFmtId="10" fontId="214" fillId="0" borderId="0" xfId="0" applyNumberFormat="1" applyFont="1"/>
    <xf numFmtId="256" fontId="214" fillId="0" borderId="0" xfId="1929" applyNumberFormat="1" applyFont="1"/>
    <xf numFmtId="4" fontId="214" fillId="0" borderId="0" xfId="1929" applyNumberFormat="1" applyFont="1"/>
    <xf numFmtId="3" fontId="199" fillId="84" borderId="61" xfId="0" applyNumberFormat="1" applyFont="1" applyFill="1" applyBorder="1" applyAlignment="1">
      <alignment horizontal="right"/>
    </xf>
    <xf numFmtId="0" fontId="215" fillId="24" borderId="0" xfId="0" applyFont="1" applyFill="1"/>
    <xf numFmtId="0" fontId="215" fillId="24" borderId="0" xfId="0" applyFont="1" applyFill="1" applyAlignment="1">
      <alignment horizontal="center"/>
    </xf>
    <xf numFmtId="0" fontId="206" fillId="24" borderId="0" xfId="0" applyFont="1" applyFill="1"/>
    <xf numFmtId="0" fontId="216" fillId="24" borderId="0" xfId="0" applyFont="1" applyFill="1" applyAlignment="1">
      <alignment horizontal="center"/>
    </xf>
    <xf numFmtId="0" fontId="216" fillId="24" borderId="0" xfId="0" applyFont="1" applyFill="1"/>
    <xf numFmtId="9" fontId="220" fillId="24" borderId="0" xfId="0" applyNumberFormat="1" applyFont="1" applyFill="1" applyAlignment="1">
      <alignment horizontal="center" vertical="center"/>
    </xf>
    <xf numFmtId="0" fontId="219" fillId="24" borderId="0" xfId="0" applyFont="1" applyFill="1" applyAlignment="1">
      <alignment horizontal="center" vertical="center"/>
    </xf>
    <xf numFmtId="0" fontId="217" fillId="24" borderId="0" xfId="0" applyFont="1" applyFill="1" applyAlignment="1">
      <alignment horizontal="center"/>
    </xf>
    <xf numFmtId="9" fontId="220" fillId="24" borderId="0" xfId="0" applyNumberFormat="1" applyFont="1" applyFill="1" applyAlignment="1">
      <alignment horizontal="center"/>
    </xf>
    <xf numFmtId="0" fontId="206" fillId="24" borderId="0" xfId="0" applyFont="1" applyFill="1" applyAlignment="1">
      <alignment horizontal="center" vertical="center"/>
    </xf>
    <xf numFmtId="184" fontId="221" fillId="87" borderId="0" xfId="0" applyNumberFormat="1" applyFont="1" applyFill="1" applyAlignment="1" applyProtection="1">
      <alignment horizontal="centerContinuous" vertical="center" wrapText="1"/>
      <protection locked="0"/>
    </xf>
    <xf numFmtId="169" fontId="222" fillId="26" borderId="0" xfId="0" applyNumberFormat="1" applyFont="1" applyFill="1" applyAlignment="1">
      <alignment vertical="center" wrapText="1"/>
    </xf>
    <xf numFmtId="169" fontId="222" fillId="0" borderId="66" xfId="0" applyNumberFormat="1" applyFont="1" applyBorder="1" applyAlignment="1">
      <alignment vertical="center" wrapText="1"/>
    </xf>
    <xf numFmtId="169" fontId="222" fillId="26" borderId="66" xfId="0" applyNumberFormat="1" applyFont="1" applyFill="1" applyBorder="1" applyAlignment="1">
      <alignment vertical="center" wrapText="1"/>
    </xf>
    <xf numFmtId="169" fontId="222" fillId="26" borderId="67" xfId="0" applyNumberFormat="1" applyFont="1" applyFill="1" applyBorder="1" applyAlignment="1">
      <alignment vertical="center" wrapText="1"/>
    </xf>
    <xf numFmtId="169" fontId="222" fillId="26" borderId="68" xfId="0" applyNumberFormat="1" applyFont="1" applyFill="1" applyBorder="1" applyAlignment="1">
      <alignment vertical="center" wrapText="1"/>
    </xf>
    <xf numFmtId="169" fontId="222" fillId="26" borderId="0" xfId="0" applyNumberFormat="1" applyFont="1" applyFill="1" applyAlignment="1" applyProtection="1">
      <alignment vertical="center" wrapText="1"/>
      <protection locked="0"/>
    </xf>
    <xf numFmtId="169" fontId="222" fillId="0" borderId="67" xfId="0" applyNumberFormat="1" applyFont="1" applyBorder="1" applyAlignment="1">
      <alignment vertical="center" wrapText="1"/>
    </xf>
    <xf numFmtId="169" fontId="221" fillId="26" borderId="69" xfId="0" applyNumberFormat="1" applyFont="1" applyFill="1" applyBorder="1" applyAlignment="1">
      <alignment vertical="center" wrapText="1"/>
    </xf>
    <xf numFmtId="169" fontId="222" fillId="0" borderId="67" xfId="53" applyNumberFormat="1" applyFont="1" applyFill="1" applyBorder="1" applyAlignment="1" applyProtection="1">
      <alignment vertical="center" wrapText="1"/>
    </xf>
    <xf numFmtId="169" fontId="222" fillId="26" borderId="69" xfId="0" applyNumberFormat="1" applyFont="1" applyFill="1" applyBorder="1" applyAlignment="1">
      <alignment vertical="center" wrapText="1"/>
    </xf>
    <xf numFmtId="169" fontId="222" fillId="26" borderId="70" xfId="0" applyNumberFormat="1" applyFont="1" applyFill="1" applyBorder="1" applyAlignment="1">
      <alignment vertical="center" wrapText="1"/>
    </xf>
    <xf numFmtId="169" fontId="222" fillId="26" borderId="71" xfId="0" applyNumberFormat="1" applyFont="1" applyFill="1" applyBorder="1" applyAlignment="1">
      <alignment vertical="center" wrapText="1"/>
    </xf>
    <xf numFmtId="169" fontId="222" fillId="26" borderId="72" xfId="0" applyNumberFormat="1" applyFont="1" applyFill="1" applyBorder="1" applyAlignment="1">
      <alignment vertical="center" wrapText="1"/>
    </xf>
    <xf numFmtId="169" fontId="222" fillId="26" borderId="0" xfId="0" applyNumberFormat="1" applyFont="1" applyFill="1" applyAlignment="1" applyProtection="1">
      <alignment vertical="center"/>
      <protection locked="0"/>
    </xf>
    <xf numFmtId="3" fontId="222" fillId="87" borderId="0" xfId="0" applyNumberFormat="1" applyFont="1" applyFill="1" applyAlignment="1" applyProtection="1">
      <alignment vertical="center" wrapText="1"/>
      <protection locked="0"/>
    </xf>
    <xf numFmtId="3" fontId="221" fillId="26" borderId="73" xfId="0" applyNumberFormat="1" applyFont="1" applyFill="1" applyBorder="1" applyAlignment="1" applyProtection="1">
      <alignment vertical="center" wrapText="1"/>
      <protection locked="0"/>
    </xf>
    <xf numFmtId="3" fontId="222" fillId="26" borderId="0" xfId="0" applyNumberFormat="1" applyFont="1" applyFill="1" applyAlignment="1" applyProtection="1">
      <alignment vertical="center" wrapText="1"/>
      <protection locked="0"/>
    </xf>
    <xf numFmtId="3" fontId="222" fillId="26" borderId="74" xfId="0" applyNumberFormat="1" applyFont="1" applyFill="1" applyBorder="1" applyAlignment="1" applyProtection="1">
      <alignment vertical="center" wrapText="1"/>
      <protection locked="0"/>
    </xf>
    <xf numFmtId="3" fontId="222" fillId="26" borderId="75" xfId="0" applyNumberFormat="1" applyFont="1" applyFill="1" applyBorder="1" applyAlignment="1" applyProtection="1">
      <alignment vertical="center" wrapText="1"/>
      <protection locked="0"/>
    </xf>
    <xf numFmtId="3" fontId="222" fillId="26" borderId="76" xfId="0" applyNumberFormat="1" applyFont="1" applyFill="1" applyBorder="1" applyAlignment="1" applyProtection="1">
      <alignment vertical="center" wrapText="1"/>
      <protection locked="0"/>
    </xf>
    <xf numFmtId="3" fontId="222" fillId="26" borderId="77" xfId="0" applyNumberFormat="1" applyFont="1" applyFill="1" applyBorder="1" applyAlignment="1" applyProtection="1">
      <alignment vertical="center" wrapText="1"/>
      <protection locked="0"/>
    </xf>
    <xf numFmtId="3" fontId="224" fillId="26" borderId="74" xfId="0" applyNumberFormat="1" applyFont="1" applyFill="1" applyBorder="1" applyAlignment="1" applyProtection="1">
      <alignment vertical="center" wrapText="1"/>
      <protection locked="0"/>
    </xf>
    <xf numFmtId="3" fontId="221" fillId="26" borderId="78" xfId="0" applyNumberFormat="1" applyFont="1" applyFill="1" applyBorder="1" applyAlignment="1" applyProtection="1">
      <alignment vertical="center" wrapText="1"/>
      <protection locked="0"/>
    </xf>
    <xf numFmtId="3" fontId="221" fillId="26" borderId="79" xfId="0" applyNumberFormat="1" applyFont="1" applyFill="1" applyBorder="1" applyAlignment="1" applyProtection="1">
      <alignment vertical="center" wrapText="1"/>
      <protection locked="0"/>
    </xf>
    <xf numFmtId="3" fontId="224" fillId="26" borderId="78" xfId="0" applyNumberFormat="1" applyFont="1" applyFill="1" applyBorder="1" applyAlignment="1" applyProtection="1">
      <alignment vertical="center" wrapText="1"/>
      <protection locked="0"/>
    </xf>
    <xf numFmtId="3" fontId="222" fillId="26" borderId="80" xfId="0" applyNumberFormat="1" applyFont="1" applyFill="1" applyBorder="1" applyAlignment="1" applyProtection="1">
      <alignment vertical="center" wrapText="1"/>
      <protection locked="0"/>
    </xf>
    <xf numFmtId="3" fontId="222" fillId="26" borderId="81" xfId="0" applyNumberFormat="1" applyFont="1" applyFill="1" applyBorder="1" applyAlignment="1" applyProtection="1">
      <alignment vertical="center" wrapText="1"/>
      <protection locked="0"/>
    </xf>
    <xf numFmtId="3" fontId="222" fillId="26" borderId="82" xfId="0" applyNumberFormat="1" applyFont="1" applyFill="1" applyBorder="1" applyAlignment="1" applyProtection="1">
      <alignment vertical="center" wrapText="1"/>
      <protection locked="0"/>
    </xf>
    <xf numFmtId="0" fontId="222" fillId="26" borderId="0" xfId="0" applyFont="1" applyFill="1" applyAlignment="1" applyProtection="1">
      <alignment vertical="center"/>
      <protection locked="0"/>
    </xf>
    <xf numFmtId="0" fontId="223" fillId="88" borderId="73" xfId="0" applyFont="1" applyFill="1" applyBorder="1" applyAlignment="1" applyProtection="1">
      <alignment vertical="center"/>
      <protection locked="0"/>
    </xf>
    <xf numFmtId="169" fontId="215" fillId="24" borderId="0" xfId="0" applyNumberFormat="1" applyFont="1" applyFill="1"/>
    <xf numFmtId="0" fontId="206" fillId="24" borderId="27" xfId="0" applyFont="1" applyFill="1" applyBorder="1"/>
    <xf numFmtId="0" fontId="206" fillId="24" borderId="19" xfId="0" applyFont="1" applyFill="1" applyBorder="1"/>
    <xf numFmtId="0" fontId="218" fillId="25" borderId="0" xfId="0" applyFont="1" applyFill="1"/>
    <xf numFmtId="0" fontId="218" fillId="25" borderId="0" xfId="0" applyFont="1" applyFill="1" applyAlignment="1">
      <alignment horizontal="right"/>
    </xf>
    <xf numFmtId="169" fontId="215" fillId="24" borderId="27" xfId="0" applyNumberFormat="1" applyFont="1" applyFill="1" applyBorder="1" applyAlignment="1">
      <alignment horizontal="right"/>
    </xf>
    <xf numFmtId="169" fontId="215" fillId="24" borderId="0" xfId="0" applyNumberFormat="1" applyFont="1" applyFill="1" applyAlignment="1">
      <alignment horizontal="right"/>
    </xf>
    <xf numFmtId="169" fontId="215" fillId="24" borderId="19" xfId="0" applyNumberFormat="1" applyFont="1" applyFill="1" applyBorder="1" applyAlignment="1">
      <alignment horizontal="right"/>
    </xf>
    <xf numFmtId="171" fontId="215" fillId="24" borderId="0" xfId="0" applyNumberFormat="1" applyFont="1" applyFill="1"/>
    <xf numFmtId="0" fontId="218" fillId="25" borderId="0" xfId="0" applyFont="1" applyFill="1" applyAlignment="1">
      <alignment horizontal="left"/>
    </xf>
    <xf numFmtId="0" fontId="225" fillId="86" borderId="0" xfId="0" applyFont="1" applyFill="1" applyAlignment="1">
      <alignment horizontal="center" vertical="center"/>
    </xf>
    <xf numFmtId="0" fontId="226" fillId="86" borderId="0" xfId="0" applyFont="1" applyFill="1" applyAlignment="1">
      <alignment horizontal="center" vertical="center"/>
    </xf>
    <xf numFmtId="0" fontId="227" fillId="24" borderId="0" xfId="0" applyFont="1" applyFill="1" applyAlignment="1">
      <alignment horizontal="center"/>
    </xf>
    <xf numFmtId="0" fontId="227" fillId="24" borderId="0" xfId="0" applyFont="1" applyFill="1"/>
    <xf numFmtId="0" fontId="228" fillId="25" borderId="0" xfId="0" applyFont="1" applyFill="1" applyAlignment="1">
      <alignment horizontal="center"/>
    </xf>
    <xf numFmtId="0" fontId="227" fillId="25" borderId="83" xfId="0" applyFont="1" applyFill="1" applyBorder="1"/>
    <xf numFmtId="0" fontId="227" fillId="25" borderId="0" xfId="0" applyFont="1" applyFill="1"/>
    <xf numFmtId="0" fontId="227" fillId="25" borderId="84" xfId="0" applyFont="1" applyFill="1" applyBorder="1"/>
    <xf numFmtId="0" fontId="229" fillId="25" borderId="0" xfId="0" applyFont="1" applyFill="1" applyAlignment="1">
      <alignment horizontal="center"/>
    </xf>
    <xf numFmtId="0" fontId="230" fillId="25" borderId="0" xfId="0" applyFont="1" applyFill="1" applyAlignment="1">
      <alignment horizontal="center" vertical="center"/>
    </xf>
    <xf numFmtId="0" fontId="228" fillId="25" borderId="0" xfId="0" applyFont="1" applyFill="1" applyAlignment="1">
      <alignment horizontal="center" vertical="center"/>
    </xf>
    <xf numFmtId="0" fontId="2" fillId="24" borderId="0" xfId="0" applyFont="1" applyFill="1"/>
    <xf numFmtId="0" fontId="2" fillId="24" borderId="0" xfId="0" applyFont="1" applyFill="1" applyAlignment="1">
      <alignment horizontal="right" vertical="center"/>
    </xf>
    <xf numFmtId="3" fontId="227" fillId="24" borderId="0" xfId="0" applyNumberFormat="1" applyFont="1" applyFill="1" applyAlignment="1">
      <alignment horizontal="center" vertical="center"/>
    </xf>
    <xf numFmtId="176" fontId="227" fillId="24" borderId="0" xfId="0" applyNumberFormat="1" applyFont="1" applyFill="1" applyAlignment="1">
      <alignment horizontal="center" vertical="center"/>
    </xf>
    <xf numFmtId="0" fontId="2" fillId="24" borderId="0" xfId="0" applyFont="1" applyFill="1" applyAlignment="1">
      <alignment horizontal="center" vertical="center"/>
    </xf>
    <xf numFmtId="9" fontId="2" fillId="24" borderId="0" xfId="0" applyNumberFormat="1" applyFont="1" applyFill="1" applyAlignment="1">
      <alignment horizontal="center" vertical="center"/>
    </xf>
    <xf numFmtId="0" fontId="231" fillId="25" borderId="0" xfId="0" applyFont="1" applyFill="1" applyAlignment="1">
      <alignment horizontal="center"/>
    </xf>
    <xf numFmtId="9" fontId="227" fillId="24" borderId="0" xfId="0" applyNumberFormat="1" applyFont="1" applyFill="1" applyAlignment="1">
      <alignment horizontal="center"/>
    </xf>
    <xf numFmtId="0" fontId="227" fillId="25" borderId="84" xfId="0" applyFont="1" applyFill="1" applyBorder="1" applyAlignment="1">
      <alignment horizontal="center"/>
    </xf>
    <xf numFmtId="0" fontId="230" fillId="24" borderId="0" xfId="0" applyFont="1" applyFill="1" applyAlignment="1">
      <alignment horizontal="center" vertical="center"/>
    </xf>
    <xf numFmtId="0" fontId="228" fillId="24" borderId="0" xfId="0" applyFont="1" applyFill="1" applyAlignment="1">
      <alignment horizontal="center"/>
    </xf>
    <xf numFmtId="0" fontId="228" fillId="24" borderId="0" xfId="0" applyFont="1" applyFill="1" applyAlignment="1">
      <alignment horizontal="center" vertical="center"/>
    </xf>
    <xf numFmtId="0" fontId="231" fillId="24" borderId="0" xfId="0" applyFont="1" applyFill="1" applyAlignment="1">
      <alignment horizontal="center"/>
    </xf>
    <xf numFmtId="0" fontId="2" fillId="24" borderId="0" xfId="0" applyFont="1" applyFill="1" applyAlignment="1">
      <alignment horizontal="center"/>
    </xf>
    <xf numFmtId="9" fontId="2" fillId="24" borderId="0" xfId="0" applyNumberFormat="1" applyFont="1" applyFill="1" applyAlignment="1">
      <alignment horizontal="center"/>
    </xf>
    <xf numFmtId="0" fontId="227" fillId="25" borderId="0" xfId="0" applyFont="1" applyFill="1" applyAlignment="1">
      <alignment horizontal="center"/>
    </xf>
    <xf numFmtId="10" fontId="2" fillId="24" borderId="0" xfId="0" applyNumberFormat="1" applyFont="1" applyFill="1" applyAlignment="1">
      <alignment horizontal="center"/>
    </xf>
    <xf numFmtId="10" fontId="227" fillId="24" borderId="0" xfId="0" applyNumberFormat="1" applyFont="1" applyFill="1" applyAlignment="1">
      <alignment horizontal="center"/>
    </xf>
    <xf numFmtId="10" fontId="9" fillId="0" borderId="1" xfId="0" applyNumberFormat="1" applyFont="1" applyBorder="1"/>
    <xf numFmtId="10" fontId="7" fillId="0" borderId="2" xfId="0" applyNumberFormat="1" applyFont="1" applyBorder="1"/>
    <xf numFmtId="176" fontId="8" fillId="0" borderId="2" xfId="0" applyNumberFormat="1" applyFont="1" applyBorder="1"/>
    <xf numFmtId="10" fontId="1" fillId="0" borderId="1" xfId="47" applyNumberFormat="1" applyFont="1" applyBorder="1"/>
    <xf numFmtId="0" fontId="229" fillId="25" borderId="0" xfId="0" quotePrefix="1" applyFont="1" applyFill="1" applyAlignment="1">
      <alignment horizontal="center"/>
    </xf>
    <xf numFmtId="9" fontId="0" fillId="0" borderId="0" xfId="47" applyFont="1"/>
    <xf numFmtId="10" fontId="0" fillId="0" borderId="0" xfId="47" applyNumberFormat="1" applyFont="1"/>
    <xf numFmtId="4" fontId="7" fillId="0" borderId="0" xfId="0" applyNumberFormat="1" applyFont="1"/>
    <xf numFmtId="9" fontId="227" fillId="24" borderId="0" xfId="47" applyFont="1" applyFill="1" applyAlignment="1">
      <alignment horizontal="center" vertical="center"/>
    </xf>
    <xf numFmtId="4" fontId="227" fillId="24" borderId="0" xfId="0" applyNumberFormat="1" applyFont="1" applyFill="1"/>
    <xf numFmtId="169" fontId="222" fillId="26" borderId="85" xfId="0" applyNumberFormat="1" applyFont="1" applyFill="1" applyBorder="1" applyAlignment="1">
      <alignment vertical="center" wrapText="1"/>
    </xf>
    <xf numFmtId="169" fontId="221" fillId="26" borderId="86" xfId="0" applyNumberFormat="1" applyFont="1" applyFill="1" applyBorder="1" applyAlignment="1">
      <alignment vertical="center" wrapText="1"/>
    </xf>
    <xf numFmtId="3" fontId="1" fillId="8" borderId="86" xfId="0" applyNumberFormat="1" applyFont="1" applyFill="1" applyBorder="1"/>
    <xf numFmtId="9" fontId="1" fillId="8" borderId="86" xfId="0" applyNumberFormat="1" applyFont="1" applyFill="1" applyBorder="1"/>
    <xf numFmtId="3" fontId="0" fillId="8" borderId="86" xfId="0" applyNumberFormat="1" applyFill="1" applyBorder="1"/>
    <xf numFmtId="231" fontId="0" fillId="8" borderId="86" xfId="47" applyNumberFormat="1" applyFont="1" applyFill="1" applyBorder="1"/>
    <xf numFmtId="10" fontId="0" fillId="8" borderId="86" xfId="47" applyNumberFormat="1" applyFont="1" applyFill="1" applyBorder="1"/>
    <xf numFmtId="0" fontId="215" fillId="24" borderId="86" xfId="0" applyFont="1" applyFill="1" applyBorder="1"/>
    <xf numFmtId="0" fontId="206" fillId="24" borderId="86" xfId="0" applyFont="1" applyFill="1" applyBorder="1" applyAlignment="1">
      <alignment horizontal="right"/>
    </xf>
    <xf numFmtId="169" fontId="221" fillId="26" borderId="57" xfId="0" applyNumberFormat="1" applyFont="1" applyFill="1" applyBorder="1" applyAlignment="1">
      <alignment vertical="center" wrapText="1"/>
    </xf>
    <xf numFmtId="169" fontId="216" fillId="24" borderId="0" xfId="0" applyNumberFormat="1" applyFont="1" applyFill="1"/>
    <xf numFmtId="169" fontId="232" fillId="26" borderId="0" xfId="0" applyNumberFormat="1" applyFont="1" applyFill="1" applyAlignment="1">
      <alignment vertical="center" wrapText="1"/>
    </xf>
    <xf numFmtId="169" fontId="233" fillId="24" borderId="27" xfId="0" applyNumberFormat="1" applyFont="1" applyFill="1" applyBorder="1" applyAlignment="1">
      <alignment horizontal="right"/>
    </xf>
    <xf numFmtId="169" fontId="233" fillId="24" borderId="0" xfId="0" applyNumberFormat="1" applyFont="1" applyFill="1" applyAlignment="1">
      <alignment horizontal="right"/>
    </xf>
    <xf numFmtId="169" fontId="233" fillId="24" borderId="19" xfId="0" applyNumberFormat="1" applyFont="1" applyFill="1" applyBorder="1" applyAlignment="1">
      <alignment horizontal="right"/>
    </xf>
    <xf numFmtId="169" fontId="233" fillId="24" borderId="0" xfId="0" applyNumberFormat="1" applyFont="1" applyFill="1"/>
    <xf numFmtId="3" fontId="227" fillId="24" borderId="0" xfId="0" applyNumberFormat="1" applyFont="1" applyFill="1"/>
    <xf numFmtId="10" fontId="227" fillId="24" borderId="0" xfId="0" applyNumberFormat="1" applyFont="1" applyFill="1"/>
    <xf numFmtId="169" fontId="223" fillId="88" borderId="57" xfId="0" applyNumberFormat="1" applyFont="1" applyFill="1" applyBorder="1" applyAlignment="1">
      <alignment vertical="center"/>
    </xf>
    <xf numFmtId="0" fontId="0" fillId="0" borderId="87" xfId="0" applyBorder="1"/>
    <xf numFmtId="4" fontId="0" fillId="0" borderId="87" xfId="0" applyNumberFormat="1" applyBorder="1"/>
    <xf numFmtId="10" fontId="0" fillId="0" borderId="0" xfId="47" applyNumberFormat="1" applyFont="1" applyAlignment="1">
      <alignment vertical="top"/>
    </xf>
    <xf numFmtId="10" fontId="0" fillId="0" borderId="23" xfId="47" applyNumberFormat="1" applyFont="1" applyBorder="1"/>
    <xf numFmtId="0" fontId="2" fillId="24" borderId="0" xfId="0" applyFont="1" applyFill="1" applyAlignment="1">
      <alignment horizontal="center"/>
    </xf>
    <xf numFmtId="0" fontId="227" fillId="24" borderId="0" xfId="0" applyFont="1" applyFill="1" applyAlignment="1">
      <alignment horizontal="center"/>
    </xf>
    <xf numFmtId="0" fontId="228" fillId="25" borderId="83" xfId="0" applyFont="1" applyFill="1" applyBorder="1" applyAlignment="1">
      <alignment horizontal="center" vertical="center"/>
    </xf>
    <xf numFmtId="0" fontId="227" fillId="0" borderId="84" xfId="0" applyFont="1" applyBorder="1" applyAlignment="1">
      <alignment horizontal="center" vertical="center"/>
    </xf>
    <xf numFmtId="0" fontId="228" fillId="24" borderId="0" xfId="0" applyFont="1" applyFill="1" applyAlignment="1">
      <alignment horizontal="center" vertical="center" wrapText="1"/>
    </xf>
    <xf numFmtId="10" fontId="2" fillId="24" borderId="0" xfId="0" applyNumberFormat="1" applyFont="1" applyFill="1" applyAlignment="1">
      <alignment horizontal="center"/>
    </xf>
    <xf numFmtId="10" fontId="227" fillId="24" borderId="0" xfId="0" applyNumberFormat="1" applyFont="1" applyFill="1" applyAlignment="1">
      <alignment horizontal="center"/>
    </xf>
    <xf numFmtId="0" fontId="228" fillId="25" borderId="0" xfId="0" applyFont="1" applyFill="1" applyAlignment="1">
      <alignment horizontal="center"/>
    </xf>
    <xf numFmtId="0" fontId="227" fillId="25" borderId="0" xfId="0" applyFont="1" applyFill="1" applyAlignment="1">
      <alignment horizontal="center"/>
    </xf>
    <xf numFmtId="0" fontId="230" fillId="25" borderId="0" xfId="0" applyFont="1" applyFill="1" applyAlignment="1">
      <alignment horizontal="center" vertical="center"/>
    </xf>
    <xf numFmtId="0" fontId="230" fillId="25" borderId="84" xfId="0" applyFont="1" applyFill="1" applyBorder="1" applyAlignment="1">
      <alignment horizontal="center" vertical="center"/>
    </xf>
    <xf numFmtId="0" fontId="228" fillId="25" borderId="0" xfId="0" applyFont="1" applyFill="1" applyAlignment="1">
      <alignment horizontal="center" vertical="center"/>
    </xf>
    <xf numFmtId="0" fontId="227" fillId="0" borderId="0" xfId="0" applyFont="1" applyAlignment="1">
      <alignment horizontal="center" vertical="center"/>
    </xf>
    <xf numFmtId="0" fontId="228" fillId="24" borderId="0" xfId="0" applyFont="1" applyFill="1" applyAlignment="1">
      <alignment horizontal="center" vertical="center"/>
    </xf>
    <xf numFmtId="0" fontId="230" fillId="24" borderId="0" xfId="0" applyFont="1" applyFill="1" applyAlignment="1">
      <alignment horizontal="center" vertical="center"/>
    </xf>
    <xf numFmtId="0" fontId="228" fillId="25" borderId="84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right"/>
    </xf>
    <xf numFmtId="3" fontId="3" fillId="3" borderId="4" xfId="0" applyNumberFormat="1" applyFont="1" applyFill="1" applyBorder="1" applyAlignment="1">
      <alignment horizontal="center"/>
    </xf>
    <xf numFmtId="3" fontId="3" fillId="3" borderId="6" xfId="0" applyNumberFormat="1" applyFont="1" applyFill="1" applyBorder="1" applyAlignment="1">
      <alignment horizontal="center"/>
    </xf>
    <xf numFmtId="0" fontId="207" fillId="24" borderId="0" xfId="0" applyFont="1" applyFill="1" applyAlignment="1">
      <alignment horizontal="center" vertical="center"/>
    </xf>
    <xf numFmtId="0" fontId="200" fillId="0" borderId="19" xfId="0" applyFont="1" applyBorder="1" applyAlignment="1">
      <alignment horizontal="center"/>
    </xf>
    <xf numFmtId="0" fontId="200" fillId="25" borderId="0" xfId="0" applyFont="1" applyFill="1" applyAlignment="1">
      <alignment horizontal="center"/>
    </xf>
    <xf numFmtId="0" fontId="207" fillId="84" borderId="0" xfId="0" applyFont="1" applyFill="1" applyAlignment="1">
      <alignment horizontal="center" vertical="center"/>
    </xf>
    <xf numFmtId="14" fontId="3" fillId="3" borderId="4" xfId="0" applyNumberFormat="1" applyFont="1" applyFill="1" applyBorder="1" applyAlignment="1">
      <alignment horizontal="center"/>
    </xf>
    <xf numFmtId="14" fontId="3" fillId="3" borderId="86" xfId="0" applyNumberFormat="1" applyFont="1" applyFill="1" applyBorder="1" applyAlignment="1">
      <alignment horizontal="center"/>
    </xf>
    <xf numFmtId="14" fontId="3" fillId="3" borderId="6" xfId="0" applyNumberFormat="1" applyFont="1" applyFill="1" applyBorder="1" applyAlignment="1">
      <alignment horizontal="center"/>
    </xf>
    <xf numFmtId="14" fontId="3" fillId="3" borderId="57" xfId="0" applyNumberFormat="1" applyFont="1" applyFill="1" applyBorder="1" applyAlignment="1">
      <alignment horizontal="center"/>
    </xf>
  </cellXfs>
  <cellStyles count="1956">
    <cellStyle name="$" xfId="63" xr:uid="{A810304A-04DD-40B6-8AB8-81077963AE0F}"/>
    <cellStyle name="$ &amp; ¢" xfId="64" xr:uid="{C75D37FB-9647-4414-B33A-B71410174A5A}"/>
    <cellStyle name="%" xfId="65" xr:uid="{255A0E4C-3F24-4515-ACB8-866F9ECF01C9}"/>
    <cellStyle name="%.00" xfId="66" xr:uid="{C47DDAAB-8B2D-4434-8C88-E98EFF12836B}"/>
    <cellStyle name=".00()" xfId="67" xr:uid="{7B599D9F-6C56-4ECE-A312-924E29ADEE60}"/>
    <cellStyle name=";;;" xfId="68" xr:uid="{9767D6A5-F5A3-4648-8702-2AB904AB1545}"/>
    <cellStyle name="_2+10 Securitization Forecast" xfId="69" xr:uid="{48239F8F-C15A-4B6F-AE76-AA3AAFF04610}"/>
    <cellStyle name="_2+10 Securitization Forecast_2012 AOP Template - Steel Akron" xfId="662" xr:uid="{22512AE1-9EDC-4954-9C4A-BE00CC6D51AB}"/>
    <cellStyle name="_2+10 Securitization Forecast_OperationsDashboardAlu-6plus6_12 IM" xfId="663" xr:uid="{5EDF8CCA-5CD7-43CF-80D2-BAA1E93C38FA}"/>
    <cellStyle name="_2+10 Securitization Forecast_OperationsDashboardFab-4plus8_10" xfId="664" xr:uid="{6D4BBEA1-31EE-43D4-BE31-6FBB1D9884AB}"/>
    <cellStyle name="_2+10 Securitization Forecast_Sales and EBITDA 2013 vs 2012" xfId="839" xr:uid="{5C03F438-3F00-488E-9689-70B5F104C64D}"/>
    <cellStyle name="_2+10_2008 Securitization Fcst" xfId="665" xr:uid="{FC3F5FE0-D0AE-4323-B464-1283C3D93CD9}"/>
    <cellStyle name="_2+10_2008 Securitization Fcst_2011 AOP Template - Aluminum" xfId="666" xr:uid="{0AF4D211-2307-448A-83CC-A9CA7726B737}"/>
    <cellStyle name="_2+10_2008 Securitization Fcst_7+5 WC vs AOP" xfId="840" xr:uid="{E3A56F9C-5301-4E5A-8F9B-599F175C771A}"/>
    <cellStyle name="_2+10_2008 Securitization Fcst_Akron Forecast Template 6+6" xfId="667" xr:uid="{C24E47BA-FE75-46D7-A1D1-8801E11F1C87}"/>
    <cellStyle name="_2+10_2008 Securitization Fcst_BP template Alum Draft" xfId="668" xr:uid="{9735B5F3-249A-4A3E-9F71-A855D9C817D3}"/>
    <cellStyle name="_2+10_2008 Securitization Fcst_BP template Steel Draft" xfId="669" xr:uid="{AD3CABDC-2228-4B3E-94AD-39182456DE3F}"/>
    <cellStyle name="_2+10_2008 Securitization Fcst_OperationsDashboardAlu-6plus6_12 IM" xfId="670" xr:uid="{21482D6A-C4EF-4422-A143-4A84386457B6}"/>
    <cellStyle name="_2+10_2008 Securitization Fcst_Sales and EBITDA 2013 vs 2012" xfId="841" xr:uid="{64DFD8B9-62C9-4619-A750-43C11349D34A}"/>
    <cellStyle name="_2008 AOP Securitization Forecast" xfId="70" xr:uid="{D7371724-9B8A-461F-AF74-77C66DA8BD0D}"/>
    <cellStyle name="_2008 AOP Securitization Forecast_2012 AOP Template - Steel Akron" xfId="671" xr:uid="{B569475C-0AAA-433A-813A-18A5DE13F8CC}"/>
    <cellStyle name="_2008 AOP Securitization Forecast_OperationsDashboardAlu-6plus6_12 IM" xfId="672" xr:uid="{186D2C51-D3DC-4175-9B19-004B33DE0155}"/>
    <cellStyle name="_2008 AOP Securitization Forecast_OperationsDashboardFab-4plus8_10" xfId="673" xr:uid="{134D0D6A-0240-4512-BF64-7901F4BB4965}"/>
    <cellStyle name="_2008 AOP Securitization Forecast_Sales and EBITDA 2013 vs 2012" xfId="842" xr:uid="{FAD21CFA-405F-474C-BC1D-4F017AECEB7E}"/>
    <cellStyle name="_AR Available" xfId="71" xr:uid="{3890C119-CD2A-406D-9867-751358755C65}"/>
    <cellStyle name="_AR Available_2012 AOP Template - Steel Akron" xfId="674" xr:uid="{29DED808-E98C-4D83-92FA-D38F167D8AE4}"/>
    <cellStyle name="_AR Available_OperationsDashboardAlu-6plus6_12 IM" xfId="675" xr:uid="{EA342EAE-E148-48AA-847B-92998593C3BC}"/>
    <cellStyle name="_AR Available_OperationsDashboardFab-4plus8_10" xfId="676" xr:uid="{78CBB601-8ED0-472A-814C-161F1EC5BF5E}"/>
    <cellStyle name="_AR Available_Sales and EBITDA 2013 vs 2012" xfId="843" xr:uid="{3FD6C40C-6DC6-4F76-B1DF-35C75ED61AA1}"/>
    <cellStyle name="_New Citi GM 30 Day" xfId="72" xr:uid="{16AC8CD0-B1C7-4421-A703-C60EDC469A4A}"/>
    <cellStyle name="_New Citi GM 30 Day_2012 AOP Template - Steel Akron" xfId="677" xr:uid="{69E98309-CFF5-43EF-91B6-6FE5EC7F7526}"/>
    <cellStyle name="_New Citi GM 30 Day_OperationsDashboardAlu-6plus6_12 IM" xfId="678" xr:uid="{352D48C8-0BB9-47AE-9B04-5716C63EE8C7}"/>
    <cellStyle name="_New Citi GM 30 Day_OperationsDashboardFab-4plus8_10" xfId="679" xr:uid="{1FAF0F8F-CCB5-4AF1-8FBE-3334C9B4FA5F}"/>
    <cellStyle name="_New Citi GM 30 Day_Sales and EBITDA 2013 vs 2012" xfId="844" xr:uid="{1D606F79-4C2D-481A-84D3-8132BFC295FF}"/>
    <cellStyle name="_New Securitization Forecast June2006" xfId="73" xr:uid="{E76CB2AA-E47C-4EF1-A477-6850DD5835F1}"/>
    <cellStyle name="_New Securitization Forecast June2006_2012 AOP Template - Steel Akron" xfId="680" xr:uid="{FF7E6852-4E3F-4F5F-B6A6-DBED24185488}"/>
    <cellStyle name="_New Securitization Forecast June2006_OperationsDashboardAlu-6plus6_12 IM" xfId="681" xr:uid="{A021B609-7C8E-4B2D-A992-449D8A6EDFBF}"/>
    <cellStyle name="_New Securitization Forecast June2006_OperationsDashboardFab-4plus8_10" xfId="682" xr:uid="{A365AB7C-3046-4D1D-BE39-B1469A08C2EC}"/>
    <cellStyle name="_New Securitization Forecast June2006_Sales and EBITDA 2013 vs 2012" xfId="845" xr:uid="{373FEE1F-A950-4530-88DD-056E45A23BA8}"/>
    <cellStyle name="_Securitization Fcst" xfId="74" xr:uid="{CFC5493E-DF55-4439-9632-21C3A99CDC20}"/>
    <cellStyle name="_Securitization Fcst_2012 AOP Template - Steel Akron" xfId="683" xr:uid="{4B4E0539-CD84-401C-A3D1-4A6315E25AAD}"/>
    <cellStyle name="_Securitization Fcst_OperationsDashboardAlu-6plus6_12 IM" xfId="684" xr:uid="{9CE9C07C-FF33-4D0C-B2DF-4C4F29238BB3}"/>
    <cellStyle name="_Securitization Fcst_OperationsDashboardFab-4plus8_10" xfId="685" xr:uid="{17F1EA1E-D42D-474E-A506-39E565C4D90E}"/>
    <cellStyle name="_Securitization Fcst_Sales and EBITDA 2013 vs 2012" xfId="846" xr:uid="{43ED160D-F706-44CF-B3A9-DB645C8393F5}"/>
    <cellStyle name="0" xfId="75" xr:uid="{1FCF0B35-DE19-484C-9D2E-6D94EDF15A32}"/>
    <cellStyle name="0 desetin" xfId="76" xr:uid="{F7C73AB3-0E85-4598-BC4B-40B41E80007C}"/>
    <cellStyle name="0_Sales and EBITDA 2013 vs 2012" xfId="847" xr:uid="{51CD0CED-0047-4C54-89F4-9604DCD241FA}"/>
    <cellStyle name="000" xfId="77" xr:uid="{E34BB76D-48FB-4A79-BA8F-D378D2DBCF0E}"/>
    <cellStyle name="1 desetina" xfId="78" xr:uid="{5B226106-AABD-4DB3-BDCA-B81845058193}"/>
    <cellStyle name="1o.nível" xfId="370" xr:uid="{0F2286B4-D861-4D39-8AF0-9ABD0E4476EF}"/>
    <cellStyle name="2 desetiny" xfId="79" xr:uid="{50D6AC97-720B-4F32-826A-2DA5BE948F7F}"/>
    <cellStyle name="20% - Accent1 2" xfId="619" xr:uid="{A7C26DE7-DECF-4541-BB84-6605B5B1C268}"/>
    <cellStyle name="20% - Accent2 2" xfId="620" xr:uid="{58A85AF3-368D-4B65-BBF9-859CE6D9F310}"/>
    <cellStyle name="20% - Accent3 2" xfId="621" xr:uid="{A38C23C3-0453-4E8E-8A0A-FC689F6B7011}"/>
    <cellStyle name="20% - Accent4 2" xfId="622" xr:uid="{05C5AE9B-73B0-41FE-A4A1-16AB467A5AA2}"/>
    <cellStyle name="20% - Accent5 2" xfId="623" xr:uid="{468AE544-A89F-4333-A80C-3481ACDFBFD4}"/>
    <cellStyle name="20% - Accent6 2" xfId="624" xr:uid="{099A7A42-C8A4-4419-AECB-064F84030A45}"/>
    <cellStyle name="20% - Ênfase1" xfId="686" xr:uid="{52D6F7F6-7055-480D-9A78-1752B26123C3}"/>
    <cellStyle name="20% - Ênfase2" xfId="687" xr:uid="{6EE3911E-F677-4A80-A1B3-25B98B374ABF}"/>
    <cellStyle name="20% - Ênfase3" xfId="688" xr:uid="{5ADE9425-75B6-403E-8C54-E36DA493A2F3}"/>
    <cellStyle name="20% - Ênfase4" xfId="689" xr:uid="{DDB2521F-D3AE-4657-8C0A-1DCFAA4D6CD0}"/>
    <cellStyle name="20% - Ênfase5" xfId="690" xr:uid="{F1E01D6D-CA5C-4B48-B157-290049A9CC1A}"/>
    <cellStyle name="20% - Ênfase6" xfId="691" xr:uid="{7AD3379E-0FC8-48CC-89C0-C88EE6611046}"/>
    <cellStyle name="20% - アクセント 1" xfId="692" xr:uid="{B57BF72D-DF1B-40F7-B830-400966D167EB}"/>
    <cellStyle name="20% - アクセント 2" xfId="693" xr:uid="{B0293ED2-9CFA-4864-92BE-E7BBE04131CB}"/>
    <cellStyle name="20% - アクセント 3" xfId="694" xr:uid="{98C63B8B-0733-41A4-8F1F-93E0E5D30146}"/>
    <cellStyle name="20% - アクセント 4" xfId="695" xr:uid="{05007F30-4372-49FC-9A2D-37D7CFBC113F}"/>
    <cellStyle name="20% - アクセント 5" xfId="696" xr:uid="{CC363497-C31A-4BFF-A7A2-A5395F72A523}"/>
    <cellStyle name="20% - アクセント 6" xfId="697" xr:uid="{F550F82D-A107-41AF-8DFA-B09D4A9EA567}"/>
    <cellStyle name="2o.nível" xfId="371" xr:uid="{6F266B10-1C2C-4E7E-A55E-D15BD2B4BCDE}"/>
    <cellStyle name="3$" xfId="80" xr:uid="{A536A632-CD8E-4079-B31A-107663895DC8}"/>
    <cellStyle name="40% - Accent1 2" xfId="625" xr:uid="{911EE9D1-96FA-46BA-BD3D-FCD116BD750E}"/>
    <cellStyle name="40% - Accent2 2" xfId="626" xr:uid="{608D8A8E-CE57-421B-B900-E44019DD15B7}"/>
    <cellStyle name="40% - Accent3 2" xfId="627" xr:uid="{BC02AC8C-1CF1-4C27-A601-FE248FF40CA3}"/>
    <cellStyle name="40% - Accent4 2" xfId="628" xr:uid="{CFB3D9CC-A0F0-40A1-8CE3-D948DB7AB011}"/>
    <cellStyle name="40% - Accent5 2" xfId="629" xr:uid="{4399789C-00F7-4CDA-94BE-4B23086ECDD8}"/>
    <cellStyle name="40% - Accent6 2" xfId="630" xr:uid="{9CA34FAF-C90D-4208-B8E0-C3F8EBD20A2E}"/>
    <cellStyle name="40% - Ênfase1" xfId="698" xr:uid="{718F3B53-7301-4A42-BB18-12F6E6B3DA25}"/>
    <cellStyle name="40% - Ênfase2" xfId="699" xr:uid="{78D311B0-8726-4082-BF0D-32937829E7AD}"/>
    <cellStyle name="40% - Ênfase3" xfId="700" xr:uid="{AE24F5E5-F134-4909-BA8C-35270BFFD95F}"/>
    <cellStyle name="40% - Ênfase4" xfId="701" xr:uid="{A6FDF9C5-3673-4097-B827-130A51345836}"/>
    <cellStyle name="40% - Ênfase5" xfId="702" xr:uid="{35AF9168-26C4-4653-91E9-B6FCECDCCC90}"/>
    <cellStyle name="40% - Ênfase6" xfId="703" xr:uid="{D1F3EDF9-764A-4865-80E8-F213A6CC0DD3}"/>
    <cellStyle name="40% - アクセント 1" xfId="704" xr:uid="{88B77203-3A72-496F-86F7-3C1B9111D8E2}"/>
    <cellStyle name="40% - アクセント 2" xfId="705" xr:uid="{19CA8A96-8065-476B-A5D6-61608475150B}"/>
    <cellStyle name="40% - アクセント 3" xfId="706" xr:uid="{3CFA18C3-7CA4-41C4-A503-1CAC5B85315F}"/>
    <cellStyle name="40% - アクセント 4" xfId="707" xr:uid="{888D9A1D-BC98-4BE3-9BD9-545BE2D938EC}"/>
    <cellStyle name="40% - アクセント 5" xfId="708" xr:uid="{A4989EF6-35D2-4E05-88C0-13775779629D}"/>
    <cellStyle name="40% - アクセント 6" xfId="709" xr:uid="{37C6C61C-5B75-43CD-BDA7-A3C92DEC32C4}"/>
    <cellStyle name="60% - Accent1 2" xfId="631" xr:uid="{ECDF93CA-309F-4EAC-A8F9-3444EDF83997}"/>
    <cellStyle name="60% - Accent2 2" xfId="632" xr:uid="{01D46F5B-F603-4C99-8594-EC5A1E7A8558}"/>
    <cellStyle name="60% - Accent3 2" xfId="633" xr:uid="{C6B403E4-7253-4D3A-B20F-3E4EB0D265F6}"/>
    <cellStyle name="60% - Accent4 2" xfId="634" xr:uid="{E9639131-9EB4-4028-9691-3A21EF8E5F82}"/>
    <cellStyle name="60% - Accent5 2" xfId="635" xr:uid="{9E2F9802-DDA4-4191-B648-8057393C7F0E}"/>
    <cellStyle name="60% - Accent6 2" xfId="636" xr:uid="{CE72B4E6-C800-4ED2-B573-93E50543D1A7}"/>
    <cellStyle name="60% - Ênfase1" xfId="710" xr:uid="{94018BA4-3204-4D64-95C4-DD6EDD46BC02}"/>
    <cellStyle name="60% - Ênfase2" xfId="711" xr:uid="{B82F8937-4285-4C28-84D5-61E6675903FA}"/>
    <cellStyle name="60% - Ênfase3" xfId="712" xr:uid="{85432AED-F8B3-47A1-9F03-AE1565C369AB}"/>
    <cellStyle name="60% - Ênfase4" xfId="713" xr:uid="{93A73CFA-00D2-44EB-A2BB-C76C29807854}"/>
    <cellStyle name="60% - Ênfase5" xfId="714" xr:uid="{C8635B79-C6F0-478E-8F65-9101FF9160F4}"/>
    <cellStyle name="60% - Ênfase6" xfId="715" xr:uid="{63577BD2-1366-4EA0-818A-9EA405288F7A}"/>
    <cellStyle name="60% - アクセント 1" xfId="716" xr:uid="{DFC58CF6-B239-4150-B394-6A41B7812C83}"/>
    <cellStyle name="60% - アクセント 2" xfId="717" xr:uid="{481FEAE1-D320-4E46-B3D0-32451C311475}"/>
    <cellStyle name="60% - アクセント 3" xfId="718" xr:uid="{1E9AB8A7-5E55-40C2-BF59-987B909C02E4}"/>
    <cellStyle name="60% - アクセント 4" xfId="719" xr:uid="{2D7AEC24-620A-4DCC-B1E7-D955C2D49A72}"/>
    <cellStyle name="60% - アクセント 5" xfId="720" xr:uid="{7E491136-9C72-403C-B178-740C64CAC9F4}"/>
    <cellStyle name="60% - アクセント 6" xfId="721" xr:uid="{C162A064-374C-44B1-83FD-09A1C120254B}"/>
    <cellStyle name="a_Divisão" xfId="372" xr:uid="{41FA05F3-59CB-457D-993A-79249C6E8F02}"/>
    <cellStyle name="a_Divisão 2" xfId="1315" xr:uid="{A11ECF3C-46D2-4E6A-B5D4-A88B0E05D3FF}"/>
    <cellStyle name="a_normal" xfId="373" xr:uid="{FD0E7406-71DE-4C67-BA68-1F762304F696}"/>
    <cellStyle name="a_quebra_1" xfId="374" xr:uid="{25C18E76-BF2E-4B99-8AFF-D39975BA525D}"/>
    <cellStyle name="a_quebra_2" xfId="375" xr:uid="{1C4BC7F8-F53E-45B0-8D4F-9E866FDE6C9F}"/>
    <cellStyle name="Accent1 - 20%" xfId="722" xr:uid="{EC3B49D3-BF2D-4D5E-B8CC-FDA7CA705F8E}"/>
    <cellStyle name="Accent1 - 40%" xfId="723" xr:uid="{62D21BB3-DC73-4843-A351-A6CD1824F1F9}"/>
    <cellStyle name="Accent1 - 60%" xfId="724" xr:uid="{726B13A9-D722-4D7B-BFFD-B95960C9E7CB}"/>
    <cellStyle name="Accent1 2" xfId="637" xr:uid="{B9205C45-DE03-41BF-A94F-11516C6DC0A7}"/>
    <cellStyle name="Accent2 - 20%" xfId="725" xr:uid="{DE4D6A49-F53B-473A-A6A9-2330572E228B}"/>
    <cellStyle name="Accent2 - 40%" xfId="726" xr:uid="{6EF176B6-1C83-4867-A800-B84152E55852}"/>
    <cellStyle name="Accent2 - 60%" xfId="727" xr:uid="{3C2DFAE7-C164-4E2B-84EA-4F8E45CC88A5}"/>
    <cellStyle name="Accent2 2" xfId="638" xr:uid="{17FD2AE7-CD41-4BFF-8A62-8595B7CED02F}"/>
    <cellStyle name="Accent3 - 20%" xfId="728" xr:uid="{0199D460-C648-4388-8654-7D11D3A1A7C2}"/>
    <cellStyle name="Accent3 - 40%" xfId="729" xr:uid="{C6769C49-785E-4355-83B3-A4373DB04417}"/>
    <cellStyle name="Accent3 - 60%" xfId="730" xr:uid="{62CDDB30-A68F-46C8-9F06-E1F5DB681218}"/>
    <cellStyle name="Accent3 2" xfId="639" xr:uid="{4DDA2966-CAC1-44A0-8852-C2609C536BFB}"/>
    <cellStyle name="Accent4 - 20%" xfId="731" xr:uid="{A665B63C-666E-4742-9A5B-86BCF1B3B3CE}"/>
    <cellStyle name="Accent4 - 40%" xfId="732" xr:uid="{1B3AB72F-9DD9-4CB0-BC07-533CD5747AD2}"/>
    <cellStyle name="Accent4 - 60%" xfId="733" xr:uid="{F50BD243-1786-440A-B637-7700894A4491}"/>
    <cellStyle name="Accent4 2" xfId="640" xr:uid="{6543107B-8A15-46FA-A924-8E98E5F8DDD0}"/>
    <cellStyle name="Accent5 - 20%" xfId="734" xr:uid="{620F211D-77BA-46C1-B618-C21E3FA10773}"/>
    <cellStyle name="Accent5 - 40%" xfId="735" xr:uid="{EC67964D-90CA-44AD-9F06-D5D21867D802}"/>
    <cellStyle name="Accent5 - 60%" xfId="736" xr:uid="{3F75D0E0-D25A-4280-AD1E-C74BFD741916}"/>
    <cellStyle name="Accent5 2" xfId="641" xr:uid="{A067FE73-9A2B-4A75-8124-314F463D542D}"/>
    <cellStyle name="Accent6 - 20%" xfId="737" xr:uid="{8A32A1FA-07E7-4091-86F7-EDE198D32300}"/>
    <cellStyle name="Accent6 - 40%" xfId="738" xr:uid="{7690C517-841C-455B-879F-BCDCF2B51379}"/>
    <cellStyle name="Accent6 - 60%" xfId="739" xr:uid="{AE2402DB-25BF-4EDA-8D2F-8143E10DD36A}"/>
    <cellStyle name="Accent6 2" xfId="642" xr:uid="{E62D61FD-FB57-401E-A91B-2CEBA04142FB}"/>
    <cellStyle name="Accounting" xfId="81" xr:uid="{27E3625C-EAD7-43BF-A8CB-2FA628D046A6}"/>
    <cellStyle name="AFE" xfId="82" xr:uid="{FADDFA35-85AB-4F08-91FE-69FA09C84DB4}"/>
    <cellStyle name="AFE 2" xfId="454" xr:uid="{E3D4015B-49F4-4AAC-B58D-90C8B2EA899B}"/>
    <cellStyle name="Andre's Title" xfId="83" xr:uid="{8E02BE3F-A1CA-4671-94C1-21089CFBAB5E}"/>
    <cellStyle name="anos" xfId="376" xr:uid="{4C04C150-2B28-4296-A92A-8E12935393A3}"/>
    <cellStyle name="anos 2" xfId="955" xr:uid="{10E44431-9B3B-4A0D-AEFF-210E1C5D745A}"/>
    <cellStyle name="Arial 10" xfId="84" xr:uid="{8AD14B9C-F66A-4D0C-B3B0-713F56206A8B}"/>
    <cellStyle name="Arial 12" xfId="85" xr:uid="{F94130EA-B918-4DFD-82E1-CBB42F9171C2}"/>
    <cellStyle name="Aus $.00" xfId="86" xr:uid="{8D93ED2B-1D2C-4E9E-81C9-BD958388248C}"/>
    <cellStyle name="Aus $.00 2" xfId="397" xr:uid="{762BE6C3-CF2D-4EC9-A82D-74AA7E0F4698}"/>
    <cellStyle name="Aus $.00 3" xfId="455" xr:uid="{48DCADDE-6095-485A-8205-447374646442}"/>
    <cellStyle name="Bad 2" xfId="643" xr:uid="{44826A7C-2100-4DA2-94B1-4FD3B9CF0F13}"/>
    <cellStyle name="Bé" xfId="740" xr:uid="{F30E390C-EB93-45FA-8F5C-CE0FCE1AC9BC}"/>
    <cellStyle name="Binlik Ayracı 2" xfId="1940" xr:uid="{1A41D7F0-6268-4277-96BA-88456ED596FB}"/>
    <cellStyle name="BLACK" xfId="87" xr:uid="{C3AE0FF8-1653-4239-8460-4B0002CB1229}"/>
    <cellStyle name="Blue" xfId="88" xr:uid="{82E94E93-8474-496E-A45F-9D19323772A3}"/>
    <cellStyle name="blue currency" xfId="89" xr:uid="{6B5408EA-8F99-40B5-B540-0901E7466197}"/>
    <cellStyle name="BLUE date" xfId="90" xr:uid="{D7B5CBE9-3E08-4E92-9ECE-48BDCC4BCDE0}"/>
    <cellStyle name="blue$00" xfId="91" xr:uid="{AFF4B925-8620-4828-99CF-880BD02AE894}"/>
    <cellStyle name="BLUE_BLT_6_51" xfId="92" xr:uid="{F01D8507-C364-406E-9D6E-06560103F435}"/>
    <cellStyle name="Body" xfId="93" xr:uid="{AEFCA434-FCFE-4FCE-94FF-8180D06832AA}"/>
    <cellStyle name="bold big" xfId="94" xr:uid="{36CA97CE-5552-48DB-9828-6C75E844EE0A}"/>
    <cellStyle name="bold big 2" xfId="456" xr:uid="{07E2223D-EF55-4208-8593-395985353937}"/>
    <cellStyle name="BOLDCTR" xfId="742" xr:uid="{842266B9-AD82-4049-A25B-FE1E0EE8376D}"/>
    <cellStyle name="Bom" xfId="743" xr:uid="{C3379C3C-942F-41A7-B973-7EE7035D2AA1}"/>
    <cellStyle name="Border" xfId="95" xr:uid="{C7BFB340-AEFB-4B5E-B3C6-E967ED1AE91C}"/>
    <cellStyle name="Border 10" xfId="512" xr:uid="{83062F70-300F-4379-A080-44D161CBF835}"/>
    <cellStyle name="Border 10 2" xfId="1095" xr:uid="{D0820B03-69D2-4044-BFD8-2E7EE07FE45E}"/>
    <cellStyle name="Border 10 2 2" xfId="1694" xr:uid="{4D3E03E9-B0A4-40B8-84D5-C2CAD54DF48D}"/>
    <cellStyle name="Border 10 3" xfId="980" xr:uid="{7131D37E-F2DD-4628-B4CF-4876E360DC89}"/>
    <cellStyle name="Border 10 3 2" xfId="1889" xr:uid="{E2A85888-2ABE-473A-B58D-40B5A352ECDA}"/>
    <cellStyle name="Border 10 4" xfId="1500" xr:uid="{1818E76C-0754-4BDC-ADA3-2E7CFDBE0587}"/>
    <cellStyle name="Border 11" xfId="744" xr:uid="{77E31FC0-4221-4861-A11D-3DEE5D565D03}"/>
    <cellStyle name="Border 11 2" xfId="1251" xr:uid="{EC8A8478-AA98-4AE9-B71D-E4CC8EA4A0D6}"/>
    <cellStyle name="Border 11 2 2" xfId="1773" xr:uid="{5E64FA1D-E5D7-4F3E-BF31-70603333E009}"/>
    <cellStyle name="Border 11 3" xfId="1343" xr:uid="{A8A18D07-903E-4086-BD69-2EAFAF1C3AE8}"/>
    <cellStyle name="Border 11 3 2" xfId="1823" xr:uid="{037550A2-FDA1-40C3-ADE0-05CF37BEC81E}"/>
    <cellStyle name="Border 11 4" xfId="1404" xr:uid="{DEF7AEE3-BFE4-48A3-BBB5-20FC097B233E}"/>
    <cellStyle name="Border 11 4 2" xfId="1860" xr:uid="{426BADD2-BADF-46F7-8555-14ADCEA76335}"/>
    <cellStyle name="Border 11 4 3" xfId="1925" xr:uid="{71CF090C-DB94-400D-A2F3-FBBB2DF06556}"/>
    <cellStyle name="Border 11 5" xfId="1591" xr:uid="{F6B47900-F588-4158-B0FD-4E1370F6060F}"/>
    <cellStyle name="Border 12" xfId="768" xr:uid="{453A3279-E906-4001-BBEA-20503C458862}"/>
    <cellStyle name="Border 12 2" xfId="1266" xr:uid="{B8E587A2-F804-42D6-AD09-202205F9BDBA}"/>
    <cellStyle name="Border 12 2 2" xfId="1780" xr:uid="{231940E0-E952-47F8-B702-FBD1E4AA0081}"/>
    <cellStyle name="Border 12 3" xfId="1409" xr:uid="{B2670A04-E53B-4441-9E84-CD5996B9B8B0}"/>
    <cellStyle name="Border 12 3 2" xfId="1926" xr:uid="{49890E99-AE41-4D3A-A7B0-ED480BC8B276}"/>
    <cellStyle name="Border 13" xfId="952" xr:uid="{5B28955A-C045-4B9E-A9AA-6E2E8B43CAE3}"/>
    <cellStyle name="Border 13 2" xfId="1881" xr:uid="{9A982501-28EB-40F2-AC21-C38753E8FF0F}"/>
    <cellStyle name="Border 14" xfId="1428" xr:uid="{B4C16CD0-B094-4918-8F5D-268C5E942D8D}"/>
    <cellStyle name="Border 2" xfId="398" xr:uid="{66D18189-D015-490C-A9C3-46B57C838064}"/>
    <cellStyle name="Border 2 2" xfId="433" xr:uid="{5AFF021C-B808-4804-8DB5-AD345FF3EEC4}"/>
    <cellStyle name="Border 2 2 2" xfId="531" xr:uid="{E15848EE-862E-432B-9CD2-2753904FD1FD}"/>
    <cellStyle name="Border 2 2 2 2" xfId="1114" xr:uid="{0F64E708-4930-45BC-AE01-C888B158BB83}"/>
    <cellStyle name="Border 2 2 2 2 2" xfId="1705" xr:uid="{3C5FD6BF-9BB4-4ACE-9ABD-22586DCFC5FD}"/>
    <cellStyle name="Border 2 2 2 3" xfId="1004" xr:uid="{0D0804D4-92E2-47B4-BFBF-3D2497FF7B4D}"/>
    <cellStyle name="Border 2 2 2 3 2" xfId="1898" xr:uid="{3F0252DE-9122-4C61-A181-F3FC5A8624BF}"/>
    <cellStyle name="Border 2 2 2 4" xfId="1519" xr:uid="{E43FF16E-B871-40E9-B0BD-CD15C1DF5946}"/>
    <cellStyle name="Border 2 2 3" xfId="1367" xr:uid="{5A81D5D7-235B-4F5C-BA15-CF16511D5F3B}"/>
    <cellStyle name="Border 2 2 3 2" xfId="1924" xr:uid="{097EB8D2-489F-4400-892A-6300DD29EAD7}"/>
    <cellStyle name="Border 2 2 4" xfId="1446" xr:uid="{1C0DFB60-527B-427D-8371-9213B5D4C483}"/>
    <cellStyle name="Border 2 3" xfId="569" xr:uid="{7C96931A-0F24-4070-A86E-2B342230BC37}"/>
    <cellStyle name="Border 2 3 2" xfId="1147" xr:uid="{6E1038DB-0293-4293-B8CA-EBC4C1E2AB3F}"/>
    <cellStyle name="Border 2 3 2 2" xfId="1721" xr:uid="{726BDB92-A446-457A-9788-835C4EA9672A}"/>
    <cellStyle name="Border 2 3 3" xfId="1314" xr:uid="{47C57396-D67E-49FE-85A5-1801DACD2A0B}"/>
    <cellStyle name="Border 2 3 3 2" xfId="1913" xr:uid="{6E85B80B-7835-4E9B-B078-71889FCA287F}"/>
    <cellStyle name="Border 2 3 4" xfId="1549" xr:uid="{5F8EC78B-997D-4D3F-8FB3-DA6684918F98}"/>
    <cellStyle name="Border 2 4" xfId="518" xr:uid="{6DC8B2B5-318A-4AFC-9D2F-C01A6F575F3A}"/>
    <cellStyle name="Border 2 4 2" xfId="1101" xr:uid="{A29A13E7-8908-4D33-9E15-A0C403D5CC34}"/>
    <cellStyle name="Border 2 4 2 2" xfId="1698" xr:uid="{82C669CA-CF30-45B5-B70C-9599870C0E92}"/>
    <cellStyle name="Border 2 4 3" xfId="984" xr:uid="{12A1D86D-4A27-46AB-8D00-20C206E29EAB}"/>
    <cellStyle name="Border 2 4 3 2" xfId="1890" xr:uid="{4ABB53F3-257E-4AE1-954C-D47B00A332ED}"/>
    <cellStyle name="Border 2 4 4" xfId="1506" xr:uid="{C1F13360-C3BC-4E25-8F4E-522265451034}"/>
    <cellStyle name="Border 2 5" xfId="485" xr:uid="{E8283E3B-EB3D-46FC-AF31-0BF517F2986D}"/>
    <cellStyle name="Border 2 5 2" xfId="1068" xr:uid="{75C21425-4943-489E-B483-874A445080A0}"/>
    <cellStyle name="Border 2 5 2 2" xfId="1680" xr:uid="{DFF96CFD-68C0-4A71-99E3-E66D3BDDFBE3}"/>
    <cellStyle name="Border 2 5 3" xfId="971" xr:uid="{A48EB9B9-99C4-46EA-A358-13138F169901}"/>
    <cellStyle name="Border 2 5 3 2" xfId="1885" xr:uid="{019AA6EB-141A-4B6C-8133-8B48914CF965}"/>
    <cellStyle name="Border 2 5 4" xfId="1474" xr:uid="{5198ED80-7141-41C4-8A6D-E2E858965249}"/>
    <cellStyle name="Border 2 6" xfId="1247" xr:uid="{545A79D1-54C7-4D7C-9C1B-807B69DF92D1}"/>
    <cellStyle name="Border 2 6 2" xfId="1905" xr:uid="{EBF9E66F-C824-4E15-84A3-F087A3692064}"/>
    <cellStyle name="Border 2 7" xfId="1434" xr:uid="{71CA7098-A121-447B-9D98-6EAE61915751}"/>
    <cellStyle name="Border 3" xfId="441" xr:uid="{A50492CE-5D02-4381-BBC1-B2A6A1D557F7}"/>
    <cellStyle name="Border 3 2" xfId="583" xr:uid="{D879411D-70E6-4CDC-99B5-E3D0BE27A267}"/>
    <cellStyle name="Border 3 2 2" xfId="1158" xr:uid="{D2FFD7A2-CC28-4C61-B74F-8CCFE73563B6}"/>
    <cellStyle name="Border 3 2 2 2" xfId="1727" xr:uid="{7F2191A6-F4AF-476F-985C-102C7213167F}"/>
    <cellStyle name="Border 3 2 3" xfId="991" xr:uid="{D76D7AD0-D9F8-4383-8BC3-B3AB8328E838}"/>
    <cellStyle name="Border 3 2 3 2" xfId="1892" xr:uid="{15BA00BB-3994-4CF9-8507-4E8B3A74B60A}"/>
    <cellStyle name="Border 3 2 4" xfId="1558" xr:uid="{C3460894-D64E-4143-A113-43FF0835860C}"/>
    <cellStyle name="Border 3 3" xfId="539" xr:uid="{6725A397-BA59-43A2-86C0-C5481A99C350}"/>
    <cellStyle name="Border 3 3 2" xfId="1122" xr:uid="{2B0EE6EA-E96D-4632-B2F6-052F8AE5AA17}"/>
    <cellStyle name="Border 3 3 2 2" xfId="1710" xr:uid="{580C5FEB-B7B2-477D-B1E6-9E3B8057DD32}"/>
    <cellStyle name="Border 3 3 3" xfId="1313" xr:uid="{2C72C44C-84E8-4838-A2BB-D9D1B711DBA7}"/>
    <cellStyle name="Border 3 3 3 2" xfId="1912" xr:uid="{0A9BDB88-05C4-4753-ADB3-D71ED0AE031A}"/>
    <cellStyle name="Border 3 3 4" xfId="1527" xr:uid="{7547DC59-1E2E-493D-A407-D0C81DCA35AE}"/>
    <cellStyle name="Border 3 4" xfId="493" xr:uid="{49319C67-1499-404B-8C63-82A9123ACF28}"/>
    <cellStyle name="Border 3 4 2" xfId="1076" xr:uid="{75B423E8-6360-48BE-A992-596A875556A6}"/>
    <cellStyle name="Border 3 4 2 2" xfId="1685" xr:uid="{77FA5098-E5A3-4EB6-BF32-336D1838847F}"/>
    <cellStyle name="Border 3 4 3" xfId="1355" xr:uid="{F2608D93-AFF0-4ACF-8736-160C2D01A200}"/>
    <cellStyle name="Border 3 4 3 2" xfId="1920" xr:uid="{8DB9E793-1792-426C-B48F-FEE4AEC072AC}"/>
    <cellStyle name="Border 3 4 4" xfId="1481" xr:uid="{B7E7C94E-5087-461A-841C-3C86B8B572DD}"/>
    <cellStyle name="Border 3 5" xfId="1036" xr:uid="{BBB7B86D-063A-4A32-9806-A807D9DCBF83}"/>
    <cellStyle name="Border 3 5 2" xfId="1671" xr:uid="{99592B8C-C663-45D5-A7BB-A2C2C462AB61}"/>
    <cellStyle name="Border 3 6" xfId="892" xr:uid="{387897C2-1BA3-426A-BAAF-EF0E3EEE5CA7}"/>
    <cellStyle name="Border 3 6 2" xfId="1625" xr:uid="{A1FC4406-347C-4B6D-AA96-38CF9EE2E91E}"/>
    <cellStyle name="Border 3 7" xfId="961" xr:uid="{731B14D4-89F1-492B-BBB3-5264B85B02B3}"/>
    <cellStyle name="Border 3 7 2" xfId="1883" xr:uid="{7D0814E8-3B05-4E99-B2B7-97110B0EBDAD}"/>
    <cellStyle name="Border 3 8" xfId="1454" xr:uid="{A13B298C-4481-429F-B25C-425013E28413}"/>
    <cellStyle name="Border 4" xfId="439" xr:uid="{5C964934-B2FA-482C-8648-6A7C6B9131B2}"/>
    <cellStyle name="Border 4 2" xfId="579" xr:uid="{36818D2F-FB94-4497-AFFF-A8F98B2116E2}"/>
    <cellStyle name="Border 4 2 2" xfId="1154" xr:uid="{BDF3A1B9-EC9A-46C5-909E-F2272743115A}"/>
    <cellStyle name="Border 4 2 2 2" xfId="1725" xr:uid="{2A774C7A-10C0-433C-AC28-378D77E1177B}"/>
    <cellStyle name="Border 4 2 3" xfId="988" xr:uid="{D2EC4DAF-B28F-4823-8EAF-1DB2D28FC3C6}"/>
    <cellStyle name="Border 4 2 3 2" xfId="1891" xr:uid="{F0E03DE3-5E84-4F5B-BA2A-BD199F8F9E45}"/>
    <cellStyle name="Border 4 2 4" xfId="1554" xr:uid="{68757C63-B176-4230-8741-C6EFEF017A16}"/>
    <cellStyle name="Border 4 3" xfId="537" xr:uid="{E0B9D201-6397-4E99-9D2A-5BDF4D16A8B6}"/>
    <cellStyle name="Border 4 3 2" xfId="1120" xr:uid="{7CFA04E1-3C67-429A-A06C-53A852A8497F}"/>
    <cellStyle name="Border 4 3 2 2" xfId="1708" xr:uid="{2761647E-9390-4436-92B7-BAC1A1DAD25D}"/>
    <cellStyle name="Border 4 3 3" xfId="1231" xr:uid="{6F2F685A-C8B2-42C2-A5B4-8BA55DB933E6}"/>
    <cellStyle name="Border 4 3 3 2" xfId="1904" xr:uid="{105771AE-0034-44F7-8B59-F10C7FE288B7}"/>
    <cellStyle name="Border 4 3 4" xfId="1525" xr:uid="{1EC53BE0-08E6-4A79-86A2-D8E7211DAC6C}"/>
    <cellStyle name="Border 4 4" xfId="491" xr:uid="{27ED7350-1C4D-4E62-8AB3-7501DB50115A}"/>
    <cellStyle name="Border 4 4 2" xfId="1074" xr:uid="{82042B5B-4A32-46F7-BC0F-CF1AF7071F17}"/>
    <cellStyle name="Border 4 4 2 2" xfId="1683" xr:uid="{2F122638-F222-4E46-852F-CB0D5D93143A}"/>
    <cellStyle name="Border 4 4 3" xfId="1257" xr:uid="{5E098D89-0961-4D5F-8A35-6591DD0EFE47}"/>
    <cellStyle name="Border 4 4 3 2" xfId="1778" xr:uid="{23F89E2D-58D1-4668-9176-B070522636F2}"/>
    <cellStyle name="Border 4 4 4" xfId="1357" xr:uid="{DDDB77F2-B21A-40E8-96EF-4CF535C05EB6}"/>
    <cellStyle name="Border 4 4 4 2" xfId="1921" xr:uid="{6820B6BD-AC75-44C7-8992-F79B2F550430}"/>
    <cellStyle name="Border 4 4 5" xfId="1479" xr:uid="{A68F7DFC-CB05-4FA5-982D-B40EBC3CAD0C}"/>
    <cellStyle name="Border 4 5" xfId="1003" xr:uid="{D655A845-FF25-421E-B4D4-395ABB2A07BB}"/>
    <cellStyle name="Border 4 5 2" xfId="1897" xr:uid="{A37D5A30-E3E3-4251-A4AE-573C22887FA8}"/>
    <cellStyle name="Border 4 6" xfId="1452" xr:uid="{066E080E-D29F-4853-8199-B048534DA13C}"/>
    <cellStyle name="Border 5" xfId="457" xr:uid="{B4EC2BA2-6D7C-44B0-A3F4-2AEA916FAB66}"/>
    <cellStyle name="Border 5 2" xfId="608" xr:uid="{5E651D64-DFE8-4784-8A3F-481DB45C2674}"/>
    <cellStyle name="Border 5 2 2" xfId="1183" xr:uid="{1577006B-835A-4DC9-8152-F9B281BC3271}"/>
    <cellStyle name="Border 5 2 2 2" xfId="1743" xr:uid="{DE56F396-AD9A-46B6-B4A5-4BA9500E8D87}"/>
    <cellStyle name="Border 5 2 3" xfId="1334" xr:uid="{991942C0-2A37-479B-99CC-E7545CC10CF3}"/>
    <cellStyle name="Border 5 2 3 2" xfId="1915" xr:uid="{63A798D1-4F9D-461D-B6BA-0A2BA917B44F}"/>
    <cellStyle name="Border 5 2 4" xfId="1583" xr:uid="{65EF4FF1-CEC5-4F0D-953D-F4058C9258C5}"/>
    <cellStyle name="Border 5 3" xfId="550" xr:uid="{A955FAB0-D9DB-49B9-A45B-7625A73C704B}"/>
    <cellStyle name="Border 5 3 2" xfId="1133" xr:uid="{8CC7572F-FAD4-4391-8FF4-6659824DF218}"/>
    <cellStyle name="Border 5 3 2 2" xfId="1715" xr:uid="{40D3A8BD-5FBC-46AC-A35B-5B60B1F8A2F1}"/>
    <cellStyle name="Border 5 3 3" xfId="898" xr:uid="{CB7B7580-D123-4A44-8485-5998C5D70412}"/>
    <cellStyle name="Border 5 3 3 2" xfId="1876" xr:uid="{9D84BBF4-571C-4682-8737-E47762655BB9}"/>
    <cellStyle name="Border 5 3 4" xfId="1538" xr:uid="{112C4636-B8E3-4289-84ED-27FB9905B691}"/>
    <cellStyle name="Border 5 4" xfId="503" xr:uid="{BF289F1F-0A00-42CC-A0BB-87CB0453A585}"/>
    <cellStyle name="Border 5 4 2" xfId="1086" xr:uid="{76458BCF-BCAA-4E14-AFF8-EF942C13CE7B}"/>
    <cellStyle name="Border 5 4 2 2" xfId="1689" xr:uid="{86047176-B0DD-475B-BD04-14E6CDD4B13A}"/>
    <cellStyle name="Border 5 4 3" xfId="975" xr:uid="{A57F88AB-C08F-4E53-A658-3EBE30EE1F71}"/>
    <cellStyle name="Border 5 4 3 2" xfId="1887" xr:uid="{3FF39E81-3175-4AD9-8403-0984186AEC98}"/>
    <cellStyle name="Border 5 4 4" xfId="1491" xr:uid="{81962D48-3EB3-4461-B599-296FAAE7CCD7}"/>
    <cellStyle name="Border 5 5" xfId="1050" xr:uid="{73ACBB2F-83F3-460C-939B-37573BDA903F}"/>
    <cellStyle name="Border 5 5 2" xfId="1674" xr:uid="{601AAB7F-F92C-4806-BB9C-682A48460200}"/>
    <cellStyle name="Border 5 6" xfId="935" xr:uid="{F0D7B739-3F52-4BB1-8011-FFFF44DFC448}"/>
    <cellStyle name="Border 5 6 2" xfId="1640" xr:uid="{B46C8C7E-1735-479E-9488-C470CB978305}"/>
    <cellStyle name="Border 5 7" xfId="965" xr:uid="{5C5A8C84-3AC0-4CCE-8B45-9ABB95BE1AAD}"/>
    <cellStyle name="Border 5 7 2" xfId="1884" xr:uid="{59E05003-0155-4566-971A-9A771E8A8337}"/>
    <cellStyle name="Border 5 8" xfId="1460" xr:uid="{C3BF7482-2F39-4AAB-BA3E-1077D04779D7}"/>
    <cellStyle name="Border 6" xfId="473" xr:uid="{F370F693-310D-4164-8B81-3B31DE759ACA}"/>
    <cellStyle name="Border 6 2" xfId="600" xr:uid="{1E2EFE35-03B3-464A-838E-962A349E55A9}"/>
    <cellStyle name="Border 6 2 2" xfId="1175" xr:uid="{CBB52ED4-72F3-4FB2-AABA-5ACA94737219}"/>
    <cellStyle name="Border 6 2 2 2" xfId="1737" xr:uid="{461DC0D4-68F5-4903-86AA-C16D1C222550}"/>
    <cellStyle name="Border 6 2 3" xfId="1339" xr:uid="{E29A92EB-F821-4CE4-8BE1-D2ACC570827D}"/>
    <cellStyle name="Border 6 2 3 2" xfId="1916" xr:uid="{BE1D26E0-4437-4B25-BA78-8087D6931AB6}"/>
    <cellStyle name="Border 6 2 4" xfId="1575" xr:uid="{B8186543-584B-4703-A251-0F2368634D3C}"/>
    <cellStyle name="Border 6 3" xfId="557" xr:uid="{21AEFB63-77AC-4EBD-9593-BCB572BBF5CC}"/>
    <cellStyle name="Border 6 3 2" xfId="1140" xr:uid="{22EA711D-DE89-450D-A174-42506921564C}"/>
    <cellStyle name="Border 6 3 2 2" xfId="1717" xr:uid="{4E19EAC0-41CF-436D-9CA5-F167DABA1F92}"/>
    <cellStyle name="Border 6 3 3" xfId="1200" xr:uid="{CD970591-127A-455E-B889-8600A32E2038}"/>
    <cellStyle name="Border 6 3 3 2" xfId="1902" xr:uid="{9E25B4A5-0236-464F-863A-9BD06DA19ED3}"/>
    <cellStyle name="Border 6 3 4" xfId="1545" xr:uid="{59B1DA2B-2EAE-4907-BFB2-324791F4FB3D}"/>
    <cellStyle name="Border 6 4" xfId="509" xr:uid="{7B3151C0-4F5C-41D4-B10B-7E012D75E021}"/>
    <cellStyle name="Border 6 4 2" xfId="1092" xr:uid="{6BB9D27D-08E6-474B-BB72-4F70EBCA6040}"/>
    <cellStyle name="Border 6 4 2 2" xfId="1691" xr:uid="{1BDAFF84-AFAB-44C5-9EAA-50C479A6172E}"/>
    <cellStyle name="Border 6 4 3" xfId="914" xr:uid="{163857EF-7D70-4E40-87D5-52A33FB58D78}"/>
    <cellStyle name="Border 6 4 3 2" xfId="1635" xr:uid="{B082FC6D-2D0B-48DE-AA14-CAA252891567}"/>
    <cellStyle name="Border 6 4 4" xfId="978" xr:uid="{54F925D9-5A07-4375-89C9-6FF66AE58B56}"/>
    <cellStyle name="Border 6 4 4 2" xfId="1888" xr:uid="{56F4C68A-DCC5-45DE-BEFB-AC46EB51BECA}"/>
    <cellStyle name="Border 6 4 5" xfId="1497" xr:uid="{AA97FAC2-DAB7-42DA-9EAD-DD63DCFE3C8D}"/>
    <cellStyle name="Border 6 5" xfId="1298" xr:uid="{796B1200-3460-4FEB-B206-7F4B652551FD}"/>
    <cellStyle name="Border 6 5 2" xfId="1910" xr:uid="{C69FEC50-C343-49C8-9235-4C759E451958}"/>
    <cellStyle name="Border 6 6" xfId="1466" xr:uid="{5D4C4EE0-563B-4795-A4DD-2EEF1DE0BD63}"/>
    <cellStyle name="Border 7" xfId="426" xr:uid="{0DEFC9C5-CB8C-4352-92BE-1A60D6721047}"/>
    <cellStyle name="Border 7 2" xfId="524" xr:uid="{EE542CB8-8568-4252-8DEA-E12EF3D98DF4}"/>
    <cellStyle name="Border 7 2 2" xfId="1107" xr:uid="{1F37671A-CBBE-4E65-93AC-8E4EA2786B74}"/>
    <cellStyle name="Border 7 2 2 2" xfId="1701" xr:uid="{8DC9BC5B-FE58-4FAA-8127-5432FC4424B2}"/>
    <cellStyle name="Border 7 2 3" xfId="1347" xr:uid="{04F57FBF-34AE-4796-8273-786935079929}"/>
    <cellStyle name="Border 7 2 3 2" xfId="1917" xr:uid="{50D8D5E7-2F51-4D53-9F42-46BB355D1235}"/>
    <cellStyle name="Border 7 2 4" xfId="1512" xr:uid="{F46949A4-A582-430D-BA5E-6EF2E4B123EC}"/>
    <cellStyle name="Border 7 3" xfId="1268" xr:uid="{A0452164-79D5-43B7-AEC8-00654B3E62E3}"/>
    <cellStyle name="Border 7 3 2" xfId="1906" xr:uid="{877FCE64-2845-4F51-8585-2745A1A0BC6A}"/>
    <cellStyle name="Border 7 4" xfId="1440" xr:uid="{E8C7D905-CD4B-4FCD-8D7B-641D298F02D2}"/>
    <cellStyle name="Border 8" xfId="606" xr:uid="{0C6694A7-9EF1-4F79-AE9E-C39D57AE1024}"/>
    <cellStyle name="Border 8 2" xfId="1181" xr:uid="{C0ED5278-1156-441A-B56E-6D80AD35B861}"/>
    <cellStyle name="Border 8 2 2" xfId="1742" xr:uid="{AFE65D6D-4344-41CE-8555-D72D984A6EC1}"/>
    <cellStyle name="Border 8 3" xfId="1217" xr:uid="{C03E5BB1-C4D6-4EF6-8474-749E93794942}"/>
    <cellStyle name="Border 8 3 2" xfId="1903" xr:uid="{12CBE7A9-AB85-48F4-91C7-94FC17BFCE60}"/>
    <cellStyle name="Border 8 4" xfId="1581" xr:uid="{E10BA16C-D9F6-437F-98CC-ECD1687B9672}"/>
    <cellStyle name="Border 9" xfId="588" xr:uid="{3C56AF70-C0DB-494C-A574-CD19180D3295}"/>
    <cellStyle name="Border 9 2" xfId="1163" xr:uid="{6E235033-B39F-4B74-99C1-5C6A2EE4B3EB}"/>
    <cellStyle name="Border 9 2 2" xfId="1729" xr:uid="{A88C32B2-0658-4BD9-A5C9-A6664BD674DD}"/>
    <cellStyle name="Border 9 3" xfId="937" xr:uid="{3CF7E0B4-7FB6-4C51-8343-18FAD56503DD}"/>
    <cellStyle name="Border 9 3 2" xfId="1879" xr:uid="{E7AA0555-751E-48AE-AAD6-EAB449A9F505}"/>
    <cellStyle name="Border 9 4" xfId="1563" xr:uid="{F3E27303-A47B-4C4D-88EC-4DEF9ABA45F2}"/>
    <cellStyle name="Border Heavy" xfId="96" xr:uid="{0B7B442A-3B89-458F-B8FF-C9E3CDEE345D}"/>
    <cellStyle name="Border Thin" xfId="97" xr:uid="{6939C3A8-3A5F-48CD-ABDE-D0D1624EBBB2}"/>
    <cellStyle name="Border, Bottom" xfId="98" xr:uid="{08E1F646-B598-487C-B557-A4CF80C3D760}"/>
    <cellStyle name="Border, Bottom 2" xfId="399" xr:uid="{588C60B1-F002-408C-8BC9-29403B6F46CA}"/>
    <cellStyle name="Border, Bottom 2 2" xfId="568" xr:uid="{46E05D7A-F823-468F-A846-91504BE3E77B}"/>
    <cellStyle name="Border, Left" xfId="99" xr:uid="{BE767E77-F09F-4C25-8445-FAAC6D589F3D}"/>
    <cellStyle name="Border, Right" xfId="100" xr:uid="{37457F59-4AA7-4E38-A352-6A4DF5A49C25}"/>
    <cellStyle name="Border, Top" xfId="101" xr:uid="{6116955C-187E-4A08-B80A-E0A6FE93F781}"/>
    <cellStyle name="Border, Top 2" xfId="400" xr:uid="{A2F46C3E-E216-455F-9DB7-898661337029}"/>
    <cellStyle name="Border, Top 2 2" xfId="434" xr:uid="{2A0756A6-1EDA-4CF9-AB4A-6427202A9E56}"/>
    <cellStyle name="Border, Top 2 2 2" xfId="532" xr:uid="{710D0398-89F2-4902-BF81-C56DE5E5A859}"/>
    <cellStyle name="Border, Top 2 2 2 2" xfId="1115" xr:uid="{9780FB2F-1785-4BE0-ADFF-3C9CA0976F11}"/>
    <cellStyle name="Border, Top 2 2 2 2 2" xfId="1706" xr:uid="{1E443846-18D6-4CE9-B45A-057FFEB7E768}"/>
    <cellStyle name="Border, Top 2 2 2 3" xfId="1520" xr:uid="{C8877D25-6BF4-4ECF-998D-6E4BC72DA930}"/>
    <cellStyle name="Border, Top 2 2 3" xfId="1447" xr:uid="{9A9FC410-CBFB-4C50-B81F-1A8861D6CA47}"/>
    <cellStyle name="Border, Top 2 3" xfId="577" xr:uid="{E9F3C383-A257-4D3F-A7BE-7C36F122B7A5}"/>
    <cellStyle name="Border, Top 2 3 2" xfId="1152" xr:uid="{63548A41-1763-4D43-8920-3ABB55B2A2E0}"/>
    <cellStyle name="Border, Top 2 3 2 2" xfId="1723" xr:uid="{D7833F98-A216-47BE-8CF3-AD84E8B597DA}"/>
    <cellStyle name="Border, Top 2 3 3" xfId="1552" xr:uid="{D5358A5A-3E9F-41D5-AEE9-209BC3DEFF1F}"/>
    <cellStyle name="Border, Top 2 4" xfId="519" xr:uid="{9430E75F-DDD7-494A-BBE7-E6577107DB43}"/>
    <cellStyle name="Border, Top 2 4 2" xfId="1102" xr:uid="{142F6D62-5CA2-4955-ACED-ED1B0AC37C6A}"/>
    <cellStyle name="Border, Top 2 4 2 2" xfId="1699" xr:uid="{427BD3A7-7E13-45ED-91AD-AA295F74D44C}"/>
    <cellStyle name="Border, Top 2 4 3" xfId="1507" xr:uid="{55BA6C5C-9400-4E41-A07F-BF32F6BBCE6C}"/>
    <cellStyle name="Border, Top 2 5" xfId="486" xr:uid="{9059A713-BD5B-4710-97F9-C05CF045FD8F}"/>
    <cellStyle name="Border, Top 2 5 2" xfId="1069" xr:uid="{3CBE6EE3-5D92-4A2A-8EA3-EC94870F61E1}"/>
    <cellStyle name="Border, Top 2 5 2 2" xfId="1681" xr:uid="{2D366F9E-1FB0-407B-AA06-1B15FEA5C3BD}"/>
    <cellStyle name="Border, Top 2 5 3" xfId="1475" xr:uid="{9BDA3258-1FDD-4625-8729-A1E755C40D1C}"/>
    <cellStyle name="Border, Top 2 6" xfId="1435" xr:uid="{DD048386-FD74-4F2A-8CF4-A4CF4F11C69E}"/>
    <cellStyle name="Border, Top 3" xfId="604" xr:uid="{CB6B7849-0DA1-424F-9B0E-48ECE724511C}"/>
    <cellStyle name="Border, Top 3 2" xfId="1179" xr:uid="{5998287C-8AEA-4F39-9B98-A1D6DA4C0F1D}"/>
    <cellStyle name="Border, Top 3 2 2" xfId="1740" xr:uid="{CBB5D563-4725-4DF5-A821-A226D5D6CB2C}"/>
    <cellStyle name="Border, Top 3 3" xfId="1579" xr:uid="{038A3608-5003-4B7B-B42F-62BD176291C9}"/>
    <cellStyle name="Border, Top 4" xfId="573" xr:uid="{170252D3-AE31-492C-816D-5F77646C0CCE}"/>
    <cellStyle name="Border, Top 4 2" xfId="1149" xr:uid="{8A1985C9-085B-48CC-B31C-01A5FF266AC1}"/>
    <cellStyle name="Border, Top 4 2 2" xfId="1722" xr:uid="{B32C5414-B478-4B04-BD34-9FD0C9A82142}"/>
    <cellStyle name="Border, Top 4 3" xfId="1550" xr:uid="{183FA1F3-90BC-495F-A857-D53FB14E628D}"/>
    <cellStyle name="Border, Top 5" xfId="745" xr:uid="{A25D16D9-61E5-4A24-B570-E4F1A07ABEA5}"/>
    <cellStyle name="Border, Top 5 2" xfId="1252" xr:uid="{1E92C5C5-04E4-4B9A-A64C-9AA6B5BA875C}"/>
    <cellStyle name="Border, Top 5 2 2" xfId="1774" xr:uid="{7A260525-66AA-4A1B-A8B9-AF1E1BE4647B}"/>
    <cellStyle name="Border, Top 5 3" xfId="1344" xr:uid="{882478F3-61BA-4B8D-8AFC-2CA41C85E703}"/>
    <cellStyle name="Border, Top 5 3 2" xfId="1824" xr:uid="{E4FFE4DB-1DA2-441B-AD7E-71A15835A2B2}"/>
    <cellStyle name="Border, Top 5 4" xfId="1405" xr:uid="{67D688F0-6557-4275-B098-48AF070DE896}"/>
    <cellStyle name="Border, Top 5 4 2" xfId="1861" xr:uid="{045E4144-C96C-412C-92C2-CEBF14C4B267}"/>
    <cellStyle name="Border, Top 5 5" xfId="1592" xr:uid="{341E9374-1947-4846-A80B-F0C3662B0729}"/>
    <cellStyle name="Border_2+10 Securitization Forecast" xfId="102" xr:uid="{D31C0EE2-AEA8-49D0-A7DF-DC24C9422058}"/>
    <cellStyle name="British Pound" xfId="103" xr:uid="{A86BC0AA-0443-476E-8D09-390052B06782}"/>
    <cellStyle name="bullet" xfId="104" xr:uid="{BBD09DB3-26CB-4F7F-8339-17170F6DB4DF}"/>
    <cellStyle name="Business Description" xfId="105" xr:uid="{832C2FAA-5D68-4442-8294-28E8A7B0CE1A}"/>
    <cellStyle name="C" xfId="106" xr:uid="{21E46BC7-6400-4F5A-9FD5-9C7C69A90339}"/>
    <cellStyle name="Calc Currency (0)" xfId="107" xr:uid="{76910361-58C4-4025-8F0C-42152995D102}"/>
    <cellStyle name="Càlcul" xfId="746" xr:uid="{4723D6E7-069C-4153-94FB-F63CEB022C52}"/>
    <cellStyle name="Càlcul 2" xfId="661" xr:uid="{890AEE89-F938-4212-B0FA-F708EB8B9B8A}"/>
    <cellStyle name="Càlcul 2 2" xfId="1210" xr:uid="{2FF9F9C3-4CFA-4A45-968D-40939535AC6C}"/>
    <cellStyle name="Càlcul 2 2 2" xfId="1758" xr:uid="{48098A57-6DEE-4838-A66E-405B7E6EE257}"/>
    <cellStyle name="Càlcul 2 3" xfId="1211" xr:uid="{BF5B07F5-19BF-4CEC-8AE8-AB9956ED1AC0}"/>
    <cellStyle name="Càlcul 2 3 2" xfId="1759" xr:uid="{B41A6CD0-528E-4782-8D3D-27CB0753DDCB}"/>
    <cellStyle name="Càlcul 2 4" xfId="1590" xr:uid="{D0D56183-E305-4966-9267-09A5033358AB}"/>
    <cellStyle name="Càlcul 3" xfId="1253" xr:uid="{7A1DDF9C-EE51-4F03-85D1-D64044DA2CC5}"/>
    <cellStyle name="Càlcul 3 2" xfId="1775" xr:uid="{1F33FB6B-8573-4FB1-ADAB-7729BD2CCD57}"/>
    <cellStyle name="Càlcul 4" xfId="1345" xr:uid="{F5BF8981-178D-444C-B225-4E5377A68DED}"/>
    <cellStyle name="Càlcul 4 2" xfId="1825" xr:uid="{413E35AC-0A2A-4B96-95D6-EDE41DCBA2BC}"/>
    <cellStyle name="Càlcul 5" xfId="1406" xr:uid="{75800D68-EF60-448A-A5FF-EAA872FC6E37}"/>
    <cellStyle name="Càlcul 5 2" xfId="1862" xr:uid="{8B23C0C6-2854-4668-834D-9BACDE3BCA38}"/>
    <cellStyle name="Càlcul 6" xfId="1593" xr:uid="{978AACCA-C1A1-4938-96BF-6AE1022AB74A}"/>
    <cellStyle name="Calculated" xfId="108" xr:uid="{6FB85955-D8E7-450D-82E8-3379BD1E63C6}"/>
    <cellStyle name="Calculation 2" xfId="644" xr:uid="{F13CB716-BE75-4B27-BEF6-021F91C2F564}"/>
    <cellStyle name="Calculation 2 2" xfId="790" xr:uid="{195D8036-8989-418E-BB6C-94BAFFBB1F54}"/>
    <cellStyle name="Calculation 2 2 2" xfId="1280" xr:uid="{4A67830A-249C-40B3-9AE2-58ACD7905E94}"/>
    <cellStyle name="Calculation 2 2 2 2" xfId="1789" xr:uid="{9BB882ED-799B-4430-83A8-9C7ADD431498}"/>
    <cellStyle name="Calculation 2 2 3" xfId="1378" xr:uid="{703C4CB6-287F-4F3F-868B-705E1C0BDF8D}"/>
    <cellStyle name="Calculation 2 2 3 2" xfId="1839" xr:uid="{32B6D032-59C7-4112-AD71-6BFCECFD5A1F}"/>
    <cellStyle name="Calculation 2 2 4" xfId="1602" xr:uid="{C8655231-C909-4E68-8683-B1FBAA616E69}"/>
    <cellStyle name="Calculation 2 3" xfId="1202" xr:uid="{15A74352-D3E1-4B2C-888C-2336E4BA6DCF}"/>
    <cellStyle name="Calculation 2 3 2" xfId="1751" xr:uid="{F0ACEAEE-8913-4C44-BDB6-830725F7BEA8}"/>
    <cellStyle name="Calculation 2 4" xfId="1215" xr:uid="{DCFD7055-7660-4061-B6E5-C2B21B8E9E42}"/>
    <cellStyle name="Calculation 2 4 2" xfId="1762" xr:uid="{4338D579-0401-44A5-BD76-4B1814648A89}"/>
    <cellStyle name="Calculation 2 5" xfId="1331" xr:uid="{742EDF81-E3D0-45B9-8036-910147BC73FE}"/>
    <cellStyle name="Calculation 2 5 2" xfId="1818" xr:uid="{BF5632B9-F111-4FAC-8399-F475AD1411B6}"/>
    <cellStyle name="Calculation 2 6" xfId="1585" xr:uid="{FC289AB9-2D7E-44F7-BA92-5F29A723F501}"/>
    <cellStyle name="Cálculo" xfId="747" xr:uid="{F88CA2D0-DB39-494E-AE63-00FB1249A270}"/>
    <cellStyle name="Cálculo 2" xfId="763" xr:uid="{BA18598E-A5F2-4A70-A375-FB11D859E38D}"/>
    <cellStyle name="Cálculo 2 2" xfId="1263" xr:uid="{B2089C41-73AE-4E9C-AF42-14D520B12969}"/>
    <cellStyle name="Cálculo 2 2 2" xfId="1779" xr:uid="{7194A2DE-183A-42FE-B526-C576694E9339}"/>
    <cellStyle name="Cálculo 2 3" xfId="1361" xr:uid="{84AE14C6-2CB6-475A-BF6A-A2C4D4F16D37}"/>
    <cellStyle name="Cálculo 2 3 2" xfId="1829" xr:uid="{C463ABDA-B73F-4043-9DC4-06AAE27FC713}"/>
    <cellStyle name="Cálculo 2 4" xfId="1595" xr:uid="{B2FEC858-EDE6-471B-A430-E17C40A98863}"/>
    <cellStyle name="Cálculo 3" xfId="1254" xr:uid="{1B364392-82AE-472D-A382-796B2B81DCE2}"/>
    <cellStyle name="Cálculo 3 2" xfId="1776" xr:uid="{A2DEA764-A5CD-44BE-9C49-2A676D515277}"/>
    <cellStyle name="Cálculo 4" xfId="1346" xr:uid="{2FB5D20B-8313-4D9F-82EF-92DEB7C58B26}"/>
    <cellStyle name="Cálculo 4 2" xfId="1826" xr:uid="{84A3317F-ACBB-4519-A03F-B0F13039A8B9}"/>
    <cellStyle name="Cálculo 5" xfId="1407" xr:uid="{23A49324-30CE-4CFA-B255-B35BB426B927}"/>
    <cellStyle name="Cálculo 5 2" xfId="1863" xr:uid="{F03C04B2-7B0F-4FB4-B9E7-E846B49DE503}"/>
    <cellStyle name="Cálculo 6" xfId="1594" xr:uid="{AB78CE90-5174-49DB-8F90-E241416F8E79}"/>
    <cellStyle name="čárky [0]_SBP03-Meeting702_Schedules - 612-02.xls graf 3" xfId="109" xr:uid="{8B9DAE4C-E559-40A4-B93B-2E29F0C73C34}"/>
    <cellStyle name="čárky_6_Capex" xfId="748" xr:uid="{5AFF5F3B-3AAF-47DE-8AEA-D462FAD5519A}"/>
    <cellStyle name="Case" xfId="110" xr:uid="{380C4AD3-B7A8-4EDE-A993-AC023E14D547}"/>
    <cellStyle name="Category Heading" xfId="111" xr:uid="{1A34EA19-469F-4FAF-ADC5-6159CD257D4D}"/>
    <cellStyle name="Category Heading 10" xfId="513" xr:uid="{35086A0C-CA2D-40D0-9113-BE13F49C7103}"/>
    <cellStyle name="Category Heading 10 2" xfId="1096" xr:uid="{08B233CD-55D7-4B44-A62C-645AC11F31BB}"/>
    <cellStyle name="Category Heading 10 3" xfId="1058" xr:uid="{6B69B064-4E8C-43E6-BD76-D529B9199A35}"/>
    <cellStyle name="Category Heading 10 4" xfId="1214" xr:uid="{EC18933F-C2EF-4789-8FF6-9191228F8C76}"/>
    <cellStyle name="Category Heading 10 5" xfId="1501" xr:uid="{245652CC-E7DA-4487-8677-F7641F07C508}"/>
    <cellStyle name="Category Heading 11" xfId="480" xr:uid="{F607117C-DBAD-4EB4-B63B-92F352029B29}"/>
    <cellStyle name="Category Heading 11 2" xfId="1063" xr:uid="{80C22ED1-548E-43D1-82AD-8FF6ABE2E506}"/>
    <cellStyle name="Category Heading 11 3" xfId="930" xr:uid="{92D8D473-3D18-489E-A866-9341874ECDB9}"/>
    <cellStyle name="Category Heading 11 4" xfId="951" xr:uid="{546A3E22-F4B2-4A94-BFF1-10FAF7CF6501}"/>
    <cellStyle name="Category Heading 11 5" xfId="1469" xr:uid="{034F714E-FB3F-4BDE-BD2A-3BC1845F88FB}"/>
    <cellStyle name="Category Heading 12" xfId="615" xr:uid="{9EC6484B-475F-401F-AD0A-6C991677BA50}"/>
    <cellStyle name="Category Heading 12 2" xfId="1186" xr:uid="{B16D05E5-67AA-4C9E-95C9-0ED299983481}"/>
    <cellStyle name="Category Heading 12 3" xfId="1219" xr:uid="{6207ECB2-AF86-418C-94E0-488E2A75E040}"/>
    <cellStyle name="Category Heading 12 4" xfId="1332" xr:uid="{0F04F075-5861-4115-8C41-0FB512F2FED5}"/>
    <cellStyle name="Category Heading 13" xfId="924" xr:uid="{839434DF-27AB-4403-9B3E-F4393A5004EB}"/>
    <cellStyle name="Category Heading 14" xfId="985" xr:uid="{8A30B825-800E-4EC0-A008-68BCC12DB292}"/>
    <cellStyle name="Category Heading 15" xfId="1019" xr:uid="{4598F890-2D50-4BD4-B8A6-1495918B2E8B}"/>
    <cellStyle name="Category Heading 16" xfId="1429" xr:uid="{1B11C237-44F1-453B-ABBC-AF38FBD9D3A7}"/>
    <cellStyle name="Category Heading 2" xfId="401" xr:uid="{4774B4E0-FFEE-4F7C-B9DF-A46DE021F5F3}"/>
    <cellStyle name="Category Heading 2 2" xfId="435" xr:uid="{53FA096C-B09D-4935-BB33-A25A63470C2B}"/>
    <cellStyle name="Category Heading 2 2 2" xfId="533" xr:uid="{5824C2D4-ABF5-4145-8020-95A2AEF8D151}"/>
    <cellStyle name="Category Heading 2 2 2 2" xfId="1116" xr:uid="{6E5D5AAD-EBDC-40CB-8069-48EFF00B6043}"/>
    <cellStyle name="Category Heading 2 2 2 3" xfId="1009" xr:uid="{E631480A-DA63-4DC3-8AC7-1836226D38EF}"/>
    <cellStyle name="Category Heading 2 2 2 4" xfId="1235" xr:uid="{F0AFBFDB-3292-4A17-97D2-26B2D044DA84}"/>
    <cellStyle name="Category Heading 2 2 2 5" xfId="1521" xr:uid="{A60CB51E-A98D-4D17-8310-7B5310283724}"/>
    <cellStyle name="Category Heading 2 2 3" xfId="1030" xr:uid="{B05B7850-2016-46AF-ADCD-43EEACC04144}"/>
    <cellStyle name="Category Heading 2 2 4" xfId="1312" xr:uid="{409329B9-261F-4D51-A609-9F7CE85E61A9}"/>
    <cellStyle name="Category Heading 2 2 5" xfId="1366" xr:uid="{042DE667-0C3E-41A6-BBCE-47560EA3ECC7}"/>
    <cellStyle name="Category Heading 2 2 6" xfId="1448" xr:uid="{53F4FF65-74D2-45C3-9610-061DC2426CFD}"/>
    <cellStyle name="Category Heading 2 3" xfId="576" xr:uid="{9B4124CB-E18A-4280-AD21-9CC7F1A1E621}"/>
    <cellStyle name="Category Heading 2 3 2" xfId="1151" xr:uid="{8FA382AD-7472-4F94-9E45-E4B506EB8925}"/>
    <cellStyle name="Category Heading 2 3 3" xfId="1232" xr:uid="{924771CB-69DD-4A54-8522-A32483B2BB37}"/>
    <cellStyle name="Category Heading 2 3 4" xfId="936" xr:uid="{B0C2E4AB-35B9-4BF0-BB59-0C510CFC6ED2}"/>
    <cellStyle name="Category Heading 2 3 5" xfId="1551" xr:uid="{C03C4D2F-E1C9-494F-8304-C3CD8BD5B6E7}"/>
    <cellStyle name="Category Heading 2 4" xfId="520" xr:uid="{0024A420-1291-4940-851D-532A79BF1C4D}"/>
    <cellStyle name="Category Heading 2 4 2" xfId="1103" xr:uid="{97353F36-6A39-418F-B880-41C972855995}"/>
    <cellStyle name="Category Heading 2 4 3" xfId="1049" xr:uid="{D5173FEF-AC5C-4641-983A-0BA60EA9CF1F}"/>
    <cellStyle name="Category Heading 2 4 4" xfId="1350" xr:uid="{1E9A7D08-95B5-4C18-B5AB-FCD42D56052A}"/>
    <cellStyle name="Category Heading 2 4 5" xfId="1508" xr:uid="{7CCE3CFD-D25C-472C-96B1-F9AA09C7F39C}"/>
    <cellStyle name="Category Heading 2 5" xfId="487" xr:uid="{167B2832-72FB-4972-BD1C-92EB993C2DD5}"/>
    <cellStyle name="Category Heading 2 5 2" xfId="1070" xr:uid="{3F35AA15-BF23-4E21-A34B-FD37EB5D97E3}"/>
    <cellStyle name="Category Heading 2 5 3" xfId="1014" xr:uid="{1FBF049D-C127-4F21-AAA1-63FAA49A72E3}"/>
    <cellStyle name="Category Heading 2 5 4" xfId="972" xr:uid="{3357475C-5A45-4377-8986-B8A464AF07CC}"/>
    <cellStyle name="Category Heading 2 5 5" xfId="1476" xr:uid="{A2E29C12-6FBD-443E-A4C2-0572568A776C}"/>
    <cellStyle name="Category Heading 2 6" xfId="1013" xr:uid="{B7CDFC46-2761-48B8-AE1B-B941FDD94714}"/>
    <cellStyle name="Category Heading 2 7" xfId="1273" xr:uid="{2D407F68-14BB-4DC6-90D4-66E1A686C198}"/>
    <cellStyle name="Category Heading 2 8" xfId="909" xr:uid="{6DE95E7C-F123-4FD4-84EE-B044CBD85AE1}"/>
    <cellStyle name="Category Heading 2 9" xfId="1436" xr:uid="{1DE04BD5-E319-400B-BF39-A77C45710789}"/>
    <cellStyle name="Category Heading 3" xfId="443" xr:uid="{8A64BA82-D3B5-4C5B-A31C-2B605233E52A}"/>
    <cellStyle name="Category Heading 3 2" xfId="541" xr:uid="{4F6A5052-D729-46FA-9F75-D5F428DB67EC}"/>
    <cellStyle name="Category Heading 3 2 2" xfId="1124" xr:uid="{F4501D74-1085-4574-B5ED-9BE748613EE8}"/>
    <cellStyle name="Category Heading 3 2 3" xfId="899" xr:uid="{F6330B8F-577D-4E41-9A93-F7D92337C23E}"/>
    <cellStyle name="Category Heading 3 2 4" xfId="1294" xr:uid="{9EED038F-1C18-43BA-B47B-366BC661A288}"/>
    <cellStyle name="Category Heading 3 2 5" xfId="1529" xr:uid="{64773425-DDB7-4F42-9180-247BA79BB789}"/>
    <cellStyle name="Category Heading 3 3" xfId="494" xr:uid="{D5C30E2F-B9FB-40C2-89F4-C65CDC795C4C}"/>
    <cellStyle name="Category Heading 3 3 2" xfId="1077" xr:uid="{1979F69D-F38E-492A-B3F6-75554B1545BC}"/>
    <cellStyle name="Category Heading 3 3 3" xfId="1255" xr:uid="{CF9472CB-141B-472B-9991-294921B2A85D}"/>
    <cellStyle name="Category Heading 3 3 4" xfId="1354" xr:uid="{C2E222B5-340F-4058-8499-68E765EC592F}"/>
    <cellStyle name="Category Heading 3 3 5" xfId="1482" xr:uid="{F1676048-03A2-49BD-B7B0-9FF87B5B2C2C}"/>
    <cellStyle name="Category Heading 3 4" xfId="1038" xr:uid="{57498811-3058-42E1-B6FD-82A4DF19222D}"/>
    <cellStyle name="Category Heading 3 5" xfId="940" xr:uid="{0D6A7663-0BE5-432D-AD76-FB7885654231}"/>
    <cellStyle name="Category Heading 3 6" xfId="1059" xr:uid="{51E0B775-4658-44CE-BE9D-1AC845A30631}"/>
    <cellStyle name="Category Heading 4" xfId="450" xr:uid="{78F6FCF6-8020-47AF-ABF6-D7F72031666C}"/>
    <cellStyle name="Category Heading 4 2" xfId="601" xr:uid="{4678AD0E-9304-497C-852A-04A079D9F563}"/>
    <cellStyle name="Category Heading 4 2 2" xfId="1176" xr:uid="{CA8F3794-ED98-4623-A938-039B8D1FF946}"/>
    <cellStyle name="Category Heading 4 2 3" xfId="1191" xr:uid="{575B33CE-AE1E-414F-9A23-8477135FEA44}"/>
    <cellStyle name="Category Heading 4 2 4" xfId="1338" xr:uid="{1EE5B4F5-6275-4BDE-940E-2479B4D5E50C}"/>
    <cellStyle name="Category Heading 4 2 5" xfId="1576" xr:uid="{DDD6A835-3BA1-4031-AF72-9B4F0229837A}"/>
    <cellStyle name="Category Heading 4 3" xfId="548" xr:uid="{F31EABE8-48FF-4E19-9003-D26C6AD1E6A8}"/>
    <cellStyle name="Category Heading 4 3 2" xfId="1131" xr:uid="{330821C7-D5F0-4E3A-8259-E94858AFEEF3}"/>
    <cellStyle name="Category Heading 4 3 3" xfId="1243" xr:uid="{99ADA62C-2A65-426B-8815-EC05892C7AF5}"/>
    <cellStyle name="Category Heading 4 3 4" xfId="1148" xr:uid="{3A80FC08-BEE3-407C-87E7-3F5C9B471E4E}"/>
    <cellStyle name="Category Heading 4 3 5" xfId="1536" xr:uid="{83556D02-2664-40A0-A1F1-18C7D7888CF5}"/>
    <cellStyle name="Category Heading 4 4" xfId="501" xr:uid="{D397C240-6AF9-4EBA-AD7A-518D70EB7B83}"/>
    <cellStyle name="Category Heading 4 4 2" xfId="1084" xr:uid="{0BC5CE1A-3A5C-4471-AE41-0072FC1B37B4}"/>
    <cellStyle name="Category Heading 4 4 3" xfId="918" xr:uid="{8B170FBF-ECDE-4B83-8342-D309EE124C1D}"/>
    <cellStyle name="Category Heading 4 4 4" xfId="1000" xr:uid="{6A16D778-7150-430F-BB5A-EEBA5EC85F7F}"/>
    <cellStyle name="Category Heading 4 4 5" xfId="1489" xr:uid="{5FA9DA43-FAC0-4402-A11B-4DE6462ACE66}"/>
    <cellStyle name="Category Heading 4 5" xfId="1045" xr:uid="{71221056-2245-42E5-91FB-501BE236B7DC}"/>
    <cellStyle name="Category Heading 4 6" xfId="1008" xr:uid="{376DDF70-78D3-4124-BCDC-E0CA90169EE9}"/>
    <cellStyle name="Category Heading 4 7" xfId="1142" xr:uid="{9D6EE0DC-420D-4B13-A93E-092BABDAC358}"/>
    <cellStyle name="Category Heading 5" xfId="458" xr:uid="{590B8EFA-F444-4FF1-AC4C-8746A87ACF17}"/>
    <cellStyle name="Category Heading 5 2" xfId="585" xr:uid="{622F440B-F20F-432B-9747-06E6D5CDBEE8}"/>
    <cellStyle name="Category Heading 5 2 2" xfId="1160" xr:uid="{50517798-AEE5-4636-B10D-144D64DD9AAE}"/>
    <cellStyle name="Category Heading 5 2 3" xfId="1195" xr:uid="{0A155F2E-D15B-48CE-A90D-D04DFC648CB1}"/>
    <cellStyle name="Category Heading 5 2 4" xfId="1389" xr:uid="{851078CA-20D0-4E14-A5D1-7E92DDE959E9}"/>
    <cellStyle name="Category Heading 5 2 5" xfId="1560" xr:uid="{DB3FAD76-7DD2-479B-8044-01E6C26E7003}"/>
    <cellStyle name="Category Heading 5 3" xfId="551" xr:uid="{15698972-9612-4A7A-8230-E7F3733EAEEA}"/>
    <cellStyle name="Category Heading 5 3 2" xfId="1134" xr:uid="{73474FCA-FDB9-4E10-A191-5ABE89BA4B8F}"/>
    <cellStyle name="Category Heading 5 3 3" xfId="1241" xr:uid="{AF413213-4CDE-48EA-8B21-914ED37E57F7}"/>
    <cellStyle name="Category Heading 5 3 4" xfId="907" xr:uid="{E251098F-24DD-4ABB-85B9-FF6E5B60C855}"/>
    <cellStyle name="Category Heading 5 3 5" xfId="1539" xr:uid="{433CB885-6DE3-4E28-9BE9-E075846E46EC}"/>
    <cellStyle name="Category Heading 5 4" xfId="504" xr:uid="{05419EFF-3B17-452D-B4BA-BEF6C16A7332}"/>
    <cellStyle name="Category Heading 5 4 2" xfId="1087" xr:uid="{7347A1B1-8B6D-4A35-AC13-196308441ED0}"/>
    <cellStyle name="Category Heading 5 4 3" xfId="917" xr:uid="{4BBDBC5D-B377-4E5F-84CC-426089BE3797}"/>
    <cellStyle name="Category Heading 5 4 4" xfId="1351" xr:uid="{80C41F5F-A14A-4B96-B0D2-41D9625D3256}"/>
    <cellStyle name="Category Heading 5 4 5" xfId="1492" xr:uid="{57DF0A94-EFB4-4C9A-84BC-759B34B9A50F}"/>
    <cellStyle name="Category Heading 5 5" xfId="1051" xr:uid="{9A56D5DC-0300-405B-8B4C-778D52D810CB}"/>
    <cellStyle name="Category Heading 5 6" xfId="934" xr:uid="{12E6BFF4-14E8-464A-8401-7E646B133CA2}"/>
    <cellStyle name="Category Heading 5 7" xfId="966" xr:uid="{FCEEA050-B675-4C46-9735-0C5395BF25D7}"/>
    <cellStyle name="Category Heading 5 8" xfId="1461" xr:uid="{AA8F156B-661A-4485-9052-342E4953DE8B}"/>
    <cellStyle name="Category Heading 6" xfId="427" xr:uid="{E39C8D1E-E491-44E7-AEB9-C4447F4300D9}"/>
    <cellStyle name="Category Heading 6 2" xfId="525" xr:uid="{046D5027-5D6F-469D-B6CD-23913C1865B3}"/>
    <cellStyle name="Category Heading 6 2 2" xfId="1108" xr:uid="{039D7D0F-E03C-4930-A557-B0767E76E650}"/>
    <cellStyle name="Category Heading 6 2 3" xfId="906" xr:uid="{4CA4C85F-AC80-4942-BA61-09E2682F4119}"/>
    <cellStyle name="Category Heading 6 2 4" xfId="987" xr:uid="{380FB23D-C9F4-4CE0-B38B-2C2D1248C157}"/>
    <cellStyle name="Category Heading 6 2 5" xfId="1513" xr:uid="{5DE61E4B-CA70-455F-9391-519876C91E30}"/>
    <cellStyle name="Category Heading 6 3" xfId="1022" xr:uid="{CCDB31C3-48D1-4E65-B893-A5A663826235}"/>
    <cellStyle name="Category Heading 6 4" xfId="1017" xr:uid="{20821574-7738-44DE-B841-3E6DF3CE21CA}"/>
    <cellStyle name="Category Heading 6 5" xfId="1323" xr:uid="{2FCE4578-5763-4AE6-80EA-DC6853A98CFE}"/>
    <cellStyle name="Category Heading 6 6" xfId="1441" xr:uid="{24855DAA-EF4B-4F96-BD8D-FE215E9A11AD}"/>
    <cellStyle name="Category Heading 7" xfId="587" xr:uid="{B0680D48-71A8-4CD7-A688-E72B6F61C51A}"/>
    <cellStyle name="Category Heading 7 2" xfId="1162" xr:uid="{1BD678D1-3C16-47A1-A4D9-820103B5F9DC}"/>
    <cellStyle name="Category Heading 7 3" xfId="1193" xr:uid="{E6219CAD-9FAF-44E4-B66D-516E2FB740FD}"/>
    <cellStyle name="Category Heading 7 4" xfId="1216" xr:uid="{179C43C0-582A-45E9-A9B2-97376403D632}"/>
    <cellStyle name="Category Heading 7 5" xfId="1562" xr:uid="{B4D666DF-BFF1-432C-8ABA-85CE733B867A}"/>
    <cellStyle name="Category Heading 8" xfId="598" xr:uid="{8BBD0293-F29E-4122-B98F-870763BE1964}"/>
    <cellStyle name="Category Heading 8 2" xfId="1173" xr:uid="{B7CC5A01-06EA-48F3-B1C0-5450E1D40900}"/>
    <cellStyle name="Category Heading 8 3" xfId="1223" xr:uid="{025F589D-EC20-459A-837C-B3723E88EB2C}"/>
    <cellStyle name="Category Heading 8 4" xfId="1309" xr:uid="{401B7094-D116-4E86-87B0-E800076D2F38}"/>
    <cellStyle name="Category Heading 8 5" xfId="1573" xr:uid="{22B27A63-6C09-428E-9934-BFEFE499ECB0}"/>
    <cellStyle name="Category Heading 9" xfId="581" xr:uid="{23321B0B-C448-483C-A7A3-C37EE56AED01}"/>
    <cellStyle name="Category Heading 9 2" xfId="1156" xr:uid="{9483CE72-2278-408B-A0F8-092E53A99F7A}"/>
    <cellStyle name="Category Heading 9 3" xfId="1228" xr:uid="{590B6A4E-C02B-4DEB-AFAC-54DF2F5C895D}"/>
    <cellStyle name="Category Heading 9 4" xfId="1007" xr:uid="{C3CAA3B8-C5B0-4578-9AED-8BEE46C736CD}"/>
    <cellStyle name="Category Heading 9 5" xfId="1556" xr:uid="{0DD91501-4D4C-4510-8334-798CE75AFB6B}"/>
    <cellStyle name="Cel·la de comprovació" xfId="749" xr:uid="{3917EB65-E5EF-4280-AD3B-AA75513190C8}"/>
    <cellStyle name="Cel·la enllaçada" xfId="750" xr:uid="{984C775D-24F5-4901-8D83-4405E1B1461F}"/>
    <cellStyle name="Célula de Verificação" xfId="751" xr:uid="{F04681C5-E3F0-48D9-A6BC-0D40794A47AF}"/>
    <cellStyle name="Célula Vinculada" xfId="752" xr:uid="{24CE29EA-535F-432B-AC55-311CBD782588}"/>
    <cellStyle name="Center Across" xfId="112" xr:uid="{8DF3D4F5-8FA2-4F51-8852-1A089A3E66FF}"/>
    <cellStyle name="Center Across 2" xfId="402" xr:uid="{9237F13C-8206-4D14-8A54-D7B345183E14}"/>
    <cellStyle name="Center Across 2 2" xfId="575" xr:uid="{AD9162C0-23A9-42BA-9837-66351103D811}"/>
    <cellStyle name="Changeable" xfId="113" xr:uid="{6AD20FDB-E74A-4601-B867-0D052A152629}"/>
    <cellStyle name="check" xfId="114" xr:uid="{D2506877-4593-49A4-AC33-7D8829EB2199}"/>
    <cellStyle name="Check Cell 2" xfId="645" xr:uid="{862AFD44-FB0C-4BB4-8BC1-F00EAE9C1341}"/>
    <cellStyle name="Co. Names" xfId="115" xr:uid="{12C24242-61EC-466E-B31D-FA8A0F7F8980}"/>
    <cellStyle name="Co. Names - Bold" xfId="116" xr:uid="{DB57ED09-5CA0-4E77-999C-0A2DFDF310A8}"/>
    <cellStyle name="Co. Names_accretion dilution" xfId="117" xr:uid="{F6420EB1-5208-4431-B1AC-5DEFECD73AA8}"/>
    <cellStyle name="COL HEADINGS" xfId="118" xr:uid="{E4F61EEE-BE5A-4882-B642-168BC8BEDBA4}"/>
    <cellStyle name="COL HEADINGS 2" xfId="403" xr:uid="{842B9847-20A7-4EE2-8909-97FC00DD3E23}"/>
    <cellStyle name="COL HEADINGS 2 2" xfId="574" xr:uid="{47470EBF-EA72-48EE-A317-80ADF0CCBBBA}"/>
    <cellStyle name="Collegamento ipertestuale" xfId="119" xr:uid="{9E6146A4-F329-495A-95A3-59819346C70F}"/>
    <cellStyle name="Collegamento ipertestuale visitato" xfId="120" xr:uid="{0E53AE8F-ACD6-4D53-BFBE-E2ED9682BB6C}"/>
    <cellStyle name="Collegamento ipertestuale_Price Passthru" xfId="753" xr:uid="{ECA6629E-3A51-45E0-B478-092363851C12}"/>
    <cellStyle name="Column Head 1" xfId="121" xr:uid="{BE10BD3A-FB0B-467D-9DA1-CF930355F918}"/>
    <cellStyle name="Column Head 1 2" xfId="404" xr:uid="{F691F3CA-0CF1-4610-8D48-146F35DE68B8}"/>
    <cellStyle name="Column Head 1 2 2" xfId="567" xr:uid="{AB684657-ECA5-4EA6-9293-10C20A417EB4}"/>
    <cellStyle name="Column Head 2" xfId="122" xr:uid="{E95E8D42-8BC3-4411-BCE7-3DD67C899A4C}"/>
    <cellStyle name="Column Heading" xfId="123" xr:uid="{9EF06CA7-10B1-403F-90B9-B2D6A09E2E52}"/>
    <cellStyle name="Column_Title" xfId="124" xr:uid="{71775531-C8D3-4F61-9972-8AD7A4A1C504}"/>
    <cellStyle name="Comma  - Style1" xfId="754" xr:uid="{549C131B-15AB-4144-8AD0-5EDFB70F95C0}"/>
    <cellStyle name="Comma  - Style2" xfId="755" xr:uid="{ABAB6A05-1691-47C0-81DE-C44C5C0C1DB0}"/>
    <cellStyle name="Comma  - Style3" xfId="756" xr:uid="{5A771CD7-9826-48FF-81D3-61D97D736690}"/>
    <cellStyle name="Comma  - Style4" xfId="757" xr:uid="{C759A2A8-461D-43D2-848B-E00D1A8B3D8F}"/>
    <cellStyle name="Comma  - Style5" xfId="758" xr:uid="{40F585D8-1A20-48A3-9D57-86C4A869F1FC}"/>
    <cellStyle name="Comma  - Style6" xfId="759" xr:uid="{A0AF86FB-9DE9-4644-B35C-3844DF9680AD}"/>
    <cellStyle name="Comma  - Style7" xfId="760" xr:uid="{B10B0BB9-2DC9-41E6-B21D-6CE92242F4F2}"/>
    <cellStyle name="Comma  - Style8" xfId="761" xr:uid="{5EAC7933-01DB-45DC-A061-7BEDDD10F8A2}"/>
    <cellStyle name="Comma [1]" xfId="125" xr:uid="{6DA4A1E1-522C-4C01-9D0A-B8464A046D2A}"/>
    <cellStyle name="Comma [2]" xfId="126" xr:uid="{A69A8AFE-2ABD-4559-A4C4-9C7C3CC21BE4}"/>
    <cellStyle name="Comma 0" xfId="127" xr:uid="{C2A2E4EE-EDA5-4734-ACBA-F7C0631E04B5}"/>
    <cellStyle name="Comma 0*" xfId="128" xr:uid="{17CDF389-6F5A-431B-837B-A90A9F4AC62B}"/>
    <cellStyle name="Comma 0_2+10 Securitization Forecast" xfId="129" xr:uid="{1C74C2C7-A4BF-46B1-9DFA-A6615C3D514C}"/>
    <cellStyle name="Comma 11" xfId="1933" xr:uid="{634633D9-A273-42E9-B2D7-CACB30603DF1}"/>
    <cellStyle name="Comma 2" xfId="49" xr:uid="{2F2B6384-84AE-47B6-B9F2-3BC8BB7EBD76}"/>
    <cellStyle name="Comma 2 2" xfId="646" xr:uid="{780D2C3B-A291-49F6-9776-5B9EDBDBD7C7}"/>
    <cellStyle name="Comma 2 2 2" xfId="1951" xr:uid="{6391DA0C-71A1-4C26-8733-16E2E7D73A62}"/>
    <cellStyle name="Comma 2 3" xfId="130" xr:uid="{A0CA900B-AC9B-4C32-815A-D3632FB116D2}"/>
    <cellStyle name="Comma 2 4" xfId="1937" xr:uid="{7B449D3D-EAB9-4CF7-8DF4-24B29F86F417}"/>
    <cellStyle name="Comma 3" xfId="11" xr:uid="{F3E36EC4-F248-408A-8A36-3F532F01FAC6}"/>
    <cellStyle name="Comma 3 2" xfId="53" xr:uid="{8A8577CB-2093-4F43-B7A4-628D35D61CCE}"/>
    <cellStyle name="Comma 3 3" xfId="1942" xr:uid="{6F0B2068-6D96-4ED5-A185-8CEB67A46B05}"/>
    <cellStyle name="Comma 4" xfId="395" xr:uid="{7487D1B4-AEA1-4EAA-84C5-4FCCE2721055}"/>
    <cellStyle name="Comma 4 2" xfId="762" xr:uid="{CA4332CD-D1F3-4D9F-8A53-92EA6F00C9A5}"/>
    <cellStyle name="Comma 4 3" xfId="1955" xr:uid="{CA28F860-FAE4-4AA8-8F2E-098792AAD9F0}"/>
    <cellStyle name="Comma 5" xfId="396" xr:uid="{2E0A0EC9-0076-4B54-9704-9E01D02FC83B}"/>
    <cellStyle name="Comma 5 2" xfId="838" xr:uid="{ABFBE1E7-C758-4448-B376-30AC7A6E1A74}"/>
    <cellStyle name="Comma 5 3" xfId="1954" xr:uid="{40DEE78D-B83F-4F35-9014-F48E5D523AA6}"/>
    <cellStyle name="Comma 6" xfId="612" xr:uid="{F6B5D211-8499-4BD1-BD4A-FA2AF68151E5}"/>
    <cellStyle name="Comma 7" xfId="56" xr:uid="{DCDC9508-9609-48BF-9BB9-7115F49133F0}"/>
    <cellStyle name="Comma 8" xfId="1426" xr:uid="{A73A6418-3B62-4DA5-9A50-553AAAB0C3AC}"/>
    <cellStyle name="Comma 9" xfId="50" xr:uid="{FDEB2458-5DB1-4529-B1AA-D54627ADC5BB}"/>
    <cellStyle name="Comma Input" xfId="131" xr:uid="{281B0915-211D-4914-A3C4-7988625CF4A5}"/>
    <cellStyle name="Comma0" xfId="132" xr:uid="{4E3E2E6C-11AC-49A5-BB26-08FCC8596C67}"/>
    <cellStyle name="Copied" xfId="133" xr:uid="{DB6058AA-4D44-4B62-8AF6-EAB2F333A709}"/>
    <cellStyle name="Currency [1]" xfId="134" xr:uid="{7C376C9F-6D70-49EE-979C-BDB303EB1CA2}"/>
    <cellStyle name="Currency [2]" xfId="135" xr:uid="{843EF5ED-A245-43B2-A94A-EED2BD0F7625}"/>
    <cellStyle name="Currency [2] 10" xfId="481" xr:uid="{875DD43D-AAAB-4253-8416-59B25A4F259A}"/>
    <cellStyle name="Currency [2] 10 2" xfId="1064" xr:uid="{85CA50BD-0551-4DA1-917B-E86B484CA4C0}"/>
    <cellStyle name="Currency [2] 10 3" xfId="929" xr:uid="{340ECA74-B483-4B6E-B273-E0866FB5B23A}"/>
    <cellStyle name="Currency [2] 10 4" xfId="1303" xr:uid="{223F78DC-A3A3-4F6B-9105-70447A0A11D3}"/>
    <cellStyle name="Currency [2] 10 5" xfId="1470" xr:uid="{A40AD54C-5CDA-4951-9AE9-FCAFA02B9B58}"/>
    <cellStyle name="Currency [2] 11" xfId="764" xr:uid="{8D605DFC-BAA9-4116-9C5A-0FA1DD5F1FC5}"/>
    <cellStyle name="Currency [2] 11 2" xfId="1264" xr:uid="{67CEB662-838F-4CBF-A5EF-ACBA98075C21}"/>
    <cellStyle name="Currency [2] 11 3" xfId="1362" xr:uid="{05DA08BD-1771-4735-BEA3-9DAB6B41C83C}"/>
    <cellStyle name="Currency [2] 11 4" xfId="1408" xr:uid="{0D2CCD1C-98B3-463F-AD4F-A311583EFFD9}"/>
    <cellStyle name="Currency [2] 12" xfId="741" xr:uid="{51DA9591-0E5B-437C-B205-94AC662C9839}"/>
    <cellStyle name="Currency [2] 12 2" xfId="1249" xr:uid="{E919CF1E-670A-4B2C-B634-4E9ECCF2F4CA}"/>
    <cellStyle name="Currency [2] 12 3" xfId="1342" xr:uid="{65757E6D-E350-40F3-983B-286C43FA2C8B}"/>
    <cellStyle name="Currency [2] 13" xfId="942" xr:uid="{7DEABA75-14A2-4D11-B35E-03652BA656DB}"/>
    <cellStyle name="Currency [2] 14" xfId="969" xr:uid="{5426CE17-F8C6-4048-9AB0-F91C398EA164}"/>
    <cellStyle name="Currency [2] 15" xfId="1397" xr:uid="{10486E70-1FF6-470E-9150-E06CD9D317A3}"/>
    <cellStyle name="Currency [2] 16" xfId="1430" xr:uid="{76015080-C306-4BB0-99AF-524AB4008955}"/>
    <cellStyle name="Currency [2] 2" xfId="405" xr:uid="{8A203FAC-F378-42F3-9812-49E78691163D}"/>
    <cellStyle name="Currency [2] 2 2" xfId="436" xr:uid="{D1C4E172-3110-444A-B14B-C380954798A6}"/>
    <cellStyle name="Currency [2] 2 2 2" xfId="534" xr:uid="{1518059B-939B-4187-B839-5E9301AA9823}"/>
    <cellStyle name="Currency [2] 2 2 2 2" xfId="1117" xr:uid="{C93DBB53-7E8E-45EE-8249-66528ED5582A}"/>
    <cellStyle name="Currency [2] 2 2 2 3" xfId="903" xr:uid="{9F387164-407D-425A-8B30-695F7A3FC794}"/>
    <cellStyle name="Currency [2] 2 2 2 4" xfId="1188" xr:uid="{C72298A0-DD89-487C-8AB3-AAFD4F18EA43}"/>
    <cellStyle name="Currency [2] 2 2 2 5" xfId="1522" xr:uid="{E4DC3D93-02F0-4AEC-BAD8-54BA9B19321A}"/>
    <cellStyle name="Currency [2] 2 2 3" xfId="1031" xr:uid="{425A925C-88A0-41C4-8575-5603CF5ABD1C}"/>
    <cellStyle name="Currency [2] 2 2 4" xfId="1265" xr:uid="{762385E1-A358-43B8-87ED-EFC458A00005}"/>
    <cellStyle name="Currency [2] 2 2 5" xfId="1365" xr:uid="{63E2A101-E395-4AB9-A419-6C846ABDD7A8}"/>
    <cellStyle name="Currency [2] 2 2 6" xfId="1449" xr:uid="{D797E9F2-7BEF-4763-A20F-B13677103829}"/>
    <cellStyle name="Currency [2] 2 3" xfId="521" xr:uid="{99E5E28D-7CA5-4784-822E-8F3BF2A5B4CD}"/>
    <cellStyle name="Currency [2] 2 3 2" xfId="1104" xr:uid="{25C92FB7-DB09-4A1E-8636-29A62DA9AC0C}"/>
    <cellStyle name="Currency [2] 2 3 3" xfId="910" xr:uid="{534AACEF-F918-4576-B6D2-0EC2F6C747DA}"/>
    <cellStyle name="Currency [2] 2 3 4" xfId="1349" xr:uid="{81C08C98-93E2-452C-8109-29D6A2B71ABF}"/>
    <cellStyle name="Currency [2] 2 3 5" xfId="1509" xr:uid="{47A07C5D-F7E4-42D7-876A-3764119B1DD3}"/>
    <cellStyle name="Currency [2] 2 4" xfId="488" xr:uid="{B55C2CE8-D00F-4E0D-9392-148AFA47B93F}"/>
    <cellStyle name="Currency [2] 2 4 2" xfId="1071" xr:uid="{987889D1-37E4-4A08-BFB7-6737764FD499}"/>
    <cellStyle name="Currency [2] 2 4 3" xfId="925" xr:uid="{B0C77659-4430-4B71-B200-E1B0688D41CC}"/>
    <cellStyle name="Currency [2] 2 4 4" xfId="1286" xr:uid="{8EAA577C-C34E-4510-BF9A-C261A650B8B2}"/>
    <cellStyle name="Currency [2] 2 5" xfId="1016" xr:uid="{01C464A7-6BF7-4D09-82FC-65BDB6E4B5D5}"/>
    <cellStyle name="Currency [2] 2 6" xfId="1269" xr:uid="{3BDBAC34-7F86-4CDC-B9C3-D90A10BF875C}"/>
    <cellStyle name="Currency [2] 2 7" xfId="1267" xr:uid="{692FABDE-28E3-4CDD-8318-BF78DF5526B5}"/>
    <cellStyle name="Currency [2] 2 8" xfId="1437" xr:uid="{43F21A83-EBEA-4A77-98A9-F7A56364B3B6}"/>
    <cellStyle name="Currency [2] 3" xfId="444" xr:uid="{E4C9B775-CCA3-450F-A277-533008950C92}"/>
    <cellStyle name="Currency [2] 3 2" xfId="586" xr:uid="{70E55449-C6D1-46CB-8D53-A8FD9E76293B}"/>
    <cellStyle name="Currency [2] 3 2 2" xfId="1161" xr:uid="{43F0A983-45AB-4056-82E2-899B5027268C}"/>
    <cellStyle name="Currency [2] 3 2 3" xfId="1194" xr:uid="{9D24E280-5D20-4732-8F07-B4CC14A82D81}"/>
    <cellStyle name="Currency [2] 3 2 4" xfId="1341" xr:uid="{1C308615-2FA6-4D1A-9EEE-3E65E60AF101}"/>
    <cellStyle name="Currency [2] 3 2 5" xfId="1561" xr:uid="{CF3CCF82-585A-4502-B849-A97DCEF7690E}"/>
    <cellStyle name="Currency [2] 3 3" xfId="542" xr:uid="{1AD90188-7F8A-4D74-8768-27A5AD97EC9B}"/>
    <cellStyle name="Currency [2] 3 3 2" xfId="1125" xr:uid="{9BAD9AA7-B5A2-4FC5-9949-EE22638EBF35}"/>
    <cellStyle name="Currency [2] 3 3 3" xfId="1201" xr:uid="{21FBD7D3-3F42-4746-BD7A-55FF7F4CF4C2}"/>
    <cellStyle name="Currency [2] 3 3 4" xfId="1295" xr:uid="{43317F40-978C-49F4-B323-7C899F7BBA7E}"/>
    <cellStyle name="Currency [2] 3 3 5" xfId="1530" xr:uid="{31175952-23AA-4ED3-8BDA-4AE67179DE33}"/>
    <cellStyle name="Currency [2] 3 4" xfId="495" xr:uid="{E7DDDCC0-3EA5-4CF4-812E-524F3863E5C9}"/>
    <cellStyle name="Currency [2] 3 4 2" xfId="1078" xr:uid="{46A77E34-491F-406C-900F-96AC07D3D912}"/>
    <cellStyle name="Currency [2] 3 4 3" xfId="923" xr:uid="{FFBDD651-03AF-42E7-82BD-97EE5C993489}"/>
    <cellStyle name="Currency [2] 3 4 4" xfId="1353" xr:uid="{9616D0C3-7F18-4DA2-AAC8-36329F1F9E4E}"/>
    <cellStyle name="Currency [2] 3 4 5" xfId="1483" xr:uid="{2F04E3B0-A2DF-493C-AFC6-106520376D4F}"/>
    <cellStyle name="Currency [2] 3 5" xfId="1039" xr:uid="{A1587DC5-7E3C-43EC-BEC5-6DC36030A8B8}"/>
    <cellStyle name="Currency [2] 3 6" xfId="887" xr:uid="{FE082CBB-8015-4A55-9FD3-5E79B3B1617E}"/>
    <cellStyle name="Currency [2] 3 7" xfId="962" xr:uid="{7768B610-B761-4AE2-9E47-BCCF75EA4720}"/>
    <cellStyle name="Currency [2] 3 8" xfId="1455" xr:uid="{44F93DD8-88B1-429F-BFA2-6CBF1F672059}"/>
    <cellStyle name="Currency [2] 4" xfId="449" xr:uid="{483FF305-CE4F-44D8-AAE7-B2D3724C2480}"/>
    <cellStyle name="Currency [2] 4 2" xfId="547" xr:uid="{DE2C826B-A113-41EB-97A9-F9F3CD5B524D}"/>
    <cellStyle name="Currency [2] 4 2 2" xfId="1130" xr:uid="{157814F0-A0DE-47EB-9DAC-36C77949AE40}"/>
    <cellStyle name="Currency [2] 4 2 3" xfId="1244" xr:uid="{00179B31-BB52-40EC-999F-C69F7A9795C5}"/>
    <cellStyle name="Currency [2] 4 2 4" xfId="1005" xr:uid="{6F6DF1AB-1AEB-4BA8-BECC-8F60DE947D60}"/>
    <cellStyle name="Currency [2] 4 2 5" xfId="1535" xr:uid="{9E2B9709-6DD1-4B5A-94BE-B0E046158BFF}"/>
    <cellStyle name="Currency [2] 4 3" xfId="500" xr:uid="{A8258B9E-8E46-47FA-94D5-15AB62A79BB6}"/>
    <cellStyle name="Currency [2] 4 3 2" xfId="1083" xr:uid="{90090332-A5BE-4CB8-ADE6-5F29DD9D82CF}"/>
    <cellStyle name="Currency [2] 4 3 3" xfId="919" xr:uid="{E8284301-D27E-4BE9-9B48-61FCAA8F8029}"/>
    <cellStyle name="Currency [2] 4 3 4" xfId="974" xr:uid="{77FF796A-8706-428C-8FC3-96D8913C3A14}"/>
    <cellStyle name="Currency [2] 4 3 5" xfId="1488" xr:uid="{55183F56-1BFF-42F0-9476-48D25573DCA3}"/>
    <cellStyle name="Currency [2] 4 4" xfId="1044" xr:uid="{A678A6CD-8015-4B3B-B1B6-677B3EF8F740}"/>
    <cellStyle name="Currency [2] 4 5" xfId="1262" xr:uid="{95D5DA38-D243-4490-8B4A-65BF90568EC2}"/>
    <cellStyle name="Currency [2] 4 6" xfId="1363" xr:uid="{41984DD5-7481-4C44-86E7-595E9C674ABD}"/>
    <cellStyle name="Currency [2] 4 7" xfId="1458" xr:uid="{445465F4-39CC-4686-91CD-D96D83086FC7}"/>
    <cellStyle name="Currency [2] 5" xfId="459" xr:uid="{741A8A74-81CA-4C6C-82CA-AA96EE47971C}"/>
    <cellStyle name="Currency [2] 5 2" xfId="589" xr:uid="{A993F5A3-A15F-45B6-9407-D3E7118D8E6C}"/>
    <cellStyle name="Currency [2] 5 2 2" xfId="1164" xr:uid="{658ACA9C-043F-4A13-B962-731AEC8C1402}"/>
    <cellStyle name="Currency [2] 5 2 3" xfId="1226" xr:uid="{910BDD18-10E7-4DD4-B52F-25288E8061C4}"/>
    <cellStyle name="Currency [2] 5 2 4" xfId="1053" xr:uid="{C2AF3E7C-70BE-4BD7-9255-190C425FBFBA}"/>
    <cellStyle name="Currency [2] 5 2 5" xfId="1564" xr:uid="{328427F8-2FD0-4313-BD10-2C07C94818B1}"/>
    <cellStyle name="Currency [2] 5 3" xfId="552" xr:uid="{7D314AD3-E7FA-4E7C-A892-1E835D2E32FA}"/>
    <cellStyle name="Currency [2] 5 3 2" xfId="1135" xr:uid="{78729EEF-623C-480B-8AD5-48DBF868A772}"/>
    <cellStyle name="Currency [2] 5 3 3" xfId="1240" xr:uid="{C3653B3A-988D-4FB4-9673-6965ACC1B7BF}"/>
    <cellStyle name="Currency [2] 5 3 4" xfId="1145" xr:uid="{184CEEDE-9B0D-4F07-87C2-712AE2A5BF70}"/>
    <cellStyle name="Currency [2] 5 3 5" xfId="1540" xr:uid="{664592F5-D235-46C9-8534-B9B66A4FFAE9}"/>
    <cellStyle name="Currency [2] 5 4" xfId="505" xr:uid="{82CFA273-179E-4ED4-A283-C8178C5E8102}"/>
    <cellStyle name="Currency [2] 5 4 2" xfId="1088" xr:uid="{2E153250-A5FC-459D-B0CA-FE3A5BCB8643}"/>
    <cellStyle name="Currency [2] 5 4 3" xfId="916" xr:uid="{995A2788-0A2B-498E-81C7-27C42FB70A60}"/>
    <cellStyle name="Currency [2] 5 4 4" xfId="976" xr:uid="{17EC6872-8955-41C3-867B-AEFF8905DAA2}"/>
    <cellStyle name="Currency [2] 5 4 5" xfId="1493" xr:uid="{6FED7A4A-14B2-4A7E-AC05-61E2AC86C231}"/>
    <cellStyle name="Currency [2] 5 5" xfId="1052" xr:uid="{C7C00530-25F7-4637-92C4-259F1176D361}"/>
    <cellStyle name="Currency [2] 5 6" xfId="1261" xr:uid="{2A261681-7C63-47DB-B6E8-4A18DF5BB205}"/>
    <cellStyle name="Currency [2] 5 7" xfId="967" xr:uid="{91EC2A49-CCED-468D-BA7F-D7719AF9C5C9}"/>
    <cellStyle name="Currency [2] 5 8" xfId="1462" xr:uid="{43B0327E-316E-4EDD-A163-B673141BF73E}"/>
    <cellStyle name="Currency [2] 6" xfId="468" xr:uid="{CD6DBA05-80FE-4E26-A0FE-0E50CC37F1E8}"/>
    <cellStyle name="Currency [2] 6 2" xfId="597" xr:uid="{E1B5668B-8CE3-4BD6-B118-AA40D4F8F55D}"/>
    <cellStyle name="Currency [2] 6 2 2" xfId="1172" xr:uid="{E4EFB3FF-DD77-4300-8BD9-EE639AE91FB7}"/>
    <cellStyle name="Currency [2] 6 2 3" xfId="1224" xr:uid="{A6BF808C-3377-48EC-B4B3-8E13B98D8440}"/>
    <cellStyle name="Currency [2] 6 2 4" xfId="1209" xr:uid="{EFF0C402-041F-4AD1-9D2B-C95D21A54866}"/>
    <cellStyle name="Currency [2] 6 2 5" xfId="1572" xr:uid="{A4DA7FBC-804C-4557-A52F-24AE14C1EC3F}"/>
    <cellStyle name="Currency [2] 6 3" xfId="556" xr:uid="{8BB91CC0-737D-462F-BA05-57722A0AD3D5}"/>
    <cellStyle name="Currency [2] 6 3 2" xfId="1139" xr:uid="{094EBBD9-9F91-4905-845D-C4DE3A7820AA}"/>
    <cellStyle name="Currency [2] 6 3 3" xfId="1238" xr:uid="{6F0A960C-FFAD-4081-9F0E-C019074592B5}"/>
    <cellStyle name="Currency [2] 6 3 4" xfId="1012" xr:uid="{58A7FECE-E472-4735-97B1-C86B18AFCCC9}"/>
    <cellStyle name="Currency [2] 6 3 5" xfId="1544" xr:uid="{BB3B6FEC-5977-4C2D-9622-8212DD49E2E1}"/>
    <cellStyle name="Currency [2] 6 4" xfId="508" xr:uid="{B641FC1B-CF1F-4245-AAA5-040EEE9B364C}"/>
    <cellStyle name="Currency [2] 6 4 2" xfId="1091" xr:uid="{4FCCDC23-B3ED-4EE2-AACF-9B3D44758B7A}"/>
    <cellStyle name="Currency [2] 6 4 3" xfId="1011" xr:uid="{180F0859-E8E3-43F6-B212-1702D8A35EED}"/>
    <cellStyle name="Currency [2] 6 4 4" xfId="1271" xr:uid="{5CD2333D-E32B-44E9-8931-A55084D10B4B}"/>
    <cellStyle name="Currency [2] 6 4 5" xfId="1496" xr:uid="{CE2EE6A3-FA40-4D77-9265-85BA5F92B011}"/>
    <cellStyle name="Currency [2] 6 5" xfId="1057" xr:uid="{70B42B4E-35DC-4111-83C8-4D2010A05F3C}"/>
    <cellStyle name="Currency [2] 6 6" xfId="933" xr:uid="{0055742F-B661-490F-B5F9-A4FC322A0DB7}"/>
    <cellStyle name="Currency [2] 6 7" xfId="968" xr:uid="{7613B653-33A9-450D-B1C1-0EC2F3A46543}"/>
    <cellStyle name="Currency [2] 6 8" xfId="1465" xr:uid="{AD98E9A7-47A5-44BF-B7D8-CA4AEFCD6A4C}"/>
    <cellStyle name="Currency [2] 7" xfId="428" xr:uid="{DBC21AF2-B9B5-4FF8-977C-0E0F92080D84}"/>
    <cellStyle name="Currency [2] 7 2" xfId="607" xr:uid="{C26A7804-1454-474E-B779-4EB9E6FB1BA0}"/>
    <cellStyle name="Currency [2] 7 2 2" xfId="1182" xr:uid="{8E946334-896F-4AD2-B884-9CD69686BC07}"/>
    <cellStyle name="Currency [2] 7 2 3" xfId="998" xr:uid="{62D3A30D-F1D2-41CE-BBA0-8E2AEC1423D3}"/>
    <cellStyle name="Currency [2] 7 2 4" xfId="1335" xr:uid="{954DF7D9-3C01-493D-BD1E-0E59C1921712}"/>
    <cellStyle name="Currency [2] 7 2 5" xfId="1582" xr:uid="{6323CA03-F499-4CC3-8CBC-7ACD4A8C8A52}"/>
    <cellStyle name="Currency [2] 7 3" xfId="526" xr:uid="{AD37D2F6-D1FD-4960-9FD6-AA9873E0294E}"/>
    <cellStyle name="Currency [2] 7 3 2" xfId="1109" xr:uid="{55EDDE2F-062F-469F-893A-5EE1A46931AD}"/>
    <cellStyle name="Currency [2] 7 3 3" xfId="905" xr:uid="{E513A75B-442B-4864-B17B-E918710D4777}"/>
    <cellStyle name="Currency [2] 7 3 4" xfId="1289" xr:uid="{58D6D0A6-DE50-43D7-9C21-85C02370D2FA}"/>
    <cellStyle name="Currency [2] 7 3 5" xfId="1514" xr:uid="{DA072BB0-644D-44D8-AE1E-A330E462CDFC}"/>
    <cellStyle name="Currency [2] 7 4" xfId="1023" xr:uid="{382EC011-E469-44F1-8A58-F2AF303C198D}"/>
    <cellStyle name="Currency [2] 7 5" xfId="947" xr:uid="{88759306-B3CC-4E50-AE0B-8CBB18871DF6}"/>
    <cellStyle name="Currency [2] 7 6" xfId="890" xr:uid="{A65ADA1E-89CC-4ED7-AEA9-06B13AA3C34A}"/>
    <cellStyle name="Currency [2] 7 7" xfId="1442" xr:uid="{0CB52C29-724F-49F1-9ECE-13E17F769DC2}"/>
    <cellStyle name="Currency [2] 8" xfId="590" xr:uid="{95FF2A78-8A65-4FED-918A-D7490FC48FF4}"/>
    <cellStyle name="Currency [2] 8 2" xfId="1165" xr:uid="{47B62C98-F08C-4C7F-82AA-D5DBA417094B}"/>
    <cellStyle name="Currency [2] 8 3" xfId="1225" xr:uid="{D77E273C-36F5-4282-BFAD-3B66336BB5BA}"/>
    <cellStyle name="Currency [2] 8 4" xfId="1060" xr:uid="{CD73DDA7-8B59-48FB-A555-60F5CEF8A781}"/>
    <cellStyle name="Currency [2] 8 5" xfId="1565" xr:uid="{F04ACB0E-C00D-4864-8EEF-40AD2D0D7772}"/>
    <cellStyle name="Currency [2] 9" xfId="514" xr:uid="{A4340BB3-2C55-4C1C-A6FF-E79A62208661}"/>
    <cellStyle name="Currency [2] 9 2" xfId="1097" xr:uid="{793F6ECD-8BD6-4A3C-B386-54DB24D6C62F}"/>
    <cellStyle name="Currency [2] 9 3" xfId="1034" xr:uid="{2A905E13-62A9-4290-85B7-972C5D583BEE}"/>
    <cellStyle name="Currency [2] 9 4" xfId="982" xr:uid="{6653B6BA-DB16-427D-876A-DA2A5CB89BDD}"/>
    <cellStyle name="Currency [2] 9 5" xfId="1502" xr:uid="{FF57E34F-B946-42D7-8686-FB6B5FEE4929}"/>
    <cellStyle name="Currency 0" xfId="136" xr:uid="{2875386D-2A9A-4D30-B60B-01A41B530518}"/>
    <cellStyle name="Currency 2" xfId="60" xr:uid="{161B357B-2B51-4F4F-9F70-7B8772584C56}"/>
    <cellStyle name="Currency 3" xfId="765" xr:uid="{C07EEF5E-4A5E-445F-BCC7-B191526AFDC8}"/>
    <cellStyle name="Currency 4" xfId="766" xr:uid="{46A1272A-F31D-4E93-9DE1-84088D23DC2C}"/>
    <cellStyle name="Currency 5" xfId="848" xr:uid="{F8D58C2F-F597-4A40-8F2D-B132E762FE08}"/>
    <cellStyle name="Currency 5 2" xfId="849" xr:uid="{20EC639B-2664-4102-8495-A50F91FACAF0}"/>
    <cellStyle name="Currency 6" xfId="850" xr:uid="{717F1461-7A3C-4036-9EF1-4A50B74BE7F0}"/>
    <cellStyle name="Currency 7" xfId="57" xr:uid="{1803C34F-4B7F-4348-A3DC-40DEAA1F6527}"/>
    <cellStyle name="Currency 8" xfId="1427" xr:uid="{60A88A40-6EE0-4A99-98D2-2703461C7A1A}"/>
    <cellStyle name="Currency Input" xfId="137" xr:uid="{1BCE28E2-AC35-4EE8-A242-BD65AC69DE9D}"/>
    <cellStyle name="Currency0" xfId="138" xr:uid="{4EF45D12-0CF5-4BE8-BE12-6173BD46E618}"/>
    <cellStyle name="Currency1" xfId="139" xr:uid="{E5D5EABC-9A2E-4F8F-95F1-6E660F3BC95B}"/>
    <cellStyle name="Currency1Blue" xfId="140" xr:uid="{85EFF3B0-1C99-4346-975F-7E17ADBB6EAC}"/>
    <cellStyle name="Currency2" xfId="141" xr:uid="{984DE5A9-04B0-41E4-90D7-8DF8DBBF5869}"/>
    <cellStyle name="Currency2 2" xfId="406" xr:uid="{ADADED3D-17A8-4B8C-A7C1-079583020E6B}"/>
    <cellStyle name="Currency2 2 2" xfId="566" xr:uid="{1B41C2BF-D257-4078-8EDB-F1100717E23E}"/>
    <cellStyle name="dash" xfId="142" xr:uid="{36B57976-DC87-446C-A84D-51E73AD05016}"/>
    <cellStyle name="data" xfId="143" xr:uid="{9F91C16C-B8A3-4561-B2B8-52D366E7AA31}"/>
    <cellStyle name="Date" xfId="144" xr:uid="{875F8BA3-B6D7-478D-BDEB-6B5CB7425ECA}"/>
    <cellStyle name="Date Aligned" xfId="145" xr:uid="{ACBF2E1E-B19A-43E7-80C5-22FECB5CD815}"/>
    <cellStyle name="Date/Day" xfId="146" xr:uid="{9FDF6A50-CAC6-49AB-8CB4-2ED7589449AC}"/>
    <cellStyle name="Date_06-08" xfId="767" xr:uid="{B2C66EF2-4ADC-4535-8668-C481A8765C08}"/>
    <cellStyle name="Date1" xfId="147" xr:uid="{F6315AEF-D6CB-410B-AA85-D09C749FB7F9}"/>
    <cellStyle name="Dec_$_1" xfId="148" xr:uid="{10FE4A32-42E8-4025-8F9A-5BABB66AF407}"/>
    <cellStyle name="Dezimal 2" xfId="9" xr:uid="{0C22CDA8-F43B-4805-948D-87D968E706EE}"/>
    <cellStyle name="Dezimal 2 2" xfId="1931" xr:uid="{06C6A09F-FD1D-4784-96E2-86C885AF0E09}"/>
    <cellStyle name="DixonC08" xfId="149" xr:uid="{C5A64F7D-7409-4E97-8D2F-AD193DF9E09F}"/>
    <cellStyle name="Dollar1" xfId="150" xr:uid="{833C1F85-BF02-4038-BA28-A5939AECFDCF}"/>
    <cellStyle name="Dollar1Blue" xfId="151" xr:uid="{B585F5F2-3EA5-4500-BC94-46D3FED9A687}"/>
    <cellStyle name="Dollar2" xfId="152" xr:uid="{9728E298-1984-4809-9C44-193523FF0259}"/>
    <cellStyle name="Dollars" xfId="153" xr:uid="{08481121-8B17-4D7C-897F-4D37526FCF36}"/>
    <cellStyle name="Dotted Line" xfId="154" xr:uid="{7C7D04E7-2313-489F-8484-278E89F9D415}"/>
    <cellStyle name="Double Accounting" xfId="155" xr:uid="{4C9934E6-82D8-45AA-8D47-D45306F42BB3}"/>
    <cellStyle name="Emphasis 1" xfId="769" xr:uid="{A5A053EB-BE4E-44E2-B883-251779C33E1F}"/>
    <cellStyle name="Emphasis 2" xfId="770" xr:uid="{0C4C6E39-CB2F-4710-9B6F-78D2CBBC1D6B}"/>
    <cellStyle name="Emphasis 3" xfId="771" xr:uid="{0C0BA551-3D7F-4FEF-AC02-87B0F017E4A1}"/>
    <cellStyle name="Ênfase1" xfId="772" xr:uid="{20C391E9-0954-4B92-BD03-F2174301CA9F}"/>
    <cellStyle name="Ênfase2" xfId="773" xr:uid="{2481870F-CD30-4DF7-9679-796DAB68566C}"/>
    <cellStyle name="Ênfase3" xfId="774" xr:uid="{ABE079A9-0CA6-4282-94E4-8A1D7BAA7990}"/>
    <cellStyle name="Ênfase4" xfId="775" xr:uid="{A5D08E96-EF77-43CD-9753-3AF1414D67AA}"/>
    <cellStyle name="Ênfase5" xfId="776" xr:uid="{2287F612-AD7D-4B94-A32D-6FC37D3ED235}"/>
    <cellStyle name="Ênfase6" xfId="777" xr:uid="{C282E908-EF2C-4EFC-AD46-B0DE96954F79}"/>
    <cellStyle name="Entered" xfId="156" xr:uid="{85DDA662-B9B2-4AF5-A819-D15B3C0EE106}"/>
    <cellStyle name="Entrada" xfId="778" xr:uid="{0AAEE82A-F3C2-42B4-B113-A7D337DAF162}"/>
    <cellStyle name="Entrada 2" xfId="873" xr:uid="{E5DE9078-2351-40BD-ADE3-FF817F4D1AB9}"/>
    <cellStyle name="Entrada 2 2" xfId="1317" xr:uid="{7B4D0ED9-A3CD-4BB1-B96E-0ED5078C706F}"/>
    <cellStyle name="Entrada 2 2 2" xfId="1806" xr:uid="{387C11FB-EFBC-4E55-ABE6-CC5972BBB75D}"/>
    <cellStyle name="Entrada 2 3" xfId="1392" xr:uid="{7A4F4190-D95B-4468-A09E-E38E02102574}"/>
    <cellStyle name="Entrada 2 3 2" xfId="1850" xr:uid="{1A05509A-1315-4096-BCCB-BB99104C31BD}"/>
    <cellStyle name="Entrada 2 4" xfId="1613" xr:uid="{02DB9EB4-B155-4C96-A2CD-C9566E05C31F}"/>
    <cellStyle name="Entrada 3" xfId="1274" xr:uid="{CF6A4057-6136-4B6A-81DF-00DCEA2D67DD}"/>
    <cellStyle name="Entrada 3 2" xfId="1783" xr:uid="{79841AFC-4D39-4621-A1E9-8B290A466C05}"/>
    <cellStyle name="Entrada 4" xfId="1372" xr:uid="{83FB6CBD-2ABE-4456-AC6B-48185B5750A2}"/>
    <cellStyle name="Entrada 4 2" xfId="1833" xr:uid="{6443730A-500A-453F-99F6-84A64597F42C}"/>
    <cellStyle name="Entrada 5" xfId="1410" xr:uid="{40CEFD78-AD62-4C72-B998-40E06EC8E82F}"/>
    <cellStyle name="Entrada 5 2" xfId="1864" xr:uid="{3153E2E4-C2E7-42EC-A102-BF45443EACB9}"/>
    <cellStyle name="Entrada 6" xfId="1596" xr:uid="{0ACD0880-F431-4DAC-9502-11B1E8250D61}"/>
    <cellStyle name="Euro" xfId="157" xr:uid="{75924AD0-65AD-4179-9E75-1AA12F4C6A1D}"/>
    <cellStyle name="Euro 2" xfId="407" xr:uid="{039C4D12-7839-4EE4-B4D7-459C67988D45}"/>
    <cellStyle name="Euro 3" xfId="460" xr:uid="{7FF0F4C8-7BD9-472C-A7B1-AF9CE28E491F}"/>
    <cellStyle name="Explanatory Text 2" xfId="647" xr:uid="{51C27D6F-3E15-4351-9498-6611ECE848F1}"/>
    <cellStyle name="EY House" xfId="158" xr:uid="{6EF8EDF1-7401-4996-8EE5-E3536C562921}"/>
    <cellStyle name="Ezra" xfId="159" xr:uid="{5D2DD703-E101-41A8-AE4E-8E87BF82A9B7}"/>
    <cellStyle name="Ezra 2" xfId="408" xr:uid="{364FB070-D04E-4FE8-8EFA-4BE87908D939}"/>
    <cellStyle name="Ezra 3" xfId="461" xr:uid="{E9A23DD7-1F69-43AD-95D0-E89D530F70AC}"/>
    <cellStyle name="FF_EURO" xfId="160" xr:uid="{05AC4503-91EA-4A55-B7AB-C94899619E0D}"/>
    <cellStyle name="financial" xfId="161" xr:uid="{7F2ACD05-9FFD-45EB-A970-579BF9C2F32A}"/>
    <cellStyle name="Fixed" xfId="162" xr:uid="{498956E4-722B-437A-B9B2-9A0D08B6BA82}"/>
    <cellStyle name="FOOTER - Style1" xfId="163" xr:uid="{FF984646-F6EE-438F-B62A-3F319897AFFD}"/>
    <cellStyle name="Footnote" xfId="164" xr:uid="{90145E08-3260-4F7C-82CB-8CE8DC9F122B}"/>
    <cellStyle name="footnote2" xfId="165" xr:uid="{2812C8B2-D599-44EB-A02B-ECF70D798079}"/>
    <cellStyle name="Footnotes" xfId="166" xr:uid="{5DFB9F2F-739E-4DA9-8C4B-8950F9CC45F4}"/>
    <cellStyle name="Good 2" xfId="648" xr:uid="{3D93F875-5447-4FE3-9C5E-93BC88CA59E6}"/>
    <cellStyle name="Green" xfId="167" xr:uid="{2924F474-11E6-4784-8084-C69B2B9E043E}"/>
    <cellStyle name="Grey" xfId="168" xr:uid="{8AEB95EE-19B4-4768-8B69-7A39C4123541}"/>
    <cellStyle name="Hard Percent" xfId="169" xr:uid="{39DD088F-35F9-4186-8442-16E9626308C4}"/>
    <cellStyle name="Header" xfId="170" xr:uid="{AFCD3799-5926-4F50-9135-CC2A9792EF7E}"/>
    <cellStyle name="Header1" xfId="171" xr:uid="{386F179B-76D4-45AA-8FC3-DC2CB2A2022A}"/>
    <cellStyle name="Header2" xfId="172" xr:uid="{2B0138B7-CE63-4C1E-A84A-971F35CB92E9}"/>
    <cellStyle name="Header2 10" xfId="482" xr:uid="{640BBEF5-0BE3-4F78-BCF7-2988F17C0610}"/>
    <cellStyle name="Header2 10 2" xfId="1065" xr:uid="{DCCF9912-A275-4F1B-A22F-5839DC594A5F}"/>
    <cellStyle name="Header2 10 2 2" xfId="1677" xr:uid="{19DF2E87-F56A-41A2-BCD5-853E8E49979A}"/>
    <cellStyle name="Header2 10 3" xfId="928" xr:uid="{AB03BCD1-8403-4C4B-A2E3-150C784DE5FE}"/>
    <cellStyle name="Header2 10 3 2" xfId="1638" xr:uid="{E68AAD05-3B5E-4C46-82B3-9C63AAE3673A}"/>
    <cellStyle name="Header2 10 4" xfId="895" xr:uid="{A6101C05-1307-4A5E-8F74-082BE03C3172}"/>
    <cellStyle name="Header2 10 4 2" xfId="1627" xr:uid="{FD5D1909-EA8A-4051-94A2-E46FFA761A7B}"/>
    <cellStyle name="Header2 10 5" xfId="1471" xr:uid="{4661F64D-F437-4177-83E2-33810DDCBC77}"/>
    <cellStyle name="Header2 11" xfId="779" xr:uid="{DBC86194-D651-4ADF-8242-8618E10D0D02}"/>
    <cellStyle name="Header2 11 2" xfId="1275" xr:uid="{557076AF-F51B-4123-ACCC-D7DBBE6D595D}"/>
    <cellStyle name="Header2 11 2 2" xfId="1784" xr:uid="{59A6927F-517C-45D8-97AF-D360E3E876FB}"/>
    <cellStyle name="Header2 11 3" xfId="1373" xr:uid="{1FFC915A-E012-453F-AC42-00C67477D677}"/>
    <cellStyle name="Header2 11 3 2" xfId="1834" xr:uid="{3409D045-F9E2-48A0-A778-C23A0208C7B3}"/>
    <cellStyle name="Header2 11 4" xfId="1411" xr:uid="{C5F621E2-FF7E-42AE-8622-798F9601B2EA}"/>
    <cellStyle name="Header2 11 4 2" xfId="1865" xr:uid="{9DBB9240-FA52-4E76-BAA1-67A448ABDFF1}"/>
    <cellStyle name="Header2 11 4 3" xfId="1927" xr:uid="{F8906D4B-35FD-43BB-9048-71DC6A8F13AD}"/>
    <cellStyle name="Header2 11 5" xfId="1597" xr:uid="{CF02AC21-A5FC-46A6-ABE5-83DA2BE9314C}"/>
    <cellStyle name="Header2 12" xfId="874" xr:uid="{67D5D5B5-402F-4067-99B6-29743496057A}"/>
    <cellStyle name="Header2 12 2" xfId="1318" xr:uid="{2006C15E-5032-4BAD-83A8-BCCE7B7A5837}"/>
    <cellStyle name="Header2 12 2 2" xfId="1807" xr:uid="{F98890E6-D831-41EE-BE78-D2259BC7FBE7}"/>
    <cellStyle name="Header2 12 3" xfId="1422" xr:uid="{81A928CA-093A-43A9-A1A8-EE3FD96E542F}"/>
    <cellStyle name="Header2 12 3 2" xfId="1928" xr:uid="{DD1DA663-4D44-49EE-8C30-8979808F5C7F}"/>
    <cellStyle name="Header2 13" xfId="953" xr:uid="{C37ABDDB-55C5-482B-94DC-BB12056B0521}"/>
    <cellStyle name="Header2 13 2" xfId="1647" xr:uid="{6D2C324C-F7AC-4C40-8031-B15A56A9ED41}"/>
    <cellStyle name="Header2 14" xfId="956" xr:uid="{F32F14EB-75C0-4A45-9A11-F8484A5B0EB4}"/>
    <cellStyle name="Header2 14 2" xfId="1649" xr:uid="{03EA79EB-EB06-4C92-9AC7-D24896F2E927}"/>
    <cellStyle name="Header2 15" xfId="1002" xr:uid="{2ABF2363-D9FD-4C09-9FED-C68729796CD8}"/>
    <cellStyle name="Header2 15 2" xfId="1659" xr:uid="{61DB4E0A-F886-42AA-8EB8-98B5B12CA139}"/>
    <cellStyle name="Header2 16" xfId="1431" xr:uid="{4C82BF76-35BB-49A1-92CA-490E30982518}"/>
    <cellStyle name="Header2 2" xfId="409" xr:uid="{F3750382-6793-4162-9A92-3014B5C49281}"/>
    <cellStyle name="Header2 2 2" xfId="437" xr:uid="{4FEB7064-497B-47B6-8B50-836AA1D957BF}"/>
    <cellStyle name="Header2 2 2 2" xfId="535" xr:uid="{9DC82ED1-3150-47E5-A2B0-8661022AFC8B}"/>
    <cellStyle name="Header2 2 2 2 2" xfId="1118" xr:uid="{9B541F14-F15B-4348-B4C5-EAB895D122B7}"/>
    <cellStyle name="Header2 2 2 2 2 2" xfId="1707" xr:uid="{6F371D8B-1B42-4381-B2BB-FEFFCCDCCA92}"/>
    <cellStyle name="Header2 2 2 2 3" xfId="1150" xr:uid="{4DCE0A50-7BAD-4459-A750-91775699F279}"/>
    <cellStyle name="Header2 2 2 2 3 2" xfId="1901" xr:uid="{6876957D-A294-45C0-99A0-8706CA19215A}"/>
    <cellStyle name="Header2 2 2 2 4" xfId="1523" xr:uid="{5ABC661E-2958-4EE1-BA01-BC4A8E2EA4F7}"/>
    <cellStyle name="Header2 2 2 3" xfId="1364" xr:uid="{CE675A3F-F91E-44D1-98E0-978044E248D0}"/>
    <cellStyle name="Header2 2 2 3 2" xfId="1923" xr:uid="{9B557405-3516-48B8-A48D-8FDD169DD026}"/>
    <cellStyle name="Header2 2 2 4" xfId="1450" xr:uid="{294C2354-90B6-4C64-BEDA-CC9888AA0133}"/>
    <cellStyle name="Header2 2 3" xfId="565" xr:uid="{F86E6937-1B69-4BDA-B40C-CE1A6D7A7F2B}"/>
    <cellStyle name="Header2 2 3 2" xfId="1144" xr:uid="{350F0975-9DE9-486F-A56A-8854124D868E}"/>
    <cellStyle name="Header2 2 3 2 2" xfId="1719" xr:uid="{920FD67F-9D31-4D3D-A925-847DDC7DEF5C}"/>
    <cellStyle name="Header2 2 3 3" xfId="926" xr:uid="{F379225F-963D-4E5A-8DD9-B5B8017C43A9}"/>
    <cellStyle name="Header2 2 3 3 2" xfId="1877" xr:uid="{9407607C-3608-430D-9BC9-917352F04CA1}"/>
    <cellStyle name="Header2 2 3 4" xfId="1548" xr:uid="{F5B3E185-7449-4FBF-B31E-72AEBAD5D0A2}"/>
    <cellStyle name="Header2 2 4" xfId="522" xr:uid="{68D06190-7C6F-4ADB-BD9E-3A469C0A0B7F}"/>
    <cellStyle name="Header2 2 4 2" xfId="1105" xr:uid="{6C2408DF-7A5E-4E6E-B2CF-EEA895FB04BD}"/>
    <cellStyle name="Header2 2 4 2 2" xfId="1700" xr:uid="{DE4FE752-2272-4894-8BE8-3BF846B0893A}"/>
    <cellStyle name="Header2 2 4 3" xfId="1348" xr:uid="{15674104-E53B-457B-B9CF-CFE269D6EC1B}"/>
    <cellStyle name="Header2 2 4 3 2" xfId="1918" xr:uid="{B8CF41CE-FFE5-413B-A0F2-71B3BA96102F}"/>
    <cellStyle name="Header2 2 4 4" xfId="1510" xr:uid="{8B72C6AB-164D-4A40-B4A3-E1B3150170B1}"/>
    <cellStyle name="Header2 2 5" xfId="489" xr:uid="{6057A95A-F64B-4213-AF91-DB0B9E370FE3}"/>
    <cellStyle name="Header2 2 5 2" xfId="1072" xr:uid="{1BA8EF5A-A13E-4431-BBBA-AA2AE44C8D53}"/>
    <cellStyle name="Header2 2 5 2 2" xfId="1682" xr:uid="{6B05820E-84F0-498F-8EB6-E74E8CA01788}"/>
    <cellStyle name="Header2 2 5 3" xfId="1359" xr:uid="{0312D62F-BC5A-4E47-A358-66FCA7C5532A}"/>
    <cellStyle name="Header2 2 5 3 2" xfId="1922" xr:uid="{88AA733D-90BF-4EF4-BAF2-BABE7ABA8E4E}"/>
    <cellStyle name="Header2 2 5 4" xfId="1477" xr:uid="{7DE6C4C1-5A0D-403F-9C55-0FB37C9C9118}"/>
    <cellStyle name="Header2 2 6" xfId="957" xr:uid="{88A6D7EB-C207-4419-9F78-447884521413}"/>
    <cellStyle name="Header2 2 6 2" xfId="1882" xr:uid="{CA919D32-578D-4E20-A631-CACE9C9E7649}"/>
    <cellStyle name="Header2 2 7" xfId="1438" xr:uid="{78FF09FB-8F99-42D5-9AE4-BB8BA89AB900}"/>
    <cellStyle name="Header2 3" xfId="445" xr:uid="{A62D240E-4DF9-474D-B3B5-F4C97B3AD450}"/>
    <cellStyle name="Header2 3 2" xfId="591" xr:uid="{3ECBA96E-80E0-4287-9A82-D87102387926}"/>
    <cellStyle name="Header2 3 2 2" xfId="1166" xr:uid="{A45CF5AC-41FB-4934-B2E1-084CB9C95F40}"/>
    <cellStyle name="Header2 3 2 2 2" xfId="1730" xr:uid="{A2F043CD-7A4F-49FD-8F8A-7BC07F0A65D1}"/>
    <cellStyle name="Header2 3 2 3" xfId="992" xr:uid="{3B198F97-276B-4CEA-989B-40BD19B56867}"/>
    <cellStyle name="Header2 3 2 3 2" xfId="1893" xr:uid="{6FED0809-D291-4B38-B03C-5B801F11C6CB}"/>
    <cellStyle name="Header2 3 2 4" xfId="1566" xr:uid="{BA063EF9-6142-47D6-B35F-05789E78E30B}"/>
    <cellStyle name="Header2 3 3" xfId="543" xr:uid="{D84ECDD5-1A90-4D1C-AD08-662607234D19}"/>
    <cellStyle name="Header2 3 3 2" xfId="1126" xr:uid="{A71D2EE1-E05A-4F6E-8644-5D003E0B59A8}"/>
    <cellStyle name="Header2 3 3 2 2" xfId="1712" xr:uid="{D89BBF8E-08BB-4D21-9BBA-9130159DA031}"/>
    <cellStyle name="Header2 3 3 3" xfId="1296" xr:uid="{39DB6FBF-FC51-4BB9-8C47-B788A02E7192}"/>
    <cellStyle name="Header2 3 3 3 2" xfId="1908" xr:uid="{76A89FB0-942E-45B4-BD6F-6C43A633C1E6}"/>
    <cellStyle name="Header2 3 3 4" xfId="1531" xr:uid="{CD864220-D460-419B-B78C-978C42F8D060}"/>
    <cellStyle name="Header2 3 4" xfId="496" xr:uid="{3F78984A-E232-402B-8023-41FE40FBD193}"/>
    <cellStyle name="Header2 3 4 2" xfId="1079" xr:uid="{370C8271-A877-4015-A3F0-BBEFE1A961C7}"/>
    <cellStyle name="Header2 3 4 2 2" xfId="1686" xr:uid="{177A0CD8-E48F-468A-8961-8B14B5CF17C2}"/>
    <cellStyle name="Header2 3 4 3" xfId="1352" xr:uid="{009CDE87-817E-45EC-A5A8-52C2BDF5C8D9}"/>
    <cellStyle name="Header2 3 4 3 2" xfId="1919" xr:uid="{9E5CAA44-C04D-4358-9412-C0C33E5A2EA2}"/>
    <cellStyle name="Header2 3 4 4" xfId="1484" xr:uid="{0F955FC3-EFC9-4E08-8051-B7C382136353}"/>
    <cellStyle name="Header2 3 5" xfId="1040" xr:uid="{097D49C5-E9D8-464D-A32D-DA2E333290D8}"/>
    <cellStyle name="Header2 3 5 2" xfId="1672" xr:uid="{56600330-CA6C-4790-9D76-8B2DD534A9A2}"/>
    <cellStyle name="Header2 3 6" xfId="939" xr:uid="{68B60150-0B34-43BA-AA7E-616A325408C4}"/>
    <cellStyle name="Header2 3 6 2" xfId="1641" xr:uid="{94C7AAE9-6578-40C8-A25E-1E99857E4BF3}"/>
    <cellStyle name="Header2 3 7" xfId="1316" xr:uid="{380A3F1D-FAFB-4076-B5D9-10FD2146EC27}"/>
    <cellStyle name="Header2 3 7 2" xfId="1914" xr:uid="{70CCC46C-8788-45CA-A2D9-467E990026F8}"/>
    <cellStyle name="Header2 3 8" xfId="1456" xr:uid="{13AA08E7-C6C2-4A46-A03A-FAFB6F964225}"/>
    <cellStyle name="Header2 4" xfId="448" xr:uid="{510239A7-0F81-42C0-9FED-147450CF3012}"/>
    <cellStyle name="Header2 4 2" xfId="596" xr:uid="{2BA04724-9688-448A-92EC-DE33E91EE83E}"/>
    <cellStyle name="Header2 4 2 2" xfId="1171" xr:uid="{3FADF804-6340-44FC-A945-AB14D8EC9FC8}"/>
    <cellStyle name="Header2 4 2 2 2" xfId="1735" xr:uid="{B6888436-4036-4F41-847F-C9266C48265E}"/>
    <cellStyle name="Header2 4 2 3" xfId="995" xr:uid="{80A48B80-22A5-49CA-873A-C26A5D311744}"/>
    <cellStyle name="Header2 4 2 3 2" xfId="1896" xr:uid="{9905760D-2AF8-45E4-A585-20F1FAC273F1}"/>
    <cellStyle name="Header2 4 2 4" xfId="1571" xr:uid="{120DAB6A-1BBD-4378-AB6C-118794CC51F7}"/>
    <cellStyle name="Header2 4 3" xfId="546" xr:uid="{CA8D3B4D-766C-4026-9913-92CEBEADF5D7}"/>
    <cellStyle name="Header2 4 3 2" xfId="1129" xr:uid="{95BD1550-D30F-4EEC-8B0E-9C4A78C416B8}"/>
    <cellStyle name="Header2 4 3 2 2" xfId="1713" xr:uid="{8C6BD1A4-E48D-4182-8FB0-66EEC23A41E9}"/>
    <cellStyle name="Header2 4 3 3" xfId="1297" xr:uid="{AA76BEF1-1A0A-444E-A89D-71D545555612}"/>
    <cellStyle name="Header2 4 3 3 2" xfId="1909" xr:uid="{57B4C4E7-BC60-4406-A084-48813D97BD1C}"/>
    <cellStyle name="Header2 4 3 4" xfId="1534" xr:uid="{1357E658-0C5B-41A2-8CE6-30DEAAB98418}"/>
    <cellStyle name="Header2 4 4" xfId="499" xr:uid="{F25CF5D1-B562-4600-928C-1908F5575547}"/>
    <cellStyle name="Header2 4 4 2" xfId="1082" xr:uid="{DFC20577-9D76-4703-B370-D6749456CBA8}"/>
    <cellStyle name="Header2 4 4 2 2" xfId="1687" xr:uid="{35F9921A-28C3-4302-B578-C2EAF5FAF9AC}"/>
    <cellStyle name="Header2 4 4 3" xfId="920" xr:uid="{20AD03AE-903A-4D66-B2BB-41609FD7676C}"/>
    <cellStyle name="Header2 4 4 3 2" xfId="1636" xr:uid="{BE37734A-266C-4F17-BFC7-65EDB93FA864}"/>
    <cellStyle name="Header2 4 4 4" xfId="973" xr:uid="{AAD9D033-87A0-4D97-BE09-C59638DBE543}"/>
    <cellStyle name="Header2 4 4 4 2" xfId="1886" xr:uid="{2E5A5394-8140-48D4-A574-258EE7C77D1B}"/>
    <cellStyle name="Header2 4 4 5" xfId="1487" xr:uid="{66C62F6F-81A8-47F4-BA31-B7BBED0AFD0B}"/>
    <cellStyle name="Header2 4 5" xfId="1020" xr:uid="{60E648C4-35FB-4D0E-980C-1A6313380D49}"/>
    <cellStyle name="Header2 4 5 2" xfId="1899" xr:uid="{E3FF780A-2D6A-40AE-9F9C-0CB226AA576C}"/>
    <cellStyle name="Header2 4 6" xfId="1457" xr:uid="{5516F0A2-C9D5-43A9-9592-85F8011D8790}"/>
    <cellStyle name="Header2 5" xfId="467" xr:uid="{337BAFA9-0B85-4D2E-B212-6130C712A767}"/>
    <cellStyle name="Header2 5 2" xfId="592" xr:uid="{EE942F5F-A759-4996-8815-BF68947C5052}"/>
    <cellStyle name="Header2 5 2 2" xfId="1167" xr:uid="{86724A6A-8072-411C-828B-35F811A90347}"/>
    <cellStyle name="Header2 5 2 2 2" xfId="1731" xr:uid="{73063E3D-AF6C-414A-A2F2-5D779AF09318}"/>
    <cellStyle name="Header2 5 2 3" xfId="993" xr:uid="{BD397918-F2BF-4EEB-8D41-D86AD2236819}"/>
    <cellStyle name="Header2 5 2 3 2" xfId="1894" xr:uid="{A649BA55-FA51-40E6-87CA-3BE962D7C7FE}"/>
    <cellStyle name="Header2 5 2 4" xfId="1567" xr:uid="{4D8B5C93-0C5D-4B5A-BFAC-D002388D5C16}"/>
    <cellStyle name="Header2 5 3" xfId="555" xr:uid="{C77793FA-CFF1-4D15-BFA9-3C0AEF82E7F9}"/>
    <cellStyle name="Header2 5 3 2" xfId="1138" xr:uid="{3E542C9D-5393-48D8-8F8A-1619DAF088DE}"/>
    <cellStyle name="Header2 5 3 2 2" xfId="1716" xr:uid="{A032661B-82D8-4CF3-9BE9-72F878622906}"/>
    <cellStyle name="Header2 5 3 3" xfId="932" xr:uid="{92322C2B-39C8-4A11-A6E1-2A97E896D33A}"/>
    <cellStyle name="Header2 5 3 3 2" xfId="1878" xr:uid="{68699B79-6840-4783-AC05-93FC5E74249A}"/>
    <cellStyle name="Header2 5 3 4" xfId="1543" xr:uid="{319B92AC-EC81-4067-8D9A-381103085762}"/>
    <cellStyle name="Header2 5 4" xfId="507" xr:uid="{C714C061-96B5-4F31-BD89-62B5B2880156}"/>
    <cellStyle name="Header2 5 4 2" xfId="1090" xr:uid="{D88E9D17-8AB9-4B91-8C47-9C3080C085C2}"/>
    <cellStyle name="Header2 5 4 2 2" xfId="1690" xr:uid="{53CF0BAC-0113-4DC2-8258-59DFFFF8D0B5}"/>
    <cellStyle name="Header2 5 4 3" xfId="1146" xr:uid="{3269C046-FF4E-4AD3-B88E-C5C6D0E1EAE4}"/>
    <cellStyle name="Header2 5 4 3 2" xfId="1720" xr:uid="{D3801BA4-FBEF-465B-813F-EED970C8859C}"/>
    <cellStyle name="Header2 5 4 4" xfId="1234" xr:uid="{233CB3F4-245F-49DC-B1EB-5E94FC0C6426}"/>
    <cellStyle name="Header2 5 4 4 2" xfId="1770" xr:uid="{986ECC0E-2BFA-4A9E-8AE9-A1B5B3A9FF0D}"/>
    <cellStyle name="Header2 5 4 5" xfId="1495" xr:uid="{5B9CD44C-4407-4E8A-B576-CBF6A20302D7}"/>
    <cellStyle name="Header2 5 5" xfId="1056" xr:uid="{383F5D4C-848B-4C54-832B-0D85FEE0BE70}"/>
    <cellStyle name="Header2 5 5 2" xfId="1675" xr:uid="{DCDAF31F-0579-43B4-8899-DE0D098EE641}"/>
    <cellStyle name="Header2 5 6" xfId="891" xr:uid="{51426D3F-92EE-4842-818E-0C72EBBB0475}"/>
    <cellStyle name="Header2 5 6 2" xfId="1624" xr:uid="{2EF02C04-97CA-41D3-A376-AD2F40691BFE}"/>
    <cellStyle name="Header2 5 7" xfId="1299" xr:uid="{E4A7BD46-5F25-413C-983E-761C8F7B0D9A}"/>
    <cellStyle name="Header2 5 7 2" xfId="1911" xr:uid="{CFA1EAD9-397E-4D01-8426-25BE44DC7B8C}"/>
    <cellStyle name="Header2 5 8" xfId="1464" xr:uid="{842CFC46-B699-4090-B89C-912470E17BFF}"/>
    <cellStyle name="Header2 6" xfId="429" xr:uid="{810BBEB4-263E-46A8-915D-A5DDCEF0F94D}"/>
    <cellStyle name="Header2 6 2" xfId="595" xr:uid="{37417531-F37A-4827-B0EA-1D08955C5958}"/>
    <cellStyle name="Header2 6 2 2" xfId="1170" xr:uid="{8B22363C-7FCC-4D1B-BBBB-4EF26E217BB4}"/>
    <cellStyle name="Header2 6 2 2 2" xfId="1734" xr:uid="{25D45EE5-C2C5-453B-A4F6-C3D9D44D9BC2}"/>
    <cellStyle name="Header2 6 2 3" xfId="938" xr:uid="{626D293B-7228-4C6C-B3E1-1CA580FB90E7}"/>
    <cellStyle name="Header2 6 2 3 2" xfId="1880" xr:uid="{E36012A7-1701-495D-BACD-45E0B211891A}"/>
    <cellStyle name="Header2 6 2 4" xfId="1570" xr:uid="{26950EFD-F7C2-473D-802E-8B83ADA17ED2}"/>
    <cellStyle name="Header2 6 3" xfId="527" xr:uid="{A306AF81-4490-4852-9A7C-F347FA5CEC59}"/>
    <cellStyle name="Header2 6 3 2" xfId="1110" xr:uid="{A173BD1C-8CA2-4D5C-AFCC-541523F2CD21}"/>
    <cellStyle name="Header2 6 3 2 2" xfId="1702" xr:uid="{BE67DCCC-3F8F-4034-A8FE-A9EC18D0CD9B}"/>
    <cellStyle name="Header2 6 3 3" xfId="1290" xr:uid="{63952D3B-A2C7-4244-AF68-ABD4A679E730}"/>
    <cellStyle name="Header2 6 3 3 2" xfId="1907" xr:uid="{74F2200A-F689-4B40-9E93-161057CB4600}"/>
    <cellStyle name="Header2 6 3 4" xfId="1515" xr:uid="{6F437290-3BB3-4D28-9B06-C1B438644DA7}"/>
    <cellStyle name="Header2 6 4" xfId="1024" xr:uid="{DBA38C0A-4796-4EFA-9065-5479EF2CBFF6}"/>
    <cellStyle name="Header2 6 4 2" xfId="1664" xr:uid="{0FE5C4D9-6BB4-41EE-90B9-22385A0FD6CA}"/>
    <cellStyle name="Header2 6 5" xfId="946" xr:uid="{FE26BE1D-4D4C-43F8-9744-C213629274D3}"/>
    <cellStyle name="Header2 6 5 2" xfId="1645" xr:uid="{A3061E91-0DD6-4F0E-ADCE-B2ED77C1379A}"/>
    <cellStyle name="Header2 6 6" xfId="1371" xr:uid="{A7FE31C8-878F-4610-BFF6-F423B399C4B7}"/>
    <cellStyle name="Header2 6 6 2" xfId="1832" xr:uid="{30C4F495-56B2-40DA-B27E-098B9DB5F7C9}"/>
    <cellStyle name="Header2 6 7" xfId="1443" xr:uid="{385BB7D5-285F-4ECD-AFC5-442BEC836405}"/>
    <cellStyle name="Header2 7" xfId="593" xr:uid="{5131C3E8-0F69-459F-BCE7-1AB321156786}"/>
    <cellStyle name="Header2 7 2" xfId="1168" xr:uid="{E10571E5-43DE-4F3B-A187-E8F026306B5A}"/>
    <cellStyle name="Header2 7 2 2" xfId="1732" xr:uid="{18EE69DD-865A-4AA7-AD56-6B307281A97C}"/>
    <cellStyle name="Header2 7 3" xfId="1043" xr:uid="{3E04C8A3-CDCD-43E5-BE7A-489066BD7B27}"/>
    <cellStyle name="Header2 7 3 2" xfId="1900" xr:uid="{8544CBDE-85FA-4996-A541-0A94F667F488}"/>
    <cellStyle name="Header2 7 4" xfId="1568" xr:uid="{D41DE3FE-4F27-45B5-B69F-56D49B8D432D}"/>
    <cellStyle name="Header2 8" xfId="594" xr:uid="{1E9E97C6-E1C5-4EB0-902A-3AFD8AC23BF3}"/>
    <cellStyle name="Header2 8 2" xfId="1169" xr:uid="{31DDEC44-2CC3-4549-B3B0-2B23CDCCF2A1}"/>
    <cellStyle name="Header2 8 2 2" xfId="1733" xr:uid="{7054BBB6-AEC7-408A-9D4C-EBC46FF55FFB}"/>
    <cellStyle name="Header2 8 3" xfId="994" xr:uid="{F6113ED3-8930-4663-92E2-4479424C6241}"/>
    <cellStyle name="Header2 8 3 2" xfId="1895" xr:uid="{94ACDF8B-CE8E-4254-AA27-406775CE4420}"/>
    <cellStyle name="Header2 8 4" xfId="1569" xr:uid="{CB04D221-2DBD-4F76-B5A6-C681D5986E7C}"/>
    <cellStyle name="Header2 9" xfId="515" xr:uid="{B0FEC154-58E8-4AC8-BDDB-826300F329AF}"/>
    <cellStyle name="Header2 9 2" xfId="1098" xr:uid="{8397C834-ECDB-423D-9905-0DE29EAFEFEE}"/>
    <cellStyle name="Header2 9 2 2" xfId="1695" xr:uid="{64843C8F-4D58-4F7B-9F08-37A6B92904C8}"/>
    <cellStyle name="Header2 9 3" xfId="1028" xr:uid="{945CCC8A-FF8B-4D9B-B4EF-46B0A2F2B147}"/>
    <cellStyle name="Header2 9 3 2" xfId="1667" xr:uid="{529B5A74-7C20-4EEF-94FD-B1690C4096D4}"/>
    <cellStyle name="Header2 9 4" xfId="983" xr:uid="{2C352CFF-C8B3-409E-9CD5-46A1DBE5DA2C}"/>
    <cellStyle name="Header2 9 4 2" xfId="1655" xr:uid="{323BEA53-DEED-4020-B56A-24577068181E}"/>
    <cellStyle name="Header2 9 5" xfId="1503" xr:uid="{07D8BBBC-FD6C-4C36-81A3-DCDC78386A20}"/>
    <cellStyle name="Headers" xfId="173" xr:uid="{CF41C7CD-7869-4308-A273-762BE6F46902}"/>
    <cellStyle name="Headers 2" xfId="410" xr:uid="{6B73984F-98C2-4C3A-A7CF-252929FB8901}"/>
    <cellStyle name="Headers 2 2" xfId="564" xr:uid="{386159A1-949A-4BF4-81D6-9E64FA8ECBDC}"/>
    <cellStyle name="Heading" xfId="174" xr:uid="{ABE75058-F58F-4BCA-865B-5083410A6DCB}"/>
    <cellStyle name="Heading 1 2" xfId="649" xr:uid="{730AC170-E111-404E-B74A-9421AB176222}"/>
    <cellStyle name="Heading 2 2" xfId="650" xr:uid="{D2C5334A-0AAD-4CCA-B09B-D0D60F2A0E38}"/>
    <cellStyle name="Heading 3 2" xfId="651" xr:uid="{CB476213-04CA-4A00-8E7A-EFECB442F96E}"/>
    <cellStyle name="Heading 4 2" xfId="652" xr:uid="{D6024C15-9881-47BE-8927-AC12546D6983}"/>
    <cellStyle name="Heading 5" xfId="175" xr:uid="{B69A7BBF-A3C9-4AE7-8B1F-C77C7C89CB56}"/>
    <cellStyle name="Heading Left" xfId="176" xr:uid="{DCF59B1E-4045-4CEE-96EE-3148A0386CDF}"/>
    <cellStyle name="Heading Right" xfId="177" xr:uid="{F75E6826-D3E7-4AA3-AD13-B626BCD7AE15}"/>
    <cellStyle name="Heading1" xfId="178" xr:uid="{58AFA57A-A767-42B3-87AB-041B64616F92}"/>
    <cellStyle name="Heading2" xfId="179" xr:uid="{5697E491-31D0-4BA2-BA4D-F10C4BA5A752}"/>
    <cellStyle name="Heading3" xfId="180" xr:uid="{40FEBD03-2959-4BA8-84C4-9E1CC0A6E61E}"/>
    <cellStyle name="HeadingS" xfId="181" xr:uid="{25AB3E4A-2C83-4643-B1A3-8AFDFD94D6A0}"/>
    <cellStyle name="Hidden" xfId="182" xr:uid="{526653E2-D9AC-4F3B-A3DD-9FF68F734A34}"/>
    <cellStyle name="Hide" xfId="183" xr:uid="{5756E057-C722-4676-8B20-D7003C403D68}"/>
    <cellStyle name="Hyperlink 2" xfId="617" xr:uid="{152C34DB-3C46-4762-9025-BF2011552657}"/>
    <cellStyle name="Hyperlink 3" xfId="58" xr:uid="{664EA1E7-2FE8-49F7-A8DF-635F747783EB}"/>
    <cellStyle name="Incorrecte" xfId="780" xr:uid="{0F44EA5C-BBBD-403F-81A0-74F89836E347}"/>
    <cellStyle name="Incorreto" xfId="781" xr:uid="{037978AE-DAFB-4063-A49B-6AB9B04F7B5E}"/>
    <cellStyle name="Input [yellow]" xfId="184" xr:uid="{D1C2735A-93FB-4D5F-B601-493C89774A58}"/>
    <cellStyle name="Input [yellow] 2" xfId="411" xr:uid="{3FA18265-DFC9-4D7E-AA46-5021DD1FDC7C}"/>
    <cellStyle name="Input [yellow] 2 2" xfId="438" xr:uid="{DC36E64B-C2D4-4099-9D20-A2AF831CB7F5}"/>
    <cellStyle name="Input [yellow] 2 2 2" xfId="536" xr:uid="{08940D20-1A44-419B-B29F-58841DBC3F11}"/>
    <cellStyle name="Input [yellow] 2 2 2 2" xfId="1119" xr:uid="{FFDC48AC-2FDA-4AE7-9A0E-2C80A36CEC8F}"/>
    <cellStyle name="Input [yellow] 2 2 2 3" xfId="902" xr:uid="{99C338BC-1810-4494-9E0D-5EBE2DD80FC5}"/>
    <cellStyle name="Input [yellow] 2 2 2 4" xfId="1250" xr:uid="{07071983-3247-4A9D-A067-1B679B334184}"/>
    <cellStyle name="Input [yellow] 2 2 2 5" xfId="1524" xr:uid="{E7F0BB1C-4640-4A29-8212-698B6EF79275}"/>
    <cellStyle name="Input [yellow] 2 2 3" xfId="1033" xr:uid="{350702B7-B67D-47CB-B5D1-72D7A0723F72}"/>
    <cellStyle name="Input [yellow] 2 2 4" xfId="893" xr:uid="{F001419A-6711-4664-A77B-9979560081DC}"/>
    <cellStyle name="Input [yellow] 2 2 5" xfId="959" xr:uid="{02134F8A-7DD5-4C76-AD65-B50C9BCBDC86}"/>
    <cellStyle name="Input [yellow] 2 2 6" xfId="1451" xr:uid="{503AA22E-4F1A-4C59-B748-BBAC0BAD6B56}"/>
    <cellStyle name="Input [yellow] 2 3" xfId="563" xr:uid="{308D8A95-7204-4DC8-A25C-F33F3C1903BD}"/>
    <cellStyle name="Input [yellow] 2 3 2" xfId="1143" xr:uid="{5430E6CD-E168-456F-A0A8-E5DC3538CB7C}"/>
    <cellStyle name="Input [yellow] 2 3 3" xfId="1236" xr:uid="{F485A7FF-9F6F-40DA-8D76-414822412734}"/>
    <cellStyle name="Input [yellow] 2 3 4" xfId="1047" xr:uid="{031D5233-8E4A-4820-A782-C20428A2320C}"/>
    <cellStyle name="Input [yellow] 2 3 5" xfId="1547" xr:uid="{B5B78569-0757-4FB1-A95E-F292BA0E3E1A}"/>
    <cellStyle name="Input [yellow] 2 4" xfId="523" xr:uid="{20A95E37-EC02-478F-9571-0F0D4546EB88}"/>
    <cellStyle name="Input [yellow] 2 4 2" xfId="1106" xr:uid="{12484E1B-5B91-4F03-B522-5E1E28F0E86A}"/>
    <cellStyle name="Input [yellow] 2 4 3" xfId="908" xr:uid="{344F09AD-7EF4-4EDB-BBC6-9DFABFD270FE}"/>
    <cellStyle name="Input [yellow] 2 4 4" xfId="986" xr:uid="{8A54D647-5619-43DB-A50C-832D9AC4B958}"/>
    <cellStyle name="Input [yellow] 2 4 5" xfId="1511" xr:uid="{FCCC0D7C-4610-4265-A656-BAA0031FB05F}"/>
    <cellStyle name="Input [yellow] 2 5" xfId="490" xr:uid="{A83782DC-CB80-4266-8CB1-2D954AEE3C2F}"/>
    <cellStyle name="Input [yellow] 2 5 2" xfId="1073" xr:uid="{8C103AD6-2AB1-4A9F-88C1-1FEFFB06269B}"/>
    <cellStyle name="Input [yellow] 2 5 3" xfId="1258" xr:uid="{7B5E2404-48CD-4B3F-9F95-F4555B7A99D5}"/>
    <cellStyle name="Input [yellow] 2 5 4" xfId="1358" xr:uid="{EC2D374E-A311-47DF-A537-C24F7857766F}"/>
    <cellStyle name="Input [yellow] 2 5 5" xfId="1478" xr:uid="{3250074A-207D-4031-9FF6-7FD144C3A0CE}"/>
    <cellStyle name="Input [yellow] 2 6" xfId="1018" xr:uid="{1425E5B5-5972-49CB-8BDA-E2C1F7BCE7E3}"/>
    <cellStyle name="Input [yellow] 2 7" xfId="948" xr:uid="{15F7DF29-E354-4D11-9AA1-F6D89F5EAE5B}"/>
    <cellStyle name="Input [yellow] 2 8" xfId="1283" xr:uid="{CE15041F-7CCB-410A-AB18-AC566916E59A}"/>
    <cellStyle name="Input [yellow] 2 9" xfId="1439" xr:uid="{79AF6A43-DE44-4C2C-9491-EF5A3CA3226C}"/>
    <cellStyle name="Input [yellow] 3" xfId="446" xr:uid="{391CA096-7943-452E-A465-52A0039FE913}"/>
    <cellStyle name="Input [yellow] 3 2" xfId="544" xr:uid="{F8DFF849-11D4-455C-B4AB-1296A91F017E}"/>
    <cellStyle name="Input [yellow] 3 2 2" xfId="1127" xr:uid="{3934AD1E-03D6-4E06-B94A-13A00CBA74D2}"/>
    <cellStyle name="Input [yellow] 3 2 3" xfId="1246" xr:uid="{F9B37515-9D24-4C05-A0AB-ED791383EBCE}"/>
    <cellStyle name="Input [yellow] 3 2 4" xfId="999" xr:uid="{4277C098-B76E-4850-B34A-712624BE2723}"/>
    <cellStyle name="Input [yellow] 3 2 5" xfId="1532" xr:uid="{A6134804-B129-4D31-874F-79A235BF9B95}"/>
    <cellStyle name="Input [yellow] 3 3" xfId="497" xr:uid="{33AA7FB3-6A5D-4E6E-BE7E-26125AB73FE5}"/>
    <cellStyle name="Input [yellow] 3 3 2" xfId="1080" xr:uid="{74333F12-06DE-4961-9E00-AA4C409F63D6}"/>
    <cellStyle name="Input [yellow] 3 3 3" xfId="922" xr:uid="{C43A5A8D-CE7C-4F30-9B34-9C52F4061029}"/>
    <cellStyle name="Input [yellow] 3 3 4" xfId="996" xr:uid="{4DB37DE4-1455-42BE-93D1-65E03193103D}"/>
    <cellStyle name="Input [yellow] 3 3 5" xfId="1485" xr:uid="{42916093-47B9-4DE0-95F6-06E238005FE8}"/>
    <cellStyle name="Input [yellow] 3 4" xfId="1041" xr:uid="{6998D1FE-62EA-44DA-B82B-53B4D4DB4632}"/>
    <cellStyle name="Input [yellow] 3 5" xfId="1185" xr:uid="{66953540-F452-40D2-9424-918B34008B0C}"/>
    <cellStyle name="Input [yellow] 3 6" xfId="963" xr:uid="{03DD1F6D-8D96-40A6-B512-39090C87E79C}"/>
    <cellStyle name="Input [yellow] 4" xfId="447" xr:uid="{74659802-1B65-4B5B-A147-DE77335C48CE}"/>
    <cellStyle name="Input [yellow] 4 2" xfId="545" xr:uid="{F7A54B03-F0DB-489F-AEA8-2F522A17B0A4}"/>
    <cellStyle name="Input [yellow] 4 2 2" xfId="1128" xr:uid="{BBA0A73A-F302-4AD4-83CC-D1CB35F5B3A7}"/>
    <cellStyle name="Input [yellow] 4 2 3" xfId="1245" xr:uid="{0C3D1C45-06B2-40F8-A2E5-5DA71FCA46F9}"/>
    <cellStyle name="Input [yellow] 4 2 4" xfId="950" xr:uid="{67143DC3-F932-47F6-B7C3-D833181D7FFA}"/>
    <cellStyle name="Input [yellow] 4 2 5" xfId="1533" xr:uid="{545DA1BA-D936-4969-BCAB-5423E668079A}"/>
    <cellStyle name="Input [yellow] 4 3" xfId="498" xr:uid="{763BE142-E4EE-4FE8-84B3-C620A3D1A899}"/>
    <cellStyle name="Input [yellow] 4 3 2" xfId="1081" xr:uid="{C25EFDD2-B36D-43CA-BA6E-2E190479F190}"/>
    <cellStyle name="Input [yellow] 4 3 3" xfId="921" xr:uid="{4BDCCB20-BCB2-485F-AEEA-F8741EE9EDE6}"/>
    <cellStyle name="Input [yellow] 4 3 4" xfId="1287" xr:uid="{44BA59B4-D143-4065-A115-52380E9DDBCC}"/>
    <cellStyle name="Input [yellow] 4 3 5" xfId="1486" xr:uid="{F3FF225A-BC9E-4375-A7EC-EF3B13ACA955}"/>
    <cellStyle name="Input [yellow] 4 4" xfId="1042" xr:uid="{EF563A68-F54A-49D1-990D-134841C8DD44}"/>
    <cellStyle name="Input [yellow] 4 5" xfId="1307" xr:uid="{1D2E1FBE-72FA-4815-815D-453B870B09D8}"/>
    <cellStyle name="Input [yellow] 4 6" xfId="964" xr:uid="{4FFA3EE4-FB1C-4BF7-8FB8-8623DA3E1659}"/>
    <cellStyle name="Input [yellow] 5" xfId="462" xr:uid="{BC5523D8-D89B-4913-A85C-BD7355370B96}"/>
    <cellStyle name="Input [yellow] 5 2" xfId="580" xr:uid="{7F7F7679-DC57-46B0-AD7C-5D6F189A8650}"/>
    <cellStyle name="Input [yellow] 5 2 2" xfId="1155" xr:uid="{52A19970-4816-4DA4-8602-53F0D52D28B3}"/>
    <cellStyle name="Input [yellow] 5 2 3" xfId="1229" xr:uid="{D97A9A6F-1167-4392-A255-11EDF9F8CF95}"/>
    <cellStyle name="Input [yellow] 5 2 4" xfId="989" xr:uid="{BD5C5BC2-2668-4C6A-B58C-86219C14E6A2}"/>
    <cellStyle name="Input [yellow] 5 2 5" xfId="1555" xr:uid="{089D89A9-F0BA-4EDC-B111-F71E5304D2BD}"/>
    <cellStyle name="Input [yellow] 5 3" xfId="553" xr:uid="{450C7F77-BBD5-416F-83BB-FB1651767908}"/>
    <cellStyle name="Input [yellow] 5 3 2" xfId="1136" xr:uid="{444044C6-A271-42FE-A8A7-38C000181CEF}"/>
    <cellStyle name="Input [yellow] 5 3 3" xfId="1239" xr:uid="{FE97E99F-EE53-4EDB-A464-ABABBF79E307}"/>
    <cellStyle name="Input [yellow] 5 3 4" xfId="1237" xr:uid="{7FD5D328-483A-4FE9-802A-798C387D1F9F}"/>
    <cellStyle name="Input [yellow] 5 3 5" xfId="1541" xr:uid="{308D756F-7668-4274-9D1B-F647648CF5D8}"/>
    <cellStyle name="Input [yellow] 5 4" xfId="506" xr:uid="{753E8541-FC98-4C4D-A46A-2BCE7CE3E4C7}"/>
    <cellStyle name="Input [yellow] 5 4 2" xfId="1089" xr:uid="{EFA8EE24-CF4F-4CFE-B545-BB599F4015A8}"/>
    <cellStyle name="Input [yellow] 5 4 3" xfId="915" xr:uid="{60A5BBAC-F185-495C-A440-9CDFEE0A8A60}"/>
    <cellStyle name="Input [yellow] 5 4 4" xfId="977" xr:uid="{1FFB3F29-8505-4ABC-B2F8-37A04B50ADD1}"/>
    <cellStyle name="Input [yellow] 5 4 5" xfId="1494" xr:uid="{778142E0-F605-4CA8-8FE5-7D05CDC31A83}"/>
    <cellStyle name="Input [yellow] 5 5" xfId="1054" xr:uid="{BAEEA1AC-4036-41AD-B72B-C6806761A5F6}"/>
    <cellStyle name="Input [yellow] 5 6" xfId="1260" xr:uid="{EB30FE1F-E52E-4B60-8A26-22BA851F473D}"/>
    <cellStyle name="Input [yellow] 5 7" xfId="1391" xr:uid="{6B8291DB-047F-42EB-A194-DFC175D0ED6B}"/>
    <cellStyle name="Input [yellow] 5 8" xfId="1463" xr:uid="{5E0C8761-665C-4447-B4C9-D758A788331A}"/>
    <cellStyle name="Input [yellow] 6" xfId="463" xr:uid="{DA59F845-FE3A-4E06-A77B-6A315402E5DE}"/>
    <cellStyle name="Input [yellow] 6 2" xfId="554" xr:uid="{3B4254F0-0C5B-4043-8364-9995DAD683C9}"/>
    <cellStyle name="Input [yellow] 6 2 2" xfId="1137" xr:uid="{2325D417-EE73-461A-A067-6E09A38E980B}"/>
    <cellStyle name="Input [yellow] 6 2 3" xfId="1199" xr:uid="{CE70C3A9-15D3-4A0F-9994-A2ECE9F81C57}"/>
    <cellStyle name="Input [yellow] 6 2 4" xfId="1192" xr:uid="{BFFBB74E-F0E5-4C9C-A8FB-FB1EA25D497D}"/>
    <cellStyle name="Input [yellow] 6 2 5" xfId="1542" xr:uid="{DBA01FA2-96D0-402E-94B7-41E43E1F4251}"/>
    <cellStyle name="Input [yellow] 6 3" xfId="1055" xr:uid="{882F317B-6B69-4AB8-B377-E7032E4A464A}"/>
    <cellStyle name="Input [yellow] 6 4" xfId="1259" xr:uid="{76DBFD0E-2387-4022-8CC5-B7E893AE921D}"/>
    <cellStyle name="Input [yellow] 6 5" xfId="1390" xr:uid="{C6CA51A2-6B6B-4590-890D-111688302295}"/>
    <cellStyle name="Input [yellow] 7" xfId="430" xr:uid="{A9BB6E47-868D-4C24-9F6A-5AE823243932}"/>
    <cellStyle name="Input [yellow] 7 2" xfId="528" xr:uid="{1816CB5F-6842-48B7-BABE-69AF5CD0299F}"/>
    <cellStyle name="Input [yellow] 7 2 2" xfId="1111" xr:uid="{2074EF9F-598B-44D8-BE26-C1AF1FBF3BE8}"/>
    <cellStyle name="Input [yellow] 7 2 3" xfId="904" xr:uid="{33C281FA-7207-4CC5-945E-55EBF14D16C2}"/>
    <cellStyle name="Input [yellow] 7 2 4" xfId="1291" xr:uid="{4347EF50-EDA4-421A-AD05-541AF34D53D4}"/>
    <cellStyle name="Input [yellow] 7 2 5" xfId="1516" xr:uid="{2151F0D4-FE36-450A-9F4D-4C9F05ACCD26}"/>
    <cellStyle name="Input [yellow] 7 3" xfId="1025" xr:uid="{A20693A4-48CE-45A4-8410-683693C90967}"/>
    <cellStyle name="Input [yellow] 7 4" xfId="945" xr:uid="{8A2822F8-DD04-435E-B5EC-A3CC568F2634}"/>
    <cellStyle name="Input [yellow] 7 5" xfId="1370" xr:uid="{0E030798-7144-4934-BF83-EF00909BEF6B}"/>
    <cellStyle name="Input [yellow] 8" xfId="875" xr:uid="{EA6297EA-F3C4-4585-AF09-968A7EC39B2F}"/>
    <cellStyle name="Input [yellow] 8 2" xfId="1319" xr:uid="{79CCC3FE-7D48-40B8-A4EC-0807C575CB77}"/>
    <cellStyle name="Input [yellow] 8 3" xfId="1393" xr:uid="{A611992E-2CD4-483E-BEFD-2AF95738BBC4}"/>
    <cellStyle name="Input [yellow] 8 4" xfId="1423" xr:uid="{DDC2A232-5E53-423B-8E55-D8A65856A81B}"/>
    <cellStyle name="Input [yellow] 9" xfId="888" xr:uid="{FBEF2BF1-E703-4597-BD6A-965BE47EA221}"/>
    <cellStyle name="Input 2" xfId="653" xr:uid="{B7986C74-E5EA-4495-B23D-02569E4BCC15}"/>
    <cellStyle name="Input 2 2" xfId="789" xr:uid="{E2E83E24-6C3B-4451-B1B5-EA6F43E3B063}"/>
    <cellStyle name="Input 2 2 2" xfId="1279" xr:uid="{C44CC15B-0834-4B9C-98A6-291154BA5227}"/>
    <cellStyle name="Input 2 2 2 2" xfId="1788" xr:uid="{A65B9B53-1B17-4E1C-99FD-ACE091D52EA4}"/>
    <cellStyle name="Input 2 2 3" xfId="1377" xr:uid="{1AD9D9F1-EFB1-4E08-B784-E7A5EFD82D9F}"/>
    <cellStyle name="Input 2 2 3 2" xfId="1838" xr:uid="{F5F77403-EF38-4427-B649-F13F4D15DDF4}"/>
    <cellStyle name="Input 2 2 4" xfId="1601" xr:uid="{6D2BD55C-57C8-494B-B063-EFF616D6D9E3}"/>
    <cellStyle name="Input 2 3" xfId="1204" xr:uid="{51FBE9E0-68A5-48B7-91EB-056F7F7EF878}"/>
    <cellStyle name="Input 2 3 2" xfId="1753" xr:uid="{01E4560D-63B1-451F-AF20-E669DA37296D}"/>
    <cellStyle name="Input 2 4" xfId="1213" xr:uid="{B8A952B1-4CAC-4B17-A7F6-511C7B94EAD1}"/>
    <cellStyle name="Input 2 4 2" xfId="1761" xr:uid="{970AC3F1-44FC-43AF-8B8F-24C0212068AF}"/>
    <cellStyle name="Input 2 5" xfId="1330" xr:uid="{32B0DCCD-0841-4EDF-942C-DDDA246F5855}"/>
    <cellStyle name="Input 2 5 2" xfId="1817" xr:uid="{5E1C180C-2A70-4F83-9A90-45F4152570E4}"/>
    <cellStyle name="Input 2 6" xfId="1586" xr:uid="{E13105B6-D800-4651-9562-6C9054DE6FD4}"/>
    <cellStyle name="Intl Coal Data" xfId="185" xr:uid="{1C081939-95ED-459C-8FDC-CB46BEA4FEF3}"/>
    <cellStyle name="Italics" xfId="186" xr:uid="{29E71886-E02D-4066-A447-E4B9CA96DBE6}"/>
    <cellStyle name="Item Descriptions" xfId="187" xr:uid="{96852EFD-1C66-425C-ABB6-BB639E3DBD7B}"/>
    <cellStyle name="Item Descriptions - Bold" xfId="188" xr:uid="{ECBEDEFB-9B6F-405B-8710-E3D6E1248303}"/>
    <cellStyle name="Item Descriptions_Sales and EBITDA 2013 vs 2012" xfId="851" xr:uid="{D214E8B8-D98D-4831-BF07-4A046CE3E2A1}"/>
    <cellStyle name="Kč (0)" xfId="189" xr:uid="{5B4289A1-9ACA-472A-9579-728216015BE2}"/>
    <cellStyle name="Kč (2)" xfId="190" xr:uid="{93D858B4-C824-4F61-A494-4C483556662D}"/>
    <cellStyle name="Komma [0]_laroux" xfId="191" xr:uid="{765E0628-62BB-492A-A8B8-DCF29873E9CF}"/>
    <cellStyle name="kopregel" xfId="192" xr:uid="{7C7891BF-005B-43B2-BE19-07E5C5415CF6}"/>
    <cellStyle name="Lable8Left" xfId="193" xr:uid="{26761BA0-EF70-4250-8BB7-49546BBC5E7A}"/>
    <cellStyle name="Left" xfId="194" xr:uid="{6E9FD947-44FF-40DD-B32B-78FE7539B8AE}"/>
    <cellStyle name="Left 2" xfId="412" xr:uid="{7657B37F-2208-4CC6-A984-B5CB8FF286C9}"/>
    <cellStyle name="Left 3" xfId="464" xr:uid="{3AFA6F3E-4CBA-436C-A443-4D71A7FDBDB9}"/>
    <cellStyle name="Line" xfId="195" xr:uid="{6A5DD70E-A076-4E02-8F77-706F2FD19CA7}"/>
    <cellStyle name="Line 2" xfId="465" xr:uid="{DDA20C88-08EA-4E76-866B-CC8F36F547DB}"/>
    <cellStyle name="Linked" xfId="196" xr:uid="{05D6EB90-5FC2-41AD-8777-49CAB2A7F29B}"/>
    <cellStyle name="Linked Cell 2" xfId="654" xr:uid="{B2E89D0F-5473-4EBD-9ACB-B6803504A465}"/>
    <cellStyle name="m" xfId="197" xr:uid="{6761AA7B-BAB3-46FF-A0F8-828BA0E48689}"/>
    <cellStyle name="měny_SBP03-Meeting702_Schedules - 612-02.xls graf 3" xfId="198" xr:uid="{3C15F043-BC4D-4BA6-AC8F-85469213617D}"/>
    <cellStyle name="Migliaia (0)_EUBUD99" xfId="199" xr:uid="{B4DB5BB9-4DD6-42B6-818D-5A8DEBC0879A}"/>
    <cellStyle name="Migliaia [0]_Act_Sched_2006_02_Dello_070306" xfId="782" xr:uid="{66A78234-D1CD-43D2-AD7D-0606593F6ECF}"/>
    <cellStyle name="Migliaia_Foglio3" xfId="783" xr:uid="{A2F663DD-2BCC-4CF9-A4A9-975A03B8D029}"/>
    <cellStyle name="Millares [0]_Budget2003-Schedules - 1016-02_0320" xfId="200" xr:uid="{F945C86E-307E-4296-B3C2-AA7D7A629881}"/>
    <cellStyle name="Millares_AOP2006_Hypload_IAW_Chihuahua" xfId="784" xr:uid="{ED39F777-F60D-470E-B698-4082217790F9}"/>
    <cellStyle name="mm/dd/yy" xfId="201" xr:uid="{BE10A4DA-1FF2-4E58-A244-F5FCAF70C7CA}"/>
    <cellStyle name="Moeda [0]_aola" xfId="202" xr:uid="{9AF196AA-D631-453D-AA99-FDB5D780E6A9}"/>
    <cellStyle name="Moeda_aola" xfId="203" xr:uid="{6EF03931-D252-4498-9273-D22A92CBFA86}"/>
    <cellStyle name="Moneda [0]_Budget2003-Schedules - 1016-02_0320" xfId="204" xr:uid="{F189BB4B-871E-4EFB-9B2E-532A2D1FCE3F}"/>
    <cellStyle name="Moneda_Budget2003-Schedules - 1016-02_0320" xfId="205" xr:uid="{F0E278AC-A0E7-415D-B532-4861CA7E11CC}"/>
    <cellStyle name="movimentação" xfId="377" xr:uid="{D0BFC72C-D345-4B44-A5CC-5CEAE8FFDE90}"/>
    <cellStyle name="movimentação 2" xfId="572" xr:uid="{C8263C9C-8755-45A0-A714-23F60E0E19C7}"/>
    <cellStyle name="Mult No x" xfId="206" xr:uid="{60A3563E-5BBA-4E97-BA64-BB9C16EFFC1C}"/>
    <cellStyle name="Mult No x 2" xfId="413" xr:uid="{8CD68D2A-CA3B-447E-BACA-4A05663B686A}"/>
    <cellStyle name="Mult No x 2 2" xfId="562" xr:uid="{BC06B249-F77F-4B6F-9220-F49886C69393}"/>
    <cellStyle name="Mult With x" xfId="207" xr:uid="{0D4B980C-A79F-4AF4-9848-9243E10097A0}"/>
    <cellStyle name="Mult With x 2" xfId="414" xr:uid="{5E489439-403B-4E95-81E5-98CD1FACC2BC}"/>
    <cellStyle name="Mult With x 2 2" xfId="561" xr:uid="{8A4DB214-35ED-44D1-AFA5-9BD4608FE266}"/>
    <cellStyle name="Multiple" xfId="208" xr:uid="{90F30418-5AA2-4B92-9746-09658BE69243}"/>
    <cellStyle name="Multiple (no x)" xfId="209" xr:uid="{B4EB2396-E5E1-4B77-8EAA-A64574398345}"/>
    <cellStyle name="Multiple (x)" xfId="210" xr:uid="{D589F770-7756-40B0-8083-14040AFAC41E}"/>
    <cellStyle name="Multiple [0]" xfId="211" xr:uid="{587EFC70-187B-49C6-BE48-47C041908EFB}"/>
    <cellStyle name="Multiple [0] 2" xfId="466" xr:uid="{E91B72B2-AA4D-42AA-A154-F295E9CE3E2A}"/>
    <cellStyle name="Multiple [1]" xfId="212" xr:uid="{F98F0DAE-D07A-4F03-BB40-CD92B06B6CCA}"/>
    <cellStyle name="Multiple_1" xfId="213" xr:uid="{545998D8-3EAD-4FAF-A0BE-338A12E989B6}"/>
    <cellStyle name="Neutra" xfId="785" xr:uid="{76C5AEB8-55C8-496E-8D7B-B5D17F09871A}"/>
    <cellStyle name="Neutral 2" xfId="655" xr:uid="{181B39C9-EA7C-408A-A740-CC64DD31FF94}"/>
    <cellStyle name="no dec" xfId="214" xr:uid="{5CBE6A52-4E7D-4335-A4F1-C93203F8DE98}"/>
    <cellStyle name="Normal" xfId="0" builtinId="0"/>
    <cellStyle name="Normal - Style1" xfId="215" xr:uid="{DDDC0186-7B99-4580-A4F6-4D0FC45A332C}"/>
    <cellStyle name="Normal 10" xfId="1949" xr:uid="{B307E954-80C4-4402-9142-6ECD5EA0923C}"/>
    <cellStyle name="Normal 100" xfId="2" xr:uid="{3006FB43-7854-4106-B7CC-3937E889EB3B}"/>
    <cellStyle name="Normal 2" xfId="48" xr:uid="{DE9CEF60-4FB6-4457-A305-2D0E1489816C}"/>
    <cellStyle name="Normal 2 2" xfId="378" xr:uid="{DA1DF6DD-0669-4165-A728-45B67AED06E0}"/>
    <cellStyle name="Normal 2 2 2" xfId="1939" xr:uid="{599B8FEB-F7C6-4345-909E-3C6D754DC7D0}"/>
    <cellStyle name="Normal 2 2 3" xfId="1932" xr:uid="{26DE8732-D8A7-49C2-BC75-20752716B68E}"/>
    <cellStyle name="Normal 2 3" xfId="12" xr:uid="{04D44CE3-7350-4442-9D44-567B6CA72565}"/>
    <cellStyle name="Normal 2 3 2" xfId="871" xr:uid="{F54C57D0-26D2-47C0-B9C4-A5E9E2F79876}"/>
    <cellStyle name="Normal 2 3 2 2" xfId="1950" xr:uid="{59EC4207-1A16-40C9-B5E6-58816416C589}"/>
    <cellStyle name="Normal 2 3 3" xfId="379" xr:uid="{1222DC56-EE6A-4D59-B611-342C3016F84A}"/>
    <cellStyle name="Normal 2 3 4" xfId="1941" xr:uid="{E4E17BCC-DA04-492E-B37F-4C2EC6B4B4A5}"/>
    <cellStyle name="Normal 2 4" xfId="452" xr:uid="{96F344CB-C7A2-4DA2-BD65-C95A13394234}"/>
    <cellStyle name="Normal 2 4 2" xfId="610" xr:uid="{4727E7FD-2F35-48DE-9FBE-5CD04882FCC1}"/>
    <cellStyle name="Normal 2 5" xfId="61" xr:uid="{70F0C71C-EEC2-4416-95C7-81B2EB6396DD}"/>
    <cellStyle name="Normal 2 5 2" xfId="1946" xr:uid="{ACD79E25-B17D-4D6E-8B92-D6E5744AA7F9}"/>
    <cellStyle name="Normal 3" xfId="380" xr:uid="{9FD1140B-E7A9-40CC-AB3F-151BF3EF57D3}"/>
    <cellStyle name="Normal 3 2" xfId="381" xr:uid="{30473A46-3DF7-4A8E-B4C5-CDFECB740C92}"/>
    <cellStyle name="Normal 3 3" xfId="618" xr:uid="{A2018E79-8E24-4209-87B7-CF82B073AD7A}"/>
    <cellStyle name="Normal 3 3 2" xfId="1947" xr:uid="{DC216830-3C22-4C06-9191-C8A72612907D}"/>
    <cellStyle name="Normal 3 4" xfId="1934" xr:uid="{2C27FFD9-A387-4133-9EAE-5D306A3443C9}"/>
    <cellStyle name="Normal 30 2" xfId="10" xr:uid="{51F8BD69-2A0E-4588-A325-5A675F5C6C8C}"/>
    <cellStyle name="Normal 4" xfId="611" xr:uid="{9624C2C6-D307-4B0E-87FC-C1460CC7C5B6}"/>
    <cellStyle name="Normal 4 2" xfId="616" xr:uid="{3B0734EB-E5A0-4E0E-ABDE-E4D1B5734251}"/>
    <cellStyle name="Normal 4 2 2" xfId="1953" xr:uid="{414D4A5B-613F-4A35-AF0C-6C6CD662BCCF}"/>
    <cellStyle name="Normal 4 3" xfId="1938" xr:uid="{E2392BB7-C966-412D-A99B-31341E6D18C1}"/>
    <cellStyle name="Normal 5" xfId="59" xr:uid="{C2DCD1AF-1774-4872-A15B-993F54D83B69}"/>
    <cellStyle name="Normal 5 2" xfId="870" xr:uid="{21E3739E-0AC8-4AD0-B929-A6C4F1C9FFD6}"/>
    <cellStyle name="Normal 5 3" xfId="1944" xr:uid="{73291D4A-1FE0-41C5-AFA5-5A7157245D43}"/>
    <cellStyle name="Normal 6" xfId="392" xr:uid="{DDF3351A-CB7B-42C0-AC59-FB99A5740CE3}"/>
    <cellStyle name="Normal 6 2" xfId="836" xr:uid="{582F236A-FE48-4B8D-AC22-67D5B9FD3A6E}"/>
    <cellStyle name="Normal 62" xfId="1952" xr:uid="{B6E42D37-4983-4942-9DF0-75D6351D465F}"/>
    <cellStyle name="Normal 63" xfId="1424" xr:uid="{48C60375-B0FC-423D-9C32-15C07A68C90B}"/>
    <cellStyle name="Normal 7" xfId="1" xr:uid="{23C2F681-3598-4608-890E-8ADBA20C7DF5}"/>
    <cellStyle name="Normal 8" xfId="393" xr:uid="{4F37489E-9D8A-4CFC-A0E9-0A39C58C4E2E}"/>
    <cellStyle name="Normal 9" xfId="1930" xr:uid="{44168917-82F6-44C5-8929-9FC8B809BB8A}"/>
    <cellStyle name="Normal Bold" xfId="216" xr:uid="{5ACFF259-8404-40AF-ADDC-048418590300}"/>
    <cellStyle name="Normal Bold Italics" xfId="217" xr:uid="{8EDF4FB9-DE0D-47AB-B21F-1B229383C259}"/>
    <cellStyle name="Normal1" xfId="382" xr:uid="{9ADAC5A1-CCC7-4867-9ED1-5544D6AC0EC5}"/>
    <cellStyle name="Normal2" xfId="383" xr:uid="{C8F15DE8-0C07-4CF5-A99B-1B2F2DE49D14}"/>
    <cellStyle name="Normale_africer" xfId="218" xr:uid="{D0418A48-C446-46AF-AA52-5FAAFD301001}"/>
    <cellStyle name="NormalGB" xfId="219" xr:uid="{D3639F4A-8D87-4C4F-8BCB-9BBDF11996C7}"/>
    <cellStyle name="normální_16_Capex_All" xfId="220" xr:uid="{3C38B7F3-C284-4A2B-9030-01139E360194}"/>
    <cellStyle name="NOT" xfId="221" xr:uid="{EEEFC6E8-A16F-4A51-BD52-9A7CAB5C76B7}"/>
    <cellStyle name="Nota" xfId="786" xr:uid="{F6BC797D-4BE2-4DE3-9AA2-B73B3F8341F2}"/>
    <cellStyle name="Nota 2" xfId="876" xr:uid="{6982FC78-5CD4-4C45-A805-44EFE4D0A747}"/>
    <cellStyle name="Nota 2 2" xfId="1320" xr:uid="{908CB9A8-BF6F-4318-8BB4-68A0FE6E12EF}"/>
    <cellStyle name="Nota 2 2 2" xfId="1808" xr:uid="{3C7172AC-E278-41FE-B27D-E14F7CD69FD7}"/>
    <cellStyle name="Nota 2 3" xfId="1394" xr:uid="{7D882A85-CA64-4205-BE30-E01C59F4FC5F}"/>
    <cellStyle name="Nota 2 3 2" xfId="1851" xr:uid="{217E71EE-A4F7-4210-9863-8938DBEF2379}"/>
    <cellStyle name="Nota 2 4" xfId="1614" xr:uid="{513FA220-3634-4865-B75F-3E71FACA0D47}"/>
    <cellStyle name="Nota 3" xfId="1276" xr:uid="{8FD60B5B-F262-41CD-AD10-392A1ED9844C}"/>
    <cellStyle name="Nota 3 2" xfId="1785" xr:uid="{C99E616A-8A7D-429A-9297-8C92120D8853}"/>
    <cellStyle name="Nota 4" xfId="1374" xr:uid="{7F3BA26B-946E-4668-8064-8788B12E0596}"/>
    <cellStyle name="Nota 4 2" xfId="1835" xr:uid="{21ED506A-2CA1-423B-816D-3BD1270E88DE}"/>
    <cellStyle name="Nota 5" xfId="1412" xr:uid="{215DD54D-A6C6-428B-83AC-9D132ACAAB2E}"/>
    <cellStyle name="Nota 5 2" xfId="1866" xr:uid="{23793C61-BBEE-40B2-8B74-6FB0AA3AC801}"/>
    <cellStyle name="Nota 6" xfId="1598" xr:uid="{1F9DED89-A570-4905-B4AB-FA31B60C724A}"/>
    <cellStyle name="Note 2" xfId="656" xr:uid="{E0767ABB-44EE-4FC8-9FF2-7FBB32E283F9}"/>
    <cellStyle name="Note 2 2" xfId="788" xr:uid="{3FEBD085-A4EE-447D-B11C-05CD3E752D5A}"/>
    <cellStyle name="Note 2 2 2" xfId="1278" xr:uid="{6980115F-B314-47EC-9BF6-0AE18F581DA9}"/>
    <cellStyle name="Note 2 2 2 2" xfId="1787" xr:uid="{DA50044C-FE6B-414B-AEDB-9B48A37D5551}"/>
    <cellStyle name="Note 2 2 3" xfId="1376" xr:uid="{30CE2C79-A99B-4F82-A8CB-7CC7139B94E7}"/>
    <cellStyle name="Note 2 2 3 2" xfId="1837" xr:uid="{9E85A19E-4AEC-4030-8EF7-C0C5413AA40B}"/>
    <cellStyle name="Note 2 2 4" xfId="1600" xr:uid="{68173194-53D6-45A8-9A1E-73A5E6A718D0}"/>
    <cellStyle name="Note 2 3" xfId="1205" xr:uid="{E77FEDE7-278D-4011-BEE6-12F91A2070BD}"/>
    <cellStyle name="Note 2 3 2" xfId="1754" xr:uid="{4B846C22-DED0-47E4-88B2-0914D743D2FC}"/>
    <cellStyle name="Note 2 4" xfId="894" xr:uid="{7391423C-BCF9-42AC-8EFB-398C6625FE0A}"/>
    <cellStyle name="Note 2 4 2" xfId="1626" xr:uid="{30935F69-3FBD-4A9E-8922-5C769E348D55}"/>
    <cellStyle name="Note 2 5" xfId="1310" xr:uid="{09AE46C7-DDFC-4135-84EC-123ED8071EEB}"/>
    <cellStyle name="Note 2 5 2" xfId="1804" xr:uid="{1894A9EE-4F43-499E-A36E-DE2A6C2A83DE}"/>
    <cellStyle name="Note 2 6" xfId="1587" xr:uid="{FC7CA861-3445-46E5-A9FF-8E7604C7E14A}"/>
    <cellStyle name="Notes" xfId="222" xr:uid="{70D8F0B1-72CB-4741-A1FD-FAF6982EA60A}"/>
    <cellStyle name="Notes bold" xfId="223" xr:uid="{6C6580C0-81DD-4388-855C-6F6E83B2431A}"/>
    <cellStyle name="Num0Un" xfId="224" xr:uid="{970DEE90-B67C-4506-89BA-8B98FA3257FD}"/>
    <cellStyle name="Num1" xfId="225" xr:uid="{39F9CCDB-FB78-4E62-BFAB-EC5AF21DF48D}"/>
    <cellStyle name="Num1Blue" xfId="226" xr:uid="{E81E26AA-4813-44FF-9185-779AB5ECE994}"/>
    <cellStyle name="Num2" xfId="227" xr:uid="{E6DD37A1-5122-45D6-8C16-0937CE0AA072}"/>
    <cellStyle name="Num2Un" xfId="228" xr:uid="{A532904F-00F4-40EB-8E2C-A342C91A7D93}"/>
    <cellStyle name="Number0" xfId="229" xr:uid="{675D29EE-909F-4138-9D06-9F575A594840}"/>
    <cellStyle name="Number1" xfId="230" xr:uid="{A8C97708-28EB-4C44-97BA-B94EEA10DA76}"/>
    <cellStyle name="Number2" xfId="231" xr:uid="{2EF40173-1240-4286-A4E3-7B96711D9CF4}"/>
    <cellStyle name="Numbers" xfId="232" xr:uid="{2D8CEA0F-1A67-43AB-B658-F0D7D47DF632}"/>
    <cellStyle name="Numbers - Bold" xfId="233" xr:uid="{A8B87B62-1175-4CFE-9958-E2286D23A2BB}"/>
    <cellStyle name="Numbers - Bold - Italic" xfId="234" xr:uid="{39526A45-8CCD-4568-87D1-7B7E09CF2A36}"/>
    <cellStyle name="Numbers - Bold_Book1" xfId="235" xr:uid="{20C5142D-6265-47A9-93A1-4BA66497B76E}"/>
    <cellStyle name="Numbers - Large" xfId="236" xr:uid="{D88E5647-35A5-4B30-B437-4E482CA38CDC}"/>
    <cellStyle name="Numbers_Accretion " xfId="237" xr:uid="{00371236-4EC7-4E23-9863-355650DD090D}"/>
    <cellStyle name="Output 2" xfId="657" xr:uid="{A7973DD8-AB76-417E-B378-AA392599D495}"/>
    <cellStyle name="Output 2 2" xfId="787" xr:uid="{E8E462B4-F243-42F6-B676-FE63FDF2F079}"/>
    <cellStyle name="Output 2 2 2" xfId="1277" xr:uid="{55C74CA5-B9E0-415C-824A-2680340AB9AB}"/>
    <cellStyle name="Output 2 2 2 2" xfId="1786" xr:uid="{4EF433D7-ACE7-4902-80FB-99C732F8581B}"/>
    <cellStyle name="Output 2 2 3" xfId="1375" xr:uid="{968400F7-394C-4E28-96D9-0F5836E04AF5}"/>
    <cellStyle name="Output 2 2 3 2" xfId="1836" xr:uid="{32C9A500-420C-4EEB-8FF5-55B068790017}"/>
    <cellStyle name="Output 2 2 4" xfId="1599" xr:uid="{15E03652-C794-4838-8406-FF19B10B4A92}"/>
    <cellStyle name="Output 2 3" xfId="1206" xr:uid="{AC12D01D-85BA-4DA2-ACDE-9DAD064D6F6D}"/>
    <cellStyle name="Output 2 3 2" xfId="1755" xr:uid="{9510AEC9-6AD7-4669-A14D-1085BCA3A11D}"/>
    <cellStyle name="Output 2 4" xfId="1308" xr:uid="{6046FD51-8189-4F72-A6F4-5A774F14FAF0}"/>
    <cellStyle name="Output 2 4 2" xfId="1803" xr:uid="{D7A6CD6E-09C6-4A9A-AB26-728DAF0FBF3E}"/>
    <cellStyle name="Output 2 5" xfId="897" xr:uid="{1F83BCED-E25A-4FA6-AC46-871E4690C3B8}"/>
    <cellStyle name="Output 2 5 2" xfId="1629" xr:uid="{67E14AFE-5DC8-406C-B627-AEE60AD6B59C}"/>
    <cellStyle name="Output 2 6" xfId="1588" xr:uid="{9A2BE325-2AC4-44AF-A84C-86B3B812F05A}"/>
    <cellStyle name="OUTPUT AMOUNTS" xfId="238" xr:uid="{8671BF71-1040-4F2F-9CF9-85B963692512}"/>
    <cellStyle name="Output Line Items" xfId="239" xr:uid="{60160D49-5E39-41DB-BE37-AE58E1CACD30}"/>
    <cellStyle name="Output1_Back" xfId="240" xr:uid="{68841923-4D78-4025-894E-2E427BEB01EF}"/>
    <cellStyle name="p" xfId="241" xr:uid="{0774BFB9-9911-4E84-A931-5C1BBAEF4DBE}"/>
    <cellStyle name="p_DCF" xfId="242" xr:uid="{3E53B210-DA41-4C98-931B-859D64DB8E07}"/>
    <cellStyle name="p_DCF_ES061199" xfId="243" xr:uid="{C728E006-60DA-4DEF-8B4D-DDBF7CA64846}"/>
    <cellStyle name="p_DCF_ES061199_Sales and EBITDA 2013 vs 2012" xfId="852" xr:uid="{22E06F43-F522-4AAF-83DF-CF0FEC693A67}"/>
    <cellStyle name="p_DCF_HISTFIN" xfId="244" xr:uid="{1CBBBD5C-0E80-4A87-888D-EC50878CD33E}"/>
    <cellStyle name="p_DCF_HISTFIN_Sales and EBITDA 2013 vs 2012" xfId="853" xr:uid="{CC5E113D-CD3E-4AB8-BF48-C14855450C08}"/>
    <cellStyle name="p_DCF_JP061799" xfId="245" xr:uid="{FA9EC67F-1FBB-42D8-B397-889EC0A6EAF9}"/>
    <cellStyle name="p_DCF_JP061799_Sales and EBITDA 2013 vs 2012" xfId="854" xr:uid="{C77A06C2-2A6F-4717-A00C-13DF35013DCE}"/>
    <cellStyle name="p_DCF_MODEL1" xfId="246" xr:uid="{B503DA82-CF19-4EFC-85F4-0605CCC3CBA5}"/>
    <cellStyle name="p_DCF_MODEL1_Sales and EBITDA 2013 vs 2012" xfId="855" xr:uid="{C6438E66-FE3F-40B8-A29E-92D6CBAC85F6}"/>
    <cellStyle name="p_DCF_Sales and EBITDA 2013 vs 2012" xfId="856" xr:uid="{643CB439-77E6-4CF5-BF38-CC96929C455D}"/>
    <cellStyle name="p_ES061199" xfId="247" xr:uid="{82F167CF-5CC6-4072-A459-6DFD535D442F}"/>
    <cellStyle name="p_ES061199_Sales and EBITDA 2013 vs 2012" xfId="857" xr:uid="{7B5169C0-3C0E-4BC0-8462-45465F2FD805}"/>
    <cellStyle name="p_HISTFIN" xfId="248" xr:uid="{DD0CD5FE-188F-4423-973C-F3A967915E3C}"/>
    <cellStyle name="p_JP061799" xfId="249" xr:uid="{C762492C-AC19-4F6B-84D7-37D80FE53537}"/>
    <cellStyle name="p_MODEL1" xfId="250" xr:uid="{00F5CA93-8DE2-4F9C-9B17-B36A845590F9}"/>
    <cellStyle name="p_MODEL1_Sales and EBITDA 2013 vs 2012" xfId="858" xr:uid="{BB0A5577-EAFE-4AD1-9022-8BBAA5EE961D}"/>
    <cellStyle name="Page Heading" xfId="251" xr:uid="{FFD3B7CB-5B7B-4350-87A6-2B88648B04A8}"/>
    <cellStyle name="Page Number" xfId="252" xr:uid="{2F0AE47C-4359-4751-BD80-E7BAE0203092}"/>
    <cellStyle name="PB Table Heading" xfId="253" xr:uid="{833A48E5-08DC-471F-9E3D-DF10D6DA01F8}"/>
    <cellStyle name="PB Table Highlight1" xfId="254" xr:uid="{029A3338-3710-48BA-95EC-DA24B161680A}"/>
    <cellStyle name="PB Table Highlight2" xfId="255" xr:uid="{FE784975-FE97-4415-9DD7-069A6ECA3E6C}"/>
    <cellStyle name="PB Table Highlight3" xfId="256" xr:uid="{D54935F0-0B80-45CD-8BE9-999A78169D55}"/>
    <cellStyle name="PB Table Standard Row" xfId="257" xr:uid="{9C78FEC3-1DDF-46D7-A0A0-AC397F19CBE4}"/>
    <cellStyle name="PB Table Subtotal Row" xfId="258" xr:uid="{36E8049B-9276-490B-BA03-2C6D3E071399}"/>
    <cellStyle name="PB Table Total Row" xfId="259" xr:uid="{CFE62256-21D4-4C13-B623-2B9534D16649}"/>
    <cellStyle name="Perc1" xfId="260" xr:uid="{3E289366-CA8C-4242-8B19-C0C3E62179EF}"/>
    <cellStyle name="Percent [0%]" xfId="261" xr:uid="{9707AB7D-B4DF-4F19-84EA-06AC632E7658}"/>
    <cellStyle name="Percent [0.00%]" xfId="262" xr:uid="{EEEF9FD7-5066-40D7-B016-08C39B7789BA}"/>
    <cellStyle name="Percent [0]" xfId="263" xr:uid="{9E7BFCA2-A324-4DB2-9DE3-2FCB23DCD32A}"/>
    <cellStyle name="Percent [1]" xfId="264" xr:uid="{FF8CF2BC-018B-481A-8FCA-855E7E2259EE}"/>
    <cellStyle name="Percent [2]" xfId="265" xr:uid="{DDB809EA-3A55-4C9A-A08F-4B4468C2FB8A}"/>
    <cellStyle name="Percent [2] 2" xfId="415" xr:uid="{50EF4EA3-9FFC-4C94-A2F0-4AC84D1B8E25}"/>
    <cellStyle name="Percent [2] 3" xfId="469" xr:uid="{69B72A5A-11E0-4E93-BAC1-5E43379E2BFE}"/>
    <cellStyle name="Percent 2" xfId="54" xr:uid="{888BBB99-5EE2-4284-83C3-B8DA21A4FD8D}"/>
    <cellStyle name="Percent 2 2" xfId="1943" xr:uid="{91DFF302-6FFC-410E-9528-7D8E739D16F6}"/>
    <cellStyle name="Percent 3" xfId="62" xr:uid="{E32CB9FC-CD45-4B13-BB73-8F6379C3032B}"/>
    <cellStyle name="Percent 3 2" xfId="453" xr:uid="{6E972856-6FFE-4DC4-A2B3-7D80872D8A16}"/>
    <cellStyle name="Percent 3 2 2" xfId="859" xr:uid="{A75B6D59-6663-40D6-8FF2-99D368D15622}"/>
    <cellStyle name="Percent 3 3" xfId="394" xr:uid="{C656453A-D1FA-4BD1-86C9-481EAAB4B28C}"/>
    <cellStyle name="Percent 3 3 2" xfId="872" xr:uid="{A7B034E5-6499-4C23-B259-5067CD6668A7}"/>
    <cellStyle name="Percent 3 4" xfId="1945" xr:uid="{A19F53C8-D129-4FB7-A72A-CEB3ABCCB0A1}"/>
    <cellStyle name="Percent 4" xfId="613" xr:uid="{0A9FA109-95D8-425F-87EB-A3784D3E3A75}"/>
    <cellStyle name="Percent 5" xfId="51" xr:uid="{6230862A-19AB-4CB4-AB38-42815716DCF4}"/>
    <cellStyle name="Percent 6" xfId="1425" xr:uid="{7F10E6CC-7173-49D7-828B-431AA62990FE}"/>
    <cellStyle name="Percent 7" xfId="1936" xr:uid="{EFB8ED4A-20E6-4D55-B68B-58AD937FFFDA}"/>
    <cellStyle name="Percent 8" xfId="1948" xr:uid="{EFB57937-DA8F-4EB8-9331-64EFCE7C9DE8}"/>
    <cellStyle name="Percent Input" xfId="266" xr:uid="{27ED4BF4-2D17-46AD-89F7-E868DDCDFE45}"/>
    <cellStyle name="Percent0" xfId="267" xr:uid="{3529C48C-86C2-4DCA-BC86-6D2B52A1DD38}"/>
    <cellStyle name="Percent1" xfId="268" xr:uid="{38FF2FD7-9F53-4BA9-9FC6-7B1815641F43}"/>
    <cellStyle name="Percent1Blue" xfId="269" xr:uid="{A27E2F03-3312-4241-8447-A5C574C60A06}"/>
    <cellStyle name="Percent2" xfId="270" xr:uid="{8D2F52E3-70E7-4A97-A953-CF43ABEF0194}"/>
    <cellStyle name="Percent2Blue" xfId="271" xr:uid="{CF4C5A98-BEAF-46FF-AE4A-E255D7767994}"/>
    <cellStyle name="percentage" xfId="272" xr:uid="{E94F2401-4597-49C1-8220-8DE7DAE4EBE8}"/>
    <cellStyle name="percentage 2" xfId="416" xr:uid="{9DB9EC69-4B75-452B-9664-6276EEA11688}"/>
    <cellStyle name="percentage 3" xfId="470" xr:uid="{F6D7BB1F-71EF-47D9-ADC7-B4C5AE5BFD2E}"/>
    <cellStyle name="Porcentagem 2" xfId="384" xr:uid="{B3384C68-E809-4CC4-BD0F-936CA51FA999}"/>
    <cellStyle name="Pounds" xfId="273" xr:uid="{115815C3-24B4-4C00-AF92-04A60D3B6437}"/>
    <cellStyle name="Price" xfId="274" xr:uid="{7BC9E963-A5A2-4556-835B-F8D3742C35C5}"/>
    <cellStyle name="Price 2" xfId="417" xr:uid="{BED3BFAE-2753-404A-86A2-5ACB09AA0049}"/>
    <cellStyle name="Price 3" xfId="471" xr:uid="{F37B07EE-D2C7-4684-AA99-F3ED587B9740}"/>
    <cellStyle name="PriceUn" xfId="275" xr:uid="{6DC75472-0F6F-4DEA-9A26-5951D657F337}"/>
    <cellStyle name="PriceUn 2" xfId="418" xr:uid="{6F8AC537-CC39-4F8D-81C6-22EE76C2D094}"/>
    <cellStyle name="PriceUn 3" xfId="472" xr:uid="{2F83C667-EDE0-49AB-BB7F-21F4D92B3CE7}"/>
    <cellStyle name="prin" xfId="276" xr:uid="{8C8B7649-228B-498C-976F-A2EB115F7354}"/>
    <cellStyle name="Provisional" xfId="277" xr:uid="{B5168F40-E399-4E26-AF65-B316866BCA73}"/>
    <cellStyle name="PSChar" xfId="278" xr:uid="{E182C855-6CA2-4CFB-BF1C-6C7D3D701DF9}"/>
    <cellStyle name="PSDate" xfId="279" xr:uid="{F696FABE-38A0-4288-83F9-712FC53BF653}"/>
    <cellStyle name="PSDec" xfId="280" xr:uid="{E4A6C494-4E52-40C8-876A-3597E7E02FD3}"/>
    <cellStyle name="PSHeading" xfId="281" xr:uid="{99F3878E-4DA8-494E-BF75-46B5BFC29838}"/>
    <cellStyle name="PSInt" xfId="282" xr:uid="{E5B0DC72-B9E1-49F8-8223-320498C5F044}"/>
    <cellStyle name="PSSpacer" xfId="283" xr:uid="{3A7A6417-71E5-490E-BA6D-D92D0846AB05}"/>
    <cellStyle name="r" xfId="284" xr:uid="{FAA66152-430F-405B-9D67-C3048AFCFF58}"/>
    <cellStyle name="r_Accretion " xfId="285" xr:uid="{459E4765-9686-45F4-9C84-E8033AD6FC71}"/>
    <cellStyle name="r_Accretion _Sales and EBITDA 2013 vs 2012" xfId="860" xr:uid="{45A73744-334E-4B6B-8D8B-B7EB62C1A8A7}"/>
    <cellStyle name="r_accretion dilution" xfId="286" xr:uid="{7E704A97-7F89-48C7-BA0A-6D8C8D5490AC}"/>
    <cellStyle name="r_accretion dilution_Sales and EBITDA 2013 vs 2012" xfId="861" xr:uid="{FAAD23B1-AB84-4CC4-8BCB-606677AED90A}"/>
    <cellStyle name="r_Accretion Model" xfId="287" xr:uid="{F395A09A-0DC2-4E3F-BAC3-2FE20C954A80}"/>
    <cellStyle name="r_Accretion Model_Sales and EBITDA 2013 vs 2012" xfId="862" xr:uid="{F5E72179-0D95-4D51-BBB6-1640B61592F6}"/>
    <cellStyle name="r_C-ANALYSIS" xfId="288" xr:uid="{584A3EAB-3E19-4589-BEC0-43FEDC5696DF}"/>
    <cellStyle name="r_C-ANALYSIS_Sales and EBITDA 2013 vs 2012" xfId="863" xr:uid="{E93DEDEB-8A39-4175-A07D-20E23830A26A}"/>
    <cellStyle name="r_navajo1" xfId="289" xr:uid="{499F4764-8C05-48C4-8428-7C0D1BD3AC31}"/>
    <cellStyle name="r_navajo1_Sales and EBITDA 2013 vs 2012" xfId="864" xr:uid="{A4EC5FAF-E76D-4A64-A653-9ACE63BD3225}"/>
    <cellStyle name="r_PROFORMA" xfId="290" xr:uid="{1E292472-9717-4E91-88E6-081EF36B1A2B}"/>
    <cellStyle name="r_PROFORMA_Sales and EBITDA 2013 vs 2012" xfId="865" xr:uid="{4E9B04C9-B7A5-4061-8E6D-0B193C15241D}"/>
    <cellStyle name="r_Sales and EBITDA 2013 vs 2012" xfId="866" xr:uid="{3C7FDDA0-59B9-494B-8E9D-954C35AF94C1}"/>
    <cellStyle name="r_Trex Analysis 4-29-02_divestiture of AS" xfId="291" xr:uid="{FE41D13C-5C0A-4A09-B0D6-A03A373C1431}"/>
    <cellStyle name="r_Trex Analysis 4-29-02_divestiture of AS_Sales and EBITDA 2013 vs 2012" xfId="867" xr:uid="{4282F16D-0807-46E7-9B7A-5BFE103C8799}"/>
    <cellStyle name="References/Notes" xfId="292" xr:uid="{28B6A90E-369C-4078-B5E0-FA15A7A11B84}"/>
    <cellStyle name="References/Notes Heading" xfId="293" xr:uid="{5940819F-9048-40F0-8980-43E652427089}"/>
    <cellStyle name="Region" xfId="294" xr:uid="{37B90E30-09BF-4950-892E-77C7A71FFF60}"/>
    <cellStyle name="regional" xfId="295" xr:uid="{758CF341-53B9-4038-B12F-A2BD51E42F36}"/>
    <cellStyle name="Resultat" xfId="791" xr:uid="{BD38F5C1-77E3-459E-8E04-C4740862E506}"/>
    <cellStyle name="Resultat 2" xfId="877" xr:uid="{20A28A87-9581-4A4A-91AC-9749888DEF65}"/>
    <cellStyle name="Resultat 2 2" xfId="1321" xr:uid="{F83D8DDC-02B0-4C04-8D31-057A7A84F151}"/>
    <cellStyle name="Resultat 2 2 2" xfId="1809" xr:uid="{BA31E41C-E4A9-457F-B0AE-8116719EBFAF}"/>
    <cellStyle name="Resultat 2 3" xfId="1395" xr:uid="{0E1DB5BE-DEA7-4EB1-A2B4-FDD5B70A4A35}"/>
    <cellStyle name="Resultat 2 3 2" xfId="1852" xr:uid="{B875569E-45DF-4894-8CD7-D59D8FDF9117}"/>
    <cellStyle name="Resultat 2 4" xfId="1615" xr:uid="{8186F059-A892-4DA0-ABD0-FA23C569ECBC}"/>
    <cellStyle name="Resultat 3" xfId="1281" xr:uid="{8D57EB50-588A-434A-BCBB-B9C3669259D2}"/>
    <cellStyle name="Resultat 3 2" xfId="1790" xr:uid="{B7EAA175-6037-4221-BAE7-C98C9842D72C}"/>
    <cellStyle name="Resultat 4" xfId="1379" xr:uid="{8A3EFFB2-EE9C-4EC6-9384-67A9E0942809}"/>
    <cellStyle name="Resultat 4 2" xfId="1840" xr:uid="{55E5D08B-02BE-4D7E-8B87-5715D95AB371}"/>
    <cellStyle name="Resultat 5" xfId="1413" xr:uid="{36904746-B5CA-4833-8B9A-98C20A9C1D1D}"/>
    <cellStyle name="Resultat 5 2" xfId="1867" xr:uid="{441F76FD-C31E-4A4B-9E1C-21E24DC7C0C9}"/>
    <cellStyle name="Resultat 6" xfId="1603" xr:uid="{A222E2E2-7269-45F0-BD12-46472FFF20D3}"/>
    <cellStyle name="RevList" xfId="296" xr:uid="{1EA8BD09-F1D4-4092-95BD-73C2CF95E0FD}"/>
    <cellStyle name="Row title 1" xfId="297" xr:uid="{09E3EC94-A854-4AEA-AE71-CCDC94C71338}"/>
    <cellStyle name="Row title 2" xfId="298" xr:uid="{FDEBEAB6-AD95-4DAD-9A0F-DEBFDD9CAA89}"/>
    <cellStyle name="Row total" xfId="299" xr:uid="{916BD9E4-EDA6-4511-B960-31178F51AFB6}"/>
    <cellStyle name="Saída" xfId="792" xr:uid="{AEE1D182-AD6B-4398-8CFA-0EE098F4C354}"/>
    <cellStyle name="Saída 2" xfId="878" xr:uid="{A0AB55F2-69DB-45D7-B0C7-D04F79B94B14}"/>
    <cellStyle name="Saída 2 2" xfId="1322" xr:uid="{7E0B1CE8-CDE0-4E39-976D-4778ABFF4A17}"/>
    <cellStyle name="Saída 2 2 2" xfId="1810" xr:uid="{CDCCDC1B-DEFA-49AF-9508-86E4A48E06EC}"/>
    <cellStyle name="Saída 2 3" xfId="1396" xr:uid="{67199DED-7667-4666-8C05-1F886E69A4B0}"/>
    <cellStyle name="Saída 2 3 2" xfId="1853" xr:uid="{0336908C-CB3C-4FEA-9238-F121F8388EC4}"/>
    <cellStyle name="Saída 2 4" xfId="1616" xr:uid="{0DE70DEC-2632-4736-9CF8-EDE327DE96D8}"/>
    <cellStyle name="Saída 3" xfId="1282" xr:uid="{470F9AE3-FFA8-4576-B6D6-0691F49F4CB1}"/>
    <cellStyle name="Saída 3 2" xfId="1791" xr:uid="{D4893E34-2403-47C0-A6B8-F7930BB99232}"/>
    <cellStyle name="Saída 4" xfId="1380" xr:uid="{4F84DFA2-DB70-4AD4-94D3-FC8DA4A937E7}"/>
    <cellStyle name="Saída 4 2" xfId="1841" xr:uid="{C5944365-D738-41FC-A818-982B559C0CE8}"/>
    <cellStyle name="Saída 5" xfId="1414" xr:uid="{0F67E718-471A-4B2A-ADFB-23583DFA04C1}"/>
    <cellStyle name="Saída 5 2" xfId="1868" xr:uid="{5D32819A-959D-46DA-B4E9-FE64C6CF9D01}"/>
    <cellStyle name="Saída 6" xfId="1604" xr:uid="{2E3AC8DD-EAF0-43DE-9DAC-1CCA1A62C4BD}"/>
    <cellStyle name="Salomon Logo" xfId="300" xr:uid="{9519D73E-B471-4155-9459-CACE54E610FF}"/>
    <cellStyle name="SAPBorder" xfId="29" xr:uid="{A8018D85-D76B-476E-84C9-AFE6B494D777}"/>
    <cellStyle name="SAPDataCell" xfId="6" xr:uid="{99419E87-D2E4-4252-8E11-E648F3EDAC9C}"/>
    <cellStyle name="SAPDataRemoved" xfId="30" xr:uid="{E270938B-7B62-456C-9DC6-735E6700F85D}"/>
    <cellStyle name="SAPDataTotalCell" xfId="7" xr:uid="{6169461D-9F72-44D3-BE63-65FEE81347EA}"/>
    <cellStyle name="SAPDimensionCell" xfId="3" xr:uid="{181C08B2-A1E1-4CD8-95FB-8EBB4187BBF8}"/>
    <cellStyle name="SAPEditableDataCell" xfId="14" xr:uid="{354EEC10-7E93-409F-BD1D-B15AC70E8FC1}"/>
    <cellStyle name="SAPEditableDataTotalCell" xfId="17" xr:uid="{8ACF27CA-F01D-451F-86FB-7D7D47117BE4}"/>
    <cellStyle name="SAPEmphasized" xfId="38" xr:uid="{B1B63500-DE9C-44DA-9982-C8AEC241F891}"/>
    <cellStyle name="SAPEmphasizedEditableDataCell" xfId="40" xr:uid="{5054F8BA-E065-484B-ACBA-9FC9EEE10113}"/>
    <cellStyle name="SAPEmphasizedEditableDataTotalCell" xfId="41" xr:uid="{844C9495-F002-4F1B-B3E0-9FA848517755}"/>
    <cellStyle name="SAPEmphasizedLockedDataCell" xfId="44" xr:uid="{2E6D93EC-68AA-4A27-97A3-0E1E26A0FA1D}"/>
    <cellStyle name="SAPEmphasizedLockedDataTotalCell" xfId="45" xr:uid="{0E4DDE73-A78C-458B-8393-29A828B69098}"/>
    <cellStyle name="SAPEmphasizedReadonlyDataCell" xfId="42" xr:uid="{1D8626B6-9D8E-46CB-991A-A6D586AC47A2}"/>
    <cellStyle name="SAPEmphasizedReadonlyDataTotalCell" xfId="43" xr:uid="{F6E821EE-DBAC-4B89-9CFF-30D173C443F7}"/>
    <cellStyle name="SAPEmphasizedTotal" xfId="39" xr:uid="{6911FA7A-332E-4B45-9C35-2B2CED865EE2}"/>
    <cellStyle name="SAPError" xfId="31" xr:uid="{C3C60A38-6980-4D07-B156-CB9ECE8ECC7F}"/>
    <cellStyle name="SAPExceptionLevel1" xfId="20" xr:uid="{F96291A5-6953-462B-8F41-73F73967C123}"/>
    <cellStyle name="SAPExceptionLevel2" xfId="21" xr:uid="{9662EA3B-0500-430C-A791-F1155D99E98D}"/>
    <cellStyle name="SAPExceptionLevel3" xfId="22" xr:uid="{DD7A38DB-E6FD-4B3D-8E25-8DD560F5526D}"/>
    <cellStyle name="SAPExceptionLevel4" xfId="23" xr:uid="{3FDF25A6-8C91-4FD0-9BA4-1B0FE589795D}"/>
    <cellStyle name="SAPExceptionLevel5" xfId="24" xr:uid="{4D0C3DAD-2D2A-40C9-ABB1-7775B8C619C1}"/>
    <cellStyle name="SAPExceptionLevel6" xfId="25" xr:uid="{9FD64292-086B-496B-AD46-6C43B3F2F2C4}"/>
    <cellStyle name="SAPExceptionLevel7" xfId="26" xr:uid="{7B6DF26C-CA95-4C70-807A-AC65CD39D409}"/>
    <cellStyle name="SAPExceptionLevel8" xfId="27" xr:uid="{D6D41EE3-C04B-4C9C-A88E-713147BB6C30}"/>
    <cellStyle name="SAPExceptionLevel9" xfId="28" xr:uid="{DA2F5E04-D140-4B8B-85FC-D3AD56206DB4}"/>
    <cellStyle name="SAPFormula" xfId="46" xr:uid="{4A8389E5-9F61-4360-A14C-477BD7B36E3E}"/>
    <cellStyle name="SAPGroupingFillCell" xfId="13" xr:uid="{2155079C-C4F3-48B6-BDE1-0C55B92C2EA8}"/>
    <cellStyle name="SAPHierarchyCell0" xfId="33" xr:uid="{B2E2F8A6-C1F0-4B3E-BB8B-6F1BC8585445}"/>
    <cellStyle name="SAPHierarchyCell1" xfId="34" xr:uid="{92939A8D-A61B-4739-8EE6-DE3FE21A2E50}"/>
    <cellStyle name="SAPHierarchyCell2" xfId="35" xr:uid="{88FC01C6-2061-40AD-945B-C3C13D83B3F5}"/>
    <cellStyle name="SAPHierarchyCell3" xfId="36" xr:uid="{E55B7460-4927-4E8F-846B-5BCB22E5595D}"/>
    <cellStyle name="SAPHierarchyCell4" xfId="37" xr:uid="{D845E49A-FA9F-4F70-9C6B-F0C002A13179}"/>
    <cellStyle name="SAPLockedDataCell" xfId="16" xr:uid="{02E8D06E-8DAA-4D76-8428-8496898AD141}"/>
    <cellStyle name="SAPLockedDataTotalCell" xfId="19" xr:uid="{7ADBAD84-803D-4FB1-A4B7-AE62357CDFAA}"/>
    <cellStyle name="SAPMemberCell" xfId="4" xr:uid="{10BC7815-90D8-4FC5-A721-951D9FF57E1E}"/>
    <cellStyle name="SAPMemberTotalCell" xfId="5" xr:uid="{3EC6C94A-5DDF-4E61-B398-D126C11A530B}"/>
    <cellStyle name="SAPMessageText" xfId="32" xr:uid="{D54D43A2-603A-4C26-B24C-2D3A88A10425}"/>
    <cellStyle name="SAPReadonlyDataCell" xfId="15" xr:uid="{1EE2C166-A277-46B7-BB3B-9D9E80D3C451}"/>
    <cellStyle name="SAPReadonlyDataTotalCell" xfId="18" xr:uid="{0AE2B68A-4D08-414A-B69F-E578885721EC}"/>
    <cellStyle name="scenario" xfId="301" xr:uid="{C15A4CE8-EE0A-4FA6-A4EB-9B5AFD0774D9}"/>
    <cellStyle name="ScotchRule" xfId="302" xr:uid="{284AD11D-1D0D-4176-B35F-0B44209EF989}"/>
    <cellStyle name="Separador de milhares [0]_Person" xfId="303" xr:uid="{DCD71D32-8BDC-4D79-9BA4-5A874E968D0A}"/>
    <cellStyle name="Separador de milhares_05- STEEL DOMESTIC AFTERMARKET PASS CARS LIGHT TRUCKS 2004-2009" xfId="304" xr:uid="{2EFA5D63-E36F-4903-9F51-A61032E600FC}"/>
    <cellStyle name="Shaded" xfId="305" xr:uid="{3AB729AF-8CED-4AC5-8B78-6C257A86E295}"/>
    <cellStyle name="Sheet Title" xfId="793" xr:uid="{FF25D2D3-9893-439A-A29A-A799C41B4E45}"/>
    <cellStyle name="Sheetmult" xfId="306" xr:uid="{826E190F-EB8F-4EDB-A135-4CD145F49FD6}"/>
    <cellStyle name="Shtmultx" xfId="307" xr:uid="{C7B03875-7EC7-43C9-890F-D5F868198E1D}"/>
    <cellStyle name="Single Accounting" xfId="308" xr:uid="{D0EA4EB8-B01C-45A5-A0B1-E9597C3A64E0}"/>
    <cellStyle name="Small Headings" xfId="309" xr:uid="{2FC7025D-4462-4DD6-929C-1C430E4CA3C3}"/>
    <cellStyle name="ssubtitulo" xfId="385" xr:uid="{CEAE5588-2375-4806-80EA-84FE7BB38D17}"/>
    <cellStyle name="Standaard_Blad1" xfId="794" xr:uid="{FFAF2FE4-B77B-460F-802E-947F88284405}"/>
    <cellStyle name="Standard 2" xfId="8" xr:uid="{871503C2-76C2-4BEE-9186-3241F2EE5A85}"/>
    <cellStyle name="Standard_Bud_Hypload_2005_Werke_rev_30_11_2004_SW" xfId="52" xr:uid="{0D64389A-EB83-43F1-9615-E399F80A0DC1}"/>
    <cellStyle name="Stock Price" xfId="310" xr:uid="{23789978-3DD4-41BA-8DF2-C4954AE0AF4C}"/>
    <cellStyle name="Stock Price 10" xfId="879" xr:uid="{962DC673-EF71-4151-B3D9-F264A0D0A37D}"/>
    <cellStyle name="Stock Price 11" xfId="958" xr:uid="{39AA3848-B7C6-448A-9D2B-E10839CED0E7}"/>
    <cellStyle name="Stock Price 11 2" xfId="1650" xr:uid="{2C811AA9-9ACE-436F-9FA4-471C5ED78EEA}"/>
    <cellStyle name="Stock Price 12" xfId="1001" xr:uid="{DD2A3352-7695-4980-9250-5A3751C527B6}"/>
    <cellStyle name="Stock Price 12 2" xfId="1658" xr:uid="{91BA2658-1061-44AD-8FE0-D512E70EFA22}"/>
    <cellStyle name="Stock Price 13" xfId="1218" xr:uid="{3F40FEB0-2FCB-4A70-9A36-2D1BDF4C2E33}"/>
    <cellStyle name="Stock Price 13 2" xfId="1763" xr:uid="{2F6FF44A-0BDC-453C-A8CB-C1A8DF380538}"/>
    <cellStyle name="Stock Price 14" xfId="1432" xr:uid="{791C0458-98FE-4DED-93AF-0809C6E02A4C}"/>
    <cellStyle name="Stock Price 2" xfId="451" xr:uid="{E83364E2-1E21-413B-A0E2-96313C0A51B0}"/>
    <cellStyle name="Stock Price 2 2" xfId="603" xr:uid="{0331EE71-8E48-49E9-B578-3BEE3D9EA949}"/>
    <cellStyle name="Stock Price 2 2 2" xfId="1178" xr:uid="{BCD46E1B-E71E-4016-84D7-A2F520FED0F6}"/>
    <cellStyle name="Stock Price 2 2 2 2" xfId="1739" xr:uid="{0BD54E31-5D52-4297-A05D-A3B97C065621}"/>
    <cellStyle name="Stock Price 2 2 3" xfId="1189" xr:uid="{38A3B1BF-665F-4C06-AC2F-EA5FDCE641FF}"/>
    <cellStyle name="Stock Price 2 2 3 2" xfId="1746" xr:uid="{006D5A85-4711-4447-A743-B367DBB93A24}"/>
    <cellStyle name="Stock Price 2 2 4" xfId="1337" xr:uid="{B242ADC8-224E-46A0-B31F-201C0FB1B4A7}"/>
    <cellStyle name="Stock Price 2 2 4 2" xfId="1821" xr:uid="{AE090E74-3320-4B3D-823A-12D517E10DB0}"/>
    <cellStyle name="Stock Price 2 2 5" xfId="1578" xr:uid="{48F7367F-6812-49CF-A11B-6D72B865BEBE}"/>
    <cellStyle name="Stock Price 2 3" xfId="549" xr:uid="{C79C0B6B-FEC4-466B-89A8-6ECAFB81833E}"/>
    <cellStyle name="Stock Price 2 3 2" xfId="1132" xr:uid="{EE0CE80B-5AA5-47AB-BD66-AB860C616D35}"/>
    <cellStyle name="Stock Price 2 3 2 2" xfId="1714" xr:uid="{3F374455-166C-411C-8461-CFBD229B1C0D}"/>
    <cellStyle name="Stock Price 2 3 3" xfId="1242" xr:uid="{0D06BC2C-DC62-46A6-B4CB-3F86B3B589BA}"/>
    <cellStyle name="Stock Price 2 3 3 2" xfId="1771" xr:uid="{08CCB640-ED8E-4A65-9D5B-C0CF551C5D20}"/>
    <cellStyle name="Stock Price 2 3 4" xfId="1227" xr:uid="{99734D55-5186-496E-8E9C-D9F7EAA2D6DF}"/>
    <cellStyle name="Stock Price 2 3 4 2" xfId="1767" xr:uid="{8A970A1D-E4F7-4F35-A1ED-A131509EF0C6}"/>
    <cellStyle name="Stock Price 2 3 5" xfId="1537" xr:uid="{C4D75D13-137E-4D26-A4AD-2FF5174CCE14}"/>
    <cellStyle name="Stock Price 2 4" xfId="502" xr:uid="{AFEB16A9-0123-483F-AC03-DAA15BCBADF0}"/>
    <cellStyle name="Stock Price 2 4 2" xfId="1085" xr:uid="{51315902-E15D-414B-A975-BC97AE132B1A}"/>
    <cellStyle name="Stock Price 2 4 2 2" xfId="1688" xr:uid="{785589B0-CC2C-4CFF-BCDE-76BB1B836E51}"/>
    <cellStyle name="Stock Price 2 4 3" xfId="1029" xr:uid="{B3715C2C-E24E-43E2-AF87-414E72C8B484}"/>
    <cellStyle name="Stock Price 2 4 3 2" xfId="1668" xr:uid="{966A0989-79C4-4AB3-8FDA-5923B7CB7955}"/>
    <cellStyle name="Stock Price 2 4 4" xfId="1270" xr:uid="{5360CD23-5FF7-4EC9-96C8-D27F93709C7B}"/>
    <cellStyle name="Stock Price 2 4 4 2" xfId="1781" xr:uid="{31CA1665-FF8D-41C6-ABE3-4479DF99FF70}"/>
    <cellStyle name="Stock Price 2 4 5" xfId="1490" xr:uid="{34A53C01-A5AA-40AD-B13C-77F9C4ABAA41}"/>
    <cellStyle name="Stock Price 2 5" xfId="1046" xr:uid="{A9A46E9A-0AB3-40A5-8B45-6B6DEBBCF194}"/>
    <cellStyle name="Stock Price 2 6" xfId="889" xr:uid="{52DE303F-A455-4607-8C7A-426AD552D049}"/>
    <cellStyle name="Stock Price 2 6 2" xfId="1623" xr:uid="{C973E520-4BB0-46CB-ACDE-CA51AE1405E7}"/>
    <cellStyle name="Stock Price 2 7" xfId="1459" xr:uid="{9BCF84F3-6B49-4D0F-8534-C27834946AF9}"/>
    <cellStyle name="Stock Price 3" xfId="442" xr:uid="{ED7858C5-1DCD-45F1-9570-196953EFD64C}"/>
    <cellStyle name="Stock Price 3 2" xfId="584" xr:uid="{5AC60DB4-DD7D-4EA7-8A0C-B9C88F9C4AAD}"/>
    <cellStyle name="Stock Price 3 2 2" xfId="1159" xr:uid="{E231ADAD-EF3B-4C74-AB2D-92558F72BFB4}"/>
    <cellStyle name="Stock Price 3 2 2 2" xfId="1728" xr:uid="{F5A60BE0-7DB4-4BFE-B791-EF8CD41DCB12}"/>
    <cellStyle name="Stock Price 3 2 3" xfId="1196" xr:uid="{2D7F0A46-E712-4F68-BC52-1E36EC53B5C8}"/>
    <cellStyle name="Stock Price 3 2 3 2" xfId="1748" xr:uid="{89CCE0C7-5EDE-4EBE-B9E2-85942FF3E263}"/>
    <cellStyle name="Stock Price 3 2 4" xfId="1021" xr:uid="{FA54AFB3-B212-4D57-B3F8-7B716D8BAF3E}"/>
    <cellStyle name="Stock Price 3 2 4 2" xfId="1663" xr:uid="{021A212B-A3B4-4A96-AB5C-233FE22B4D15}"/>
    <cellStyle name="Stock Price 3 2 5" xfId="1559" xr:uid="{114908C8-3FD6-46F8-B5EA-0247659F79E7}"/>
    <cellStyle name="Stock Price 3 3" xfId="540" xr:uid="{DFF19078-2DBA-4EA6-8908-AC68944DE8D5}"/>
    <cellStyle name="Stock Price 3 3 2" xfId="1123" xr:uid="{C7BB204B-C0A5-4555-A945-AB164A989CED}"/>
    <cellStyle name="Stock Price 3 3 2 2" xfId="1711" xr:uid="{9D0EC18F-70F3-429A-8ABB-F8CF71696FCE}"/>
    <cellStyle name="Stock Price 3 3 3" xfId="900" xr:uid="{AEB43F13-E5ED-4446-BBEE-72402804573E}"/>
    <cellStyle name="Stock Price 3 3 3 2" xfId="1630" xr:uid="{8C2F42FE-9970-41AF-A2CA-C0AF7A07F26C}"/>
    <cellStyle name="Stock Price 3 3 4" xfId="949" xr:uid="{CFB8E780-8F92-4D30-AB28-C7D5F67B44DB}"/>
    <cellStyle name="Stock Price 3 3 4 2" xfId="1646" xr:uid="{6E4691C2-4163-42A1-BBFD-DFE363660660}"/>
    <cellStyle name="Stock Price 3 3 5" xfId="1528" xr:uid="{9CA3A274-8333-4DDC-A7F9-1D59AAE7EB96}"/>
    <cellStyle name="Stock Price 3 4" xfId="1037" xr:uid="{DF14C785-1159-4C93-BB9C-48E5ED82725A}"/>
    <cellStyle name="Stock Price 4" xfId="478" xr:uid="{6B179992-AA0F-438F-81B9-2F58B88965DA}"/>
    <cellStyle name="Stock Price 4 2" xfId="599" xr:uid="{36877BD4-70AA-488F-8FB2-FEFCB9442821}"/>
    <cellStyle name="Stock Price 4 2 2" xfId="1174" xr:uid="{58CEC680-0AE4-4127-8ED6-15CA672AF698}"/>
    <cellStyle name="Stock Price 4 2 2 2" xfId="1736" xr:uid="{FACA86EC-AAAC-437E-AD99-1AC11B670152}"/>
    <cellStyle name="Stock Price 4 2 3" xfId="1222" xr:uid="{ED4CF28F-9F5B-40CB-8BF3-033FD7B3B379}"/>
    <cellStyle name="Stock Price 4 2 3 2" xfId="1766" xr:uid="{68AF6732-2EA7-48FA-ABE8-98AFC38F589C}"/>
    <cellStyle name="Stock Price 4 2 4" xfId="1340" xr:uid="{8471FD86-D768-4562-B6E4-E2A23B4C1F23}"/>
    <cellStyle name="Stock Price 4 2 4 2" xfId="1822" xr:uid="{7CE8248B-2D8A-4C47-8F66-3ABDE6E25D7E}"/>
    <cellStyle name="Stock Price 4 2 5" xfId="1574" xr:uid="{A8173580-2953-4078-B7C5-DF02D8C62EA3}"/>
    <cellStyle name="Stock Price 4 3" xfId="510" xr:uid="{A15FFC6E-6515-469E-A4BC-7E7B99EA2AA6}"/>
    <cellStyle name="Stock Price 4 3 2" xfId="1093" xr:uid="{90EC9C17-C097-410B-B785-CC48D55ED011}"/>
    <cellStyle name="Stock Price 4 3 2 2" xfId="1692" xr:uid="{93E1DA83-873C-48B1-A013-1FB9DAF2EA18}"/>
    <cellStyle name="Stock Price 4 3 3" xfId="913" xr:uid="{C46CF3B6-30F4-4CF9-8E49-6255C3E30A68}"/>
    <cellStyle name="Stock Price 4 3 3 2" xfId="1634" xr:uid="{61BD1695-9190-4FBF-8BAA-4DC67D877509}"/>
    <cellStyle name="Stock Price 4 3 4" xfId="1207" xr:uid="{AEB4A920-1F02-4611-B469-7FB93C8C1A8A}"/>
    <cellStyle name="Stock Price 4 3 4 2" xfId="1756" xr:uid="{64E830C1-A351-4FCC-BBD0-05A629C1EF5C}"/>
    <cellStyle name="Stock Price 4 3 5" xfId="1498" xr:uid="{385A7BF3-D5DB-4E61-8944-26E029D8F84A}"/>
    <cellStyle name="Stock Price 4 4" xfId="1061" xr:uid="{9863D8A0-6D81-4308-9D2D-3F0871D65F13}"/>
    <cellStyle name="Stock Price 4 5" xfId="1015" xr:uid="{E0C883FE-CA8D-4025-AF92-4BE739DBA181}"/>
    <cellStyle name="Stock Price 4 5 2" xfId="1662" xr:uid="{8A181DD4-A0A5-4C94-8BE9-93BD8A05D3CC}"/>
    <cellStyle name="Stock Price 4 6" xfId="1467" xr:uid="{E76C3F44-0BB6-40A1-AFFC-307FD2058938}"/>
    <cellStyle name="Stock Price 5" xfId="431" xr:uid="{6E67C1EA-F6AC-4038-A74E-274590BFC340}"/>
    <cellStyle name="Stock Price 5 2" xfId="529" xr:uid="{40E52B50-3709-4857-9145-51B693DF2748}"/>
    <cellStyle name="Stock Price 5 2 2" xfId="1112" xr:uid="{B1BB9B00-BCDB-442E-A230-F41D5B54B97D}"/>
    <cellStyle name="Stock Price 5 2 2 2" xfId="1703" xr:uid="{5C335D11-2F84-4E28-A136-031B130C5A82}"/>
    <cellStyle name="Stock Price 5 2 3" xfId="1311" xr:uid="{890CE6ED-A441-4745-BBF1-128737A912EB}"/>
    <cellStyle name="Stock Price 5 2 3 2" xfId="1805" xr:uid="{B716F706-F0EA-4127-AC45-2BF28DE84F7C}"/>
    <cellStyle name="Stock Price 5 2 4" xfId="1292" xr:uid="{46F72CEC-EF0F-4DBD-A76E-B014BB52E96C}"/>
    <cellStyle name="Stock Price 5 2 4 2" xfId="1795" xr:uid="{83524289-7578-4D81-9707-F47F4C87023B}"/>
    <cellStyle name="Stock Price 5 2 5" xfId="1517" xr:uid="{0C5FE411-70EC-4241-ABBF-3CC313C33AD7}"/>
    <cellStyle name="Stock Price 5 3" xfId="1026" xr:uid="{54CDFAC4-AE34-4686-82CB-7B18E1D85C4D}"/>
    <cellStyle name="Stock Price 5 3 2" xfId="1665" xr:uid="{10D8B903-89B7-42C0-8407-0398F53A8808}"/>
    <cellStyle name="Stock Price 5 4" xfId="944" xr:uid="{0F0F38AB-869B-4C26-9C23-5057BEE2913D}"/>
    <cellStyle name="Stock Price 5 4 2" xfId="1644" xr:uid="{5D0A5048-52F6-404C-9AE4-39A69F9C9154}"/>
    <cellStyle name="Stock Price 5 5" xfId="1369" xr:uid="{A40FECD8-4C8E-45DF-AD44-CD15B78B5097}"/>
    <cellStyle name="Stock Price 5 5 2" xfId="1831" xr:uid="{1B90C548-6AA3-478F-A2C2-8AF1542BA1DC}"/>
    <cellStyle name="Stock Price 5 6" xfId="1444" xr:uid="{D14627AB-05E0-4074-AA09-5229234B5B3B}"/>
    <cellStyle name="Stock Price 6" xfId="578" xr:uid="{6A1E28A5-27EC-40C4-9912-351F26C8DB93}"/>
    <cellStyle name="Stock Price 6 2" xfId="1153" xr:uid="{8B0CB381-F7C3-48E2-9BF7-E44A20E8EB95}"/>
    <cellStyle name="Stock Price 6 2 2" xfId="1724" xr:uid="{95E5E8C0-B4DC-4EBD-BAE4-43C781885F2C}"/>
    <cellStyle name="Stock Price 6 3" xfId="1230" xr:uid="{7767DF39-315B-42A5-8B9E-BF1C0B54ACAD}"/>
    <cellStyle name="Stock Price 6 3 2" xfId="1768" xr:uid="{966F4FF5-9268-483A-B60E-4B7BE40AA753}"/>
    <cellStyle name="Stock Price 6 4" xfId="1006" xr:uid="{BC8F8B7F-8B9E-47F7-96E9-0681E63B6478}"/>
    <cellStyle name="Stock Price 6 4 2" xfId="1660" xr:uid="{4C600717-9A2F-4773-A7D1-1E8256AE2FCD}"/>
    <cellStyle name="Stock Price 6 5" xfId="1553" xr:uid="{33B0E98C-4A42-4F7E-89D9-5E03D68A99BE}"/>
    <cellStyle name="Stock Price 7" xfId="516" xr:uid="{7A40E381-A3C0-4127-A4FA-6EFF41983AED}"/>
    <cellStyle name="Stock Price 7 2" xfId="1099" xr:uid="{FD88A6C5-1132-427F-B8A2-634AB7EEA925}"/>
    <cellStyle name="Stock Price 7 2 2" xfId="1696" xr:uid="{23626E9A-AFF2-42EC-89F2-4826575957D1}"/>
    <cellStyle name="Stock Price 7 3" xfId="1010" xr:uid="{652114E8-BB71-4082-AA47-233FA77EAD28}"/>
    <cellStyle name="Stock Price 7 3 2" xfId="1661" xr:uid="{19E9D31E-CC8F-43C7-B044-0A2D08B1DB6C}"/>
    <cellStyle name="Stock Price 7 4" xfId="1233" xr:uid="{3B78E26A-835C-45C6-AD9E-9C9708431EC7}"/>
    <cellStyle name="Stock Price 7 4 2" xfId="1769" xr:uid="{8236A98E-3183-4A36-A897-63819F783375}"/>
    <cellStyle name="Stock Price 7 5" xfId="1504" xr:uid="{C8238627-0AC9-4D57-A372-A8476B406C4C}"/>
    <cellStyle name="Stock Price 8" xfId="483" xr:uid="{0CCDAA2F-DBB8-496D-B0FD-56A27DA1B14E}"/>
    <cellStyle name="Stock Price 8 2" xfId="1066" xr:uid="{A3745D37-9BDB-4F05-8A49-076EC18BE17D}"/>
    <cellStyle name="Stock Price 8 2 2" xfId="1678" xr:uid="{E84B3AFD-D0F2-4F31-AE1D-26835C9E3E93}"/>
    <cellStyle name="Stock Price 8 3" xfId="1203" xr:uid="{5B291F3C-8664-4183-93D3-E902D23E3788}"/>
    <cellStyle name="Stock Price 8 3 2" xfId="1752" xr:uid="{84B333E2-3986-4784-BD80-29B836BD1643}"/>
    <cellStyle name="Stock Price 8 4" xfId="1285" xr:uid="{3EB29D6B-B001-4EA1-9365-509F2A4149DB}"/>
    <cellStyle name="Stock Price 8 4 2" xfId="1793" xr:uid="{D2A4CA50-2CCA-4300-8090-29D553BE1B85}"/>
    <cellStyle name="Stock Price 8 5" xfId="1472" xr:uid="{8023EFFB-8EC0-49DA-847D-20F97E2F262E}"/>
    <cellStyle name="Stock Price 9" xfId="795" xr:uid="{F5D46CDC-5F34-482C-B350-DED9B5C63818}"/>
    <cellStyle name="Stock Price 9 2" xfId="1284" xr:uid="{14778DE5-5977-4920-A898-D678CA33804D}"/>
    <cellStyle name="Stock Price 9 2 2" xfId="1792" xr:uid="{516FE42E-6BEA-4517-B7CD-82E575AD55BF}"/>
    <cellStyle name="Stock Price 9 3" xfId="1381" xr:uid="{C3FD92D3-4ADE-4DD3-9AA8-B9856A251C7F}"/>
    <cellStyle name="Stock Price 9 3 2" xfId="1842" xr:uid="{EA8F7366-0009-4323-A648-1132C36D2634}"/>
    <cellStyle name="Stock Price 9 4" xfId="1415" xr:uid="{C1ED472D-2247-40CF-AE3B-FA861B5DAA82}"/>
    <cellStyle name="Stock Price 9 4 2" xfId="1869" xr:uid="{39BFE42E-260B-44EA-A07A-0BD22B7424E8}"/>
    <cellStyle name="Stock Price 9 5" xfId="1605" xr:uid="{825F97FA-135D-4A6D-9445-C087F5450887}"/>
    <cellStyle name="Style 1" xfId="55" xr:uid="{1D451052-C981-4910-8D47-36C486860BC6}"/>
    <cellStyle name="Subtitle" xfId="311" xr:uid="{D5C9587A-2E85-47DC-B27D-AF2C1D9A1DE5}"/>
    <cellStyle name="subtitulo" xfId="386" xr:uid="{6B37E48D-0138-4C42-94F8-AF9A05CDDA7F}"/>
    <cellStyle name="Subtotal" xfId="312" xr:uid="{5A3DA885-BB87-4467-8F7A-A51011EBAA0C}"/>
    <cellStyle name="t" xfId="313" xr:uid="{C7A6D5E2-2419-48AE-B534-C4735148E38B}"/>
    <cellStyle name="t 2" xfId="419" xr:uid="{0E404BAC-8234-42E2-8C80-4209963EA9D1}"/>
    <cellStyle name="t 3" xfId="474" xr:uid="{AA5C98E4-E9FB-408D-B698-E7F98C28ECBD}"/>
    <cellStyle name="t_TT Financials_2" xfId="314" xr:uid="{58625663-94AB-4275-B81F-07E7270C86BA}"/>
    <cellStyle name="t_TT Financials_2_Sales and EBITDA 2013 vs 2012" xfId="868" xr:uid="{E8AC195D-2AF3-4CA1-A211-4032C89CFDD6}"/>
    <cellStyle name="Table Head" xfId="315" xr:uid="{4EAB0814-277F-4BFD-97EC-9DCD8D43AD26}"/>
    <cellStyle name="Table Head Aligned" xfId="316" xr:uid="{23BD8218-0D57-4363-8698-681A399759ED}"/>
    <cellStyle name="Table Head Aligned 2" xfId="420" xr:uid="{4AB819A6-519E-49E0-A934-B1FD738AD3C2}"/>
    <cellStyle name="Table Head Aligned 2 2" xfId="560" xr:uid="{6EC89A11-28E1-4F6A-961F-04E9A7F9B53B}"/>
    <cellStyle name="Table Head Blue" xfId="317" xr:uid="{62D258B3-7B36-4BDC-9650-B162E10CC661}"/>
    <cellStyle name="Table Head Green" xfId="318" xr:uid="{91F0F1E8-7A7E-444B-81AF-D68EB5E7FF78}"/>
    <cellStyle name="Table Head Green 2" xfId="421" xr:uid="{AC0631B6-0876-4EE4-8CA3-DAE7A1B37B55}"/>
    <cellStyle name="Table Head Green 2 2" xfId="559" xr:uid="{AF0BAC8E-AB3F-45C6-891E-F4EF1620CADF}"/>
    <cellStyle name="Table Head_Val_Sum_Graph" xfId="319" xr:uid="{02406D45-6F89-4C6E-B7B2-2BF6E6335139}"/>
    <cellStyle name="Table Text" xfId="320" xr:uid="{37F9138E-1782-49F0-A1F1-126D6C5ECC11}"/>
    <cellStyle name="Table Title" xfId="321" xr:uid="{57A4B133-AFAF-46D5-B1EB-4240D4F1C64C}"/>
    <cellStyle name="Table Units" xfId="322" xr:uid="{01B1DE08-4FCA-402F-8435-2D3B5A80D405}"/>
    <cellStyle name="Table_Header" xfId="323" xr:uid="{D3567CA5-A896-43A6-AD02-52D2F7366A9C}"/>
    <cellStyle name="text" xfId="324" xr:uid="{10D406F4-DAA8-434B-B7CB-F33BCBEAFF4A}"/>
    <cellStyle name="Text 1" xfId="325" xr:uid="{68740534-D704-4B9E-9BB4-E0876EEE248B}"/>
    <cellStyle name="text 2" xfId="796" xr:uid="{591852EC-F6FD-46B9-A3E8-EFA45F227D26}"/>
    <cellStyle name="text 3" xfId="880" xr:uid="{577C1719-FD56-499C-BE81-F548438B4785}"/>
    <cellStyle name="Text 8" xfId="326" xr:uid="{A9BA1F4D-78C5-4997-B8A1-06B9B7334D69}"/>
    <cellStyle name="Text d'advertiment" xfId="797" xr:uid="{C72E7937-24D6-4E93-BF28-DE5FC0B671F7}"/>
    <cellStyle name="Text explicatiu" xfId="798" xr:uid="{D84FF3EF-CE9A-4277-8755-EE4A924F4279}"/>
    <cellStyle name="Text Head 1" xfId="327" xr:uid="{C75CCFB0-438C-4307-9623-AF41B6C520F6}"/>
    <cellStyle name="Text Wrap" xfId="328" xr:uid="{447D7888-227B-46D2-9949-6C1C4A5241BD}"/>
    <cellStyle name="text_1a_WalkAcross_Month" xfId="799" xr:uid="{ABCC995D-A78A-4C19-B18A-A1C3B2D3992D}"/>
    <cellStyle name="text2" xfId="329" xr:uid="{D9486DEF-96BC-4696-86CF-7D9844ED2E32}"/>
    <cellStyle name="Texto de Aviso" xfId="800" xr:uid="{3B00ED61-A50F-4DBF-AC2F-293EFB05F806}"/>
    <cellStyle name="Texto Explicativo" xfId="801" xr:uid="{52D57CF6-DE42-4D08-B010-1FC193D61A98}"/>
    <cellStyle name="Times 10" xfId="330" xr:uid="{1BA8D6D5-70B2-48FB-A5D5-7D7FE6940190}"/>
    <cellStyle name="Times 12" xfId="331" xr:uid="{22379EC6-B831-4860-BCBD-2416EBF3E578}"/>
    <cellStyle name="Times New Roman" xfId="332" xr:uid="{06A7144F-B97E-4CA2-8A89-CC736933190A}"/>
    <cellStyle name="times roman" xfId="333" xr:uid="{9A3CD466-EF46-46D5-99B2-197354255F91}"/>
    <cellStyle name="Title - PROJECT" xfId="334" xr:uid="{23C61833-7461-489C-9E4F-4E9051932BE9}"/>
    <cellStyle name="Title - Underline" xfId="335" xr:uid="{3C6860D1-4760-460A-A49A-4E37A65CB934}"/>
    <cellStyle name="Title 2" xfId="658" xr:uid="{7A2B19E9-F926-450C-B0EF-0B5C1B129ACA}"/>
    <cellStyle name="Title1" xfId="336" xr:uid="{7B298AD2-EBEE-4C6C-8592-DB24D3779763}"/>
    <cellStyle name="Title10" xfId="337" xr:uid="{B444F720-9C53-417A-A826-3DE8A5157268}"/>
    <cellStyle name="Title2" xfId="338" xr:uid="{68C13088-51C5-46E3-BEA6-29E6562525F1}"/>
    <cellStyle name="Title2 10" xfId="881" xr:uid="{27E41878-F6EC-43DA-9D33-F253A2D3B7EE}"/>
    <cellStyle name="Title2 10 2" xfId="1324" xr:uid="{CDFD69C5-F61A-45A2-AE86-7EC3F70B69A8}"/>
    <cellStyle name="Title2 10 2 2" xfId="1811" xr:uid="{093AFB90-C070-4FF2-8299-32BA7FE7D5E8}"/>
    <cellStyle name="Title2 10 3" xfId="1398" xr:uid="{B60234F0-3C0C-4904-A18D-796A2D318E19}"/>
    <cellStyle name="Title2 10 3 2" xfId="1854" xr:uid="{FC5C39A6-7C19-43EA-BC27-32F6B602F53E}"/>
    <cellStyle name="Title2 10 4" xfId="1617" xr:uid="{EC83913E-10D5-425A-AA31-065DFB142856}"/>
    <cellStyle name="Title2 11" xfId="981" xr:uid="{067DC7DB-E822-4583-89E6-DC29829E769F}"/>
    <cellStyle name="Title2 11 2" xfId="1654" xr:uid="{F6DBF521-881D-46EE-B4D5-35BEFA4EB4C5}"/>
    <cellStyle name="Title2 12" xfId="954" xr:uid="{E457AE6A-B103-4E41-ABC8-6C7B3BD0EB12}"/>
    <cellStyle name="Title2 12 2" xfId="1648" xr:uid="{B2E40A87-A73F-4A82-B25F-85AAA9CC115B}"/>
    <cellStyle name="Title2 13" xfId="1032" xr:uid="{1F3C0D9D-1A07-4263-9791-944965822AFF}"/>
    <cellStyle name="Title2 13 2" xfId="1669" xr:uid="{47DA133E-80E3-4BBF-8009-2B1D065EC2DE}"/>
    <cellStyle name="Title2 14" xfId="1433" xr:uid="{2967DC1E-F6F0-431D-B325-B1293AAEDF14}"/>
    <cellStyle name="Title2 2" xfId="440" xr:uid="{7BB5DC47-9ADC-4559-9828-32D4F482C3EE}"/>
    <cellStyle name="Title2 2 2" xfId="605" xr:uid="{36BC7B52-2E71-4C26-9BBF-E28ADE5481F4}"/>
    <cellStyle name="Title2 2 2 2" xfId="1180" xr:uid="{6997B7BC-BDBB-419E-BCB6-62FFA0B71F9D}"/>
    <cellStyle name="Title2 2 2 2 2" xfId="1741" xr:uid="{F84601DB-33A1-4CA0-AB7C-1EF9C23CB789}"/>
    <cellStyle name="Title2 2 2 3" xfId="1187" xr:uid="{1E3A96A4-76EB-43B8-8960-DE708E1C8F74}"/>
    <cellStyle name="Title2 2 2 3 2" xfId="1745" xr:uid="{367C7EF0-C55B-438F-BDE7-9EDF5FC60057}"/>
    <cellStyle name="Title2 2 2 4" xfId="1336" xr:uid="{561EE7F5-1BBF-41A5-8E1A-A0585190389A}"/>
    <cellStyle name="Title2 2 2 4 2" xfId="1820" xr:uid="{200C285E-578F-4DA5-8933-31A3EBC95860}"/>
    <cellStyle name="Title2 2 2 5" xfId="1580" xr:uid="{995B4646-0B39-4ED8-B6A3-B5F1DE440AE5}"/>
    <cellStyle name="Title2 2 3" xfId="538" xr:uid="{4F00D6B6-07C9-4733-ADCB-35AA84A28155}"/>
    <cellStyle name="Title2 2 3 2" xfId="1121" xr:uid="{C199C208-8537-42C8-913B-B3CDAEC10047}"/>
    <cellStyle name="Title2 2 3 2 2" xfId="1709" xr:uid="{D055AE1C-D756-414D-8B66-E2C4F352E735}"/>
    <cellStyle name="Title2 2 3 3" xfId="901" xr:uid="{111B8D69-4D53-4331-AD5E-D1FA5D90872D}"/>
    <cellStyle name="Title2 2 3 3 2" xfId="1631" xr:uid="{02B2B75A-0C1F-455E-B7C2-5EF04953B2C9}"/>
    <cellStyle name="Title2 2 3 4" xfId="1048" xr:uid="{7A266800-1DD6-43B7-AE80-844A7FFE4843}"/>
    <cellStyle name="Title2 2 3 4 2" xfId="1673" xr:uid="{250FA9D1-FB69-4E9E-BE9C-1C39818E08DA}"/>
    <cellStyle name="Title2 2 3 5" xfId="1526" xr:uid="{A14B992C-C1F2-4091-B9B0-D032CDC93A7B}"/>
    <cellStyle name="Title2 2 4" xfId="492" xr:uid="{CB322894-4AC0-4838-821F-345DD0291544}"/>
    <cellStyle name="Title2 2 4 2" xfId="1075" xr:uid="{358C33FB-5DD4-4493-BA73-778268BD4245}"/>
    <cellStyle name="Title2 2 4 2 2" xfId="1684" xr:uid="{34839BEE-2288-4CC4-B106-05AFF532E3C4}"/>
    <cellStyle name="Title2 2 4 3" xfId="1256" xr:uid="{D0B2E090-2B0C-4723-B1D3-19AD8B66A52A}"/>
    <cellStyle name="Title2 2 4 3 2" xfId="1777" xr:uid="{09A431E1-48D2-47A9-B3C8-F7E38C2304F3}"/>
    <cellStyle name="Title2 2 4 4" xfId="1356" xr:uid="{F016DA72-9E9F-4638-B783-6EC46223761C}"/>
    <cellStyle name="Title2 2 4 4 2" xfId="1827" xr:uid="{9FEF0EF0-0A9F-4503-B7AE-C31BB1B18C3E}"/>
    <cellStyle name="Title2 2 4 5" xfId="1480" xr:uid="{F87A5AB9-24B3-46E1-B9B3-7C873E5E3813}"/>
    <cellStyle name="Title2 2 5" xfId="1035" xr:uid="{3093E6F1-0C53-4797-99F1-D39B3E979395}"/>
    <cellStyle name="Title2 2 5 2" xfId="1670" xr:uid="{31AEB58A-B1B9-4372-8A5C-80623E012E38}"/>
    <cellStyle name="Title2 2 6" xfId="941" xr:uid="{6B7E05BE-4AA2-41E5-83AF-5CC3CE67EABD}"/>
    <cellStyle name="Title2 2 6 2" xfId="1642" xr:uid="{C5918BC4-FC5D-4446-85EC-0DDA51F2BA3F}"/>
    <cellStyle name="Title2 2 7" xfId="960" xr:uid="{9CB94B47-109C-4E0F-A71F-E593B7EDC2E2}"/>
    <cellStyle name="Title2 2 7 2" xfId="1651" xr:uid="{4F18329B-70E9-4E76-9119-AF3F71160F37}"/>
    <cellStyle name="Title2 2 8" xfId="1453" xr:uid="{3FCDBA29-CC55-4664-8165-12593D648509}"/>
    <cellStyle name="Title2 3" xfId="479" xr:uid="{ADA5F405-260C-4479-999F-3770057FF8E4}"/>
    <cellStyle name="Title2 3 2" xfId="582" xr:uid="{6425A0C9-C1AB-4061-8A8B-FE8A2AB728DC}"/>
    <cellStyle name="Title2 3 2 2" xfId="1157" xr:uid="{9FDEB688-2238-4E8B-90BD-52F94CB405BA}"/>
    <cellStyle name="Title2 3 2 2 2" xfId="1726" xr:uid="{5D9E9C14-F190-488D-8DD8-095AF3298190}"/>
    <cellStyle name="Title2 3 2 3" xfId="1197" xr:uid="{63CE505E-139E-48E6-A365-549C3B31CAA3}"/>
    <cellStyle name="Title2 3 2 3 2" xfId="1749" xr:uid="{E58FB7F1-A034-4361-A45C-DEF5F3C2774F}"/>
    <cellStyle name="Title2 3 2 4" xfId="990" xr:uid="{A77C5E16-966B-40CA-9B68-E35AD36EE304}"/>
    <cellStyle name="Title2 3 2 4 2" xfId="1656" xr:uid="{7A074DB1-13F7-4347-A13B-6CC687B232C2}"/>
    <cellStyle name="Title2 3 2 5" xfId="1557" xr:uid="{0F07EC4C-95E4-455A-9455-56D714951CB3}"/>
    <cellStyle name="Title2 3 3" xfId="558" xr:uid="{BE818CA9-AEB4-4259-B46A-5D368520C867}"/>
    <cellStyle name="Title2 3 3 2" xfId="1141" xr:uid="{5231C19D-2A28-420A-90C8-BCA0C3FF064E}"/>
    <cellStyle name="Title2 3 3 2 2" xfId="1718" xr:uid="{9DE7E5DB-2C05-4A6A-9A47-A5AE9A531E12}"/>
    <cellStyle name="Title2 3 3 3" xfId="1198" xr:uid="{566AB127-19EF-43B5-8DDC-7F5248A242DF}"/>
    <cellStyle name="Title2 3 3 3 2" xfId="1750" xr:uid="{AEDDB9E1-E291-44C7-9677-229EB5FD54DB}"/>
    <cellStyle name="Title2 3 3 4" xfId="1221" xr:uid="{65A94292-70AE-45ED-A965-34F611C3BA72}"/>
    <cellStyle name="Title2 3 3 4 2" xfId="1765" xr:uid="{DF5441AD-2983-4716-ABEE-72C7D8EBB961}"/>
    <cellStyle name="Title2 3 3 5" xfId="1546" xr:uid="{BF6216A2-7D21-408C-AF36-590A554C7882}"/>
    <cellStyle name="Title2 3 4" xfId="511" xr:uid="{5FD76011-7191-42D8-AEC7-F51DE3F5CA2D}"/>
    <cellStyle name="Title2 3 4 2" xfId="1094" xr:uid="{70B982E9-1D8B-4D30-B421-DEA79A12D5EA}"/>
    <cellStyle name="Title2 3 4 2 2" xfId="1693" xr:uid="{BB7828A9-6F61-440F-A4A0-08403AB13669}"/>
    <cellStyle name="Title2 3 4 3" xfId="912" xr:uid="{389364EC-7C8F-4F75-84B0-994B2F1F1B76}"/>
    <cellStyle name="Title2 3 4 3 2" xfId="1633" xr:uid="{7E006D20-D1E3-400A-B16E-2AC024D20E49}"/>
    <cellStyle name="Title2 3 4 4" xfId="979" xr:uid="{87F9C565-B52C-4DC2-BA9A-A8D27F8C4344}"/>
    <cellStyle name="Title2 3 4 4 2" xfId="1653" xr:uid="{52CFF5C4-C95A-48F8-B23D-2838F34F752B}"/>
    <cellStyle name="Title2 3 4 5" xfId="1499" xr:uid="{9626F455-A841-47DC-839A-6DAF15247397}"/>
    <cellStyle name="Title2 3 5" xfId="1062" xr:uid="{75368BED-9FFF-48CD-ABFA-DF84EE0B47C1}"/>
    <cellStyle name="Title2 3 5 2" xfId="1676" xr:uid="{02DAFEA5-F166-4A30-8558-7EFA882DD02C}"/>
    <cellStyle name="Title2 3 6" xfId="931" xr:uid="{0FC88E47-AE8F-451C-9AF5-0F50E8935B1D}"/>
    <cellStyle name="Title2 3 6 2" xfId="1639" xr:uid="{8B2E739B-08C2-48C8-86A3-FB4233E18142}"/>
    <cellStyle name="Title2 3 7" xfId="1360" xr:uid="{D3AFF222-54CE-42F5-B133-CF38229AB15A}"/>
    <cellStyle name="Title2 3 7 2" xfId="1828" xr:uid="{B68C25C2-EB31-4CB7-95C1-0FCD6A8B3CD1}"/>
    <cellStyle name="Title2 3 8" xfId="1468" xr:uid="{88B8ECEC-5102-431C-ADDC-DB3F10129C5F}"/>
    <cellStyle name="Title2 4" xfId="432" xr:uid="{C1883DD1-1D22-4B87-BEA0-C7BF5F00DE0A}"/>
    <cellStyle name="Title2 4 2" xfId="530" xr:uid="{F651DC13-DF76-46A6-B8DF-0E8CEAE48116}"/>
    <cellStyle name="Title2 4 2 2" xfId="1113" xr:uid="{666CCA01-8E93-4E19-9C1A-D13DF42DF748}"/>
    <cellStyle name="Title2 4 2 2 2" xfId="1704" xr:uid="{0E8077CC-734B-4CCB-82FF-13381C6512C9}"/>
    <cellStyle name="Title2 4 2 3" xfId="1248" xr:uid="{580266E5-093F-49C5-80BE-FD726425EDE9}"/>
    <cellStyle name="Title2 4 2 3 2" xfId="1772" xr:uid="{CF3084AE-BEF2-4F60-94D2-4B64941287D6}"/>
    <cellStyle name="Title2 4 2 4" xfId="1293" xr:uid="{544ACD80-3E52-4410-9053-F6665AA986F5}"/>
    <cellStyle name="Title2 4 2 4 2" xfId="1796" xr:uid="{29F6433A-CE63-4B7E-B876-281068BFA1D7}"/>
    <cellStyle name="Title2 4 2 5" xfId="1518" xr:uid="{443727A0-1F69-47E9-AE66-0242316A59DC}"/>
    <cellStyle name="Title2 4 3" xfId="1027" xr:uid="{D9AB2529-D477-4B2E-A079-B2A7DC6FBAC1}"/>
    <cellStyle name="Title2 4 3 2" xfId="1666" xr:uid="{8ADEEE0C-6EEE-48B3-B31F-C89FA20D0588}"/>
    <cellStyle name="Title2 4 4" xfId="943" xr:uid="{E2CAF037-4555-40ED-8C7F-C649717FA801}"/>
    <cellStyle name="Title2 4 4 2" xfId="1643" xr:uid="{CED03532-A64D-4DB5-8C28-D2226C75F3A8}"/>
    <cellStyle name="Title2 4 5" xfId="1368" xr:uid="{75F14122-B836-4AB4-AB7C-9FDF9F55B5A4}"/>
    <cellStyle name="Title2 4 5 2" xfId="1830" xr:uid="{504AF84D-8ABC-453E-97D7-1454A23D8CAF}"/>
    <cellStyle name="Title2 4 6" xfId="1445" xr:uid="{F86AAFF9-B938-4C9C-972E-9CBD960DB79C}"/>
    <cellStyle name="Title2 5" xfId="602" xr:uid="{CE2DE671-0194-416B-8F0C-33E99780F702}"/>
    <cellStyle name="Title2 5 2" xfId="1177" xr:uid="{39E2EC72-F4D2-44E3-A832-52A9CF944F80}"/>
    <cellStyle name="Title2 5 2 2" xfId="1738" xr:uid="{1962A90D-787A-49DB-9491-C0B160BAC26E}"/>
    <cellStyle name="Title2 5 3" xfId="1190" xr:uid="{829DA717-9106-4AB6-AAD5-854932DDF096}"/>
    <cellStyle name="Title2 5 3 2" xfId="1747" xr:uid="{67CF9856-7A7D-4C63-8F9C-80E2A4503715}"/>
    <cellStyle name="Title2 5 4" xfId="896" xr:uid="{9778A7BF-F902-4E98-AEEB-CAB6CC98C83E}"/>
    <cellStyle name="Title2 5 4 2" xfId="1628" xr:uid="{6FE96441-298A-4E8F-942D-694DB9A1B9F8}"/>
    <cellStyle name="Title2 5 5" xfId="1577" xr:uid="{EC8C9313-23A1-4B12-B6C1-86207E5F8DF7}"/>
    <cellStyle name="Title2 6" xfId="609" xr:uid="{6BFCF63A-A55D-4EFB-ADFD-3C461BB403A0}"/>
    <cellStyle name="Title2 6 2" xfId="1184" xr:uid="{9366B493-88B6-481C-95B3-1B79D982E4D2}"/>
    <cellStyle name="Title2 6 2 2" xfId="1744" xr:uid="{BE98D1F2-0D8C-411E-8BAF-3CE3624D128C}"/>
    <cellStyle name="Title2 6 3" xfId="1220" xr:uid="{A5B3DE0B-5707-438E-954A-1F1B52BDA3DC}"/>
    <cellStyle name="Title2 6 3 2" xfId="1764" xr:uid="{CFEAD4F9-8E49-4B59-9DCC-9D02B6F3ABE7}"/>
    <cellStyle name="Title2 6 4" xfId="1333" xr:uid="{19395894-DC7E-4062-8EA4-E9E0418C4B77}"/>
    <cellStyle name="Title2 6 4 2" xfId="1819" xr:uid="{904BB05D-7AE3-4449-9031-1C275717CEDE}"/>
    <cellStyle name="Title2 6 5" xfId="1584" xr:uid="{F970AC25-ECFF-480E-B201-98F5A1619104}"/>
    <cellStyle name="Title2 7" xfId="517" xr:uid="{2F101D3B-EDC6-4BA9-96F6-8C3D58C0230F}"/>
    <cellStyle name="Title2 7 2" xfId="1100" xr:uid="{C365C60A-AF92-4F63-B4C2-C98CEAABE332}"/>
    <cellStyle name="Title2 7 2 2" xfId="1697" xr:uid="{0FA602B9-F428-48E8-A850-5A92A005F01A}"/>
    <cellStyle name="Title2 7 3" xfId="911" xr:uid="{33B09521-970B-48FD-8E4F-A369E2DC5153}"/>
    <cellStyle name="Title2 7 3 2" xfId="1632" xr:uid="{5C96EE6C-AFFA-4532-B3A3-77460ED4F77A}"/>
    <cellStyle name="Title2 7 4" xfId="1272" xr:uid="{9E5E2DA2-47AC-4768-84A5-93C5797BAF09}"/>
    <cellStyle name="Title2 7 4 2" xfId="1782" xr:uid="{70D0E32D-296A-4638-BE98-08EEC96C7898}"/>
    <cellStyle name="Title2 7 5" xfId="1505" xr:uid="{1251222A-A6B8-4CBF-960B-F76A77D435D6}"/>
    <cellStyle name="Title2 8" xfId="484" xr:uid="{D1741ADF-2FF7-4C44-8CCA-1907B58483C5}"/>
    <cellStyle name="Title2 8 2" xfId="1067" xr:uid="{544A6320-CD80-4422-9F59-06E8CACF52E2}"/>
    <cellStyle name="Title2 8 2 2" xfId="1679" xr:uid="{10B22F16-165F-447C-B126-36ACB42C5B52}"/>
    <cellStyle name="Title2 8 3" xfId="927" xr:uid="{D42B33FD-3F88-4B4F-9404-056B6A75C95F}"/>
    <cellStyle name="Title2 8 3 2" xfId="1637" xr:uid="{126614FF-E58B-4146-AE56-3FEF5C732F1E}"/>
    <cellStyle name="Title2 8 4" xfId="970" xr:uid="{28239377-4300-41C5-B43F-10FB92A0D669}"/>
    <cellStyle name="Title2 8 4 2" xfId="1652" xr:uid="{D75BB5D9-4D6C-4F11-BED7-FF230F04EFAB}"/>
    <cellStyle name="Title2 8 5" xfId="1473" xr:uid="{A49DB37E-8396-4133-95DE-62BA80711954}"/>
    <cellStyle name="Title2 9" xfId="802" xr:uid="{A8853D3F-74CF-4CB5-A526-503015BE5BDE}"/>
    <cellStyle name="Title2 9 2" xfId="1288" xr:uid="{A52D9954-D5B1-41FA-BA5E-B403F2FA35C1}"/>
    <cellStyle name="Title2 9 2 2" xfId="1794" xr:uid="{F33CB447-CF65-40B6-9ED6-DD1B470AD27D}"/>
    <cellStyle name="Title2 9 3" xfId="1382" xr:uid="{F5D0067D-5284-4A4C-8D49-86DDDE6AB97E}"/>
    <cellStyle name="Title2 9 3 2" xfId="1843" xr:uid="{7977B65D-107C-422B-B114-2DC79D96FA66}"/>
    <cellStyle name="Title2 9 4" xfId="1416" xr:uid="{683ADF6D-E7DA-4C1F-8100-F02858A24CA3}"/>
    <cellStyle name="Title2 9 4 2" xfId="1870" xr:uid="{6462ED69-BF4B-4D49-A834-FF314738DF49}"/>
    <cellStyle name="Title2 9 5" xfId="1606" xr:uid="{3E24F318-897B-435D-A29A-21FD621B4626}"/>
    <cellStyle name="Title8" xfId="339" xr:uid="{6B76A309-9EC0-4539-89CD-D0EC8DED73FE}"/>
    <cellStyle name="Title8Left" xfId="340" xr:uid="{40FA272C-43D2-4530-9B30-2BA0CF322DCD}"/>
    <cellStyle name="TitleCenter" xfId="341" xr:uid="{F93DE0E2-EB50-4A13-A35E-F5B074B08C75}"/>
    <cellStyle name="TitleLeft" xfId="342" xr:uid="{F4E68B8D-B0A9-4792-8A20-F019331AA0D5}"/>
    <cellStyle name="Titles - Col. Headings" xfId="343" xr:uid="{8A97B86C-D8F7-4991-B965-C0493FD82C1D}"/>
    <cellStyle name="Titles - Other" xfId="344" xr:uid="{E25B09F1-ADB4-4F8B-B451-3A3E32B03A9E}"/>
    <cellStyle name="Títol" xfId="803" xr:uid="{1BBE151D-6610-438F-91BF-66B7F21ABA36}"/>
    <cellStyle name="Títol 1" xfId="804" xr:uid="{6A7A8DE2-6786-4F70-9448-B6F3DBC5CDB2}"/>
    <cellStyle name="Títol 2" xfId="805" xr:uid="{7D5DED4D-E604-4385-88C5-CF501FDBE7B6}"/>
    <cellStyle name="Títol 3" xfId="806" xr:uid="{9A911933-292E-406D-9B33-DEB37465B9D4}"/>
    <cellStyle name="Títol 4" xfId="807" xr:uid="{BF6D8450-96CD-45A7-A745-1DB795B2C8F4}"/>
    <cellStyle name="titulo" xfId="387" xr:uid="{EBDE01E7-74EE-4545-869B-82C14A329DAF}"/>
    <cellStyle name="Título" xfId="808" xr:uid="{8E06735A-5FCB-41D4-8DF1-D8625C4DD12F}"/>
    <cellStyle name="Título 1" xfId="809" xr:uid="{90AF9FDD-9BAA-4900-9113-622A3A54EE3A}"/>
    <cellStyle name="Título 2" xfId="810" xr:uid="{217CC14B-6074-4E33-9783-0FECEE03E3E9}"/>
    <cellStyle name="Título 3" xfId="811" xr:uid="{297AC4D9-0804-4C5C-91C5-192B72075405}"/>
    <cellStyle name="Título 4" xfId="812" xr:uid="{28D17EA7-137D-4EDE-8D6D-BE9B64F1D1C3}"/>
    <cellStyle name="Titulo de conta" xfId="388" xr:uid="{0F6DCACF-942D-4D57-AD46-3CDD772803E8}"/>
    <cellStyle name="Titulo de conta 2" xfId="571" xr:uid="{6984AD80-760B-4856-8E93-6EE462A7764B}"/>
    <cellStyle name="titulomov" xfId="389" xr:uid="{6E9EB31A-2362-46FE-93F5-8CC1CF0ADAFA}"/>
    <cellStyle name="titulomov 2" xfId="570" xr:uid="{0329166D-E3D6-4F03-A43C-F6A5FBCACFE4}"/>
    <cellStyle name="Todos" xfId="390" xr:uid="{1C062747-A4BD-4F01-82BB-C9FC619025A3}"/>
    <cellStyle name="Top_$" xfId="345" xr:uid="{F2CC0516-62A9-45D8-9E4C-B3F2E182EF3A}"/>
    <cellStyle name="topline" xfId="346" xr:uid="{27232FFC-ADCE-4B38-B0EF-21299755E1F2}"/>
    <cellStyle name="Total 2" xfId="659" xr:uid="{2A450FD3-BA64-4450-81DC-BE02896B5706}"/>
    <cellStyle name="Total 2 2" xfId="837" xr:uid="{7B6C1BC9-1A1E-4A2C-BF28-AA48371A8C16}"/>
    <cellStyle name="Total 2 2 2" xfId="1306" xr:uid="{3A1C8F4B-DC01-4104-8BEE-AA02CA16C2F4}"/>
    <cellStyle name="Total 2 2 2 2" xfId="1802" xr:uid="{93A937AA-8D0F-44E6-B116-35FD09173F3C}"/>
    <cellStyle name="Total 2 2 3" xfId="1388" xr:uid="{D69C8B68-0856-431D-9AC0-7AEC2BD65316}"/>
    <cellStyle name="Total 2 2 3 2" xfId="1849" xr:uid="{BBF40CE1-7632-47D5-BB93-833657E3ACC0}"/>
    <cellStyle name="Total 2 2 4" xfId="1612" xr:uid="{07C49D77-D8C0-4256-B6B6-178902ADA234}"/>
    <cellStyle name="Total 2 3" xfId="1208" xr:uid="{855D03C9-8DAC-47F6-9381-EF23C27BEC65}"/>
    <cellStyle name="Total 2 3 2" xfId="1757" xr:uid="{F1DD2B6B-AEE2-45D6-B46E-2233EB2D9E63}"/>
    <cellStyle name="Total 2 4" xfId="1212" xr:uid="{B06F6EAF-B5FA-4594-9341-58C0D894AAB2}"/>
    <cellStyle name="Total 2 4 2" xfId="1760" xr:uid="{435812CE-FA0E-407E-AFDE-069C43D52981}"/>
    <cellStyle name="Total 2 5" xfId="997" xr:uid="{E1E1894E-797F-4C07-8B68-1126869FDB1A}"/>
    <cellStyle name="Total 2 5 2" xfId="1657" xr:uid="{FA5D163B-BF8C-4C23-A2FB-151FDD51C527}"/>
    <cellStyle name="Total 2 6" xfId="1589" xr:uid="{A95C9F5E-E3CF-4105-AEAF-A637025850DF}"/>
    <cellStyle name="totalbalan" xfId="391" xr:uid="{A33A31FC-4B2B-405C-BE0D-E6FCB06CB8F2}"/>
    <cellStyle name="TransVal" xfId="347" xr:uid="{AA766BA5-7C9F-4E25-8D22-2E0810F73F96}"/>
    <cellStyle name="Underline_Double" xfId="348" xr:uid="{044D4DCF-79EB-41E6-8D6C-F307E7E08487}"/>
    <cellStyle name="Validation" xfId="349" xr:uid="{EC8F8F2C-D6B7-4781-B066-531558F043DB}"/>
    <cellStyle name="Validation 2" xfId="422" xr:uid="{6E11FE4E-4534-4402-A135-96DE67A7C149}"/>
    <cellStyle name="Validation 3" xfId="475" xr:uid="{D9FAD20A-E6A5-40FE-9D75-57D628D3780E}"/>
    <cellStyle name="Valuta (0)_Cartel1" xfId="350" xr:uid="{D8867C0F-1364-466A-8AE4-B8247A09247A}"/>
    <cellStyle name="Valuta [0]_laroux" xfId="351" xr:uid="{D737E44F-8D37-456E-BF1D-76D7F734B35E}"/>
    <cellStyle name="Valuta_laroux" xfId="352" xr:uid="{5B54299A-7663-4DC2-831B-EDC004007CC1}"/>
    <cellStyle name="Virgül" xfId="1929" builtinId="3"/>
    <cellStyle name="Virgül 3 2 2 2 2" xfId="1935" xr:uid="{70DD40AA-03D5-432E-9F67-DDCF146696CC}"/>
    <cellStyle name="Warning Text 2" xfId="660" xr:uid="{6B66C70C-E28F-4093-A4A4-26B3BFBDC44D}"/>
    <cellStyle name="WhiteCells" xfId="353" xr:uid="{120C5F8B-0753-45A6-A497-7721C7988C42}"/>
    <cellStyle name="WhiteCells 2" xfId="423" xr:uid="{5DAD0894-69E4-4FA3-8AA7-4E2DD6C1D9DF}"/>
    <cellStyle name="WhiteCells 3" xfId="476" xr:uid="{369153DB-BC95-4548-976B-B465C75D0FF4}"/>
    <cellStyle name="WingDing" xfId="354" xr:uid="{CA2DFCA2-228D-49B2-9160-94D74B61B5B6}"/>
    <cellStyle name="WingDing 2" xfId="424" xr:uid="{B086D7DF-D0F7-4102-A237-4366257ABD5D}"/>
    <cellStyle name="WingDing 3" xfId="477" xr:uid="{AC40D611-4696-4FEA-B80F-D57B35C89FA2}"/>
    <cellStyle name="WoHo(0,0%)" xfId="355" xr:uid="{DE0A9FE4-7AFA-4925-AA5C-491D133FA66E}"/>
    <cellStyle name="woho(0,0)" xfId="356" xr:uid="{94424CAB-F000-4B08-A106-5277E273F2C3}"/>
    <cellStyle name="WoHo(0,1%)" xfId="357" xr:uid="{924C569B-1439-477E-A930-E43D65462875}"/>
    <cellStyle name="WoHo(1)" xfId="358" xr:uid="{76769E0F-D6F3-4A6C-8875-19AE87C431A0}"/>
    <cellStyle name="xstyle" xfId="359" xr:uid="{16C52BBB-D65C-4ED6-8C7C-5AEDBFA48D8F}"/>
    <cellStyle name="y" xfId="360" xr:uid="{5E9F5E39-75CD-4807-9A7E-981B5A7D1147}"/>
    <cellStyle name="y_Sales and EBITDA 2013 vs 2012" xfId="869" xr:uid="{52F44951-6170-489B-ADCF-8DFEFDDBAE91}"/>
    <cellStyle name="year" xfId="361" xr:uid="{02E3A53B-2BF7-4C6F-A885-B3F906162BFC}"/>
    <cellStyle name="year 2" xfId="425" xr:uid="{C8F434EE-439C-439B-BBFC-C1A28F7EC52D}"/>
    <cellStyle name="year 2 2" xfId="614" xr:uid="{0667AF43-32FB-416B-9DFA-A7B28463D35B}"/>
    <cellStyle name="yellow" xfId="362" xr:uid="{CC4136B6-9D44-4BB2-A820-4915BDB56BA2}"/>
    <cellStyle name="Yen" xfId="363" xr:uid="{1032E53C-7A1A-443D-81B5-E0A23E8185F0}"/>
    <cellStyle name="Yes_No" xfId="364" xr:uid="{AC363CA3-3CFB-4015-BE49-438B13F0AA7C}"/>
    <cellStyle name="Yüzde" xfId="47" builtinId="5"/>
    <cellStyle name="アクセント 1" xfId="813" xr:uid="{F82AE70E-2D09-473B-A772-8A231E49EB2E}"/>
    <cellStyle name="アクセント 2" xfId="814" xr:uid="{41B912DE-7042-454F-99AC-6284672D0A3E}"/>
    <cellStyle name="アクセント 3" xfId="815" xr:uid="{A3378038-B175-4654-BFA9-D82A9E031FA4}"/>
    <cellStyle name="アクセント 4" xfId="816" xr:uid="{45149F4B-CF8E-4629-B081-2B48B35D1188}"/>
    <cellStyle name="アクセント 5" xfId="817" xr:uid="{607C972F-B3C0-488B-9D31-34F527263BA7}"/>
    <cellStyle name="アクセント 6" xfId="818" xr:uid="{E71C6151-655A-4E2B-A580-DFAB961E28E7}"/>
    <cellStyle name="タイトル" xfId="819" xr:uid="{ADDC960F-7BDD-4F20-AFA8-529291AA4863}"/>
    <cellStyle name="チェック セル" xfId="820" xr:uid="{9A25727E-FDB5-4491-BAE6-070B8D6D3223}"/>
    <cellStyle name="どちらでもない" xfId="821" xr:uid="{38E5D663-AE5D-4A76-929C-FF6EABBDAE67}"/>
    <cellStyle name="メモ" xfId="822" xr:uid="{DE8EEFFF-F555-438A-990E-1FCBBD6FD991}"/>
    <cellStyle name="メモ 2" xfId="882" xr:uid="{BBFF4581-FA82-4E9C-BE54-B8DD8F0F828D}"/>
    <cellStyle name="メモ 2 2" xfId="1325" xr:uid="{6BA4458D-114B-4FCB-93C9-9C9F5A0F0C59}"/>
    <cellStyle name="メモ 2 2 2" xfId="1812" xr:uid="{1BCA9229-7FA9-4B91-BFA5-39EF91E7F416}"/>
    <cellStyle name="メモ 2 3" xfId="1399" xr:uid="{D9597071-9F12-4925-8057-B8ADAEF20024}"/>
    <cellStyle name="メモ 2 3 2" xfId="1855" xr:uid="{FE403AC9-5134-42B3-9114-33D2D3959F1B}"/>
    <cellStyle name="メモ 2 4" xfId="1618" xr:uid="{A837E181-EB33-4656-B1F8-1E6AD6695745}"/>
    <cellStyle name="メモ 3" xfId="1300" xr:uid="{1261E817-CC54-4C82-B72D-0F2015BDE472}"/>
    <cellStyle name="メモ 3 2" xfId="1797" xr:uid="{61CB3182-1386-4E5E-A042-F5BD0384D69F}"/>
    <cellStyle name="メモ 4" xfId="1383" xr:uid="{0A579143-3570-4001-9D8A-B6570A2DFDF7}"/>
    <cellStyle name="メモ 4 2" xfId="1844" xr:uid="{67340D7A-0530-4C54-8A0A-A53210609C85}"/>
    <cellStyle name="メモ 5" xfId="1417" xr:uid="{24AAB4F7-7E35-4FC7-887A-677F875D2FEE}"/>
    <cellStyle name="メモ 5 2" xfId="1871" xr:uid="{C8A176FA-6B90-45C2-8897-9B26AF438251}"/>
    <cellStyle name="メモ 6" xfId="1607" xr:uid="{28BA4A63-8DBF-4823-ACA7-3DBC77A0E57E}"/>
    <cellStyle name="リンク セル" xfId="823" xr:uid="{FE9B29BC-F1F0-4BDB-8127-870119404043}"/>
    <cellStyle name="入力" xfId="824" xr:uid="{CFDA99A0-06BC-401F-A6F3-E69FC1AB6CF1}"/>
    <cellStyle name="入力 2" xfId="883" xr:uid="{A586F0DF-65F1-4601-97F0-B1C3F0A0454D}"/>
    <cellStyle name="入力 2 2" xfId="1326" xr:uid="{DB05EE17-FABF-441E-B6EE-3BA0E683D490}"/>
    <cellStyle name="入力 2 2 2" xfId="1813" xr:uid="{40C0E356-6B47-499D-9B29-7201F1706A1C}"/>
    <cellStyle name="入力 2 3" xfId="1400" xr:uid="{A7FFB8F5-28A5-4AE4-A177-49C046A3C396}"/>
    <cellStyle name="入力 2 3 2" xfId="1856" xr:uid="{FAF86BF5-B520-47C5-B336-EFB1BB5EA7E1}"/>
    <cellStyle name="入力 2 4" xfId="1619" xr:uid="{6574AF2C-41C3-44B5-A615-5ECF26515EE2}"/>
    <cellStyle name="入力 3" xfId="1301" xr:uid="{CBA897FF-63B9-4F1E-AE0E-465A014F20E4}"/>
    <cellStyle name="入力 3 2" xfId="1798" xr:uid="{1DBC99B0-9BB7-4E1C-A3C1-66B6EC8B4464}"/>
    <cellStyle name="入力 4" xfId="1384" xr:uid="{AC69CB48-34A3-40B3-928A-74ECECEDE433}"/>
    <cellStyle name="入力 4 2" xfId="1845" xr:uid="{4D7A303E-EEA4-4E67-ACAA-E01982C7B615}"/>
    <cellStyle name="入力 5" xfId="1418" xr:uid="{0DB59808-1AFC-4044-AEB7-5AE7E7582476}"/>
    <cellStyle name="入力 5 2" xfId="1872" xr:uid="{25D05ADA-C048-4114-8A15-EEAD50760582}"/>
    <cellStyle name="入力 6" xfId="1608" xr:uid="{F41BADD6-624D-41E0-9737-AC36E8738260}"/>
    <cellStyle name="出力" xfId="825" xr:uid="{B38480AB-66FA-4D97-A672-DB4DDCFBE44A}"/>
    <cellStyle name="出力 2" xfId="884" xr:uid="{74645BCD-8184-4761-8D5D-FFDDD5538131}"/>
    <cellStyle name="出力 2 2" xfId="1327" xr:uid="{CEBDCC83-484E-4EB1-AB8A-2EFF01302880}"/>
    <cellStyle name="出力 2 2 2" xfId="1814" xr:uid="{1FF2E110-C93E-40ED-B8CC-750E080835B7}"/>
    <cellStyle name="出力 2 3" xfId="1401" xr:uid="{67F98F6D-571E-4342-A346-8DC6D6889D74}"/>
    <cellStyle name="出力 2 3 2" xfId="1857" xr:uid="{444B8D89-07B2-4BAD-B994-6E5E4C74DDA1}"/>
    <cellStyle name="出力 2 4" xfId="1620" xr:uid="{3CE9B603-AFB4-4D11-BEB1-155DD02F5C87}"/>
    <cellStyle name="出力 3" xfId="1302" xr:uid="{9D85B8D9-E866-4B22-B8F6-9D6AC914F233}"/>
    <cellStyle name="出力 3 2" xfId="1799" xr:uid="{65B778BF-4179-4A2E-9F17-1C747DFA22DD}"/>
    <cellStyle name="出力 4" xfId="1385" xr:uid="{E24D4616-B191-4B05-AA16-4D0AAC986803}"/>
    <cellStyle name="出力 4 2" xfId="1846" xr:uid="{97D02772-1D8D-449A-8B29-4E7DDFDEDF17}"/>
    <cellStyle name="出力 5" xfId="1419" xr:uid="{6EB00E13-AAE9-4E16-B871-E5F6B507C7E2}"/>
    <cellStyle name="出力 5 2" xfId="1873" xr:uid="{9594DCA4-7B61-4B26-8986-E0FF38C5B5E5}"/>
    <cellStyle name="出力 6" xfId="1609" xr:uid="{C6CEC835-74BF-46B4-898D-16E095306C66}"/>
    <cellStyle name="悪い" xfId="826" xr:uid="{7E2CA36A-2823-455B-9178-D028AC0A3669}"/>
    <cellStyle name="桁区切り [0.00]_Credit Memos Japan 2001" xfId="365" xr:uid="{E0622484-6997-417C-B2D8-DAA04DDB4B47}"/>
    <cellStyle name="桁区切り_Credit Memos Japan 2001" xfId="366" xr:uid="{7E959EC2-74F5-4B64-A7B6-22AAB0487B70}"/>
    <cellStyle name="標準_BankDue Harada 042001" xfId="367" xr:uid="{52FC2C80-D9DE-405F-81BF-97856D8C269C}"/>
    <cellStyle name="良い" xfId="827" xr:uid="{DF1FECB8-2D9E-4EC9-A2B5-1AC6F937644E}"/>
    <cellStyle name="見出し 1" xfId="828" xr:uid="{5CFAE1C6-E02C-46EA-A88C-67E6986217AF}"/>
    <cellStyle name="見出し 2" xfId="829" xr:uid="{15773F86-CE83-424B-A674-E56D18813845}"/>
    <cellStyle name="見出し 3" xfId="830" xr:uid="{D2D18974-972A-426D-A321-685FEA083E1C}"/>
    <cellStyle name="見出し 4" xfId="831" xr:uid="{0CFEEF1D-1975-4FD8-976A-6A1A57825BD5}"/>
    <cellStyle name="計算" xfId="832" xr:uid="{7C15A4DA-E3C6-4B53-8516-AEC72C56C654}"/>
    <cellStyle name="計算 2" xfId="885" xr:uid="{6EAD0760-759E-4DB2-AA10-E8F99337A252}"/>
    <cellStyle name="計算 2 2" xfId="1328" xr:uid="{0F109109-A111-49F4-87D3-77BDD3CDFDE2}"/>
    <cellStyle name="計算 2 2 2" xfId="1815" xr:uid="{B3F46459-8EB2-4E68-A687-5349D5D5A933}"/>
    <cellStyle name="計算 2 3" xfId="1402" xr:uid="{E7E7FA25-23E3-4E21-8B39-D631E1D74FFF}"/>
    <cellStyle name="計算 2 3 2" xfId="1858" xr:uid="{A46DFC29-EE8A-4B7D-B021-77DA2F160384}"/>
    <cellStyle name="計算 2 4" xfId="1621" xr:uid="{CC0AA344-55BD-450B-9559-781469120C6D}"/>
    <cellStyle name="計算 3" xfId="1304" xr:uid="{893399CF-9420-4F5B-AE01-9FFE521D83E5}"/>
    <cellStyle name="計算 3 2" xfId="1800" xr:uid="{4AD9E8A2-4C3A-48B6-9E86-ABE86828BC14}"/>
    <cellStyle name="計算 4" xfId="1386" xr:uid="{75E99A3F-2D61-4C95-9BCB-B37703ED0D52}"/>
    <cellStyle name="計算 4 2" xfId="1847" xr:uid="{C688161E-FDA2-4AF5-9E27-E9225FCD92A9}"/>
    <cellStyle name="計算 5" xfId="1420" xr:uid="{4026D58D-0140-40B2-97FD-2B6D62013527}"/>
    <cellStyle name="計算 5 2" xfId="1874" xr:uid="{95A2B898-831E-4525-AE0E-0BEBF2A8D292}"/>
    <cellStyle name="計算 6" xfId="1610" xr:uid="{8A647E86-C417-48DD-A742-BCAD654A4F94}"/>
    <cellStyle name="説明文" xfId="833" xr:uid="{8A7B9B8B-4C20-402F-A669-955BDEDE227C}"/>
    <cellStyle name="警告文" xfId="834" xr:uid="{CF89184C-E519-4EB4-950D-E2409328BCAF}"/>
    <cellStyle name="通貨 [0.00]_Credit Memos Japan 2001" xfId="368" xr:uid="{2FCABFEE-EACC-4286-8520-9BA63BC27E9E}"/>
    <cellStyle name="通貨_Credit Memos Japan 2001" xfId="369" xr:uid="{B7B8D038-5580-4A2C-A3AF-0A27BF751585}"/>
    <cellStyle name="集計" xfId="835" xr:uid="{C3FCFC7E-3A6C-440A-80A6-64AC7B8A4456}"/>
    <cellStyle name="集計 2" xfId="886" xr:uid="{50EF68FA-22DA-404C-8683-7C7A28975FCD}"/>
    <cellStyle name="集計 2 2" xfId="1329" xr:uid="{CF024B36-B1EF-4830-BF43-202B69185C23}"/>
    <cellStyle name="集計 2 2 2" xfId="1816" xr:uid="{B4C2B149-ED7A-429C-9405-D257FA97D316}"/>
    <cellStyle name="集計 2 3" xfId="1403" xr:uid="{20BED15F-7D72-4FB8-BF44-9ADCB68F1C0E}"/>
    <cellStyle name="集計 2 3 2" xfId="1859" xr:uid="{5ECD8394-373A-4CB9-AB0E-D92398643A1A}"/>
    <cellStyle name="集計 2 4" xfId="1622" xr:uid="{39667A67-F13F-43E3-80EE-4802452D2466}"/>
    <cellStyle name="集計 3" xfId="1305" xr:uid="{93BD5181-EE54-4826-A1EF-062D2C02C8C3}"/>
    <cellStyle name="集計 3 2" xfId="1801" xr:uid="{7281716E-551D-46A0-805E-A402381875BD}"/>
    <cellStyle name="集計 4" xfId="1387" xr:uid="{C7C59202-550B-498D-8959-48441B938DFB}"/>
    <cellStyle name="集計 4 2" xfId="1848" xr:uid="{26D5CF81-599C-4CF9-84A0-F4558C090331}"/>
    <cellStyle name="集計 5" xfId="1421" xr:uid="{6CBAF807-CC49-45F7-B4D1-DA270CA82C5B}"/>
    <cellStyle name="集計 5 2" xfId="1875" xr:uid="{DE39EE9B-6DC0-4CB7-A10C-227BDBAFE9FA}"/>
    <cellStyle name="集計 6" xfId="1611" xr:uid="{B0BBD5A2-9460-4694-84CB-418AF17D5783}"/>
  </cellStyles>
  <dxfs count="117">
    <dxf>
      <font>
        <color theme="1"/>
      </font>
    </dxf>
    <dxf>
      <font>
        <color theme="1"/>
      </font>
    </dxf>
    <dxf>
      <font>
        <color theme="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color auto="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color auto="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FFB3B3"/>
      <color rgb="FFFF7C80"/>
      <color rgb="FF00CE18"/>
      <color rgb="FFE8EEF8"/>
      <color rgb="FFE3E9F5"/>
      <color rgb="FFD9E3F3"/>
      <color rgb="FFF3F6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37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4" Type="http://schemas.openxmlformats.org/officeDocument/2006/relationships/customProperty" Target="../customProperty4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6.bin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8.bin"/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0.bin"/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2.bin"/><Relationship Id="rId2" Type="http://schemas.openxmlformats.org/officeDocument/2006/relationships/customProperty" Target="../customProperty11.bin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4.bin"/><Relationship Id="rId2" Type="http://schemas.openxmlformats.org/officeDocument/2006/relationships/customProperty" Target="../customProperty13.bin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6.bin"/><Relationship Id="rId2" Type="http://schemas.openxmlformats.org/officeDocument/2006/relationships/customProperty" Target="../customProperty15.bin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8.bin"/><Relationship Id="rId2" Type="http://schemas.openxmlformats.org/officeDocument/2006/relationships/customProperty" Target="../customProperty17.bin"/><Relationship Id="rId1" Type="http://schemas.openxmlformats.org/officeDocument/2006/relationships/printerSettings" Target="../printerSettings/printerSettings10.bin"/><Relationship Id="rId4" Type="http://schemas.openxmlformats.org/officeDocument/2006/relationships/customProperty" Target="../customProperty1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2.bin"/><Relationship Id="rId2" Type="http://schemas.openxmlformats.org/officeDocument/2006/relationships/customProperty" Target="../customProperty21.bin"/><Relationship Id="rId1" Type="http://schemas.openxmlformats.org/officeDocument/2006/relationships/customProperty" Target="../customProperty2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4.bin"/><Relationship Id="rId1" Type="http://schemas.openxmlformats.org/officeDocument/2006/relationships/customProperty" Target="../customProperty23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6.bin"/><Relationship Id="rId2" Type="http://schemas.openxmlformats.org/officeDocument/2006/relationships/customProperty" Target="../customProperty25.bin"/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9.bin"/><Relationship Id="rId2" Type="http://schemas.openxmlformats.org/officeDocument/2006/relationships/customProperty" Target="../customProperty28.bin"/><Relationship Id="rId1" Type="http://schemas.openxmlformats.org/officeDocument/2006/relationships/customProperty" Target="../customProperty27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2.bin"/><Relationship Id="rId2" Type="http://schemas.openxmlformats.org/officeDocument/2006/relationships/customProperty" Target="../customProperty31.bin"/><Relationship Id="rId1" Type="http://schemas.openxmlformats.org/officeDocument/2006/relationships/customProperty" Target="../customProperty30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5.bin"/><Relationship Id="rId2" Type="http://schemas.openxmlformats.org/officeDocument/2006/relationships/customProperty" Target="../customProperty34.bin"/><Relationship Id="rId1" Type="http://schemas.openxmlformats.org/officeDocument/2006/relationships/customProperty" Target="../customProperty3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7.bin"/><Relationship Id="rId2" Type="http://schemas.openxmlformats.org/officeDocument/2006/relationships/customProperty" Target="../customProperty36.bin"/><Relationship Id="rId1" Type="http://schemas.openxmlformats.org/officeDocument/2006/relationships/printerSettings" Target="../printerSettings/printerSettings13.bin"/><Relationship Id="rId4" Type="http://schemas.openxmlformats.org/officeDocument/2006/relationships/customProperty" Target="../customProperty38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41.bin"/><Relationship Id="rId2" Type="http://schemas.openxmlformats.org/officeDocument/2006/relationships/customProperty" Target="../customProperty40.bin"/><Relationship Id="rId1" Type="http://schemas.openxmlformats.org/officeDocument/2006/relationships/customProperty" Target="../customProperty39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44.bin"/><Relationship Id="rId2" Type="http://schemas.openxmlformats.org/officeDocument/2006/relationships/customProperty" Target="../customProperty43.bin"/><Relationship Id="rId1" Type="http://schemas.openxmlformats.org/officeDocument/2006/relationships/customProperty" Target="../customProperty42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46.bin"/><Relationship Id="rId2" Type="http://schemas.openxmlformats.org/officeDocument/2006/relationships/customProperty" Target="../customProperty45.bin"/><Relationship Id="rId1" Type="http://schemas.openxmlformats.org/officeDocument/2006/relationships/printerSettings" Target="../printerSettings/printerSettings14.bin"/><Relationship Id="rId4" Type="http://schemas.openxmlformats.org/officeDocument/2006/relationships/customProperty" Target="../customProperty4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50.bin"/><Relationship Id="rId2" Type="http://schemas.openxmlformats.org/officeDocument/2006/relationships/customProperty" Target="../customProperty49.bin"/><Relationship Id="rId1" Type="http://schemas.openxmlformats.org/officeDocument/2006/relationships/customProperty" Target="../customProperty4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7B821-71F5-422C-907C-4DEA65F28A79}">
  <dimension ref="A1"/>
  <sheetViews>
    <sheetView workbookViewId="0"/>
  </sheetViews>
  <sheetFormatPr defaultRowHeight="14.5"/>
  <sheetData/>
  <pageMargins left="0.7" right="0.7" top="0.75" bottom="0.75" header="0.3" footer="0.3"/>
  <customProperties>
    <customPr name="_pios_id" r:id="rId1"/>
    <customPr name="CofWorksheetType" r:id="rId2"/>
    <customPr name="EpmWorksheetKeyString_GUID" r:id="rId3"/>
    <customPr name="serializedData2" r:id="rId4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E78B7-D1B8-481F-B655-4CE2E6C9FD2A}">
  <dimension ref="C2:V103"/>
  <sheetViews>
    <sheetView topLeftCell="B1" zoomScale="50" zoomScaleNormal="50" workbookViewId="0">
      <selection activeCell="G13" sqref="G13"/>
    </sheetView>
  </sheetViews>
  <sheetFormatPr defaultColWidth="8.7265625" defaultRowHeight="17"/>
  <cols>
    <col min="1" max="1" width="8.7265625" style="373"/>
    <col min="2" max="2" width="3.81640625" style="373" customWidth="1"/>
    <col min="3" max="3" width="19.54296875" style="372" customWidth="1"/>
    <col min="4" max="4" width="11.1796875" style="373" bestFit="1" customWidth="1"/>
    <col min="5" max="5" width="20.81640625" style="372" bestFit="1" customWidth="1"/>
    <col min="6" max="6" width="11.1796875" style="372" bestFit="1" customWidth="1"/>
    <col min="7" max="7" width="20.81640625" style="373" bestFit="1" customWidth="1"/>
    <col min="8" max="8" width="22.1796875" style="372" customWidth="1"/>
    <col min="9" max="9" width="20.81640625" style="373" bestFit="1" customWidth="1"/>
    <col min="10" max="10" width="11.1796875" style="373" bestFit="1" customWidth="1"/>
    <col min="11" max="11" width="20.81640625" style="373" bestFit="1" customWidth="1"/>
    <col min="12" max="12" width="11.1796875" style="373" bestFit="1" customWidth="1"/>
    <col min="13" max="13" width="20.81640625" style="373" bestFit="1" customWidth="1"/>
    <col min="14" max="14" width="21.7265625" style="373" customWidth="1"/>
    <col min="15" max="15" width="20.81640625" style="373" bestFit="1" customWidth="1"/>
    <col min="16" max="16" width="3.81640625" style="373" customWidth="1"/>
    <col min="17" max="17" width="51.26953125" style="373" customWidth="1"/>
    <col min="18" max="19" width="34.1796875" style="373" customWidth="1"/>
    <col min="20" max="20" width="4.1796875" style="373" customWidth="1"/>
    <col min="21" max="21" width="13.1796875" style="373" bestFit="1" customWidth="1"/>
    <col min="22" max="22" width="34.54296875" style="373" bestFit="1" customWidth="1"/>
    <col min="23" max="23" width="35.1796875" style="373" bestFit="1" customWidth="1"/>
    <col min="24" max="24" width="27.453125" style="373" bestFit="1" customWidth="1"/>
    <col min="25" max="16384" width="8.7265625" style="373"/>
  </cols>
  <sheetData>
    <row r="2" spans="3:22" ht="16.5" customHeight="1"/>
    <row r="3" spans="3:22">
      <c r="C3" s="374" t="s">
        <v>0</v>
      </c>
      <c r="D3" s="375"/>
      <c r="E3" s="376"/>
      <c r="F3" s="377"/>
      <c r="G3" s="375"/>
      <c r="H3" s="376"/>
      <c r="I3" s="377"/>
      <c r="J3" s="375"/>
      <c r="K3" s="376"/>
      <c r="L3" s="377"/>
      <c r="M3" s="376"/>
      <c r="N3" s="376"/>
      <c r="O3" s="376"/>
      <c r="Q3" s="372"/>
      <c r="V3" s="372"/>
    </row>
    <row r="4" spans="3:22">
      <c r="C4" s="378" t="s">
        <v>1</v>
      </c>
      <c r="D4" s="434" t="s">
        <v>2</v>
      </c>
      <c r="E4" s="441"/>
      <c r="F4" s="442"/>
      <c r="G4" s="434" t="s">
        <v>3</v>
      </c>
      <c r="H4" s="441"/>
      <c r="I4" s="442"/>
      <c r="J4" s="434" t="s">
        <v>4</v>
      </c>
      <c r="K4" s="441"/>
      <c r="L4" s="442"/>
      <c r="M4" s="443" t="s">
        <v>5</v>
      </c>
      <c r="N4" s="441"/>
      <c r="O4" s="441"/>
      <c r="T4" s="381"/>
    </row>
    <row r="5" spans="3:22" s="323" customFormat="1" ht="13">
      <c r="C5" s="370"/>
      <c r="D5" s="371" t="s">
        <v>6</v>
      </c>
      <c r="E5" s="371" t="s">
        <v>7</v>
      </c>
      <c r="F5" s="371" t="s">
        <v>8</v>
      </c>
      <c r="G5" s="371" t="s">
        <v>6</v>
      </c>
      <c r="H5" s="371" t="s">
        <v>7</v>
      </c>
      <c r="I5" s="371" t="s">
        <v>8</v>
      </c>
      <c r="J5" s="371" t="s">
        <v>6</v>
      </c>
      <c r="K5" s="371" t="s">
        <v>7</v>
      </c>
      <c r="L5" s="371" t="s">
        <v>8</v>
      </c>
      <c r="M5" s="371" t="s">
        <v>6</v>
      </c>
      <c r="N5" s="371" t="s">
        <v>7</v>
      </c>
      <c r="O5" s="371" t="s">
        <v>8</v>
      </c>
      <c r="U5" s="322"/>
    </row>
    <row r="6" spans="3:22" ht="16" customHeight="1">
      <c r="C6" s="382" t="s">
        <v>9</v>
      </c>
      <c r="D6" s="383">
        <f>SUM(D7:D14)</f>
        <v>62184.72933400271</v>
      </c>
      <c r="E6" s="383">
        <f>SUM(E7:E14)</f>
        <v>-15618.407514136488</v>
      </c>
      <c r="F6" s="384">
        <f>(D6/(D6-E6))-1</f>
        <v>-0.2007426454362814</v>
      </c>
      <c r="G6" s="383">
        <f>SUM(G7:G14)</f>
        <v>14284.820631675018</v>
      </c>
      <c r="H6" s="383">
        <f>SUM(H7:H14)</f>
        <v>-3350.4083559271739</v>
      </c>
      <c r="I6" s="384">
        <f>(G6/(G6-H6))-1</f>
        <v>-0.18998383056338863</v>
      </c>
      <c r="J6" s="383">
        <f>SUM(J7:J14)</f>
        <v>11032.072959488572</v>
      </c>
      <c r="K6" s="383">
        <f>SUM(K7:K14)</f>
        <v>-2538.0732808787479</v>
      </c>
      <c r="L6" s="384">
        <f>(J6/(J6-K6))-1</f>
        <v>-0.18703359830631028</v>
      </c>
      <c r="M6" s="383">
        <f>SUM(M7:M14)</f>
        <v>5977.8703240805844</v>
      </c>
      <c r="N6" s="383">
        <f>SUM(N7:N14)</f>
        <v>-2551.2413952635607</v>
      </c>
      <c r="O6" s="384">
        <f>(M6/(M6-N6))-1</f>
        <v>-0.29912158255323473</v>
      </c>
      <c r="T6" s="381"/>
    </row>
    <row r="7" spans="3:22" ht="16" customHeight="1">
      <c r="C7" s="382" t="s">
        <v>10</v>
      </c>
      <c r="D7" s="383">
        <f>'A -Döviz'!AA9/1000</f>
        <v>789.95616860044743</v>
      </c>
      <c r="E7" s="383">
        <f>('A -Döviz'!AA9-'A -Döviz'!Z9)/1000</f>
        <v>-86.002944727206597</v>
      </c>
      <c r="F7" s="384">
        <f t="shared" ref="F7:F14" si="0">(D7/(D7-E7))-1</f>
        <v>-9.8181460091775974E-2</v>
      </c>
      <c r="G7" s="383">
        <f>('A -Döviz'!AA36)/1000</f>
        <v>789.95616860044743</v>
      </c>
      <c r="H7" s="383">
        <f>('A -Döviz'!AA36-'A -Döviz'!Z36)/1000</f>
        <v>-86.002944727206597</v>
      </c>
      <c r="I7" s="384">
        <f t="shared" ref="I7:I14" si="1">(G7/(G7-H7))-1</f>
        <v>-9.8181460091775974E-2</v>
      </c>
      <c r="J7" s="383">
        <f>'A -Döviz'!AA139/1000</f>
        <v>482.56644230878635</v>
      </c>
      <c r="K7" s="383">
        <f>('A -Döviz'!AA139-'A -Döviz'!Z139)/1000</f>
        <v>-4.0016299849040227</v>
      </c>
      <c r="L7" s="384">
        <f t="shared" ref="L7:L14" si="2">(J7/(J7-K7))-1</f>
        <v>-8.2241935152881362E-3</v>
      </c>
      <c r="M7" s="383">
        <f>'A -Döviz'!AA215/1000</f>
        <v>379.2263775667152</v>
      </c>
      <c r="N7" s="383">
        <f>('A -Döviz'!AA215-'A -Döviz'!Z215)/1000</f>
        <v>48.662370560140637</v>
      </c>
      <c r="O7" s="384">
        <f t="shared" ref="O7:O14" si="3">(M7/(M7-N7))-1</f>
        <v>0.1472101303490454</v>
      </c>
      <c r="U7" s="372"/>
    </row>
    <row r="8" spans="3:22" ht="16" customHeight="1">
      <c r="C8" s="382" t="s">
        <v>11</v>
      </c>
      <c r="D8" s="383">
        <f>'A -Döviz'!AA10/1000</f>
        <v>453.45099586335374</v>
      </c>
      <c r="E8" s="383">
        <f>('A -Döviz'!AA10-'A -Döviz'!Z10)/1000</f>
        <v>-177.15310381644963</v>
      </c>
      <c r="F8" s="384">
        <f t="shared" si="0"/>
        <v>-0.28092602618092899</v>
      </c>
      <c r="G8" s="383">
        <f>('A -Döviz'!AA37)/1000</f>
        <v>103.70261303963035</v>
      </c>
      <c r="H8" s="383">
        <f>('A -Döviz'!AA37-'A -Döviz'!Z37)/1000</f>
        <v>-98.326642401792924</v>
      </c>
      <c r="I8" s="384">
        <f t="shared" si="1"/>
        <v>-0.48669506892432191</v>
      </c>
      <c r="J8" s="383">
        <f>'A -Döviz'!AA140/1000</f>
        <v>-23.409094708546807</v>
      </c>
      <c r="K8" s="383">
        <f>('A -Döviz'!AA140-'A -Döviz'!Z140)/1000</f>
        <v>-106.64183045874675</v>
      </c>
      <c r="L8" s="384">
        <f>((J8/(J8-K8))-1)</f>
        <v>-1.2812486517180299</v>
      </c>
      <c r="M8" s="383">
        <f>'A -Döviz'!AA216/1000</f>
        <v>-204.95990760439776</v>
      </c>
      <c r="N8" s="383">
        <f>('A -Döviz'!AA216-'A -Döviz'!Z216)/1000</f>
        <v>-251.23212247568111</v>
      </c>
      <c r="O8" s="384">
        <f>((M8/(M8-N8))-1)</f>
        <v>-5.4294380153303701</v>
      </c>
      <c r="T8" s="381"/>
    </row>
    <row r="9" spans="3:22" ht="16" customHeight="1">
      <c r="C9" s="382" t="s">
        <v>12</v>
      </c>
      <c r="D9" s="383">
        <f>'A -Döviz'!AA11/1000</f>
        <v>890.67475968674717</v>
      </c>
      <c r="E9" s="383">
        <f>('A -Döviz'!AA11-'A -Döviz'!Z11)/1000</f>
        <v>-524.10648933976347</v>
      </c>
      <c r="F9" s="384">
        <f t="shared" si="0"/>
        <v>-0.37045054823874224</v>
      </c>
      <c r="G9" s="383">
        <f>('A -Döviz'!AA38)/1000</f>
        <v>170.33583095683636</v>
      </c>
      <c r="H9" s="383">
        <f>('A -Döviz'!AA38-'A -Döviz'!Z38)/1000</f>
        <v>-117.78465407853305</v>
      </c>
      <c r="I9" s="384">
        <f t="shared" si="1"/>
        <v>-0.40880347006244255</v>
      </c>
      <c r="J9" s="383">
        <f>'A -Döviz'!AA141/1000</f>
        <v>55.231727363882825</v>
      </c>
      <c r="K9" s="383">
        <f>('A -Döviz'!AA141-'A -Döviz'!Z141)/1000</f>
        <v>-20.731473126294667</v>
      </c>
      <c r="L9" s="384">
        <f>((J9/(J9-K9))-1)</f>
        <v>-0.27291468753973014</v>
      </c>
      <c r="M9" s="383">
        <f>'A -Döviz'!AA217/1000</f>
        <v>27.182709976922894</v>
      </c>
      <c r="N9" s="383">
        <f>('A -Döviz'!AA217-'A -Döviz'!Z217)/1000</f>
        <v>2.6174753882244439</v>
      </c>
      <c r="O9" s="384">
        <f>((M9/(M9-N9))-1)</f>
        <v>0.10655202085587434</v>
      </c>
      <c r="Q9" s="425"/>
      <c r="U9" s="372"/>
      <c r="V9" s="372"/>
    </row>
    <row r="10" spans="3:22" ht="16" customHeight="1">
      <c r="C10" s="382" t="s">
        <v>13</v>
      </c>
      <c r="D10" s="383">
        <f>'A -Döviz'!AA12/1000</f>
        <v>10760.310273309915</v>
      </c>
      <c r="E10" s="383">
        <f>('A -Döviz'!AA12-'A -Döviz'!Z12)/1000</f>
        <v>-11782.675462659688</v>
      </c>
      <c r="F10" s="384">
        <f t="shared" si="0"/>
        <v>-0.52267590463224423</v>
      </c>
      <c r="G10" s="383">
        <f>('A -Döviz'!AA39)/1000</f>
        <v>1647.4209608076676</v>
      </c>
      <c r="H10" s="383">
        <f>('A -Döviz'!AA39-'A -Döviz'!Z39)/1000</f>
        <v>-3233.7433598127986</v>
      </c>
      <c r="I10" s="384">
        <f t="shared" si="1"/>
        <v>-0.6624942631314128</v>
      </c>
      <c r="J10" s="383">
        <f>'A -Döviz'!AA142/1000</f>
        <v>274.34945967932026</v>
      </c>
      <c r="K10" s="383">
        <f>('A -Döviz'!AA142-'A -Döviz'!Z142)/1000</f>
        <v>-2626.7895506577283</v>
      </c>
      <c r="L10" s="384">
        <f t="shared" si="2"/>
        <v>-0.905433880037535</v>
      </c>
      <c r="M10" s="383">
        <f>'A -Döviz'!AA218/1000</f>
        <v>-2472.8123375020659</v>
      </c>
      <c r="N10" s="383">
        <f>('A -Döviz'!AA218-'A -Döviz'!Z218)/1000</f>
        <v>-2878.9134193274708</v>
      </c>
      <c r="O10" s="384">
        <f>((M10/(M10-N10))-1)</f>
        <v>-7.0891547650818687</v>
      </c>
      <c r="U10" s="372"/>
      <c r="V10" s="372"/>
    </row>
    <row r="11" spans="3:22" ht="16" customHeight="1">
      <c r="C11" s="382" t="s">
        <v>14</v>
      </c>
      <c r="D11" s="383">
        <f>'A -Döviz'!AA13/1000</f>
        <v>5403.6455865422295</v>
      </c>
      <c r="E11" s="383">
        <f>('A -Döviz'!AA13-'A -Döviz'!Z13)/1000</f>
        <v>-554.5810071683843</v>
      </c>
      <c r="F11" s="384">
        <f t="shared" si="0"/>
        <v>-9.3078200106352038E-2</v>
      </c>
      <c r="G11" s="383">
        <f>('A -Döviz'!AA40)/1000</f>
        <v>1183.0213682704366</v>
      </c>
      <c r="H11" s="383">
        <f>('A -Döviz'!AA40-'A -Döviz'!Z40)/1000</f>
        <v>-53.767076655844924</v>
      </c>
      <c r="I11" s="384">
        <f t="shared" si="1"/>
        <v>-4.3473139546553297E-2</v>
      </c>
      <c r="J11" s="383">
        <f>'A -Döviz'!AA143/1000</f>
        <v>606.4007148451268</v>
      </c>
      <c r="K11" s="383">
        <f>('A -Döviz'!AA143-'A -Döviz'!Z143)/1000</f>
        <v>153.79958160692354</v>
      </c>
      <c r="L11" s="384">
        <f t="shared" si="2"/>
        <v>0.33981263039829601</v>
      </c>
      <c r="M11" s="383">
        <f>'A -Döviz'!AA219/1000</f>
        <v>266.9150816434086</v>
      </c>
      <c r="N11" s="383">
        <f>('A -Döviz'!AA219-'A -Döviz'!Z219)/1000</f>
        <v>187.34421937122346</v>
      </c>
      <c r="O11" s="384">
        <f t="shared" si="3"/>
        <v>2.3544324394824572</v>
      </c>
      <c r="U11" s="372"/>
      <c r="V11" s="372"/>
    </row>
    <row r="12" spans="3:22" ht="16" customHeight="1">
      <c r="C12" s="382" t="s">
        <v>15</v>
      </c>
      <c r="D12" s="383">
        <f>'A -Döviz'!AA14/1000</f>
        <v>11814.678540000006</v>
      </c>
      <c r="E12" s="383">
        <f>('A -Döviz'!AA14-'A -Döviz'!Z14)/1000</f>
        <v>-2041.1322951839863</v>
      </c>
      <c r="F12" s="384">
        <f t="shared" si="0"/>
        <v>-0.1473123673138601</v>
      </c>
      <c r="G12" s="383">
        <f>('A -Döviz'!AA41)/1000</f>
        <v>3027.0705699999935</v>
      </c>
      <c r="H12" s="383">
        <f>('A -Döviz'!AA41-'A -Döviz'!Z41)/1000</f>
        <v>-195.48390436899615</v>
      </c>
      <c r="I12" s="384">
        <f t="shared" si="1"/>
        <v>-6.0661163658769168E-2</v>
      </c>
      <c r="J12" s="383">
        <f>'A -Döviz'!AA144/1000</f>
        <v>2866.0326400000008</v>
      </c>
      <c r="K12" s="383">
        <f>('A -Döviz'!AA144-'A -Döviz'!Z144)/1000</f>
        <v>-556.12203698999849</v>
      </c>
      <c r="L12" s="384">
        <f t="shared" si="2"/>
        <v>-0.16250640005528416</v>
      </c>
      <c r="M12" s="383">
        <f>'A -Döviz'!AA220/1000</f>
        <v>2095.448080000001</v>
      </c>
      <c r="N12" s="383">
        <f>('A -Döviz'!AA220-'A -Döviz'!Z220)/1000</f>
        <v>31.085566116001225</v>
      </c>
      <c r="O12" s="384">
        <f t="shared" si="3"/>
        <v>1.5058191527376197E-2</v>
      </c>
      <c r="U12" s="372"/>
      <c r="V12" s="372"/>
    </row>
    <row r="13" spans="3:22" ht="16" customHeight="1">
      <c r="C13" s="382" t="s">
        <v>16</v>
      </c>
      <c r="D13" s="383">
        <f>'A -Döviz'!AA15/1000</f>
        <v>9589.3663299999989</v>
      </c>
      <c r="E13" s="383">
        <f>('A -Döviz'!AA15-'A -Döviz'!Z15)/1000</f>
        <v>1295.4970740039944</v>
      </c>
      <c r="F13" s="384">
        <f t="shared" si="0"/>
        <v>0.15619936051770078</v>
      </c>
      <c r="G13" s="383">
        <f>('A -Döviz'!AA42)/1000</f>
        <v>3399.9394099999972</v>
      </c>
      <c r="H13" s="383">
        <f>('A -Döviz'!AA42-'A -Döviz'!Z42)/1000</f>
        <v>988.71205630099871</v>
      </c>
      <c r="I13" s="384">
        <f t="shared" si="1"/>
        <v>0.41004513937030529</v>
      </c>
      <c r="J13" s="383">
        <f>'A -Döviz'!AA145/1000</f>
        <v>3117.0045600000003</v>
      </c>
      <c r="K13" s="383">
        <f>('A -Döviz'!AA145-'A -Döviz'!Z145)/1000</f>
        <v>875.91267135800047</v>
      </c>
      <c r="L13" s="384">
        <f t="shared" si="2"/>
        <v>0.39084192656141536</v>
      </c>
      <c r="M13" s="383">
        <f>'A -Döviz'!AA221/1000</f>
        <v>2585.9405600000005</v>
      </c>
      <c r="N13" s="383">
        <f>('A -Döviz'!AA221-'A -Döviz'!Z221)/1000</f>
        <v>861.26263321700105</v>
      </c>
      <c r="O13" s="384">
        <f t="shared" si="3"/>
        <v>0.49937592395786834</v>
      </c>
      <c r="U13" s="372"/>
      <c r="V13" s="372"/>
    </row>
    <row r="14" spans="3:22" ht="16" customHeight="1">
      <c r="C14" s="382" t="s">
        <v>17</v>
      </c>
      <c r="D14" s="383">
        <f>'A -Döviz'!AA16/1000</f>
        <v>22482.646680000009</v>
      </c>
      <c r="E14" s="383">
        <f>('A -Döviz'!AA16-'A -Döviz'!Z16)/1000</f>
        <v>-1748.2532852450013</v>
      </c>
      <c r="F14" s="384">
        <f t="shared" si="0"/>
        <v>-7.2149746305443241E-2</v>
      </c>
      <c r="G14" s="383">
        <f>('A -Döviz'!AA43)/1000</f>
        <v>3963.3737100000099</v>
      </c>
      <c r="H14" s="383">
        <f>('A -Döviz'!AA43-'A -Döviz'!Z43)/1000</f>
        <v>-554.0118301829998</v>
      </c>
      <c r="I14" s="384">
        <f t="shared" si="1"/>
        <v>-0.12263992640321675</v>
      </c>
      <c r="J14" s="383">
        <f>'A -Döviz'!AA146/1000</f>
        <v>3653.8965100000019</v>
      </c>
      <c r="K14" s="383">
        <f>('A -Döviz'!AA146-'A -Döviz'!Z146)/1000</f>
        <v>-253.49901262599974</v>
      </c>
      <c r="L14" s="384">
        <f t="shared" si="2"/>
        <v>-6.487672188753324E-2</v>
      </c>
      <c r="M14" s="383">
        <f>'A -Döviz'!AA222/1000</f>
        <v>3300.9297600000004</v>
      </c>
      <c r="N14" s="383">
        <f>('A -Döviz'!AA222-'A -Döviz'!Z222)/1000</f>
        <v>-552.06811811299997</v>
      </c>
      <c r="O14" s="384">
        <f t="shared" si="3"/>
        <v>-0.14328274646841344</v>
      </c>
      <c r="U14" s="372"/>
      <c r="V14" s="372"/>
    </row>
    <row r="15" spans="3:22" ht="16" customHeight="1">
      <c r="C15" s="382"/>
      <c r="D15" s="385"/>
      <c r="E15" s="385"/>
      <c r="F15" s="386"/>
      <c r="G15" s="385"/>
      <c r="H15" s="385"/>
      <c r="I15" s="386"/>
      <c r="J15" s="385"/>
      <c r="K15" s="385"/>
      <c r="L15" s="386"/>
      <c r="M15" s="385"/>
      <c r="N15" s="385"/>
      <c r="O15" s="386"/>
      <c r="U15" s="372"/>
      <c r="V15" s="372"/>
    </row>
    <row r="16" spans="3:22" ht="16" customHeight="1">
      <c r="C16" s="374"/>
      <c r="D16" s="375"/>
      <c r="E16" s="376"/>
      <c r="F16" s="377"/>
      <c r="G16" s="375"/>
      <c r="H16" s="376"/>
      <c r="I16" s="377"/>
      <c r="J16" s="375"/>
      <c r="K16" s="376"/>
      <c r="L16" s="377"/>
      <c r="M16" s="376"/>
      <c r="N16" s="376"/>
      <c r="O16" s="376"/>
      <c r="U16" s="372"/>
      <c r="V16" s="372"/>
    </row>
    <row r="17" spans="3:22" ht="16" customHeight="1">
      <c r="C17" s="378" t="s">
        <v>1</v>
      </c>
      <c r="D17" s="434" t="s">
        <v>18</v>
      </c>
      <c r="E17" s="441"/>
      <c r="F17" s="442"/>
      <c r="G17" s="434" t="s">
        <v>19</v>
      </c>
      <c r="H17" s="441"/>
      <c r="I17" s="442"/>
      <c r="J17" s="434" t="s">
        <v>20</v>
      </c>
      <c r="K17" s="441"/>
      <c r="L17" s="442"/>
      <c r="M17" s="443" t="s">
        <v>21</v>
      </c>
      <c r="N17" s="441"/>
      <c r="O17" s="441"/>
      <c r="V17" s="388"/>
    </row>
    <row r="18" spans="3:22" s="323" customFormat="1" ht="13">
      <c r="C18" s="370"/>
      <c r="D18" s="371" t="s">
        <v>6</v>
      </c>
      <c r="E18" s="371" t="s">
        <v>7</v>
      </c>
      <c r="F18" s="371" t="s">
        <v>8</v>
      </c>
      <c r="G18" s="371" t="s">
        <v>6</v>
      </c>
      <c r="H18" s="371" t="s">
        <v>7</v>
      </c>
      <c r="I18" s="371" t="s">
        <v>8</v>
      </c>
      <c r="J18" s="371" t="s">
        <v>6</v>
      </c>
      <c r="K18" s="371" t="s">
        <v>7</v>
      </c>
      <c r="L18" s="371" t="s">
        <v>8</v>
      </c>
      <c r="M18" s="371" t="s">
        <v>6</v>
      </c>
      <c r="N18" s="371" t="s">
        <v>7</v>
      </c>
      <c r="O18" s="371" t="s">
        <v>8</v>
      </c>
      <c r="U18" s="322"/>
    </row>
    <row r="19" spans="3:22" ht="16" customHeight="1">
      <c r="C19" s="382" t="s">
        <v>9</v>
      </c>
      <c r="D19" s="383">
        <f>SUM(D20:D27)</f>
        <v>-341.55929276076051</v>
      </c>
      <c r="E19" s="383">
        <f>SUM(E20:E27)</f>
        <v>-43.845777587693362</v>
      </c>
      <c r="F19" s="384">
        <f>(D19/(D19-E19))</f>
        <v>1.1472750659714084</v>
      </c>
      <c r="G19" s="383">
        <f>SUM(G20:G27)</f>
        <v>10311.750149731215</v>
      </c>
      <c r="H19" s="383">
        <f>SUM(H20:H27)</f>
        <v>-5682.196857638879</v>
      </c>
      <c r="I19" s="384">
        <f>((G19/(G19-H19))-1)</f>
        <v>-0.35527170716649825</v>
      </c>
      <c r="J19" s="383">
        <f>SUM(J20:J27)</f>
        <v>9191.7263352466725</v>
      </c>
      <c r="K19" s="383">
        <f>SUM(K20:K27)</f>
        <v>-5141.0350901073289</v>
      </c>
      <c r="L19" s="384">
        <f>((J19/(J19-K19))-1)</f>
        <v>-0.35869117872938794</v>
      </c>
      <c r="M19" s="383">
        <f>SUM(M20:M27)</f>
        <v>-4534.369396506183</v>
      </c>
      <c r="N19" s="383">
        <f>SUM(N20:N27)</f>
        <v>-27509.96451635944</v>
      </c>
      <c r="O19" s="384">
        <f>(M19/(M19-N19))-1</f>
        <v>-1.1973559062497592</v>
      </c>
      <c r="V19" s="388"/>
    </row>
    <row r="20" spans="3:22" ht="16" customHeight="1">
      <c r="C20" s="382" t="s">
        <v>10</v>
      </c>
      <c r="D20" s="383">
        <f>'A -Döviz'!AA202/1000</f>
        <v>-126.40879252223149</v>
      </c>
      <c r="E20" s="383">
        <f>('A -Döviz'!AA202-'A -Döviz'!Z202)/1000</f>
        <v>-16.220790186698956</v>
      </c>
      <c r="F20" s="384">
        <f>-((D20/(D20-E20))-1)</f>
        <v>-0.14721013034890285</v>
      </c>
      <c r="G20" s="383">
        <f>'A -Döviz'!AA291/1000</f>
        <v>-322.34966380113082</v>
      </c>
      <c r="H20" s="383">
        <f>('A -Döviz'!AA291-'A -Döviz'!Z291)/1000</f>
        <v>-477.15430175157627</v>
      </c>
      <c r="I20" s="384">
        <f>((G20/(G20-H20))-1)</f>
        <v>-3.0822997816403812</v>
      </c>
      <c r="J20" s="383">
        <f>'A -Döviz'!AA304/1000</f>
        <v>-322.34966380113082</v>
      </c>
      <c r="K20" s="383">
        <f>('A -Döviz'!AA304-'A -Döviz'!Z304)/1000</f>
        <v>-475.18933820742927</v>
      </c>
      <c r="L20" s="384">
        <f>((J20/(J20-K20))-1)</f>
        <v>-3.1090705999819046</v>
      </c>
      <c r="M20" s="383">
        <f>'A -Döviz'!AA265/1000</f>
        <v>17091.703990608908</v>
      </c>
      <c r="N20" s="383">
        <f>('A -Döviz'!AA265-'A -Döviz'!Z265)/1000</f>
        <v>7291.2100019000227</v>
      </c>
      <c r="O20" s="384">
        <f t="shared" ref="O20:O27" si="4">(M20/(M20-N20))-1</f>
        <v>0.74396351962464347</v>
      </c>
      <c r="V20" s="388"/>
    </row>
    <row r="21" spans="3:22" ht="16" customHeight="1">
      <c r="C21" s="382" t="s">
        <v>11</v>
      </c>
      <c r="D21" s="383">
        <f>'A -Döviz'!AA203/1000</f>
        <v>-20.74076924486868</v>
      </c>
      <c r="E21" s="383">
        <f>('A -Döviz'!AA203-'A -Döviz'!Z203)/1000</f>
        <v>-9.1727155270420688</v>
      </c>
      <c r="F21" s="384">
        <f>-((D21/(D21-E21))-1)</f>
        <v>-0.79293507367680394</v>
      </c>
      <c r="G21" s="383">
        <f>'A -Döviz'!AA292/1000</f>
        <v>182.56356303267097</v>
      </c>
      <c r="H21" s="383">
        <f>('A -Döviz'!AA292-'A -Döviz'!Z292)/1000</f>
        <v>-44.509056945999006</v>
      </c>
      <c r="I21" s="384">
        <f>((G21/(G21-H21))-1)</f>
        <v>-0.19601243404061641</v>
      </c>
      <c r="J21" s="383">
        <f>'A -Döviz'!AA305/1000</f>
        <v>131.81757566663669</v>
      </c>
      <c r="K21" s="383">
        <f>('A -Döviz'!AA305-'A -Döviz'!Z305)/1000</f>
        <v>-40.698409439247335</v>
      </c>
      <c r="L21" s="384">
        <f>((J21/(J21-K21))-1)</f>
        <v>-0.23591094711755634</v>
      </c>
      <c r="M21" s="383">
        <f>'A -Döviz'!AA266/1000</f>
        <v>-6388.4993206284335</v>
      </c>
      <c r="N21" s="383">
        <f>('A -Döviz'!AA266-'A -Döviz'!Z266)/1000</f>
        <v>-5562.7719230571574</v>
      </c>
      <c r="O21" s="384">
        <f>-((M21/(M21-N21))-1)</f>
        <v>-6.7368140374402241</v>
      </c>
      <c r="V21" s="388"/>
    </row>
    <row r="22" spans="3:22" ht="16" customHeight="1">
      <c r="C22" s="382" t="s">
        <v>12</v>
      </c>
      <c r="D22" s="383">
        <f>'A -Döviz'!AA204/1000</f>
        <v>0</v>
      </c>
      <c r="E22" s="383">
        <f>('A -Döviz'!AA204-'A -Döviz'!Z204)/1000</f>
        <v>8.1884115644346203</v>
      </c>
      <c r="F22" s="384">
        <f>-IFERROR((D22/(D22-E22))-1,0)</f>
        <v>1</v>
      </c>
      <c r="G22" s="383">
        <f>'A -Döviz'!AA293/1000</f>
        <v>58.366544396283075</v>
      </c>
      <c r="H22" s="383">
        <f>('A -Döviz'!AA293-'A -Döviz'!Z293)/1000</f>
        <v>-117.71158058803985</v>
      </c>
      <c r="I22" s="384">
        <f>((G22/(G22-H22))-1)</f>
        <v>-0.66851904856733491</v>
      </c>
      <c r="J22" s="383">
        <f>'A -Döviz'!AA306/1000</f>
        <v>58.366544396283075</v>
      </c>
      <c r="K22" s="383">
        <f>('A -Döviz'!AA306-'A -Döviz'!Z306)/1000</f>
        <v>-117.71158058803985</v>
      </c>
      <c r="L22" s="384">
        <f>((J22/(J22-K22))-1)</f>
        <v>-0.66851904856733491</v>
      </c>
      <c r="M22" s="383">
        <f>'A -Döviz'!AA267/1000</f>
        <v>-178.30216720557311</v>
      </c>
      <c r="N22" s="383">
        <f>('A -Döviz'!AA267-'A -Döviz'!Z267)/1000</f>
        <v>97.413499727282968</v>
      </c>
      <c r="O22" s="384">
        <f>-((M22/(M22-N22))-1)</f>
        <v>0.35331144149674198</v>
      </c>
      <c r="V22" s="388"/>
    </row>
    <row r="23" spans="3:22" ht="16" customHeight="1">
      <c r="C23" s="382" t="s">
        <v>13</v>
      </c>
      <c r="D23" s="383">
        <f>'A -Döviz'!AA205/1000</f>
        <v>0</v>
      </c>
      <c r="E23" s="383">
        <f>('A -Döviz'!AA205-'A -Döviz'!Z205)/1000</f>
        <v>0</v>
      </c>
      <c r="F23" s="384">
        <v>0</v>
      </c>
      <c r="G23" s="383">
        <f>'A -Döviz'!AA294/1000</f>
        <v>3176.5112462106131</v>
      </c>
      <c r="H23" s="383">
        <f>('A -Döviz'!AA294-'A -Döviz'!Z294)/1000</f>
        <v>2905.8864965767361</v>
      </c>
      <c r="I23" s="384">
        <f>((G23/(G23-H23))-1)</f>
        <v>10.737696757255405</v>
      </c>
      <c r="J23" s="383">
        <f>'A -Döviz'!AA307/1000</f>
        <v>2909.0553392058691</v>
      </c>
      <c r="K23" s="383">
        <f>('A -Döviz'!AA307-'A -Döviz'!Z307)/1000</f>
        <v>3254.8766236885908</v>
      </c>
      <c r="L23" s="384">
        <f>-((J23/(J23-K23)))</f>
        <v>8.4120193572157493</v>
      </c>
      <c r="M23" s="383">
        <f>'A -Döviz'!AA268/1000</f>
        <v>-51044.529191672147</v>
      </c>
      <c r="N23" s="383">
        <f>('A -Döviz'!AA268-'A -Döviz'!Z268)/1000</f>
        <v>-9860.7636385615315</v>
      </c>
      <c r="O23" s="384">
        <f>-((M23/(M23-N23))-1)</f>
        <v>-0.23943326954513378</v>
      </c>
      <c r="V23" s="388"/>
    </row>
    <row r="24" spans="3:22" ht="16" customHeight="1">
      <c r="C24" s="382" t="s">
        <v>14</v>
      </c>
      <c r="D24" s="383">
        <f>'A -Döviz'!AA206/1000</f>
        <v>12.510289006339741</v>
      </c>
      <c r="E24" s="383">
        <f>('A -Döviz'!AA206-'A -Döviz'!Z206)/1000</f>
        <v>48.142949151612996</v>
      </c>
      <c r="F24" s="407">
        <f>-((D24/(D24-E24))-1)</f>
        <v>1.3510905151435699</v>
      </c>
      <c r="G24" s="383">
        <f>'A -Döviz'!AA295/1000</f>
        <v>-182.64657010723184</v>
      </c>
      <c r="H24" s="383">
        <f>('A -Döviz'!AA295-'A -Döviz'!Z295)/1000</f>
        <v>-695.67727927773512</v>
      </c>
      <c r="I24" s="384">
        <f t="shared" ref="I24" si="5">(G24/(G24-H24))-1</f>
        <v>-1.3560148873008888</v>
      </c>
      <c r="J24" s="383">
        <f>'A -Döviz'!AA308/1000</f>
        <v>-243.77891374199513</v>
      </c>
      <c r="K24" s="383">
        <f>('A -Döviz'!AA308-'A -Döviz'!Z308)/1000</f>
        <v>-687.45796841319429</v>
      </c>
      <c r="L24" s="384">
        <f t="shared" ref="L24" si="6">(J24/(J24-K24))-1</f>
        <v>-1.5494487764869909</v>
      </c>
      <c r="M24" s="383">
        <f>'A -Döviz'!AA269/1000</f>
        <v>1603.0792023910594</v>
      </c>
      <c r="N24" s="383">
        <f>('A -Döviz'!AA269-'A -Döviz'!Z269)/1000</f>
        <v>-18.032012033055071</v>
      </c>
      <c r="O24" s="384">
        <f t="shared" si="4"/>
        <v>-1.1123241806368478E-2</v>
      </c>
      <c r="Q24" s="426"/>
      <c r="V24" s="388"/>
    </row>
    <row r="25" spans="3:22" ht="16" customHeight="1">
      <c r="C25" s="382" t="s">
        <v>15</v>
      </c>
      <c r="D25" s="383">
        <f>'A -Döviz'!AA207/1000</f>
        <v>-373.98408000000006</v>
      </c>
      <c r="E25" s="383">
        <f>('A -Döviz'!AA207-'A -Döviz'!Z207)/1000</f>
        <v>19.208392843000127</v>
      </c>
      <c r="F25" s="384">
        <f>-((D25/(D25-E25))-1)</f>
        <v>4.8852392071782935E-2</v>
      </c>
      <c r="G25" s="383">
        <f>'A -Döviz'!AA296/1000</f>
        <v>-970.02150999999787</v>
      </c>
      <c r="H25" s="383">
        <f>('A -Döviz'!AA296-'A -Döviz'!Z296)/1000</f>
        <v>-4221.8800731499941</v>
      </c>
      <c r="I25" s="384">
        <f>((G25/(G25-H25))-1)</f>
        <v>-1.2982975708083568</v>
      </c>
      <c r="J25" s="383">
        <f>'A -Döviz'!AA309/1000</f>
        <v>-1265.4283299999981</v>
      </c>
      <c r="K25" s="383">
        <f>('A -Döviz'!AA309-'A -Döviz'!Z309)/1000</f>
        <v>-4283.0063666209999</v>
      </c>
      <c r="L25" s="384">
        <f>((J25/(J25-K25))-1)</f>
        <v>-1.4193523132269974</v>
      </c>
      <c r="M25" s="383">
        <f>'A -Döviz'!AA270/1000</f>
        <v>8134.848</v>
      </c>
      <c r="N25" s="383">
        <f>('A -Döviz'!AA270-'A -Döviz'!Z270)/1000</f>
        <v>-5129.6926729840025</v>
      </c>
      <c r="O25" s="384">
        <f t="shared" si="4"/>
        <v>-0.386722224270584</v>
      </c>
      <c r="V25" s="388"/>
    </row>
    <row r="26" spans="3:22" ht="16" customHeight="1">
      <c r="C26" s="382" t="s">
        <v>16</v>
      </c>
      <c r="D26" s="383">
        <f>'A -Döviz'!AA208/1000</f>
        <v>-13.928150000000024</v>
      </c>
      <c r="E26" s="383">
        <f>('A -Döviz'!AA208-'A -Döviz'!Z208)/1000</f>
        <v>218.0944296749999</v>
      </c>
      <c r="F26" s="384">
        <f>-((D26/(D26-E26))-1)</f>
        <v>0.93997071311115687</v>
      </c>
      <c r="G26" s="383">
        <f>'A -Döviz'!AA297/1000</f>
        <v>4336.1464300000071</v>
      </c>
      <c r="H26" s="383">
        <f>('A -Döviz'!AA297-'A -Döviz'!Z297)/1000</f>
        <v>782.60168636700371</v>
      </c>
      <c r="I26" s="384">
        <f>((G26/(G26-H26))-1)</f>
        <v>0.22023127407336451</v>
      </c>
      <c r="J26" s="383">
        <f>'A -Döviz'!AA310/1000</f>
        <v>4086.1464300000057</v>
      </c>
      <c r="K26" s="383">
        <f>('A -Döviz'!AA310-'A -Döviz'!Z310)/1000</f>
        <v>883.60168636700234</v>
      </c>
      <c r="L26" s="384">
        <f>((J26/(J26-K26))-1)</f>
        <v>0.27590611750973837</v>
      </c>
      <c r="M26" s="383">
        <f>'A -Döviz'!AA271/1000</f>
        <v>14279.442130000001</v>
      </c>
      <c r="N26" s="383">
        <f>('A -Döviz'!AA271-'A -Döviz'!Z271)/1000</f>
        <v>-12626.154334221001</v>
      </c>
      <c r="O26" s="384">
        <f t="shared" si="4"/>
        <v>-0.46927613558061165</v>
      </c>
      <c r="V26" s="388"/>
    </row>
    <row r="27" spans="3:22" ht="16" customHeight="1">
      <c r="C27" s="382" t="s">
        <v>17</v>
      </c>
      <c r="D27" s="383">
        <f>'A -Döviz'!AA209/1000</f>
        <v>180.99220999999997</v>
      </c>
      <c r="E27" s="383">
        <f>('A -Döviz'!AA209-'A -Döviz'!Z209)/1000</f>
        <v>-312.086455108</v>
      </c>
      <c r="F27" s="384">
        <f>-((D27/(D27-E27))-1)</f>
        <v>0.63293441228012393</v>
      </c>
      <c r="G27" s="383">
        <f>'A -Döviz'!AA298/1000</f>
        <v>4033.1801100000012</v>
      </c>
      <c r="H27" s="383">
        <f>('A -Döviz'!AA298-'A -Döviz'!Z298)/1000</f>
        <v>-3813.7527488692749</v>
      </c>
      <c r="I27" s="384">
        <f>((G27/(G27-H27))-1)</f>
        <v>-0.48601827203843662</v>
      </c>
      <c r="J27" s="383">
        <f>'A -Döviz'!AA311/1000</f>
        <v>3837.8973535210007</v>
      </c>
      <c r="K27" s="383">
        <f>('A -Döviz'!AA311-'A -Döviz'!Z311)/1000</f>
        <v>-3675.4497368940115</v>
      </c>
      <c r="L27" s="384">
        <f>((J27/(J27-K27))-1)</f>
        <v>-0.48918939756994406</v>
      </c>
      <c r="M27" s="383">
        <f>'A -Döviz'!AA272/1000</f>
        <v>11967.88796</v>
      </c>
      <c r="N27" s="383">
        <f>('A -Döviz'!AA272-'A -Döviz'!Z272)/1000</f>
        <v>-1701.1734371299985</v>
      </c>
      <c r="O27" s="384">
        <f t="shared" si="4"/>
        <v>-0.12445429775355188</v>
      </c>
    </row>
    <row r="28" spans="3:22" ht="16" customHeight="1">
      <c r="C28" s="382"/>
      <c r="D28" s="382"/>
      <c r="E28" s="382"/>
      <c r="F28" s="382"/>
      <c r="G28" s="382"/>
      <c r="H28" s="382"/>
      <c r="I28" s="382"/>
      <c r="J28" s="385"/>
      <c r="K28" s="385"/>
      <c r="L28" s="385"/>
      <c r="M28" s="386"/>
      <c r="N28" s="385"/>
      <c r="O28" s="385"/>
      <c r="P28" s="386"/>
    </row>
    <row r="29" spans="3:22" ht="16" customHeight="1">
      <c r="C29" s="374"/>
      <c r="D29" s="375"/>
      <c r="E29" s="389"/>
      <c r="F29" s="375"/>
      <c r="G29" s="389"/>
      <c r="H29" s="375"/>
      <c r="I29" s="389"/>
      <c r="J29" s="375"/>
      <c r="K29" s="389"/>
      <c r="L29" s="375"/>
      <c r="M29" s="389"/>
      <c r="N29" s="376"/>
      <c r="O29" s="376"/>
    </row>
    <row r="30" spans="3:22" ht="16" customHeight="1">
      <c r="C30" s="387"/>
      <c r="D30" s="434" t="s">
        <v>22</v>
      </c>
      <c r="E30" s="435"/>
      <c r="F30" s="434" t="s">
        <v>23</v>
      </c>
      <c r="G30" s="435"/>
      <c r="H30" s="434" t="s">
        <v>24</v>
      </c>
      <c r="I30" s="435"/>
      <c r="J30" s="434" t="s">
        <v>25</v>
      </c>
      <c r="K30" s="435"/>
      <c r="L30" s="434" t="s">
        <v>26</v>
      </c>
      <c r="M30" s="435"/>
      <c r="N30" s="443" t="s">
        <v>27</v>
      </c>
      <c r="O30" s="444"/>
      <c r="P30" s="390"/>
    </row>
    <row r="31" spans="3:22" s="323" customFormat="1" ht="13">
      <c r="C31" s="370"/>
      <c r="D31" s="371" t="s">
        <v>6</v>
      </c>
      <c r="E31" s="371" t="s">
        <v>7</v>
      </c>
      <c r="F31" s="371" t="s">
        <v>6</v>
      </c>
      <c r="G31" s="371" t="s">
        <v>7</v>
      </c>
      <c r="H31" s="371" t="s">
        <v>6</v>
      </c>
      <c r="I31" s="371" t="s">
        <v>7</v>
      </c>
      <c r="J31" s="371" t="s">
        <v>6</v>
      </c>
      <c r="K31" s="371" t="s">
        <v>7</v>
      </c>
      <c r="L31" s="371" t="s">
        <v>6</v>
      </c>
      <c r="M31" s="371" t="s">
        <v>7</v>
      </c>
      <c r="N31" s="371" t="s">
        <v>6</v>
      </c>
      <c r="O31" s="371" t="s">
        <v>7</v>
      </c>
      <c r="U31" s="322"/>
    </row>
    <row r="32" spans="3:22" ht="16" customHeight="1">
      <c r="C32" s="382"/>
      <c r="D32" s="383"/>
      <c r="E32" s="383"/>
      <c r="F32" s="383"/>
      <c r="G32" s="383"/>
      <c r="H32" s="383"/>
      <c r="I32" s="383"/>
      <c r="J32" s="383"/>
      <c r="K32" s="383"/>
      <c r="L32" s="383"/>
      <c r="M32" s="383"/>
      <c r="N32" s="383"/>
      <c r="O32" s="383"/>
      <c r="P32" s="386"/>
    </row>
    <row r="33" spans="3:16" ht="16" customHeight="1">
      <c r="C33" s="382" t="s">
        <v>10</v>
      </c>
      <c r="D33" s="384">
        <f>'A -Döviz'!AA102</f>
        <v>0.39418629578184639</v>
      </c>
      <c r="E33" s="384">
        <f>-('A -Döviz'!AA102-'A -Döviz'!Z102)</f>
        <v>5.516994080526727E-2</v>
      </c>
      <c r="F33" s="384">
        <f>'A -Döviz'!AA79</f>
        <v>1</v>
      </c>
      <c r="G33" s="384">
        <f>'A -Döviz'!AA79-'A -Döviz'!Z79</f>
        <v>0</v>
      </c>
      <c r="H33" s="384">
        <f>'A -Döviz'!AA150</f>
        <v>0.61087749104325806</v>
      </c>
      <c r="I33" s="384">
        <f>'A -Döviz'!AA150-'A -Döviz'!Z150</f>
        <v>5.5408560027423448E-2</v>
      </c>
      <c r="J33" s="384">
        <f>'A -Döviz'!AA226</f>
        <v>0.48006002439171325</v>
      </c>
      <c r="K33" s="384">
        <f>'A -Döviz'!AA226-'A -Döviz'!Z226</f>
        <v>0.10268623835870411</v>
      </c>
      <c r="L33" s="384">
        <f>'A -Döviz'!AA291/'A -Döviz'!AA9</f>
        <v>-0.40806018943080413</v>
      </c>
      <c r="M33" s="384">
        <f>L33-('A -Döviz'!Z291/'A -Döviz'!Z9)</f>
        <v>-0.5847860612153476</v>
      </c>
      <c r="N33" s="384">
        <f>'A -Döviz'!AA304/'A -Döviz'!AA9</f>
        <v>-0.40806018943080413</v>
      </c>
      <c r="O33" s="384">
        <f>N33-'A -Döviz'!Z304/'A -Döviz'!Z9</f>
        <v>-0.58254284744629137</v>
      </c>
      <c r="P33" s="386"/>
    </row>
    <row r="34" spans="3:16" ht="16" customHeight="1">
      <c r="C34" s="382" t="s">
        <v>11</v>
      </c>
      <c r="D34" s="384">
        <f>'A -Döviz'!AA103</f>
        <v>0.3058629760140068</v>
      </c>
      <c r="E34" s="384">
        <f>-('A -Döviz'!AA103-'A -Döviz'!Z103)</f>
        <v>-8.5906701571350247E-2</v>
      </c>
      <c r="F34" s="384">
        <f>'A -Döviz'!AA80</f>
        <v>0.22869640597477234</v>
      </c>
      <c r="G34" s="384">
        <f>'A -Döviz'!AA80-'A -Döviz'!Z80</f>
        <v>-9.1677748814272014E-2</v>
      </c>
      <c r="H34" s="384">
        <f>'A -Döviz'!AA151</f>
        <v>-5.1624309841853511E-2</v>
      </c>
      <c r="I34" s="384">
        <f>'A -Döviz'!AA151-'A -Döviz'!Z151</f>
        <v>-0.1836132007996864</v>
      </c>
      <c r="J34" s="384">
        <f>'A -Döviz'!AA227</f>
        <v>-0.45200012674834195</v>
      </c>
      <c r="K34" s="384">
        <f>'A -Döviz'!AA227-'A -Döviz'!Z227</f>
        <v>-0.52537772593423149</v>
      </c>
      <c r="L34" s="384">
        <f>'A -Döviz'!AA292/'A -Döviz'!AA10</f>
        <v>0.40260924487568228</v>
      </c>
      <c r="M34" s="384">
        <f>L34-('A -Döviz'!Z292/'A -Döviz'!Z10)</f>
        <v>4.2521798419230816E-2</v>
      </c>
      <c r="N34" s="384">
        <f>'A -Döviz'!AA305/'A -Döviz'!AA10</f>
        <v>0.29069861323308149</v>
      </c>
      <c r="O34" s="384">
        <f>N34-'A -Döviz'!Z305/'A -Döviz'!Z10</f>
        <v>1.7126041799624181E-2</v>
      </c>
      <c r="P34" s="386"/>
    </row>
    <row r="35" spans="3:16" ht="16" customHeight="1">
      <c r="C35" s="382" t="s">
        <v>12</v>
      </c>
      <c r="D35" s="384">
        <f>'A -Döviz'!AA104</f>
        <v>0.12970397925838223</v>
      </c>
      <c r="E35" s="384">
        <f>-('A -Döviz'!AA104-'A -Döviz'!Z104)</f>
        <v>2.1042143630685545E-2</v>
      </c>
      <c r="F35" s="384">
        <f>'A -Döviz'!AA81</f>
        <v>0.19124358145811152</v>
      </c>
      <c r="G35" s="384">
        <f>'A -Döviz'!AA81-'A -Döviz'!Z81</f>
        <v>-1.2406619047175577E-2</v>
      </c>
      <c r="H35" s="384">
        <f>'A -Döviz'!AA152</f>
        <v>6.2011106482132691E-2</v>
      </c>
      <c r="I35" s="384">
        <f>'A -Döviz'!AA152-'A -Döviz'!Z152</f>
        <v>8.3185652907318205E-3</v>
      </c>
      <c r="J35" s="384">
        <f>'A -Döviz'!AA228</f>
        <v>3.0519232392397792E-2</v>
      </c>
      <c r="K35" s="384">
        <f>'A -Döviz'!AA228-'A -Döviz'!Z228</f>
        <v>1.3155958313382812E-2</v>
      </c>
      <c r="L35" s="384">
        <f>'A -Döviz'!AA293/'A -Döviz'!AA11</f>
        <v>6.5530704403042414E-2</v>
      </c>
      <c r="M35" s="384">
        <f>L35-('A -Döviz'!Z293/'A -Döviz'!Z11)</f>
        <v>-5.8925373245342874E-2</v>
      </c>
      <c r="N35" s="384">
        <f>'A -Döviz'!AA306/'A -Döviz'!AA11</f>
        <v>6.5530704403042414E-2</v>
      </c>
      <c r="O35" s="384">
        <f>N35-'A -Döviz'!Z306/'A -Döviz'!Z11</f>
        <v>-5.8925373245342874E-2</v>
      </c>
      <c r="P35" s="386"/>
    </row>
    <row r="36" spans="3:16" ht="16" customHeight="1">
      <c r="C36" s="382" t="s">
        <v>13</v>
      </c>
      <c r="D36" s="384">
        <f>'A -Döviz'!AA105</f>
        <v>0.1479406813906097</v>
      </c>
      <c r="E36" s="384">
        <f>-('A -Döviz'!AA105-'A -Döviz'!Z105)</f>
        <v>-5.0734337682349057E-2</v>
      </c>
      <c r="F36" s="384">
        <f>'A -Döviz'!AA82</f>
        <v>0.15310162244056874</v>
      </c>
      <c r="G36" s="384">
        <f>'A -Döviz'!AA82-'A -Döviz'!Z82</f>
        <v>-6.3425344208399903E-2</v>
      </c>
      <c r="H36" s="384">
        <f>'A -Döviz'!AA153</f>
        <v>2.5496426470138327E-2</v>
      </c>
      <c r="I36" s="384">
        <f>'A -Döviz'!AA153-'A -Döviz'!Z153</f>
        <v>-0.10319721883115773</v>
      </c>
      <c r="J36" s="384">
        <f>'A -Döviz'!AA229</f>
        <v>-0.22980864628371159</v>
      </c>
      <c r="K36" s="384">
        <f>'A -Döviz'!AA229-'A -Döviz'!Z229</f>
        <v>-0.24782316692360312</v>
      </c>
      <c r="L36" s="384">
        <f>'A -Döviz'!AA294/'A -Döviz'!AA12</f>
        <v>0.29520628732144411</v>
      </c>
      <c r="M36" s="384">
        <f>L36-('A -Döviz'!Z294/'A -Döviz'!Z12)</f>
        <v>0.28320145562774046</v>
      </c>
      <c r="N36" s="384">
        <f>'A -Döviz'!AA307/'A -Döviz'!AA12</f>
        <v>0.27035050712445968</v>
      </c>
      <c r="O36" s="384">
        <f>N36-'A -Döviz'!Z307/'A -Döviz'!Z12</f>
        <v>0.28569103426372539</v>
      </c>
      <c r="P36" s="386"/>
    </row>
    <row r="37" spans="3:16" ht="16" customHeight="1">
      <c r="C37" s="382" t="s">
        <v>14</v>
      </c>
      <c r="D37" s="384">
        <f>'A -Döviz'!AA106</f>
        <v>0.14551813765975335</v>
      </c>
      <c r="E37" s="384">
        <f>-('A -Döviz'!AA106-'A -Döviz'!Z106)</f>
        <v>1.6233029563348933E-2</v>
      </c>
      <c r="F37" s="384">
        <f>'A -Döviz'!AA83</f>
        <v>0.21893022947632787</v>
      </c>
      <c r="G37" s="384">
        <f>'A -Döviz'!AA83-'A -Döviz'!Z83</f>
        <v>1.1353625016233826E-2</v>
      </c>
      <c r="H37" s="384">
        <f>'A -Döviz'!AA154</f>
        <v>0.11222066753514828</v>
      </c>
      <c r="I37" s="384">
        <f>'A -Döviz'!AA154-'A -Döviz'!Z154</f>
        <v>3.6258277364227265E-2</v>
      </c>
      <c r="J37" s="384">
        <f>'A -Döviz'!AA230</f>
        <v>4.9395371581763277E-2</v>
      </c>
      <c r="K37" s="384">
        <f>'A -Döviz'!AA230-'A -Döviz'!Z230</f>
        <v>3.6040582028076529E-2</v>
      </c>
      <c r="L37" s="384">
        <f>'A -Döviz'!AA295/'A -Döviz'!AA13</f>
        <v>-3.3800619818981623E-2</v>
      </c>
      <c r="M37" s="384">
        <f>L37-('A -Döviz'!Z295/'A -Döviz'!Z13)</f>
        <v>-0.11990521841079221</v>
      </c>
      <c r="N37" s="384">
        <f>'A -Döviz'!AA308/'A -Döviz'!AA13</f>
        <v>-4.5113786579402265E-2</v>
      </c>
      <c r="O37" s="384">
        <f>N37-'A -Döviz'!Z308/'A -Döviz'!Z13</f>
        <v>-0.11957873813722621</v>
      </c>
      <c r="P37" s="386"/>
    </row>
    <row r="38" spans="3:16" ht="16" customHeight="1">
      <c r="C38" s="382" t="s">
        <v>15</v>
      </c>
      <c r="D38" s="384">
        <f>'A -Döviz'!AA107</f>
        <v>5.0360266509629471E-2</v>
      </c>
      <c r="E38" s="384">
        <f>-('A -Döviz'!AA107-'A -Döviz'!Z107)</f>
        <v>5.0527568539219803E-3</v>
      </c>
      <c r="F38" s="384">
        <f>'A -Döviz'!AA84</f>
        <v>0.25621268998149072</v>
      </c>
      <c r="G38" s="384">
        <f>'A -Döviz'!AA84-'A -Döviz'!Z84</f>
        <v>2.3634855836557639E-2</v>
      </c>
      <c r="H38" s="384">
        <f>'A -Döviz'!AA155</f>
        <v>0.24258236314231527</v>
      </c>
      <c r="I38" s="384">
        <f>'A -Döviz'!AA155-'A -Döviz'!Z155</f>
        <v>-4.4009940712617657E-3</v>
      </c>
      <c r="J38" s="384">
        <f>'A -Döviz'!AA231</f>
        <v>0.17735972019091428</v>
      </c>
      <c r="K38" s="384">
        <f>'A -Döviz'!AA231-'A -Döviz'!Z231</f>
        <v>2.8370784181339564E-2</v>
      </c>
      <c r="L38" s="384">
        <f>'A -Döviz'!AA296/'A -Döviz'!AA14</f>
        <v>-8.2103081071217818E-2</v>
      </c>
      <c r="M38" s="384">
        <f>L38-('A -Döviz'!Z296/'A -Döviz'!Z14)</f>
        <v>-0.31679584657091475</v>
      </c>
      <c r="N38" s="384">
        <f>'A -Döviz'!AA309/'A -Döviz'!AA14</f>
        <v>-0.10710645454429753</v>
      </c>
      <c r="O38" s="384">
        <f>N38-'A -Döviz'!Z309/'A -Döviz'!Z14</f>
        <v>-0.32489075259190658</v>
      </c>
      <c r="P38" s="386"/>
    </row>
    <row r="39" spans="3:16" ht="16" customHeight="1">
      <c r="C39" s="382" t="s">
        <v>16</v>
      </c>
      <c r="D39" s="384">
        <f>'A -Döviz'!AA108</f>
        <v>5.4425458579805901E-2</v>
      </c>
      <c r="E39" s="384">
        <f>-('A -Döviz'!AA108-'A -Döviz'!Z108)</f>
        <v>-2.1091708555556754E-3</v>
      </c>
      <c r="F39" s="384">
        <f>'A -Döviz'!AA85</f>
        <v>0.35455308442679945</v>
      </c>
      <c r="G39" s="384">
        <f>'A -Döviz'!AA85-'A -Döviz'!Z85</f>
        <v>6.3829023162412346E-2</v>
      </c>
      <c r="H39" s="384">
        <f>'A -Döviz'!AA156</f>
        <v>0.32504802222943141</v>
      </c>
      <c r="I39" s="384">
        <f>'A -Döviz'!AA156-'A -Döviz'!Z156</f>
        <v>5.4837361864630507E-2</v>
      </c>
      <c r="J39" s="384">
        <f>'A -Döviz'!AA232</f>
        <v>0.26966751201379968</v>
      </c>
      <c r="K39" s="384">
        <f>'A -Döviz'!AA232-'A -Döviz'!Z232</f>
        <v>6.1721392591172708E-2</v>
      </c>
      <c r="L39" s="384">
        <f>'A -Döviz'!AA297/'A -Döviz'!AA15</f>
        <v>0.45218279089354674</v>
      </c>
      <c r="M39" s="384">
        <f>L39-('A -Döviz'!Z297/'A -Döviz'!Z15)</f>
        <v>2.3728394766673933E-2</v>
      </c>
      <c r="N39" s="384">
        <f>'A -Döviz'!AA310/'A -Döviz'!AA15</f>
        <v>0.42611224656384639</v>
      </c>
      <c r="O39" s="384">
        <f>N39-'A -Döviz'!Z310/'A -Döviz'!Z15</f>
        <v>3.9978266778989913E-2</v>
      </c>
      <c r="P39" s="386"/>
    </row>
    <row r="40" spans="3:16" ht="16" customHeight="1">
      <c r="C40" s="382" t="s">
        <v>17</v>
      </c>
      <c r="D40" s="384">
        <f>'A -Döviz'!AA109</f>
        <v>4.4010085381993816E-2</v>
      </c>
      <c r="E40" s="384">
        <f>-('A -Döviz'!AA109-'A -Döviz'!Z109)</f>
        <v>1.8922524913140698E-3</v>
      </c>
      <c r="F40" s="384">
        <f>'A -Döviz'!AA86</f>
        <v>0.17628590469847691</v>
      </c>
      <c r="G40" s="384">
        <f>'A -Döviz'!AA86-'A -Döviz'!Z86</f>
        <v>-1.0144873632596613E-2</v>
      </c>
      <c r="H40" s="384">
        <f>'A -Döviz'!AA157</f>
        <v>0.16252074597829336</v>
      </c>
      <c r="I40" s="384">
        <f>'A -Döviz'!AA157-'A -Döviz'!Z157</f>
        <v>1.2640230241118267E-3</v>
      </c>
      <c r="J40" s="384">
        <f>'A -Döviz'!AA233</f>
        <v>0.14682122647670409</v>
      </c>
      <c r="K40" s="384">
        <f>'A -Döviz'!AA233-'A -Döviz'!Z233</f>
        <v>-1.219052643546395E-2</v>
      </c>
      <c r="L40" s="384">
        <f>'A -Döviz'!AA298/'A -Döviz'!AA16</f>
        <v>0.17939080604721758</v>
      </c>
      <c r="M40" s="384">
        <f>L40-('A -Döviz'!Z298/'A -Döviz'!Z16)</f>
        <v>-0.14444912025037476</v>
      </c>
      <c r="N40" s="384">
        <f>'A -Döviz'!AA311/'A -Döviz'!AA16</f>
        <v>0.17070487332503859</v>
      </c>
      <c r="O40" s="384">
        <f>N40-'A -Döviz'!Z311/'A -Döviz'!Z16</f>
        <v>-0.13936809553668739</v>
      </c>
      <c r="P40" s="386"/>
    </row>
    <row r="41" spans="3:16" ht="36" customHeight="1">
      <c r="C41" s="391"/>
      <c r="D41" s="445"/>
      <c r="E41" s="446"/>
      <c r="F41" s="446"/>
      <c r="G41" s="445"/>
      <c r="H41" s="446"/>
      <c r="I41" s="446"/>
      <c r="J41" s="392"/>
      <c r="K41" s="445"/>
      <c r="L41" s="446"/>
      <c r="M41" s="446"/>
      <c r="N41" s="392"/>
      <c r="O41" s="445"/>
      <c r="P41" s="446"/>
    </row>
    <row r="42" spans="3:16" ht="13.5" customHeight="1">
      <c r="C42" s="393"/>
      <c r="D42" s="391"/>
      <c r="E42" s="391"/>
      <c r="F42" s="391"/>
      <c r="G42" s="391"/>
      <c r="H42" s="391"/>
      <c r="I42" s="391"/>
      <c r="J42" s="393"/>
      <c r="K42" s="391"/>
      <c r="L42" s="391"/>
      <c r="M42" s="391"/>
      <c r="N42" s="393"/>
      <c r="O42" s="391"/>
      <c r="P42" s="391"/>
    </row>
    <row r="43" spans="3:16" ht="13.5" customHeight="1">
      <c r="C43" s="394"/>
      <c r="D43" s="394"/>
      <c r="E43" s="394"/>
      <c r="F43" s="395"/>
      <c r="G43" s="394"/>
      <c r="H43" s="394"/>
      <c r="I43" s="395"/>
      <c r="J43" s="394"/>
      <c r="K43" s="394"/>
      <c r="L43" s="394"/>
      <c r="M43" s="395"/>
      <c r="N43" s="394"/>
      <c r="O43" s="394"/>
      <c r="P43" s="395"/>
    </row>
    <row r="44" spans="3:16" ht="13.5" customHeight="1">
      <c r="C44" s="394"/>
      <c r="D44" s="394"/>
      <c r="E44" s="394"/>
      <c r="F44" s="395"/>
      <c r="G44" s="394"/>
      <c r="H44" s="394"/>
      <c r="I44" s="395"/>
      <c r="J44" s="394"/>
      <c r="K44" s="394"/>
      <c r="L44" s="394"/>
      <c r="M44" s="395"/>
      <c r="N44" s="394"/>
      <c r="O44" s="394"/>
      <c r="P44" s="395"/>
    </row>
    <row r="45" spans="3:16" ht="13.5" customHeight="1">
      <c r="C45" s="394"/>
      <c r="D45" s="394"/>
      <c r="E45" s="394"/>
      <c r="F45" s="395"/>
      <c r="G45" s="394"/>
      <c r="H45" s="394"/>
      <c r="I45" s="395"/>
      <c r="J45" s="394"/>
      <c r="K45" s="394"/>
      <c r="L45" s="394"/>
      <c r="M45" s="395"/>
      <c r="N45" s="394"/>
      <c r="O45" s="394"/>
      <c r="P45" s="395"/>
    </row>
    <row r="46" spans="3:16" ht="13.5" customHeight="1">
      <c r="C46" s="394"/>
      <c r="D46" s="394"/>
      <c r="E46" s="394"/>
      <c r="F46" s="395"/>
      <c r="G46" s="394"/>
      <c r="H46" s="394"/>
      <c r="I46" s="395"/>
      <c r="J46" s="394"/>
      <c r="K46" s="394"/>
      <c r="L46" s="394"/>
      <c r="M46" s="395"/>
      <c r="N46" s="394"/>
      <c r="O46" s="394"/>
      <c r="P46" s="395"/>
    </row>
    <row r="47" spans="3:16" ht="13.5" customHeight="1">
      <c r="C47" s="394"/>
      <c r="D47" s="394"/>
      <c r="E47" s="394"/>
      <c r="F47" s="395"/>
      <c r="G47" s="394"/>
      <c r="H47" s="394"/>
      <c r="I47" s="395"/>
      <c r="J47" s="394"/>
      <c r="K47" s="394"/>
      <c r="L47" s="394"/>
      <c r="M47" s="395"/>
      <c r="N47" s="394"/>
      <c r="O47" s="394"/>
      <c r="P47" s="395"/>
    </row>
    <row r="48" spans="3:16" ht="13.5" customHeight="1">
      <c r="C48" s="394"/>
      <c r="D48" s="394"/>
      <c r="E48" s="394"/>
      <c r="F48" s="395"/>
      <c r="G48" s="394"/>
      <c r="H48" s="394"/>
      <c r="I48" s="395"/>
      <c r="J48" s="394"/>
      <c r="K48" s="394"/>
      <c r="L48" s="394"/>
      <c r="M48" s="395"/>
      <c r="N48" s="394"/>
      <c r="O48" s="394"/>
      <c r="P48" s="395"/>
    </row>
    <row r="49" spans="3:16" ht="13.5" customHeight="1"/>
    <row r="50" spans="3:16" ht="13.5" customHeight="1">
      <c r="C50" s="391"/>
      <c r="D50" s="445"/>
      <c r="E50" s="446"/>
      <c r="F50" s="446"/>
      <c r="G50" s="445"/>
      <c r="H50" s="446"/>
      <c r="I50" s="446"/>
      <c r="J50" s="392"/>
      <c r="K50" s="445"/>
      <c r="L50" s="446"/>
      <c r="M50" s="446"/>
      <c r="N50" s="392"/>
      <c r="O50" s="445"/>
      <c r="P50" s="446"/>
    </row>
    <row r="51" spans="3:16" ht="14.15" customHeight="1">
      <c r="C51" s="393"/>
      <c r="D51" s="391"/>
      <c r="E51" s="391"/>
      <c r="F51" s="391"/>
      <c r="G51" s="391"/>
      <c r="H51" s="391"/>
      <c r="I51" s="391"/>
      <c r="J51" s="393"/>
      <c r="K51" s="391"/>
      <c r="L51" s="391"/>
      <c r="M51" s="391"/>
      <c r="N51" s="393"/>
      <c r="O51" s="391"/>
      <c r="P51" s="391"/>
    </row>
    <row r="52" spans="3:16" ht="14.15" customHeight="1">
      <c r="C52" s="394"/>
      <c r="D52" s="394"/>
      <c r="E52" s="394"/>
      <c r="F52" s="395"/>
      <c r="G52" s="394"/>
      <c r="H52" s="394"/>
      <c r="I52" s="395"/>
      <c r="J52" s="394"/>
      <c r="K52" s="394"/>
      <c r="L52" s="394"/>
      <c r="M52" s="395"/>
      <c r="N52" s="394"/>
      <c r="O52" s="394"/>
      <c r="P52" s="395"/>
    </row>
    <row r="53" spans="3:16" ht="14.15" customHeight="1">
      <c r="C53" s="394"/>
      <c r="D53" s="394"/>
      <c r="E53" s="394"/>
      <c r="F53" s="395"/>
      <c r="G53" s="394"/>
      <c r="H53" s="394"/>
      <c r="I53" s="395"/>
      <c r="J53" s="394"/>
      <c r="K53" s="394"/>
      <c r="L53" s="394"/>
      <c r="M53" s="395"/>
      <c r="N53" s="394"/>
      <c r="O53" s="394"/>
      <c r="P53" s="395"/>
    </row>
    <row r="54" spans="3:16" ht="14.15" customHeight="1">
      <c r="C54" s="394"/>
      <c r="D54" s="394"/>
      <c r="E54" s="394"/>
      <c r="F54" s="395"/>
      <c r="G54" s="394"/>
      <c r="H54" s="394"/>
      <c r="I54" s="395"/>
      <c r="J54" s="394"/>
      <c r="K54" s="394"/>
      <c r="L54" s="394"/>
      <c r="M54" s="395"/>
      <c r="N54" s="394"/>
      <c r="O54" s="394"/>
      <c r="P54" s="395"/>
    </row>
    <row r="55" spans="3:16" ht="14.15" customHeight="1">
      <c r="C55" s="394"/>
      <c r="D55" s="394"/>
      <c r="E55" s="394"/>
      <c r="F55" s="395"/>
      <c r="G55" s="394"/>
      <c r="H55" s="394"/>
      <c r="I55" s="395"/>
      <c r="J55" s="394"/>
      <c r="K55" s="394"/>
      <c r="L55" s="394"/>
      <c r="M55" s="395"/>
      <c r="N55" s="394"/>
      <c r="O55" s="394"/>
      <c r="P55" s="395"/>
    </row>
    <row r="56" spans="3:16" ht="14.15" customHeight="1">
      <c r="C56" s="394"/>
      <c r="D56" s="394"/>
      <c r="E56" s="394"/>
      <c r="F56" s="395"/>
      <c r="G56" s="394"/>
      <c r="H56" s="394"/>
      <c r="I56" s="395"/>
      <c r="J56" s="394"/>
      <c r="K56" s="394"/>
      <c r="L56" s="394"/>
      <c r="M56" s="395"/>
      <c r="N56" s="394"/>
      <c r="O56" s="394"/>
      <c r="P56" s="395"/>
    </row>
    <row r="57" spans="3:16" ht="14.15" customHeight="1">
      <c r="C57" s="394"/>
      <c r="D57" s="394"/>
      <c r="E57" s="394"/>
      <c r="F57" s="395"/>
      <c r="G57" s="394"/>
      <c r="H57" s="394"/>
      <c r="I57" s="395"/>
      <c r="J57" s="394"/>
      <c r="K57" s="394"/>
      <c r="L57" s="394"/>
      <c r="M57" s="395"/>
      <c r="N57" s="394"/>
      <c r="O57" s="394"/>
      <c r="P57" s="395"/>
    </row>
    <row r="58" spans="3:16" ht="14.15" customHeight="1"/>
    <row r="61" spans="3:16">
      <c r="D61" s="436"/>
      <c r="E61" s="436"/>
      <c r="F61" s="436"/>
    </row>
    <row r="62" spans="3:16">
      <c r="D62" s="436"/>
      <c r="E62" s="436"/>
      <c r="F62" s="436"/>
    </row>
    <row r="63" spans="3:16" ht="14.5" customHeight="1">
      <c r="C63" s="396"/>
      <c r="D63" s="376"/>
      <c r="E63" s="396"/>
      <c r="F63" s="396"/>
      <c r="G63" s="376"/>
      <c r="H63" s="396"/>
      <c r="I63" s="376"/>
      <c r="J63" s="376"/>
      <c r="K63" s="376"/>
      <c r="L63" s="376"/>
      <c r="M63" s="376"/>
    </row>
    <row r="64" spans="3:16" ht="15" customHeight="1">
      <c r="C64" s="374"/>
      <c r="D64" s="380" t="s">
        <v>2</v>
      </c>
      <c r="E64" s="379"/>
      <c r="F64" s="379"/>
      <c r="G64" s="380" t="s">
        <v>4</v>
      </c>
      <c r="H64" s="379"/>
      <c r="I64" s="379"/>
      <c r="J64" s="380"/>
      <c r="K64" s="380" t="s">
        <v>5</v>
      </c>
      <c r="L64" s="380"/>
      <c r="M64" s="380"/>
    </row>
    <row r="65" spans="3:13" ht="16" customHeight="1">
      <c r="C65" s="387"/>
      <c r="D65" s="374" t="s">
        <v>6</v>
      </c>
      <c r="E65" s="439" t="s">
        <v>28</v>
      </c>
      <c r="F65" s="440"/>
      <c r="G65" s="374" t="s">
        <v>6</v>
      </c>
      <c r="H65" s="374"/>
      <c r="I65" s="374" t="s">
        <v>28</v>
      </c>
      <c r="J65" s="387"/>
      <c r="K65" s="374" t="s">
        <v>6</v>
      </c>
      <c r="L65" s="374"/>
      <c r="M65" s="374" t="s">
        <v>28</v>
      </c>
    </row>
    <row r="66" spans="3:13" ht="16" customHeight="1">
      <c r="C66" s="394" t="s">
        <v>2</v>
      </c>
      <c r="D66" s="394">
        <v>55</v>
      </c>
      <c r="E66" s="432"/>
      <c r="F66" s="433"/>
      <c r="G66" s="394">
        <v>55</v>
      </c>
      <c r="H66" s="432"/>
      <c r="I66" s="433"/>
      <c r="J66" s="393"/>
      <c r="K66" s="394">
        <v>55</v>
      </c>
      <c r="L66" s="391"/>
      <c r="M66" s="394"/>
    </row>
    <row r="67" spans="3:13" ht="16" customHeight="1">
      <c r="C67" s="394" t="s">
        <v>29</v>
      </c>
      <c r="D67" s="394">
        <v>12</v>
      </c>
      <c r="E67" s="437">
        <f t="shared" ref="E67:E73" si="7">D67/$D$66</f>
        <v>0.21818181818181817</v>
      </c>
      <c r="F67" s="438"/>
      <c r="G67" s="394">
        <v>12</v>
      </c>
      <c r="H67" s="437">
        <f t="shared" ref="H67:H73" si="8">G67/$D$66</f>
        <v>0.21818181818181817</v>
      </c>
      <c r="I67" s="438"/>
      <c r="J67" s="394"/>
      <c r="K67" s="394">
        <v>12</v>
      </c>
      <c r="L67" s="394"/>
      <c r="M67" s="397">
        <f t="shared" ref="M67:M73" si="9">K67/$K$66</f>
        <v>0.21818181818181817</v>
      </c>
    </row>
    <row r="68" spans="3:13">
      <c r="C68" s="394" t="s">
        <v>30</v>
      </c>
      <c r="D68" s="394">
        <v>9</v>
      </c>
      <c r="E68" s="437">
        <f t="shared" si="7"/>
        <v>0.16363636363636364</v>
      </c>
      <c r="F68" s="438"/>
      <c r="G68" s="394">
        <v>9</v>
      </c>
      <c r="H68" s="437">
        <f t="shared" si="8"/>
        <v>0.16363636363636364</v>
      </c>
      <c r="I68" s="438"/>
      <c r="J68" s="394"/>
      <c r="K68" s="394">
        <v>9</v>
      </c>
      <c r="L68" s="394"/>
      <c r="M68" s="397">
        <f t="shared" si="9"/>
        <v>0.16363636363636364</v>
      </c>
    </row>
    <row r="69" spans="3:13">
      <c r="C69" s="394" t="s">
        <v>31</v>
      </c>
      <c r="D69" s="394">
        <v>8</v>
      </c>
      <c r="E69" s="437">
        <f t="shared" si="7"/>
        <v>0.14545454545454545</v>
      </c>
      <c r="F69" s="438"/>
      <c r="G69" s="394">
        <v>8</v>
      </c>
      <c r="H69" s="437">
        <f t="shared" si="8"/>
        <v>0.14545454545454545</v>
      </c>
      <c r="I69" s="438"/>
      <c r="J69" s="394"/>
      <c r="K69" s="394">
        <v>8</v>
      </c>
      <c r="L69" s="394"/>
      <c r="M69" s="397">
        <f t="shared" si="9"/>
        <v>0.14545454545454545</v>
      </c>
    </row>
    <row r="70" spans="3:13" ht="16" customHeight="1">
      <c r="C70" s="394" t="s">
        <v>32</v>
      </c>
      <c r="D70" s="394">
        <v>5</v>
      </c>
      <c r="E70" s="437">
        <f t="shared" si="7"/>
        <v>9.0909090909090912E-2</v>
      </c>
      <c r="F70" s="438"/>
      <c r="G70" s="394">
        <v>5</v>
      </c>
      <c r="H70" s="437">
        <f t="shared" si="8"/>
        <v>9.0909090909090912E-2</v>
      </c>
      <c r="I70" s="438"/>
      <c r="J70" s="394"/>
      <c r="K70" s="394">
        <v>5</v>
      </c>
      <c r="L70" s="394"/>
      <c r="M70" s="397">
        <f t="shared" si="9"/>
        <v>9.0909090909090912E-2</v>
      </c>
    </row>
    <row r="71" spans="3:13" ht="16" customHeight="1">
      <c r="C71" s="394" t="s">
        <v>33</v>
      </c>
      <c r="D71" s="394">
        <v>4</v>
      </c>
      <c r="E71" s="437">
        <f t="shared" si="7"/>
        <v>7.2727272727272724E-2</v>
      </c>
      <c r="F71" s="438"/>
      <c r="G71" s="394">
        <v>4</v>
      </c>
      <c r="H71" s="437">
        <f t="shared" si="8"/>
        <v>7.2727272727272724E-2</v>
      </c>
      <c r="I71" s="438"/>
      <c r="J71" s="394"/>
      <c r="K71" s="394">
        <v>4</v>
      </c>
      <c r="L71" s="394"/>
      <c r="M71" s="397">
        <f t="shared" si="9"/>
        <v>7.2727272727272724E-2</v>
      </c>
    </row>
    <row r="72" spans="3:13" ht="16" customHeight="1">
      <c r="C72" s="394" t="s">
        <v>34</v>
      </c>
      <c r="D72" s="394">
        <v>3</v>
      </c>
      <c r="E72" s="437">
        <f t="shared" si="7"/>
        <v>5.4545454545454543E-2</v>
      </c>
      <c r="F72" s="438"/>
      <c r="G72" s="394">
        <v>3</v>
      </c>
      <c r="H72" s="437">
        <f t="shared" si="8"/>
        <v>5.4545454545454543E-2</v>
      </c>
      <c r="I72" s="438"/>
      <c r="J72" s="394"/>
      <c r="K72" s="394">
        <v>3</v>
      </c>
      <c r="L72" s="394"/>
      <c r="M72" s="397">
        <f t="shared" si="9"/>
        <v>5.4545454545454543E-2</v>
      </c>
    </row>
    <row r="73" spans="3:13">
      <c r="C73" s="394" t="s">
        <v>35</v>
      </c>
      <c r="D73" s="372">
        <v>3</v>
      </c>
      <c r="E73" s="437">
        <f t="shared" si="7"/>
        <v>5.4545454545454543E-2</v>
      </c>
      <c r="F73" s="438"/>
      <c r="G73" s="372">
        <v>3</v>
      </c>
      <c r="H73" s="437">
        <f t="shared" si="8"/>
        <v>5.4545454545454543E-2</v>
      </c>
      <c r="I73" s="438"/>
      <c r="K73" s="372">
        <v>3</v>
      </c>
      <c r="M73" s="397">
        <f t="shared" si="9"/>
        <v>5.4545454545454543E-2</v>
      </c>
    </row>
    <row r="74" spans="3:13">
      <c r="C74" s="394"/>
    </row>
    <row r="75" spans="3:13" ht="16" customHeight="1"/>
    <row r="76" spans="3:13" ht="16" customHeight="1"/>
    <row r="93" spans="15:15">
      <c r="O93" s="391"/>
    </row>
    <row r="94" spans="15:15">
      <c r="O94" s="391"/>
    </row>
    <row r="95" spans="15:15">
      <c r="O95" s="372"/>
    </row>
    <row r="103" spans="9:9">
      <c r="I103" s="398"/>
    </row>
  </sheetData>
  <mergeCells count="40">
    <mergeCell ref="N30:O30"/>
    <mergeCell ref="K41:M41"/>
    <mergeCell ref="O41:P41"/>
    <mergeCell ref="D50:F50"/>
    <mergeCell ref="G50:I50"/>
    <mergeCell ref="K50:M50"/>
    <mergeCell ref="O50:P50"/>
    <mergeCell ref="D41:F41"/>
    <mergeCell ref="G41:I41"/>
    <mergeCell ref="D30:E30"/>
    <mergeCell ref="J4:L4"/>
    <mergeCell ref="M4:O4"/>
    <mergeCell ref="D17:F17"/>
    <mergeCell ref="G17:I17"/>
    <mergeCell ref="J17:L17"/>
    <mergeCell ref="M17:O17"/>
    <mergeCell ref="D4:F4"/>
    <mergeCell ref="G4:I4"/>
    <mergeCell ref="E71:F71"/>
    <mergeCell ref="E72:F72"/>
    <mergeCell ref="E73:F73"/>
    <mergeCell ref="E70:F70"/>
    <mergeCell ref="E65:F65"/>
    <mergeCell ref="E66:F66"/>
    <mergeCell ref="E67:F67"/>
    <mergeCell ref="E68:F68"/>
    <mergeCell ref="E69:F69"/>
    <mergeCell ref="H73:I73"/>
    <mergeCell ref="H67:I67"/>
    <mergeCell ref="H68:I68"/>
    <mergeCell ref="H69:I69"/>
    <mergeCell ref="H70:I70"/>
    <mergeCell ref="H71:I71"/>
    <mergeCell ref="H72:I72"/>
    <mergeCell ref="H66:I66"/>
    <mergeCell ref="F30:G30"/>
    <mergeCell ref="H30:I30"/>
    <mergeCell ref="J30:K30"/>
    <mergeCell ref="L30:M30"/>
    <mergeCell ref="D61:F62"/>
  </mergeCells>
  <conditionalFormatting sqref="E32 E15">
    <cfRule type="dataBar" priority="115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{91C635FA-D0BA-435F-AFA5-95583477B201}</x14:id>
        </ext>
      </extLst>
    </cfRule>
    <cfRule type="dataBar" priority="1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{B306981B-B953-417D-A170-BCBDFD21A9DD}</x14:id>
        </ext>
      </extLst>
    </cfRule>
  </conditionalFormatting>
  <conditionalFormatting sqref="E33">
    <cfRule type="dataBar" priority="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{1E82DD5F-B19E-4DA9-8909-66C4F859F177}</x14:id>
        </ext>
      </extLst>
    </cfRule>
  </conditionalFormatting>
  <conditionalFormatting sqref="E34">
    <cfRule type="dataBar" priority="40">
      <dataBar>
        <cfvo type="min"/>
        <cfvo type="max"/>
        <color rgb="FFFFB3B3"/>
      </dataBar>
      <extLst>
        <ext xmlns:x14="http://schemas.microsoft.com/office/spreadsheetml/2009/9/main" uri="{B025F937-C7B1-47D3-B67F-A62EFF666E3E}">
          <x14:id>{2C359FF4-0C28-480F-8F5D-E61D88423C44}</x14:id>
        </ext>
      </extLst>
    </cfRule>
  </conditionalFormatting>
  <conditionalFormatting sqref="E36:E37">
    <cfRule type="dataBar" priority="4">
      <dataBar>
        <cfvo type="min"/>
        <cfvo type="max"/>
        <color rgb="FFFFB3B3"/>
      </dataBar>
      <extLst>
        <ext xmlns:x14="http://schemas.microsoft.com/office/spreadsheetml/2009/9/main" uri="{B025F937-C7B1-47D3-B67F-A62EFF666E3E}">
          <x14:id>{BC21BD0D-6FA3-4BFE-B572-4CBE7C20A7F7}</x14:id>
        </ext>
      </extLst>
    </cfRule>
  </conditionalFormatting>
  <conditionalFormatting sqref="E38:E40 E35">
    <cfRule type="dataBar" priority="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{C3C339D6-0069-4E2E-905F-69CF57D1FC43}</x14:id>
        </ext>
      </extLst>
    </cfRule>
  </conditionalFormatting>
  <conditionalFormatting sqref="E43:E48">
    <cfRule type="dataBar" priority="217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{F38B6F26-02FE-4C93-AF59-A388A8EABE61}</x14:id>
        </ext>
      </extLst>
    </cfRule>
    <cfRule type="dataBar" priority="2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{C25D21DA-A36B-45D0-AEA3-806A4962E9AC}</x14:id>
        </ext>
      </extLst>
    </cfRule>
  </conditionalFormatting>
  <conditionalFormatting sqref="E52:E57">
    <cfRule type="dataBar" priority="2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{A81F0890-396F-40CA-81FE-95900DF7BB5F}</x14:id>
        </ext>
      </extLst>
    </cfRule>
    <cfRule type="dataBar" priority="206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{745BEF84-90B2-44C5-A405-DCE523C1A37C}</x14:id>
        </ext>
      </extLst>
    </cfRule>
  </conditionalFormatting>
  <conditionalFormatting sqref="E66:E73">
    <cfRule type="dataBar" priority="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{DD5E3D52-ABF0-4004-86FE-411BD251C95C}</x14:id>
        </ext>
      </extLst>
    </cfRule>
    <cfRule type="dataBar" priority="163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{EEA6EA7D-23F8-4BBD-9686-38F2E53E5DB1}</x14:id>
        </ext>
      </extLst>
    </cfRule>
  </conditionalFormatting>
  <conditionalFormatting sqref="F6:F14">
    <cfRule type="dataBar" priority="5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{0BC00595-4DD3-4584-BEF2-A05E7FB41B0A}</x14:id>
        </ext>
      </extLst>
    </cfRule>
  </conditionalFormatting>
  <conditionalFormatting sqref="F15">
    <cfRule type="dataBar" priority="1113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{481971DD-05C9-4AE1-A5BA-FC8A9D39C22F}</x14:id>
        </ext>
      </extLst>
    </cfRule>
    <cfRule type="dataBar" priority="1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{27F02AC7-B9C8-49D0-8456-735D0EC0FC13}</x14:id>
        </ext>
      </extLst>
    </cfRule>
  </conditionalFormatting>
  <conditionalFormatting sqref="F19">
    <cfRule type="dataBar" priority="1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{B171AA9F-FD12-40A5-8F58-C78D85E4060F}</x14:id>
        </ext>
      </extLst>
    </cfRule>
  </conditionalFormatting>
  <conditionalFormatting sqref="F20:F27">
    <cfRule type="dataBar" priority="1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{C65C33A8-0515-47D1-B770-40D3B3690A56}</x14:id>
        </ext>
      </extLst>
    </cfRule>
  </conditionalFormatting>
  <conditionalFormatting sqref="F43:F48">
    <cfRule type="dataBar" priority="1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{37481E4E-1652-4A01-8E6A-6C1CB53A8F2B}</x14:id>
        </ext>
      </extLst>
    </cfRule>
    <cfRule type="dataBar" priority="186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{A7EBD173-5566-4D1C-8E3E-C7D0AB767603}</x14:id>
        </ext>
      </extLst>
    </cfRule>
  </conditionalFormatting>
  <conditionalFormatting sqref="F52:F57">
    <cfRule type="dataBar" priority="184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{B14C6F37-1896-49DF-ADA9-33F789AA8CA8}</x14:id>
        </ext>
      </extLst>
    </cfRule>
    <cfRule type="dataBar" priority="1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{56E30C08-A6B2-4FE3-A123-6E6F4BFD13F4}</x14:id>
        </ext>
      </extLst>
    </cfRule>
  </conditionalFormatting>
  <conditionalFormatting sqref="G32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{C021B956-F928-4DA0-8020-4179E118A34A}</x14:id>
        </ext>
      </extLst>
    </cfRule>
    <cfRule type="dataBar" priority="34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{6D316890-8BF8-4A54-B4A0-BDC128B2713C}</x14:id>
        </ext>
      </extLst>
    </cfRule>
  </conditionalFormatting>
  <conditionalFormatting sqref="G33:G40">
    <cfRule type="dataBar" priority="3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{1112546C-68B7-463D-8634-0B531230B04E}</x14:id>
        </ext>
      </extLst>
    </cfRule>
  </conditionalFormatting>
  <conditionalFormatting sqref="H15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{0EA0D4AB-4A82-4369-8C75-B1033A0B6305}</x14:id>
        </ext>
      </extLst>
    </cfRule>
    <cfRule type="dataBar" priority="119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{863C7E6E-DA45-4D75-B096-FD8A4BF67A08}</x14:id>
        </ext>
      </extLst>
    </cfRule>
  </conditionalFormatting>
  <conditionalFormatting sqref="H43:H48">
    <cfRule type="dataBar" priority="2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{071C0EB5-04B4-4F82-9606-77037EC3FF34}</x14:id>
        </ext>
      </extLst>
    </cfRule>
    <cfRule type="dataBar" priority="215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{B2E01573-B84C-4F03-B280-6C9F5D7E16DF}</x14:id>
        </ext>
      </extLst>
    </cfRule>
  </conditionalFormatting>
  <conditionalFormatting sqref="H52:H57">
    <cfRule type="dataBar" priority="204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{1A6A3025-ECA0-40F0-AAAA-1A0E12028BCD}</x14:id>
        </ext>
      </extLst>
    </cfRule>
    <cfRule type="dataBar" priority="2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{52F1FAF4-A87F-43F8-ABCB-2B0413CAA468}</x14:id>
        </ext>
      </extLst>
    </cfRule>
  </conditionalFormatting>
  <conditionalFormatting sqref="H66">
    <cfRule type="dataBar" priority="1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{30D187A4-0BA4-4366-8FE1-F205D23586D9}</x14:id>
        </ext>
      </extLst>
    </cfRule>
    <cfRule type="dataBar" priority="159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{D38A5C67-D7CA-4BEF-8BD7-EA58DA5840D4}</x14:id>
        </ext>
      </extLst>
    </cfRule>
  </conditionalFormatting>
  <conditionalFormatting sqref="H67:H73">
    <cfRule type="dataBar" priority="161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{FC706970-2A0B-4107-ACDB-AAEF285AAA48}</x14:id>
        </ext>
      </extLst>
    </cfRule>
    <cfRule type="dataBar" priority="1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{B5093847-C939-4F77-AE36-EBB023DE8D71}</x14:id>
        </ext>
      </extLst>
    </cfRule>
  </conditionalFormatting>
  <conditionalFormatting sqref="I6:I14">
    <cfRule type="dataBar" priority="5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{7CF7766F-664E-49F4-9E33-8E797E86009C}</x14:id>
        </ext>
      </extLst>
    </cfRule>
  </conditionalFormatting>
  <conditionalFormatting sqref="I15">
    <cfRule type="dataBar" priority="1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{9601002B-C3BE-4F8F-80BA-A3F89E8DB59D}</x14:id>
        </ext>
      </extLst>
    </cfRule>
    <cfRule type="dataBar" priority="1119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{D4AFFB34-AE7D-4350-8051-03346071E5AD}</x14:id>
        </ext>
      </extLst>
    </cfRule>
  </conditionalFormatting>
  <conditionalFormatting sqref="I19:I27">
    <cfRule type="dataBar" priority="1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{C514CC30-FE3E-4ADE-958F-CE0AD2C0EBD3}</x14:id>
        </ext>
      </extLst>
    </cfRule>
  </conditionalFormatting>
  <conditionalFormatting sqref="I32">
    <cfRule type="dataBar" priority="31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{D804C7C1-86EA-44DB-84D7-33DF002A3EC2}</x14:id>
        </ext>
      </extLst>
    </cfRule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{911EE51B-11B0-411A-AFDE-0BD43FB0117F}</x14:id>
        </ext>
      </extLst>
    </cfRule>
  </conditionalFormatting>
  <conditionalFormatting sqref="I33:I40">
    <cfRule type="dataBar" priority="2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{46DBCDD0-51A4-4ACF-BB21-52BA477513A6}</x14:id>
        </ext>
      </extLst>
    </cfRule>
  </conditionalFormatting>
  <conditionalFormatting sqref="I43:I48">
    <cfRule type="dataBar" priority="188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{2FDBBCD8-9636-48F1-B1BF-938AB5D76F99}</x14:id>
        </ext>
      </extLst>
    </cfRule>
    <cfRule type="dataBar" priority="1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{D21D20E1-FF3F-48E4-81CD-AC9CCE7B99D7}</x14:id>
        </ext>
      </extLst>
    </cfRule>
  </conditionalFormatting>
  <conditionalFormatting sqref="I52:I57">
    <cfRule type="dataBar" priority="182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{A37166FD-AE82-40DC-B0F0-B6F578AC7C76}</x14:id>
        </ext>
      </extLst>
    </cfRule>
    <cfRule type="dataBar" priority="1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{8DBCF501-A9AA-4C1C-AB0F-B1310C0C97BB}</x14:id>
        </ext>
      </extLst>
    </cfRule>
  </conditionalFormatting>
  <conditionalFormatting sqref="J28">
    <cfRule type="dataBar" priority="11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{8B4C801F-AF55-49B9-B3E7-DC825FE2A7E9}</x14:id>
        </ext>
      </extLst>
    </cfRule>
  </conditionalFormatting>
  <conditionalFormatting sqref="J43:J48">
    <cfRule type="dataBar" priority="10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{91D9D176-CB80-4794-AA33-A5BC5AE09E15}</x14:id>
        </ext>
      </extLst>
    </cfRule>
  </conditionalFormatting>
  <conditionalFormatting sqref="J52:J57">
    <cfRule type="dataBar" priority="10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{AA9DD2E3-B0FD-41A7-ABA2-60497A3B5748}</x14:id>
        </ext>
      </extLst>
    </cfRule>
  </conditionalFormatting>
  <conditionalFormatting sqref="J67:J72">
    <cfRule type="dataBar" priority="10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{415897C9-D9E4-4C22-A9C7-75157DE7F13B}</x14:id>
        </ext>
      </extLst>
    </cfRule>
  </conditionalFormatting>
  <conditionalFormatting sqref="K15">
    <cfRule type="dataBar" priority="123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{0A47AA53-EA72-4C0F-A5E9-C01A97D696AD}</x14:id>
        </ext>
      </extLst>
    </cfRule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{1DFD7320-A876-468B-86FD-63D3607A692C}</x14:id>
        </ext>
      </extLst>
    </cfRule>
  </conditionalFormatting>
  <conditionalFormatting sqref="K32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{629C3694-4087-4371-89FC-C0B8C002BEFB}</x14:id>
        </ext>
      </extLst>
    </cfRule>
    <cfRule type="dataBar" priority="28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{26A6C2C0-9A80-49D9-AFE8-55C7B5989A56}</x14:id>
        </ext>
      </extLst>
    </cfRule>
  </conditionalFormatting>
  <conditionalFormatting sqref="K33:K40">
    <cfRule type="dataBar" priority="2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{969CABBB-BF75-4A1D-A44F-00D2DEB08534}</x14:id>
        </ext>
      </extLst>
    </cfRule>
  </conditionalFormatting>
  <conditionalFormatting sqref="L6:L14">
    <cfRule type="dataBar" priority="5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{A121792D-1514-4A2B-8CB7-BE645640DBE3}</x14:id>
        </ext>
      </extLst>
    </cfRule>
  </conditionalFormatting>
  <conditionalFormatting sqref="L15">
    <cfRule type="dataBar" priority="1125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{10FC1D35-A6EA-43C4-BEB4-54C00528143D}</x14:id>
        </ext>
      </extLst>
    </cfRule>
    <cfRule type="dataBar" priority="11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{B34B7643-0A83-4E68-AC65-D5A72FF46B4E}</x14:id>
        </ext>
      </extLst>
    </cfRule>
  </conditionalFormatting>
  <conditionalFormatting sqref="L19:L21 L24">
    <cfRule type="dataBar" priority="1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{289DB8AD-FBD5-432C-8500-C4F2EF326679}</x14:id>
        </ext>
      </extLst>
    </cfRule>
  </conditionalFormatting>
  <conditionalFormatting sqref="L22">
    <cfRule type="dataBar" priority="1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{0E8CC183-E687-4DD6-94FF-B1138505D477}</x14:id>
        </ext>
      </extLst>
    </cfRule>
  </conditionalFormatting>
  <conditionalFormatting sqref="L23">
    <cfRule type="dataBar" priority="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{A69EB290-91EC-43C0-A953-48BDC29A8902}</x14:id>
        </ext>
      </extLst>
    </cfRule>
  </conditionalFormatting>
  <conditionalFormatting sqref="L25:L27">
    <cfRule type="dataBar" priority="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{45C41506-CF88-4FB1-AFFD-286E8090F62D}</x14:id>
        </ext>
      </extLst>
    </cfRule>
  </conditionalFormatting>
  <conditionalFormatting sqref="L28">
    <cfRule type="dataBar" priority="104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{A6FE4086-9682-40B0-9B47-14BBEBCC5422}</x14:id>
        </ext>
      </extLst>
    </cfRule>
    <cfRule type="dataBar" priority="1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{AA06EBF6-EA86-49B1-82C2-5AE3B20386D0}</x14:id>
        </ext>
      </extLst>
    </cfRule>
  </conditionalFormatting>
  <conditionalFormatting sqref="L43:L48">
    <cfRule type="dataBar" priority="213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{35D9DA4F-9078-44B7-AB89-4F4D61464330}</x14:id>
        </ext>
      </extLst>
    </cfRule>
    <cfRule type="dataBar" priority="2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{BA4B268C-CDD8-4BE6-9FC1-7E032E8C4A85}</x14:id>
        </ext>
      </extLst>
    </cfRule>
  </conditionalFormatting>
  <conditionalFormatting sqref="L52:L57">
    <cfRule type="dataBar" priority="202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{6C18A5FF-084B-4953-A4A1-FEF34B22BECC}</x14:id>
        </ext>
      </extLst>
    </cfRule>
    <cfRule type="dataBar" priority="2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{84CC9EF4-8892-4952-BE04-8C63891FDDAE}</x14:id>
        </ext>
      </extLst>
    </cfRule>
  </conditionalFormatting>
  <conditionalFormatting sqref="L67:L72">
    <cfRule type="dataBar" priority="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{9ED6237A-FC82-42A7-A4C9-70787D3C1DA6}</x14:id>
        </ext>
      </extLst>
    </cfRule>
    <cfRule type="dataBar" priority="165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{01BC7C7B-EA67-4345-9677-2E8DE8A86171}</x14:id>
        </ext>
      </extLst>
    </cfRule>
  </conditionalFormatting>
  <conditionalFormatting sqref="M28">
    <cfRule type="dataBar" priority="106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{E8E50EE7-B09B-42CB-AC8B-E759821EE4A6}</x14:id>
        </ext>
      </extLst>
    </cfRule>
    <cfRule type="dataBar" priority="1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{9D8F9948-BCFA-4E33-9E45-39FC758925E8}</x14:id>
        </ext>
      </extLst>
    </cfRule>
  </conditionalFormatting>
  <conditionalFormatting sqref="M32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{3BEEFA5E-0B5F-416D-B44C-095BD6646413}</x14:id>
        </ext>
      </extLst>
    </cfRule>
    <cfRule type="dataBar" priority="25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{2CF97C91-A10E-4CF8-A78D-555D33FADD3B}</x14:id>
        </ext>
      </extLst>
    </cfRule>
  </conditionalFormatting>
  <conditionalFormatting sqref="M33:M40">
    <cfRule type="dataBar" priority="2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{64BACD8C-87B8-4C1E-B615-C8E0850826F6}</x14:id>
        </ext>
      </extLst>
    </cfRule>
  </conditionalFormatting>
  <conditionalFormatting sqref="M43:M48">
    <cfRule type="dataBar" priority="1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{3BCB2474-DA0B-4CBC-822F-405E522F27E7}</x14:id>
        </ext>
      </extLst>
    </cfRule>
    <cfRule type="dataBar" priority="190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{57E56041-FC55-4CEE-A87F-2F6704A02FEE}</x14:id>
        </ext>
      </extLst>
    </cfRule>
  </conditionalFormatting>
  <conditionalFormatting sqref="M52:M57">
    <cfRule type="dataBar" priority="180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{F161A838-67C4-4429-B450-C4B5A7178DDC}</x14:id>
        </ext>
      </extLst>
    </cfRule>
    <cfRule type="dataBar" priority="1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{DAE45872-1CA0-4960-8C26-4ED5D44C6EDA}</x14:id>
        </ext>
      </extLst>
    </cfRule>
  </conditionalFormatting>
  <conditionalFormatting sqref="M66">
    <cfRule type="dataBar" priority="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{589DDADC-097C-46EA-B9B3-92CC41048483}</x14:id>
        </ext>
      </extLst>
    </cfRule>
    <cfRule type="dataBar" priority="157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{FF390E5E-E2F2-4980-A48E-304E757DFA2E}</x14:id>
        </ext>
      </extLst>
    </cfRule>
  </conditionalFormatting>
  <conditionalFormatting sqref="M67:M73">
    <cfRule type="dataBar" priority="1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{F615335F-659E-4075-BD6C-5F71519548BE}</x14:id>
        </ext>
      </extLst>
    </cfRule>
    <cfRule type="dataBar" priority="155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{D77B54C3-1D1A-4B20-812D-610CFB947B3D}</x14:id>
        </ext>
      </extLst>
    </cfRule>
  </conditionalFormatting>
  <conditionalFormatting sqref="N15">
    <cfRule type="dataBar" priority="1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{27C3DF27-4119-4941-A6ED-42FC6656F51B}</x14:id>
        </ext>
      </extLst>
    </cfRule>
    <cfRule type="dataBar" priority="127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{A2023336-13D9-4DAF-8AD1-8C2DE4EFCA5B}</x14:id>
        </ext>
      </extLst>
    </cfRule>
  </conditionalFormatting>
  <conditionalFormatting sqref="N28">
    <cfRule type="dataBar" priority="11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{171B49A6-F8E9-4A9F-BD5A-ADBB06539DE1}</x14:id>
        </ext>
      </extLst>
    </cfRule>
  </conditionalFormatting>
  <conditionalFormatting sqref="N43:N48">
    <cfRule type="dataBar" priority="10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{69E7E890-B793-4467-8269-8E7B2268F049}</x14:id>
        </ext>
      </extLst>
    </cfRule>
  </conditionalFormatting>
  <conditionalFormatting sqref="N52:N57">
    <cfRule type="dataBar" priority="10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{061C96E9-FF1F-4DA1-B9D1-E859B4F54B55}</x14:id>
        </ext>
      </extLst>
    </cfRule>
  </conditionalFormatting>
  <conditionalFormatting sqref="O6:O14">
    <cfRule type="dataBar" priority="4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{1F5BAC4A-3302-42C4-ABC5-A9425AE4DCEF}</x14:id>
        </ext>
      </extLst>
    </cfRule>
  </conditionalFormatting>
  <conditionalFormatting sqref="O19:O27">
    <cfRule type="dataBar" priority="1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{B98FE4D9-6BA9-4585-B4E0-CC6150667403}</x14:id>
        </ext>
      </extLst>
    </cfRule>
  </conditionalFormatting>
  <conditionalFormatting sqref="O32">
    <cfRule type="dataBar" priority="22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{2D97B033-DE80-4427-AEBE-D2F0E495263D}</x14:id>
        </ext>
      </extLst>
    </cfRule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{BC5C163B-F855-46DD-B961-BCE76CE99C6A}</x14:id>
        </ext>
      </extLst>
    </cfRule>
  </conditionalFormatting>
  <conditionalFormatting sqref="O33:O40">
    <cfRule type="dataBar" priority="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{40B4870C-2D2C-49DF-B980-A24ACBC8CEB4}</x14:id>
        </ext>
      </extLst>
    </cfRule>
  </conditionalFormatting>
  <conditionalFormatting sqref="P28">
    <cfRule type="dataBar" priority="1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{350627BA-6ADF-4E25-B282-2D79534DEF74}</x14:id>
        </ext>
      </extLst>
    </cfRule>
    <cfRule type="dataBar" priority="110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{ACF5BFD6-C868-4BB1-BD0F-524E7321B792}</x14:id>
        </ext>
      </extLst>
    </cfRule>
  </conditionalFormatting>
  <conditionalFormatting sqref="P32:P40 O15">
    <cfRule type="dataBar" priority="1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{67B1B08D-E6F7-4EA1-BB8A-34B9D42B523E}</x14:id>
        </ext>
      </extLst>
    </cfRule>
    <cfRule type="dataBar" priority="1183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{F9F0D622-5E9F-4F7B-B42F-E3B991C394EE}</x14:id>
        </ext>
      </extLst>
    </cfRule>
  </conditionalFormatting>
  <conditionalFormatting sqref="P43:P48">
    <cfRule type="dataBar" priority="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{015A8B8E-673E-426B-A090-9CE1901EAB19}</x14:id>
        </ext>
      </extLst>
    </cfRule>
    <cfRule type="dataBar" priority="192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{B4BACFC9-4349-4BC7-8B72-E7AC296FDDE0}</x14:id>
        </ext>
      </extLst>
    </cfRule>
  </conditionalFormatting>
  <conditionalFormatting sqref="P52:P57">
    <cfRule type="dataBar" priority="178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{EE829A2B-6EA3-4122-BAEF-5A0EF7FE8114}</x14:id>
        </ext>
      </extLst>
    </cfRule>
    <cfRule type="dataBar" priority="1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{0C0F1425-A3E8-43C1-BBCC-A3B13B02A1F2}</x14:id>
        </ext>
      </extLst>
    </cfRule>
  </conditionalFormatting>
  <pageMargins left="0.7" right="0.7" top="0.75" bottom="0.75" header="0.3" footer="0.3"/>
  <pageSetup paperSize="9" orientation="portrait" r:id="rId1"/>
  <ignoredErrors>
    <ignoredError sqref="I6 F6 L6 L24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C635FA-D0BA-435F-AFA5-95583477B201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B306981B-B953-417D-A170-BCBDFD21A9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E32 E15</xm:sqref>
        </x14:conditionalFormatting>
        <x14:conditionalFormatting xmlns:xm="http://schemas.microsoft.com/office/excel/2006/main">
          <x14:cfRule type="dataBar" id="{1E82DD5F-B19E-4DA9-8909-66C4F859F177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E33</xm:sqref>
        </x14:conditionalFormatting>
        <x14:conditionalFormatting xmlns:xm="http://schemas.microsoft.com/office/excel/2006/main">
          <x14:cfRule type="dataBar" id="{2C359FF4-0C28-480F-8F5D-E61D88423C44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E34</xm:sqref>
        </x14:conditionalFormatting>
        <x14:conditionalFormatting xmlns:xm="http://schemas.microsoft.com/office/excel/2006/main">
          <x14:cfRule type="dataBar" id="{BC21BD0D-6FA3-4BFE-B572-4CBE7C20A7F7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E36:E37</xm:sqref>
        </x14:conditionalFormatting>
        <x14:conditionalFormatting xmlns:xm="http://schemas.microsoft.com/office/excel/2006/main">
          <x14:cfRule type="dataBar" id="{C3C339D6-0069-4E2E-905F-69CF57D1FC43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E38:E40 E35</xm:sqref>
        </x14:conditionalFormatting>
        <x14:conditionalFormatting xmlns:xm="http://schemas.microsoft.com/office/excel/2006/main">
          <x14:cfRule type="dataBar" id="{F38B6F26-02FE-4C93-AF59-A388A8EABE61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C25D21DA-A36B-45D0-AEA3-806A4962E9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E43:E48</xm:sqref>
        </x14:conditionalFormatting>
        <x14:conditionalFormatting xmlns:xm="http://schemas.microsoft.com/office/excel/2006/main">
          <x14:cfRule type="dataBar" id="{A81F0890-396F-40CA-81FE-95900DF7BB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45BEF84-90B2-44C5-A405-DCE523C1A37C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E52:E57</xm:sqref>
        </x14:conditionalFormatting>
        <x14:conditionalFormatting xmlns:xm="http://schemas.microsoft.com/office/excel/2006/main">
          <x14:cfRule type="dataBar" id="{DD5E3D52-ABF0-4004-86FE-411BD251C9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EA6EA7D-23F8-4BBD-9686-38F2E53E5DB1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E66:E73</xm:sqref>
        </x14:conditionalFormatting>
        <x14:conditionalFormatting xmlns:xm="http://schemas.microsoft.com/office/excel/2006/main">
          <x14:cfRule type="dataBar" id="{0BC00595-4DD3-4584-BEF2-A05E7FB41B0A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F6:F14</xm:sqref>
        </x14:conditionalFormatting>
        <x14:conditionalFormatting xmlns:xm="http://schemas.microsoft.com/office/excel/2006/main">
          <x14:cfRule type="dataBar" id="{481971DD-05C9-4AE1-A5BA-FC8A9D39C22F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27F02AC7-B9C8-49D0-8456-735D0EC0FC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</xm:sqref>
        </x14:conditionalFormatting>
        <x14:conditionalFormatting xmlns:xm="http://schemas.microsoft.com/office/excel/2006/main">
          <x14:cfRule type="dataBar" id="{B171AA9F-FD12-40A5-8F58-C78D85E4060F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F19</xm:sqref>
        </x14:conditionalFormatting>
        <x14:conditionalFormatting xmlns:xm="http://schemas.microsoft.com/office/excel/2006/main">
          <x14:cfRule type="dataBar" id="{C65C33A8-0515-47D1-B770-40D3B3690A56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F20:F27</xm:sqref>
        </x14:conditionalFormatting>
        <x14:conditionalFormatting xmlns:xm="http://schemas.microsoft.com/office/excel/2006/main">
          <x14:cfRule type="dataBar" id="{37481E4E-1652-4A01-8E6A-6C1CB53A8F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7EBD173-5566-4D1C-8E3E-C7D0AB767603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F43:F48</xm:sqref>
        </x14:conditionalFormatting>
        <x14:conditionalFormatting xmlns:xm="http://schemas.microsoft.com/office/excel/2006/main">
          <x14:cfRule type="dataBar" id="{B14C6F37-1896-49DF-ADA9-33F789AA8CA8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56E30C08-A6B2-4FE3-A123-6E6F4BFD13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F52:F57</xm:sqref>
        </x14:conditionalFormatting>
        <x14:conditionalFormatting xmlns:xm="http://schemas.microsoft.com/office/excel/2006/main">
          <x14:cfRule type="dataBar" id="{C021B956-F928-4DA0-8020-4179E118A3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D316890-8BF8-4A54-B4A0-BDC128B2713C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G32</xm:sqref>
        </x14:conditionalFormatting>
        <x14:conditionalFormatting xmlns:xm="http://schemas.microsoft.com/office/excel/2006/main">
          <x14:cfRule type="dataBar" id="{1112546C-68B7-463D-8634-0B531230B04E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G33:G40</xm:sqref>
        </x14:conditionalFormatting>
        <x14:conditionalFormatting xmlns:xm="http://schemas.microsoft.com/office/excel/2006/main">
          <x14:cfRule type="dataBar" id="{0EA0D4AB-4A82-4369-8C75-B1033A0B63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63C7E6E-DA45-4D75-B096-FD8A4BF67A08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H15</xm:sqref>
        </x14:conditionalFormatting>
        <x14:conditionalFormatting xmlns:xm="http://schemas.microsoft.com/office/excel/2006/main">
          <x14:cfRule type="dataBar" id="{071C0EB5-04B4-4F82-9606-77037EC3FF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2E01573-B84C-4F03-B280-6C9F5D7E16DF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H43:H48</xm:sqref>
        </x14:conditionalFormatting>
        <x14:conditionalFormatting xmlns:xm="http://schemas.microsoft.com/office/excel/2006/main">
          <x14:cfRule type="dataBar" id="{1A6A3025-ECA0-40F0-AAAA-1A0E12028BCD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52F1FAF4-A87F-43F8-ABCB-2B0413CAA4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H52:H57</xm:sqref>
        </x14:conditionalFormatting>
        <x14:conditionalFormatting xmlns:xm="http://schemas.microsoft.com/office/excel/2006/main">
          <x14:cfRule type="dataBar" id="{30D187A4-0BA4-4366-8FE1-F205D23586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38A5C67-D7CA-4BEF-8BD7-EA58DA5840D4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H66</xm:sqref>
        </x14:conditionalFormatting>
        <x14:conditionalFormatting xmlns:xm="http://schemas.microsoft.com/office/excel/2006/main">
          <x14:cfRule type="dataBar" id="{FC706970-2A0B-4107-ACDB-AAEF285AAA48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B5093847-C939-4F77-AE36-EBB023DE8D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H67:H73</xm:sqref>
        </x14:conditionalFormatting>
        <x14:conditionalFormatting xmlns:xm="http://schemas.microsoft.com/office/excel/2006/main">
          <x14:cfRule type="dataBar" id="{7CF7766F-664E-49F4-9E33-8E797E86009C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I6:I14</xm:sqref>
        </x14:conditionalFormatting>
        <x14:conditionalFormatting xmlns:xm="http://schemas.microsoft.com/office/excel/2006/main">
          <x14:cfRule type="dataBar" id="{9601002B-C3BE-4F8F-80BA-A3F89E8DB5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4AFFB34-AE7D-4350-8051-03346071E5AD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I15</xm:sqref>
        </x14:conditionalFormatting>
        <x14:conditionalFormatting xmlns:xm="http://schemas.microsoft.com/office/excel/2006/main">
          <x14:cfRule type="dataBar" id="{C514CC30-FE3E-4ADE-958F-CE0AD2C0EBD3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I19:I27</xm:sqref>
        </x14:conditionalFormatting>
        <x14:conditionalFormatting xmlns:xm="http://schemas.microsoft.com/office/excel/2006/main">
          <x14:cfRule type="dataBar" id="{D804C7C1-86EA-44DB-84D7-33DF002A3EC2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911EE51B-11B0-411A-AFDE-0BD43FB011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I32</xm:sqref>
        </x14:conditionalFormatting>
        <x14:conditionalFormatting xmlns:xm="http://schemas.microsoft.com/office/excel/2006/main">
          <x14:cfRule type="dataBar" id="{46DBCDD0-51A4-4ACF-BB21-52BA477513A6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I33:I40</xm:sqref>
        </x14:conditionalFormatting>
        <x14:conditionalFormatting xmlns:xm="http://schemas.microsoft.com/office/excel/2006/main">
          <x14:cfRule type="dataBar" id="{2FDBBCD8-9636-48F1-B1BF-938AB5D76F99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D21D20E1-FF3F-48E4-81CD-AC9CCE7B99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I43:I48</xm:sqref>
        </x14:conditionalFormatting>
        <x14:conditionalFormatting xmlns:xm="http://schemas.microsoft.com/office/excel/2006/main">
          <x14:cfRule type="dataBar" id="{A37166FD-AE82-40DC-B0F0-B6F578AC7C76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8DBCF501-A9AA-4C1C-AB0F-B1310C0C97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I52:I57</xm:sqref>
        </x14:conditionalFormatting>
        <x14:conditionalFormatting xmlns:xm="http://schemas.microsoft.com/office/excel/2006/main">
          <x14:cfRule type="iconSet" priority="243" id="{E033852A-194C-4758-9F84-DA76DEE62734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I103</xm:sqref>
        </x14:conditionalFormatting>
        <x14:conditionalFormatting xmlns:xm="http://schemas.microsoft.com/office/excel/2006/main">
          <x14:cfRule type="dataBar" id="{8B4C801F-AF55-49B9-B3E7-DC825FE2A7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91D9D176-CB80-4794-AA33-A5BC5AE09E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J43:J48</xm:sqref>
        </x14:conditionalFormatting>
        <x14:conditionalFormatting xmlns:xm="http://schemas.microsoft.com/office/excel/2006/main">
          <x14:cfRule type="dataBar" id="{AA9DD2E3-B0FD-41A7-ABA2-60497A3B57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J52:J57</xm:sqref>
        </x14:conditionalFormatting>
        <x14:conditionalFormatting xmlns:xm="http://schemas.microsoft.com/office/excel/2006/main">
          <x14:cfRule type="dataBar" id="{415897C9-D9E4-4C22-A9C7-75157DE7F1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J67:J72</xm:sqref>
        </x14:conditionalFormatting>
        <x14:conditionalFormatting xmlns:xm="http://schemas.microsoft.com/office/excel/2006/main">
          <x14:cfRule type="dataBar" id="{0A47AA53-EA72-4C0F-A5E9-C01A97D696AD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1DFD7320-A876-468B-86FD-63D3607A69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K15</xm:sqref>
        </x14:conditionalFormatting>
        <x14:conditionalFormatting xmlns:xm="http://schemas.microsoft.com/office/excel/2006/main">
          <x14:cfRule type="dataBar" id="{629C3694-4087-4371-89FC-C0B8C002BE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6A6C2C0-9A80-49D9-AFE8-55C7B5989A56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K32</xm:sqref>
        </x14:conditionalFormatting>
        <x14:conditionalFormatting xmlns:xm="http://schemas.microsoft.com/office/excel/2006/main">
          <x14:cfRule type="dataBar" id="{969CABBB-BF75-4A1D-A44F-00D2DEB08534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K33:K40</xm:sqref>
        </x14:conditionalFormatting>
        <x14:conditionalFormatting xmlns:xm="http://schemas.microsoft.com/office/excel/2006/main">
          <x14:cfRule type="dataBar" id="{A121792D-1514-4A2B-8CB7-BE645640DBE3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L6:L14</xm:sqref>
        </x14:conditionalFormatting>
        <x14:conditionalFormatting xmlns:xm="http://schemas.microsoft.com/office/excel/2006/main">
          <x14:cfRule type="dataBar" id="{10FC1D35-A6EA-43C4-BEB4-54C00528143D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B34B7643-0A83-4E68-AC65-D5A72FF46B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289DB8AD-FBD5-432C-8500-C4F2EF326679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L19:L21 L24</xm:sqref>
        </x14:conditionalFormatting>
        <x14:conditionalFormatting xmlns:xm="http://schemas.microsoft.com/office/excel/2006/main">
          <x14:cfRule type="dataBar" id="{0E8CC183-E687-4DD6-94FF-B1138505D477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A69EB290-91EC-43C0-A953-48BDC29A8902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45C41506-CF88-4FB1-AFFD-286E8090F62D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L25:L27</xm:sqref>
        </x14:conditionalFormatting>
        <x14:conditionalFormatting xmlns:xm="http://schemas.microsoft.com/office/excel/2006/main">
          <x14:cfRule type="dataBar" id="{A6FE4086-9682-40B0-9B47-14BBEBCC5422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AA06EBF6-EA86-49B1-82C2-5AE3B20386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35D9DA4F-9078-44B7-AB89-4F4D61464330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BA4B268C-CDD8-4BE6-9FC1-7E032E8C4A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L43:L48</xm:sqref>
        </x14:conditionalFormatting>
        <x14:conditionalFormatting xmlns:xm="http://schemas.microsoft.com/office/excel/2006/main">
          <x14:cfRule type="dataBar" id="{6C18A5FF-084B-4953-A4A1-FEF34B22BECC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84CC9EF4-8892-4952-BE04-8C63891FDD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L52:L57</xm:sqref>
        </x14:conditionalFormatting>
        <x14:conditionalFormatting xmlns:xm="http://schemas.microsoft.com/office/excel/2006/main">
          <x14:cfRule type="dataBar" id="{9ED6237A-FC82-42A7-A4C9-70787D3C1D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1BC7C7B-EA67-4345-9677-2E8DE8A86171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L67:L72</xm:sqref>
        </x14:conditionalFormatting>
        <x14:conditionalFormatting xmlns:xm="http://schemas.microsoft.com/office/excel/2006/main">
          <x14:cfRule type="dataBar" id="{E8E50EE7-B09B-42CB-AC8B-E759821EE4A6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9D8F9948-BCFA-4E33-9E45-39FC758925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3BEEFA5E-0B5F-416D-B44C-095BD66464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CF97C91-A10E-4CF8-A78D-555D33FADD3B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M32</xm:sqref>
        </x14:conditionalFormatting>
        <x14:conditionalFormatting xmlns:xm="http://schemas.microsoft.com/office/excel/2006/main">
          <x14:cfRule type="dataBar" id="{64BACD8C-87B8-4C1E-B615-C8E0850826F6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M33:M40</xm:sqref>
        </x14:conditionalFormatting>
        <x14:conditionalFormatting xmlns:xm="http://schemas.microsoft.com/office/excel/2006/main">
          <x14:cfRule type="dataBar" id="{3BCB2474-DA0B-4CBC-822F-405E522F27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7E56041-FC55-4CEE-A87F-2F6704A02FEE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M43:M48</xm:sqref>
        </x14:conditionalFormatting>
        <x14:conditionalFormatting xmlns:xm="http://schemas.microsoft.com/office/excel/2006/main">
          <x14:cfRule type="dataBar" id="{F161A838-67C4-4429-B450-C4B5A7178DDC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DAE45872-1CA0-4960-8C26-4ED5D44C6E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M52:M57</xm:sqref>
        </x14:conditionalFormatting>
        <x14:conditionalFormatting xmlns:xm="http://schemas.microsoft.com/office/excel/2006/main">
          <x14:cfRule type="dataBar" id="{589DDADC-097C-46EA-B9B3-92CC410484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F390E5E-E2F2-4980-A48E-304E757DFA2E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M66</xm:sqref>
        </x14:conditionalFormatting>
        <x14:conditionalFormatting xmlns:xm="http://schemas.microsoft.com/office/excel/2006/main">
          <x14:cfRule type="dataBar" id="{F615335F-659E-4075-BD6C-5F71519548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77B54C3-1D1A-4B20-812D-610CFB947B3D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M67:M73</xm:sqref>
        </x14:conditionalFormatting>
        <x14:conditionalFormatting xmlns:xm="http://schemas.microsoft.com/office/excel/2006/main">
          <x14:cfRule type="dataBar" id="{27C3DF27-4119-4941-A6ED-42FC6656F5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2023336-13D9-4DAF-8AD1-8C2DE4EFCA5B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N15</xm:sqref>
        </x14:conditionalFormatting>
        <x14:conditionalFormatting xmlns:xm="http://schemas.microsoft.com/office/excel/2006/main">
          <x14:cfRule type="dataBar" id="{171B49A6-F8E9-4A9F-BD5A-ADBB06539D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N28</xm:sqref>
        </x14:conditionalFormatting>
        <x14:conditionalFormatting xmlns:xm="http://schemas.microsoft.com/office/excel/2006/main">
          <x14:cfRule type="dataBar" id="{69E7E890-B793-4467-8269-8E7B2268F0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N43:N48</xm:sqref>
        </x14:conditionalFormatting>
        <x14:conditionalFormatting xmlns:xm="http://schemas.microsoft.com/office/excel/2006/main">
          <x14:cfRule type="dataBar" id="{061C96E9-FF1F-4DA1-B9D1-E859B4F54B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N52:N57</xm:sqref>
        </x14:conditionalFormatting>
        <x14:conditionalFormatting xmlns:xm="http://schemas.microsoft.com/office/excel/2006/main">
          <x14:cfRule type="dataBar" id="{1F5BAC4A-3302-42C4-ABC5-A9425AE4DCEF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O6:O14</xm:sqref>
        </x14:conditionalFormatting>
        <x14:conditionalFormatting xmlns:xm="http://schemas.microsoft.com/office/excel/2006/main">
          <x14:cfRule type="dataBar" id="{B98FE4D9-6BA9-4585-B4E0-CC6150667403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O19:O27</xm:sqref>
        </x14:conditionalFormatting>
        <x14:conditionalFormatting xmlns:xm="http://schemas.microsoft.com/office/excel/2006/main">
          <x14:cfRule type="dataBar" id="{2D97B033-DE80-4427-AEBE-D2F0E495263D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BC5C163B-F855-46DD-B961-BCE76CE99C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O32</xm:sqref>
        </x14:conditionalFormatting>
        <x14:conditionalFormatting xmlns:xm="http://schemas.microsoft.com/office/excel/2006/main">
          <x14:cfRule type="dataBar" id="{40B4870C-2D2C-49DF-B980-A24ACBC8CEB4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O33:O40</xm:sqref>
        </x14:conditionalFormatting>
        <x14:conditionalFormatting xmlns:xm="http://schemas.microsoft.com/office/excel/2006/main">
          <x14:cfRule type="dataBar" id="{350627BA-6ADF-4E25-B282-2D79534DEF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CF5BFD6-C868-4BB1-BD0F-524E7321B792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P28</xm:sqref>
        </x14:conditionalFormatting>
        <x14:conditionalFormatting xmlns:xm="http://schemas.microsoft.com/office/excel/2006/main">
          <x14:cfRule type="dataBar" id="{67B1B08D-E6F7-4EA1-BB8A-34B9D42B52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9F0D622-5E9F-4F7B-B42F-E3B991C394EE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P32:P40 O15</xm:sqref>
        </x14:conditionalFormatting>
        <x14:conditionalFormatting xmlns:xm="http://schemas.microsoft.com/office/excel/2006/main">
          <x14:cfRule type="dataBar" id="{015A8B8E-673E-426B-A090-9CE1901EAB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4BACFC9-4349-4BC7-8B72-E7AC296FDDE0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P43:P48</xm:sqref>
        </x14:conditionalFormatting>
        <x14:conditionalFormatting xmlns:xm="http://schemas.microsoft.com/office/excel/2006/main">
          <x14:cfRule type="dataBar" id="{EE829A2B-6EA3-4122-BAEF-5A0EF7FE8114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0C0F1425-A3E8-43C1-BBCC-A3B13B02A1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P52:P57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EF54D-E685-4951-9A82-3655F40EB1B2}">
  <dimension ref="C2:V103"/>
  <sheetViews>
    <sheetView zoomScale="60" zoomScaleNormal="60" workbookViewId="0">
      <selection activeCell="E14" sqref="E14"/>
    </sheetView>
  </sheetViews>
  <sheetFormatPr defaultColWidth="8.7265625" defaultRowHeight="17"/>
  <cols>
    <col min="1" max="1" width="8.7265625" style="373"/>
    <col min="2" max="2" width="3.81640625" style="373" customWidth="1"/>
    <col min="3" max="3" width="19.54296875" style="372" customWidth="1"/>
    <col min="4" max="4" width="18" style="373" bestFit="1" customWidth="1"/>
    <col min="5" max="5" width="20.81640625" style="372" bestFit="1" customWidth="1"/>
    <col min="6" max="6" width="17.54296875" style="372" customWidth="1"/>
    <col min="7" max="7" width="20.81640625" style="373" bestFit="1" customWidth="1"/>
    <col min="8" max="8" width="20.54296875" style="372" customWidth="1"/>
    <col min="9" max="9" width="20.81640625" style="373" bestFit="1" customWidth="1"/>
    <col min="10" max="10" width="17.54296875" style="373" bestFit="1" customWidth="1"/>
    <col min="11" max="11" width="20.81640625" style="373" bestFit="1" customWidth="1"/>
    <col min="12" max="12" width="11.7265625" style="373" customWidth="1"/>
    <col min="13" max="13" width="20.81640625" style="373" bestFit="1" customWidth="1"/>
    <col min="14" max="14" width="20" style="373" customWidth="1"/>
    <col min="15" max="15" width="20.81640625" style="373" bestFit="1" customWidth="1"/>
    <col min="16" max="16" width="3.81640625" style="373" customWidth="1"/>
    <col min="17" max="17" width="51.26953125" style="373" customWidth="1"/>
    <col min="18" max="19" width="34.1796875" style="373" customWidth="1"/>
    <col min="20" max="20" width="4.1796875" style="373" customWidth="1"/>
    <col min="21" max="21" width="13.1796875" style="373" bestFit="1" customWidth="1"/>
    <col min="22" max="22" width="34.54296875" style="373" bestFit="1" customWidth="1"/>
    <col min="23" max="23" width="35.1796875" style="373" bestFit="1" customWidth="1"/>
    <col min="24" max="24" width="27.453125" style="373" bestFit="1" customWidth="1"/>
    <col min="25" max="16384" width="8.7265625" style="373"/>
  </cols>
  <sheetData>
    <row r="2" spans="3:22" ht="16.5" customHeight="1"/>
    <row r="3" spans="3:22">
      <c r="C3" s="374" t="s">
        <v>36</v>
      </c>
      <c r="D3" s="375"/>
      <c r="E3" s="376"/>
      <c r="F3" s="377"/>
      <c r="G3" s="375"/>
      <c r="H3" s="376"/>
      <c r="I3" s="377"/>
      <c r="J3" s="375"/>
      <c r="K3" s="376"/>
      <c r="L3" s="377"/>
      <c r="M3" s="376"/>
      <c r="N3" s="376"/>
      <c r="O3" s="376"/>
      <c r="Q3" s="372"/>
      <c r="V3" s="372"/>
    </row>
    <row r="4" spans="3:22">
      <c r="C4" s="403" t="s">
        <v>1</v>
      </c>
      <c r="D4" s="434" t="s">
        <v>2</v>
      </c>
      <c r="E4" s="441"/>
      <c r="F4" s="442"/>
      <c r="G4" s="434" t="s">
        <v>3</v>
      </c>
      <c r="H4" s="441"/>
      <c r="I4" s="442"/>
      <c r="J4" s="434" t="s">
        <v>4</v>
      </c>
      <c r="K4" s="441"/>
      <c r="L4" s="442"/>
      <c r="M4" s="443" t="s">
        <v>5</v>
      </c>
      <c r="N4" s="441"/>
      <c r="O4" s="441"/>
      <c r="T4" s="381"/>
    </row>
    <row r="5" spans="3:22" s="323" customFormat="1" ht="13">
      <c r="C5" s="370"/>
      <c r="D5" s="371" t="s">
        <v>6</v>
      </c>
      <c r="E5" s="371" t="s">
        <v>7</v>
      </c>
      <c r="F5" s="371" t="s">
        <v>8</v>
      </c>
      <c r="G5" s="371" t="s">
        <v>6</v>
      </c>
      <c r="H5" s="371" t="s">
        <v>7</v>
      </c>
      <c r="I5" s="371" t="s">
        <v>8</v>
      </c>
      <c r="J5" s="371" t="s">
        <v>6</v>
      </c>
      <c r="K5" s="371" t="s">
        <v>7</v>
      </c>
      <c r="L5" s="371" t="s">
        <v>8</v>
      </c>
      <c r="M5" s="371" t="s">
        <v>6</v>
      </c>
      <c r="N5" s="371" t="s">
        <v>7</v>
      </c>
      <c r="O5" s="371" t="s">
        <v>8</v>
      </c>
      <c r="U5" s="322"/>
    </row>
    <row r="6" spans="3:22" ht="16" customHeight="1">
      <c r="C6" s="382" t="s">
        <v>9</v>
      </c>
      <c r="D6" s="383">
        <f>SUM(D7:D14)</f>
        <v>565671.73556144186</v>
      </c>
      <c r="E6" s="383">
        <f>SUM(E7:E14)</f>
        <v>-53626.511063284714</v>
      </c>
      <c r="F6" s="384">
        <f>(D6/(D6-E6))-1</f>
        <v>-8.6592383162002573E-2</v>
      </c>
      <c r="G6" s="383">
        <f>SUM(G7:G14)</f>
        <v>100550.71252425923</v>
      </c>
      <c r="H6" s="383">
        <f>SUM(H7:H14)</f>
        <v>-16410.107184471311</v>
      </c>
      <c r="I6" s="384">
        <f>(G6/(G6-H6))-1</f>
        <v>-0.14030431066862969</v>
      </c>
      <c r="J6" s="383">
        <f>SUM(J7:J14)</f>
        <v>66115.062186655166</v>
      </c>
      <c r="K6" s="383">
        <f>SUM(K7:K14)</f>
        <v>-12763.621830139842</v>
      </c>
      <c r="L6" s="384">
        <f>(J6/(J6-K6))-1</f>
        <v>-0.1618133211682663</v>
      </c>
      <c r="M6" s="383">
        <f>SUM(M7:M14)</f>
        <v>10077.387601183455</v>
      </c>
      <c r="N6" s="383">
        <f>SUM(N7:N14)</f>
        <v>-26302.143614509707</v>
      </c>
      <c r="O6" s="384">
        <f>(M6/(M6-N6))-1</f>
        <v>-0.72299292309637186</v>
      </c>
      <c r="T6" s="381"/>
    </row>
    <row r="7" spans="3:22" ht="16" customHeight="1">
      <c r="C7" s="382" t="s">
        <v>10</v>
      </c>
      <c r="D7" s="383">
        <f>'C-Döviz'!AJ9/1000</f>
        <v>6530.3114931182881</v>
      </c>
      <c r="E7" s="383">
        <f>('C-Döviz'!AJ9-'C-Döviz'!Z9)/1000</f>
        <v>-307.09638716308029</v>
      </c>
      <c r="F7" s="384">
        <f t="shared" ref="F7:F14" si="0">(D7/(D7-E7))-1</f>
        <v>-4.4914153512579769E-2</v>
      </c>
      <c r="G7" s="383">
        <f>('C-Döviz'!AJ36)/1000</f>
        <v>6530.3114931182881</v>
      </c>
      <c r="H7" s="383">
        <f>('C-Döviz'!AJ36-'C-Döviz'!Z36)/1000</f>
        <v>-307.09638716308029</v>
      </c>
      <c r="I7" s="384">
        <f t="shared" ref="I7:I14" si="1">(G7/(G7-H7))-1</f>
        <v>-4.4914153512579769E-2</v>
      </c>
      <c r="J7" s="383">
        <f>'C-Döviz'!AJ139/1000</f>
        <v>3039.0888327525909</v>
      </c>
      <c r="K7" s="383">
        <f>('C-Döviz'!AJ139-'C-Döviz'!Z139)/1000</f>
        <v>-280.50444149677924</v>
      </c>
      <c r="L7" s="384">
        <f t="shared" ref="L7:L14" si="2">(J7/(J7-K7))-1</f>
        <v>-8.4499641468940845E-2</v>
      </c>
      <c r="M7" s="383">
        <f>'C-Döviz'!AJ215/1000</f>
        <v>2668.6617644119233</v>
      </c>
      <c r="N7" s="383">
        <f>('C-Döviz'!AJ215-'C-Döviz'!Z215)/1000</f>
        <v>534.82384565563541</v>
      </c>
      <c r="O7" s="384">
        <f t="shared" ref="O7:O14" si="3">(M7/(M7-N7))-1</f>
        <v>0.25063939531422275</v>
      </c>
      <c r="U7" s="372"/>
    </row>
    <row r="8" spans="3:22" ht="16" customHeight="1">
      <c r="C8" s="382" t="s">
        <v>11</v>
      </c>
      <c r="D8" s="383">
        <f>'C-Döviz'!AJ10/1000</f>
        <v>5967.9348571496394</v>
      </c>
      <c r="E8" s="383">
        <f>('C-Döviz'!AJ10-'C-Döviz'!Z10)/1000</f>
        <v>-1976.3016759540253</v>
      </c>
      <c r="F8" s="384">
        <f t="shared" si="0"/>
        <v>-0.24877175644491056</v>
      </c>
      <c r="G8" s="383">
        <f>('C-Döviz'!AJ37)/1000</f>
        <v>1401.8844551834502</v>
      </c>
      <c r="H8" s="383">
        <f>('C-Döviz'!AJ37-'C-Döviz'!Z37)/1000</f>
        <v>-991.12983803317604</v>
      </c>
      <c r="I8" s="384">
        <f t="shared" si="1"/>
        <v>-0.4141763134648585</v>
      </c>
      <c r="J8" s="383">
        <f>'C-Döviz'!AJ140/1000</f>
        <v>221.68650387916051</v>
      </c>
      <c r="K8" s="383">
        <f>('C-Döviz'!AJ140-'C-Döviz'!Z140)/1000</f>
        <v>-912.01890578312327</v>
      </c>
      <c r="L8" s="384">
        <f t="shared" si="2"/>
        <v>-0.80445845808815708</v>
      </c>
      <c r="M8" s="383">
        <f>'C-Döviz'!AJ216/1000</f>
        <v>-1015.0344884900765</v>
      </c>
      <c r="N8" s="383">
        <f>('C-Döviz'!AJ216-'C-Döviz'!Z216)/1000</f>
        <v>-1756.8359360733205</v>
      </c>
      <c r="O8" s="384">
        <f t="shared" si="3"/>
        <v>-2.3683371632625061</v>
      </c>
      <c r="T8" s="381"/>
    </row>
    <row r="9" spans="3:22" ht="16" customHeight="1">
      <c r="C9" s="382" t="s">
        <v>12</v>
      </c>
      <c r="D9" s="383">
        <f>'C-Döviz'!AJ11/1000</f>
        <v>9087.7867060811477</v>
      </c>
      <c r="E9" s="383">
        <f>('C-Döviz'!AJ11-'C-Döviz'!Z11)/1000</f>
        <v>-3066.7795079326984</v>
      </c>
      <c r="F9" s="384">
        <f t="shared" si="0"/>
        <v>-0.25231501099535703</v>
      </c>
      <c r="G9" s="383">
        <f>('C-Döviz'!AJ38)/1000</f>
        <v>1427.8487850331021</v>
      </c>
      <c r="H9" s="383">
        <f>('C-Döviz'!AJ38-'C-Döviz'!Z38)/1000</f>
        <v>-893.61152203602535</v>
      </c>
      <c r="I9" s="384">
        <f t="shared" si="1"/>
        <v>-0.38493508560748169</v>
      </c>
      <c r="J9" s="383">
        <f>'C-Döviz'!AJ141/1000</f>
        <v>255.55944284461461</v>
      </c>
      <c r="K9" s="383">
        <f>('C-Döviz'!AJ141-'C-Döviz'!Z141)/1000</f>
        <v>-319.03574671581782</v>
      </c>
      <c r="L9" s="384">
        <f>((J9/(J9-K9))-1)</f>
        <v>-0.55523567289152109</v>
      </c>
      <c r="M9" s="383">
        <f>'C-Döviz'!AJ217/1000</f>
        <v>-98.697156291137745</v>
      </c>
      <c r="N9" s="383">
        <f>('C-Döviz'!AJ217-'C-Döviz'!Z217)/1000</f>
        <v>-159.90087683299166</v>
      </c>
      <c r="O9" s="384">
        <f>-((M9/(M9-N9))-1)</f>
        <v>2.6126005971098456</v>
      </c>
      <c r="U9" s="372"/>
      <c r="V9" s="372"/>
    </row>
    <row r="10" spans="3:22" ht="16" customHeight="1">
      <c r="C10" s="382" t="s">
        <v>13</v>
      </c>
      <c r="D10" s="383">
        <f>'C-Döviz'!AJ12/1000</f>
        <v>126030.10075392762</v>
      </c>
      <c r="E10" s="383">
        <f>('C-Döviz'!AJ12-'C-Döviz'!Z12)/1000</f>
        <v>-55175.930331007752</v>
      </c>
      <c r="F10" s="384">
        <f t="shared" si="0"/>
        <v>-0.30449279199291956</v>
      </c>
      <c r="G10" s="383">
        <f>('C-Döviz'!AJ39)/1000</f>
        <v>17075.642557771673</v>
      </c>
      <c r="H10" s="383">
        <f>('C-Döviz'!AJ39-'C-Döviz'!Z39)/1000</f>
        <v>-17409.142897626767</v>
      </c>
      <c r="I10" s="384">
        <f t="shared" si="1"/>
        <v>-0.50483547070760282</v>
      </c>
      <c r="J10" s="383">
        <f>'C-Döviz'!AJ142/1000</f>
        <v>1489.7817703216965</v>
      </c>
      <c r="K10" s="383">
        <f>('C-Döviz'!AJ142-'C-Döviz'!Z142)/1000</f>
        <v>-15242.449736081428</v>
      </c>
      <c r="L10" s="384">
        <f t="shared" si="2"/>
        <v>-0.91096335418550811</v>
      </c>
      <c r="M10" s="383">
        <f>'C-Döviz'!AJ218/1000</f>
        <v>-26215.78505393106</v>
      </c>
      <c r="N10" s="383">
        <f>('C-Döviz'!AJ218-'C-Döviz'!Z218)/1000</f>
        <v>-21897.369730578986</v>
      </c>
      <c r="O10" s="384">
        <f>-((M10/(M10-N10))-1)</f>
        <v>-5.0706956350788515</v>
      </c>
      <c r="U10" s="372"/>
      <c r="V10" s="372"/>
    </row>
    <row r="11" spans="3:22" ht="16" customHeight="1">
      <c r="C11" s="382" t="s">
        <v>14</v>
      </c>
      <c r="D11" s="383">
        <f>'C-Döviz'!AJ13/1000</f>
        <v>48487.948411165227</v>
      </c>
      <c r="E11" s="383">
        <f>('C-Döviz'!AJ13-'C-Döviz'!Z13)/1000</f>
        <v>-9889.4304756501533</v>
      </c>
      <c r="F11" s="384">
        <f t="shared" si="0"/>
        <v>-0.16940518166847152</v>
      </c>
      <c r="G11" s="383">
        <f>('C-Döviz'!AJ40)/1000</f>
        <v>10273.605463152708</v>
      </c>
      <c r="H11" s="383">
        <f>('C-Döviz'!AJ40-'C-Döviz'!Z40)/1000</f>
        <v>-896.69384606825372</v>
      </c>
      <c r="I11" s="384">
        <f t="shared" si="1"/>
        <v>-8.0274827132702065E-2</v>
      </c>
      <c r="J11" s="383">
        <f>'C-Döviz'!AJ143/1000</f>
        <v>3826.3728768571023</v>
      </c>
      <c r="K11" s="383">
        <f>('C-Döviz'!AJ143-'C-Döviz'!Z143)/1000</f>
        <v>17.779217845304405</v>
      </c>
      <c r="L11" s="384">
        <f t="shared" si="2"/>
        <v>4.6681844893681212E-3</v>
      </c>
      <c r="M11" s="383">
        <f>'C-Döviz'!AJ219/1000</f>
        <v>1259.368515483802</v>
      </c>
      <c r="N11" s="383">
        <f>('C-Döviz'!AJ219-'C-Döviz'!Z219)/1000</f>
        <v>557.49650491595628</v>
      </c>
      <c r="O11" s="384">
        <f t="shared" si="3"/>
        <v>0.79429938296715497</v>
      </c>
      <c r="U11" s="372"/>
      <c r="V11" s="372"/>
    </row>
    <row r="12" spans="3:22" ht="16" customHeight="1">
      <c r="C12" s="382" t="s">
        <v>15</v>
      </c>
      <c r="D12" s="383">
        <f>'C-Döviz'!AJ14/1000</f>
        <v>104950.20795</v>
      </c>
      <c r="E12" s="383">
        <f>('C-Döviz'!AJ14-'C-Döviz'!Z14)/1000</f>
        <v>4362.6067599070075</v>
      </c>
      <c r="F12" s="384">
        <f t="shared" si="0"/>
        <v>4.3371217807077977E-2</v>
      </c>
      <c r="G12" s="383">
        <f>('C-Döviz'!AJ41)/1000</f>
        <v>19353.674019999995</v>
      </c>
      <c r="H12" s="383">
        <f>('C-Döviz'!AJ41-'C-Döviz'!Z41)/1000</f>
        <v>3068.7375726040004</v>
      </c>
      <c r="I12" s="384">
        <f t="shared" si="1"/>
        <v>0.18844025474196435</v>
      </c>
      <c r="J12" s="383">
        <f>'C-Döviz'!AJ144/1000</f>
        <v>17008.491819999999</v>
      </c>
      <c r="K12" s="383">
        <f>('C-Döviz'!AJ144-'C-Döviz'!Z144)/1000</f>
        <v>1717.3841178070008</v>
      </c>
      <c r="L12" s="384">
        <f t="shared" si="2"/>
        <v>0.11231260358990869</v>
      </c>
      <c r="M12" s="383">
        <f>'C-Döviz'!AJ220/1000</f>
        <v>9649.5203900000015</v>
      </c>
      <c r="N12" s="383">
        <f>('C-Döviz'!AJ220-'C-Döviz'!Z220)/1000</f>
        <v>2143.7247967810008</v>
      </c>
      <c r="O12" s="384">
        <f t="shared" si="3"/>
        <v>0.28560926955134747</v>
      </c>
      <c r="U12" s="372"/>
      <c r="V12" s="372"/>
    </row>
    <row r="13" spans="3:22" ht="16" customHeight="1">
      <c r="C13" s="382" t="s">
        <v>16</v>
      </c>
      <c r="D13" s="383">
        <f>'C-Döviz'!AJ15/1000</f>
        <v>73735.728829999993</v>
      </c>
      <c r="E13" s="383">
        <f>('C-Döviz'!AJ15-'C-Döviz'!Z15)/1000</f>
        <v>8549.5680591579967</v>
      </c>
      <c r="F13" s="384">
        <f t="shared" si="0"/>
        <v>0.13115618342999946</v>
      </c>
      <c r="G13" s="383">
        <f>('C-Döviz'!AJ42)/1000</f>
        <v>21124.559789999999</v>
      </c>
      <c r="H13" s="383">
        <f>('C-Döviz'!AJ42-'C-Döviz'!Z42)/1000</f>
        <v>4880.7707241640001</v>
      </c>
      <c r="I13" s="384">
        <f t="shared" si="1"/>
        <v>0.30046996451272912</v>
      </c>
      <c r="J13" s="383">
        <f>'C-Döviz'!AJ145/1000</f>
        <v>19272.51771</v>
      </c>
      <c r="K13" s="383">
        <f>('C-Döviz'!AJ145-'C-Döviz'!Z145)/1000</f>
        <v>4320.887441961002</v>
      </c>
      <c r="L13" s="384">
        <f t="shared" si="2"/>
        <v>0.28899105746330855</v>
      </c>
      <c r="M13" s="383">
        <f>'C-Döviz'!AJ221/1000</f>
        <v>11051.709490000001</v>
      </c>
      <c r="N13" s="383">
        <f>('C-Döviz'!AJ221-'C-Döviz'!Z221)/1000</f>
        <v>134.63149077000097</v>
      </c>
      <c r="O13" s="384">
        <f t="shared" si="3"/>
        <v>1.2332190974498669E-2</v>
      </c>
      <c r="U13" s="372"/>
      <c r="V13" s="372"/>
    </row>
    <row r="14" spans="3:22" ht="16" customHeight="1">
      <c r="C14" s="382" t="s">
        <v>17</v>
      </c>
      <c r="D14" s="383">
        <f>'C-Döviz'!AJ16/1000</f>
        <v>190881.71656</v>
      </c>
      <c r="E14" s="383">
        <f>('C-Döviz'!AJ16-'C-Döviz'!Z16)/1000</f>
        <v>3876.8524953579904</v>
      </c>
      <c r="F14" s="384">
        <f t="shared" si="0"/>
        <v>2.073129228348769E-2</v>
      </c>
      <c r="G14" s="383">
        <f>('C-Döviz'!AJ43)/1000</f>
        <v>23363.18596000001</v>
      </c>
      <c r="H14" s="383">
        <f>('C-Döviz'!AJ43-'C-Döviz'!Z43)/1000</f>
        <v>-3861.9409903120099</v>
      </c>
      <c r="I14" s="384">
        <f t="shared" si="1"/>
        <v>-0.1418520838253704</v>
      </c>
      <c r="J14" s="383">
        <f>'C-Döviz'!AJ146/1000</f>
        <v>21001.56323</v>
      </c>
      <c r="K14" s="383">
        <f>('C-Döviz'!AJ146-'C-Döviz'!Z146)/1000</f>
        <v>-2065.6637776760012</v>
      </c>
      <c r="L14" s="384">
        <f t="shared" si="2"/>
        <v>-8.9549722512750063E-2</v>
      </c>
      <c r="M14" s="383">
        <f>'C-Döviz'!AJ222/1000</f>
        <v>12777.64414</v>
      </c>
      <c r="N14" s="383">
        <f>('C-Döviz'!AJ222-'C-Döviz'!Z222)/1000</f>
        <v>-5858.7137091469986</v>
      </c>
      <c r="O14" s="384">
        <f t="shared" si="3"/>
        <v>-0.31437010152792044</v>
      </c>
      <c r="U14" s="372"/>
      <c r="V14" s="372"/>
    </row>
    <row r="15" spans="3:22" ht="16" customHeight="1">
      <c r="C15" s="382"/>
      <c r="D15" s="385"/>
      <c r="E15" s="385"/>
      <c r="F15" s="386"/>
      <c r="G15" s="385"/>
      <c r="H15" s="385"/>
      <c r="I15" s="386"/>
      <c r="J15" s="385"/>
      <c r="K15" s="385"/>
      <c r="L15" s="386"/>
      <c r="M15" s="385"/>
      <c r="N15" s="385"/>
      <c r="O15" s="386"/>
      <c r="U15" s="372"/>
      <c r="V15" s="372"/>
    </row>
    <row r="16" spans="3:22" ht="16" customHeight="1">
      <c r="C16" s="374"/>
      <c r="D16" s="375"/>
      <c r="E16" s="376"/>
      <c r="F16" s="377"/>
      <c r="G16" s="375"/>
      <c r="H16" s="376"/>
      <c r="I16" s="377"/>
      <c r="J16" s="375"/>
      <c r="K16" s="376"/>
      <c r="L16" s="377"/>
      <c r="M16" s="376"/>
      <c r="N16" s="376"/>
      <c r="O16" s="376"/>
      <c r="U16" s="372"/>
      <c r="V16" s="372"/>
    </row>
    <row r="17" spans="3:22" ht="16" customHeight="1">
      <c r="C17" s="403" t="s">
        <v>1</v>
      </c>
      <c r="D17" s="434" t="s">
        <v>18</v>
      </c>
      <c r="E17" s="441"/>
      <c r="F17" s="442"/>
      <c r="G17" s="434" t="s">
        <v>19</v>
      </c>
      <c r="H17" s="441"/>
      <c r="I17" s="442"/>
      <c r="J17" s="434" t="s">
        <v>20</v>
      </c>
      <c r="K17" s="441"/>
      <c r="L17" s="442"/>
      <c r="M17" s="443" t="s">
        <v>21</v>
      </c>
      <c r="N17" s="441"/>
      <c r="O17" s="441"/>
      <c r="V17" s="388"/>
    </row>
    <row r="18" spans="3:22" s="323" customFormat="1" ht="13">
      <c r="C18" s="370"/>
      <c r="D18" s="371" t="s">
        <v>6</v>
      </c>
      <c r="E18" s="371" t="s">
        <v>7</v>
      </c>
      <c r="F18" s="371" t="s">
        <v>8</v>
      </c>
      <c r="G18" s="371" t="s">
        <v>6</v>
      </c>
      <c r="H18" s="371" t="s">
        <v>7</v>
      </c>
      <c r="I18" s="371" t="s">
        <v>8</v>
      </c>
      <c r="J18" s="371" t="s">
        <v>6</v>
      </c>
      <c r="K18" s="371" t="s">
        <v>7</v>
      </c>
      <c r="L18" s="371" t="s">
        <v>8</v>
      </c>
      <c r="M18" s="371" t="s">
        <v>6</v>
      </c>
      <c r="N18" s="371" t="s">
        <v>7</v>
      </c>
      <c r="O18" s="371" t="s">
        <v>8</v>
      </c>
      <c r="U18" s="322"/>
    </row>
    <row r="19" spans="3:22" ht="16" customHeight="1">
      <c r="C19" s="382" t="s">
        <v>9</v>
      </c>
      <c r="D19" s="383">
        <f>SUM(D20:D27)</f>
        <v>-5919.2195149751615</v>
      </c>
      <c r="E19" s="383">
        <f>SUM(E20:E27)</f>
        <v>-1944.4595336803943</v>
      </c>
      <c r="F19" s="384">
        <f>(D19/(D19-E19))-1</f>
        <v>0.48920174874232059</v>
      </c>
      <c r="G19" s="383">
        <f>SUM(G20:G27)</f>
        <v>47522.538539669949</v>
      </c>
      <c r="H19" s="383">
        <f>SUM(H20:H27)</f>
        <v>-14203.585890197553</v>
      </c>
      <c r="I19" s="384">
        <f>((G19/(G19-H19))-1)</f>
        <v>-0.23010655571508465</v>
      </c>
      <c r="J19" s="383">
        <f>SUM(J20:J27)</f>
        <v>29480.781262483521</v>
      </c>
      <c r="K19" s="383">
        <f>SUM(K20:K27)</f>
        <v>-19942.76752289115</v>
      </c>
      <c r="L19" s="384">
        <f>((J19/(J19-K19))-1)</f>
        <v>-0.4035073970405092</v>
      </c>
      <c r="M19" s="383">
        <f>SUM(M20:M27)</f>
        <v>-4534.369396506183</v>
      </c>
      <c r="N19" s="383">
        <f>SUM(N20:N27)</f>
        <v>-27509.96451635944</v>
      </c>
      <c r="O19" s="384">
        <f>(M19/(M19-N19))-1</f>
        <v>-1.1973559062497592</v>
      </c>
      <c r="V19" s="388"/>
    </row>
    <row r="20" spans="3:22" ht="16" customHeight="1">
      <c r="C20" s="382" t="s">
        <v>10</v>
      </c>
      <c r="D20" s="383">
        <f>'C-Döviz'!AJ202/1000</f>
        <v>-889.55392147063367</v>
      </c>
      <c r="E20" s="383">
        <f>('C-Döviz'!AJ202-'C-Döviz'!Z202)/1000</f>
        <v>-178.27461521851237</v>
      </c>
      <c r="F20" s="384">
        <f>-((D20/(D20-E20))-1)</f>
        <v>-0.25063939531416768</v>
      </c>
      <c r="G20" s="383">
        <f>'C-Döviz'!AJ291/1000</f>
        <v>2331.0994900877899</v>
      </c>
      <c r="H20" s="383">
        <f>('C-Döviz'!AA291-'C-Döviz'!Z291)/1000</f>
        <v>-832.21313600408894</v>
      </c>
      <c r="I20" s="384">
        <f t="shared" ref="I20" si="4">(G20/(G20-H20))-1</f>
        <v>-0.263082797804986</v>
      </c>
      <c r="J20" s="383">
        <f>'C-Döviz'!AJ304/1000</f>
        <v>2323.5544535683548</v>
      </c>
      <c r="K20" s="383">
        <f>('C-Döviz'!AA304-'C-Döviz'!Z304)/1000</f>
        <v>-827.10136025786119</v>
      </c>
      <c r="L20" s="384">
        <f t="shared" ref="L20:L26" si="5">(J20/(J20-K20))-1</f>
        <v>-0.26251720566500525</v>
      </c>
      <c r="M20" s="383">
        <f>'C-Döviz'!AA265/1000</f>
        <v>17091.703990608908</v>
      </c>
      <c r="N20" s="383">
        <f>M20-'C-Döviz'!Z265/1000</f>
        <v>7291.2100019000227</v>
      </c>
      <c r="O20" s="384">
        <f t="shared" ref="O20:O27" si="6">(M20/(M20-N20))-1</f>
        <v>0.74396351962464347</v>
      </c>
      <c r="V20" s="388"/>
    </row>
    <row r="21" spans="3:22" ht="16" customHeight="1">
      <c r="C21" s="382" t="s">
        <v>11</v>
      </c>
      <c r="D21" s="383">
        <f>'C-Döviz'!AJ203/1000</f>
        <v>-34.619310618615707</v>
      </c>
      <c r="E21" s="383">
        <f>('C-Döviz'!AJ203-'C-Döviz'!Z203)/1000</f>
        <v>150.83105127719472</v>
      </c>
      <c r="F21" s="384">
        <f>-((D21/(D21-E21))-1)</f>
        <v>0.81332303552976892</v>
      </c>
      <c r="G21" s="383">
        <f>'C-Döviz'!AJ292/1000</f>
        <v>94.449463773359454</v>
      </c>
      <c r="H21" s="383">
        <f>('C-Döviz'!AA292-'C-Döviz'!Z292)/1000</f>
        <v>-989.04970490387484</v>
      </c>
      <c r="I21" s="384">
        <f>((G21/(G21-H21))-1)</f>
        <v>-0.91282922358983809</v>
      </c>
      <c r="J21" s="383">
        <f>'C-Döviz'!AJ305/1000</f>
        <v>-435.04039692884686</v>
      </c>
      <c r="K21" s="383">
        <f>('C-Döviz'!AA305-'C-Döviz'!Z305)/1000</f>
        <v>-939.9958690362721</v>
      </c>
      <c r="L21" s="384">
        <f>((J21/(J21-K21))-1)</f>
        <v>-1.8615420981838484</v>
      </c>
      <c r="M21" s="383">
        <f>'C-Döviz'!AA266/1000</f>
        <v>-6388.4993206284335</v>
      </c>
      <c r="N21" s="383">
        <f>M21-'C-Döviz'!Z266/1000</f>
        <v>-5562.7719230571583</v>
      </c>
      <c r="O21" s="384">
        <f>-((M21/(M21-N21))-1)</f>
        <v>-6.736814037440233</v>
      </c>
      <c r="V21" s="388"/>
    </row>
    <row r="22" spans="3:22" ht="16" customHeight="1">
      <c r="C22" s="382" t="s">
        <v>12</v>
      </c>
      <c r="D22" s="383">
        <f>'C-Döviz'!AJ204/1000</f>
        <v>-8.2083883787389313E-3</v>
      </c>
      <c r="E22" s="383">
        <f>('C-Döviz'!AJ204-'C-Döviz'!Z204)/1000</f>
        <v>70.301710907385072</v>
      </c>
      <c r="F22" s="384">
        <f>-((D22/(D22-E22))-1)</f>
        <v>0.99988325419142909</v>
      </c>
      <c r="G22" s="383">
        <f>'C-Döviz'!AJ293/1000</f>
        <v>123.07483963359273</v>
      </c>
      <c r="H22" s="383">
        <f>('C-Döviz'!AA293-'C-Döviz'!Z293)/1000</f>
        <v>342.95737622897457</v>
      </c>
      <c r="I22" s="384">
        <f>-((G22/(G22-H22))-1)</f>
        <v>1.5597299428106455</v>
      </c>
      <c r="J22" s="383">
        <f>'C-Döviz'!AJ306/1000</f>
        <v>123.07483963359273</v>
      </c>
      <c r="K22" s="383">
        <f>('C-Döviz'!AA306-'C-Döviz'!Z306)/1000</f>
        <v>342.95737622897457</v>
      </c>
      <c r="L22" s="384">
        <f>-((J22/(J22-K22))-1)</f>
        <v>1.5597299428106455</v>
      </c>
      <c r="M22" s="383">
        <f>'C-Döviz'!AA267/1000</f>
        <v>-178.30216720557311</v>
      </c>
      <c r="N22" s="383">
        <f>M22-'C-Döviz'!Z267/1000</f>
        <v>97.413499727282982</v>
      </c>
      <c r="O22" s="384">
        <f>-((M22/(M22-N22))-1)</f>
        <v>0.35331144149674198</v>
      </c>
      <c r="V22" s="388"/>
    </row>
    <row r="23" spans="3:22" ht="16" customHeight="1">
      <c r="C23" s="382" t="s">
        <v>13</v>
      </c>
      <c r="D23" s="383">
        <f>'C-Döviz'!AJ205/1000</f>
        <v>0</v>
      </c>
      <c r="E23" s="383">
        <f>('C-Döviz'!AJ205-'C-Döviz'!Z205)/1000</f>
        <v>0</v>
      </c>
      <c r="F23" s="384">
        <v>0</v>
      </c>
      <c r="G23" s="383">
        <f>'C-Döviz'!AJ294/1000</f>
        <v>2616.4003557719543</v>
      </c>
      <c r="H23" s="383">
        <f>('C-Döviz'!AA294-'C-Döviz'!Z294)/1000</f>
        <v>-6284.2838539746972</v>
      </c>
      <c r="I23" s="384">
        <f>((G23/(G23-H23))-1)</f>
        <v>-0.70604503045879574</v>
      </c>
      <c r="J23" s="383">
        <f>'C-Döviz'!AJ307/1000</f>
        <v>1189.1051808428035</v>
      </c>
      <c r="K23" s="383">
        <f>('C-Döviz'!AA307-'C-Döviz'!Z307)/1000</f>
        <v>-3766.2793654385555</v>
      </c>
      <c r="L23" s="384">
        <f>((J23/(J23-K23))-1)</f>
        <v>-0.76003775897974712</v>
      </c>
      <c r="M23" s="383">
        <f>'C-Döviz'!AA268/1000</f>
        <v>-51044.529191672147</v>
      </c>
      <c r="N23" s="383">
        <f>M23-'C-Döviz'!Z268/1000</f>
        <v>-9860.7636385615333</v>
      </c>
      <c r="O23" s="384">
        <f>-(M23/(M23-N23))-1</f>
        <v>-2.2394332695451338</v>
      </c>
      <c r="V23" s="388"/>
    </row>
    <row r="24" spans="3:22" ht="16" customHeight="1">
      <c r="C24" s="382" t="s">
        <v>14</v>
      </c>
      <c r="D24" s="383">
        <f>'C-Döviz'!AJ206/1000</f>
        <v>-208.3871744975329</v>
      </c>
      <c r="E24" s="383">
        <f>('C-Döviz'!AJ206-'C-Döviz'!Z206)/1000</f>
        <v>141.40323199853825</v>
      </c>
      <c r="F24" s="384">
        <f t="shared" ref="F24:F26" si="7">-((D24/(D24-E24))-1)</f>
        <v>0.40425131556638749</v>
      </c>
      <c r="G24" s="383">
        <f>'C-Döviz'!AJ295/1000</f>
        <v>5080.0747104032407</v>
      </c>
      <c r="H24" s="383">
        <f>('C-Döviz'!AA295-'C-Döviz'!Z295)/1000</f>
        <v>1055.3634045519261</v>
      </c>
      <c r="I24" s="384">
        <f>((G24/(G24-H24))-1)</f>
        <v>0.262220895947888</v>
      </c>
      <c r="J24" s="383">
        <f>'C-Döviz'!AJ308/1000</f>
        <v>3913.7511669885994</v>
      </c>
      <c r="K24" s="383">
        <f>('C-Döviz'!AA308-'C-Döviz'!Z308)/1000</f>
        <v>580.96511242055612</v>
      </c>
      <c r="L24" s="384">
        <f t="shared" si="5"/>
        <v>0.17431815391337935</v>
      </c>
      <c r="M24" s="383">
        <f>'C-Döviz'!AA269/1000</f>
        <v>1603.0792023910594</v>
      </c>
      <c r="N24" s="383">
        <f>M24-'C-Döviz'!Z269/1000</f>
        <v>-18.032012033055025</v>
      </c>
      <c r="O24" s="384">
        <f t="shared" si="6"/>
        <v>-1.1123241806368478E-2</v>
      </c>
      <c r="V24" s="388"/>
    </row>
    <row r="25" spans="3:22" ht="16" customHeight="1">
      <c r="C25" s="382" t="s">
        <v>15</v>
      </c>
      <c r="D25" s="383">
        <f>'C-Döviz'!AJ207/1000</f>
        <v>-3042.0138500000003</v>
      </c>
      <c r="E25" s="383">
        <f>('C-Döviz'!AJ207-'C-Döviz'!Z207)/1000</f>
        <v>-940.15930878899997</v>
      </c>
      <c r="F25" s="384">
        <f t="shared" si="7"/>
        <v>-0.44729989176478391</v>
      </c>
      <c r="G25" s="383">
        <f>'C-Döviz'!AJ296/1000</f>
        <v>8127.2591799999964</v>
      </c>
      <c r="H25" s="383">
        <f>('C-Döviz'!AA296-'C-Döviz'!Z296)/1000</f>
        <v>557.90042879199609</v>
      </c>
      <c r="I25" s="384">
        <f>((G25/(G25-H25))-1)</f>
        <v>7.3705111242476251E-2</v>
      </c>
      <c r="J25" s="383">
        <f>'C-Döviz'!AJ309/1000</f>
        <v>5514.5207503719967</v>
      </c>
      <c r="K25" s="383">
        <f>('C-Döviz'!AA309-'C-Döviz'!Z309)/1000</f>
        <v>71.783697708002293</v>
      </c>
      <c r="L25" s="384">
        <f>((J25/(J25-K25))-1)</f>
        <v>1.3188896875491629E-2</v>
      </c>
      <c r="M25" s="383">
        <f>'C-Döviz'!AA270/1000</f>
        <v>8134.848</v>
      </c>
      <c r="N25" s="383">
        <f>M25-'C-Döviz'!Z270/1000</f>
        <v>-5129.6926729840015</v>
      </c>
      <c r="O25" s="384">
        <f t="shared" si="6"/>
        <v>-0.38672222427058389</v>
      </c>
      <c r="V25" s="388"/>
    </row>
    <row r="26" spans="3:22" ht="16" customHeight="1">
      <c r="C26" s="382" t="s">
        <v>16</v>
      </c>
      <c r="D26" s="383">
        <f>'C-Döviz'!AJ208/1000</f>
        <v>-682.53346999999985</v>
      </c>
      <c r="E26" s="383">
        <f>('C-Döviz'!AJ208-'C-Döviz'!Z208)/1000</f>
        <v>744.45731518400009</v>
      </c>
      <c r="F26" s="384">
        <f t="shared" si="7"/>
        <v>0.52169735285852448</v>
      </c>
      <c r="G26" s="383">
        <f>'C-Döviz'!AJ297/1000</f>
        <v>15566.602010000004</v>
      </c>
      <c r="H26" s="383">
        <f>('C-Döviz'!AA297-'C-Döviz'!Z297)/1000</f>
        <v>-5315.8854901619907</v>
      </c>
      <c r="I26" s="384">
        <f>((G26/(G26-H26))-1)</f>
        <v>-0.25456189020205344</v>
      </c>
      <c r="J26" s="383">
        <f>'C-Döviz'!AJ310/1000</f>
        <v>5389.8133387640046</v>
      </c>
      <c r="K26" s="383">
        <f>('C-Döviz'!AA310-'C-Döviz'!Z310)/1000</f>
        <v>-12664.674161397994</v>
      </c>
      <c r="L26" s="384">
        <f t="shared" si="5"/>
        <v>-0.70146960201913</v>
      </c>
      <c r="M26" s="383">
        <f>'C-Döviz'!AA271/1000</f>
        <v>14279.442130000001</v>
      </c>
      <c r="N26" s="383">
        <f>M26-'C-Döviz'!Z271/1000</f>
        <v>-12626.154334221001</v>
      </c>
      <c r="O26" s="384">
        <f t="shared" si="6"/>
        <v>-0.46927613558061165</v>
      </c>
      <c r="V26" s="388"/>
    </row>
    <row r="27" spans="3:22" ht="16" customHeight="1">
      <c r="C27" s="382" t="s">
        <v>17</v>
      </c>
      <c r="D27" s="383">
        <f>'C-Döviz'!AJ209/1000</f>
        <v>-1062.10358</v>
      </c>
      <c r="E27" s="383">
        <f>('C-Döviz'!AJ209-'C-Döviz'!Z209)/1000</f>
        <v>-1933.0189190400001</v>
      </c>
      <c r="F27" s="384">
        <f>((D27/(D27-E27))-1)</f>
        <v>-2.2195256328482449</v>
      </c>
      <c r="G27" s="383">
        <f>'C-Döviz'!AJ298/1000</f>
        <v>13583.578490000016</v>
      </c>
      <c r="H27" s="383">
        <f>('C-Döviz'!AA298-'C-Döviz'!Z298)/1000</f>
        <v>-2738.374914725799</v>
      </c>
      <c r="I27" s="384">
        <f>((G27/(G27-H27))-1)</f>
        <v>-0.16777249921157944</v>
      </c>
      <c r="J27" s="383">
        <f>'C-Döviz'!AJ311/1000</f>
        <v>11462.001929243015</v>
      </c>
      <c r="K27" s="383">
        <f>('C-Döviz'!AA311-'C-Döviz'!Z311)/1000</f>
        <v>-2740.4229531179985</v>
      </c>
      <c r="L27" s="384">
        <f>((J27/(J27-K27))-1)</f>
        <v>-0.19295458175748015</v>
      </c>
      <c r="M27" s="383">
        <f>'C-Döviz'!AA272/1000</f>
        <v>11967.88796</v>
      </c>
      <c r="N27" s="383">
        <f>M27-'C-Döviz'!Z272/1000</f>
        <v>-1701.173437129999</v>
      </c>
      <c r="O27" s="384">
        <f t="shared" si="6"/>
        <v>-0.12445429775355188</v>
      </c>
    </row>
    <row r="28" spans="3:22" ht="16" customHeight="1">
      <c r="C28" s="382"/>
      <c r="D28" s="382"/>
      <c r="E28" s="382"/>
      <c r="F28" s="382"/>
      <c r="G28" s="382"/>
      <c r="H28" s="382"/>
      <c r="I28" s="382"/>
      <c r="J28" s="385"/>
      <c r="K28" s="385"/>
      <c r="L28" s="385"/>
      <c r="M28" s="386"/>
      <c r="N28" s="385"/>
      <c r="O28" s="385"/>
      <c r="P28" s="386"/>
    </row>
    <row r="29" spans="3:22" ht="16" customHeight="1">
      <c r="C29" s="374"/>
      <c r="D29" s="375"/>
      <c r="E29" s="389"/>
      <c r="F29" s="375"/>
      <c r="G29" s="389"/>
      <c r="H29" s="375"/>
      <c r="I29" s="389"/>
      <c r="J29" s="375"/>
      <c r="K29" s="389"/>
      <c r="L29" s="375"/>
      <c r="M29" s="389"/>
      <c r="N29" s="376"/>
      <c r="O29" s="376"/>
    </row>
    <row r="30" spans="3:22" ht="16" customHeight="1">
      <c r="C30" s="387"/>
      <c r="D30" s="434" t="s">
        <v>22</v>
      </c>
      <c r="E30" s="435"/>
      <c r="F30" s="434" t="s">
        <v>23</v>
      </c>
      <c r="G30" s="435"/>
      <c r="H30" s="434" t="s">
        <v>24</v>
      </c>
      <c r="I30" s="435"/>
      <c r="J30" s="434" t="s">
        <v>25</v>
      </c>
      <c r="K30" s="435"/>
      <c r="L30" s="434" t="s">
        <v>26</v>
      </c>
      <c r="M30" s="435"/>
      <c r="N30" s="443" t="s">
        <v>27</v>
      </c>
      <c r="O30" s="444"/>
      <c r="P30" s="390"/>
    </row>
    <row r="31" spans="3:22" s="323" customFormat="1" ht="13">
      <c r="C31" s="370"/>
      <c r="D31" s="371" t="s">
        <v>6</v>
      </c>
      <c r="E31" s="371" t="s">
        <v>7</v>
      </c>
      <c r="F31" s="371" t="s">
        <v>6</v>
      </c>
      <c r="G31" s="371" t="s">
        <v>7</v>
      </c>
      <c r="H31" s="371" t="s">
        <v>6</v>
      </c>
      <c r="I31" s="371" t="s">
        <v>7</v>
      </c>
      <c r="J31" s="371" t="s">
        <v>6</v>
      </c>
      <c r="K31" s="371" t="s">
        <v>7</v>
      </c>
      <c r="L31" s="371" t="s">
        <v>6</v>
      </c>
      <c r="M31" s="371" t="s">
        <v>7</v>
      </c>
      <c r="N31" s="371" t="s">
        <v>6</v>
      </c>
      <c r="O31" s="371" t="s">
        <v>7</v>
      </c>
      <c r="U31" s="322"/>
    </row>
    <row r="32" spans="3:22" ht="16" customHeight="1">
      <c r="C32" s="382"/>
      <c r="D32" s="383"/>
      <c r="E32" s="384"/>
      <c r="F32" s="383"/>
      <c r="G32" s="383"/>
      <c r="H32" s="383"/>
      <c r="I32" s="383"/>
      <c r="J32" s="383"/>
      <c r="K32" s="383"/>
      <c r="L32" s="383"/>
      <c r="M32" s="383"/>
      <c r="N32" s="383"/>
      <c r="O32" s="383"/>
      <c r="P32" s="386"/>
    </row>
    <row r="33" spans="3:16" ht="16" customHeight="1">
      <c r="C33" s="382" t="s">
        <v>10</v>
      </c>
      <c r="D33" s="384">
        <f>'C-Döviz'!AJ102</f>
        <v>0.54096705759490116</v>
      </c>
      <c r="E33" s="384">
        <f>-('C-Döviz'!AA102-'C-Döviz'!Z102)</f>
        <v>-2.0469783905683769E-2</v>
      </c>
      <c r="F33" s="384">
        <f>'C-Döviz'!AJ79</f>
        <v>1</v>
      </c>
      <c r="G33" s="384">
        <f>'C-Döviz'!AA79-'C-Döviz'!Z79</f>
        <v>0</v>
      </c>
      <c r="H33" s="384">
        <f>'C-Döviz'!AJ150</f>
        <v>0.46538190956973724</v>
      </c>
      <c r="I33" s="384">
        <f>'C-Döviz'!AA150-'C-Döviz'!Z150</f>
        <v>-2.0122733764889267E-2</v>
      </c>
      <c r="J33" s="384">
        <f>'C-Döviz'!AJ226</f>
        <v>0.40865765242962571</v>
      </c>
      <c r="K33" s="384">
        <f>'C-Döviz'!AA226-'C-Döviz'!Z226</f>
        <v>9.6574775977259109E-2</v>
      </c>
      <c r="L33" s="384">
        <f>'C-Döviz'!AJ291/'C-Döviz'!AJ9</f>
        <v>0.35696604864014947</v>
      </c>
      <c r="M33" s="384">
        <f>L33-('C-Döviz'!Z291/'C-Döviz'!Z9)</f>
        <v>-0.10568188482812629</v>
      </c>
      <c r="N33" s="384">
        <f>'C-Döviz'!AJ304/'C-Döviz'!AJ9</f>
        <v>0.35581066171452025</v>
      </c>
      <c r="O33" s="384">
        <f>N33-('C-Döviz'!Z304/'C-Döviz'!Z9)</f>
        <v>-0.10498615909713538</v>
      </c>
      <c r="P33" s="386"/>
    </row>
    <row r="34" spans="3:16" ht="16" customHeight="1">
      <c r="C34" s="382" t="s">
        <v>11</v>
      </c>
      <c r="D34" s="384">
        <f>'C-Döviz'!AJ103</f>
        <v>0.21691080756249415</v>
      </c>
      <c r="E34" s="384">
        <f>-('C-Döviz'!AA103-'C-Döviz'!Z103)</f>
        <v>-3.8605260028918509E-2</v>
      </c>
      <c r="F34" s="384">
        <f>'C-Döviz'!AJ80</f>
        <v>0.23490277436657675</v>
      </c>
      <c r="G34" s="384">
        <f>'C-Döviz'!AA80-'C-Döviz'!Z80</f>
        <v>-6.6323691291252818E-2</v>
      </c>
      <c r="H34" s="384">
        <f>'C-Döviz'!AJ151</f>
        <v>3.7146267374815273E-2</v>
      </c>
      <c r="I34" s="384">
        <f>'C-Döviz'!AA151-'C-Döviz'!Z151</f>
        <v>-0.1055616448251965</v>
      </c>
      <c r="J34" s="384">
        <f>'C-Döviz'!AJ227</f>
        <v>-0.17008136194282619</v>
      </c>
      <c r="K34" s="384">
        <f>'C-Döviz'!AA227-'C-Döviz'!Z227</f>
        <v>-0.26345741444228976</v>
      </c>
      <c r="L34" s="384">
        <f>'C-Döviz'!AJ292/'C-Döviz'!AJ10</f>
        <v>1.5826155283884868E-2</v>
      </c>
      <c r="M34" s="384">
        <f>L34-('C-Döviz'!Z292/'C-Döviz'!Z10)</f>
        <v>-0.12056192482454206</v>
      </c>
      <c r="N34" s="384">
        <f>'C-Döviz'!AJ305/'C-Döviz'!AJ10</f>
        <v>-7.2896304557960201E-2</v>
      </c>
      <c r="O34" s="384">
        <f>N34-('C-Döviz'!Z305/'C-Döviz'!Z10)</f>
        <v>-0.13645879668709984</v>
      </c>
      <c r="P34" s="386"/>
    </row>
    <row r="35" spans="3:16" ht="16" customHeight="1">
      <c r="C35" s="382" t="s">
        <v>12</v>
      </c>
      <c r="D35" s="384">
        <f>'C-Döviz'!AJ104</f>
        <v>0.12959811606680274</v>
      </c>
      <c r="E35" s="384">
        <f>-('C-Döviz'!AA104-'C-Döviz'!Z104)</f>
        <v>1.5013857539694475E-2</v>
      </c>
      <c r="F35" s="384">
        <f>'C-Döviz'!AJ81</f>
        <v>0.1571173302381369</v>
      </c>
      <c r="G35" s="384">
        <f>'C-Döviz'!AA81-'C-Döviz'!Z81</f>
        <v>-3.3877581977862559E-2</v>
      </c>
      <c r="H35" s="384">
        <f>'C-Döviz'!AJ152</f>
        <v>2.8121197284879655E-2</v>
      </c>
      <c r="I35" s="384">
        <f>'C-Döviz'!AA152-'C-Döviz'!Z152</f>
        <v>-1.9152821338503351E-2</v>
      </c>
      <c r="J35" s="384">
        <f>'C-Döviz'!AJ228</f>
        <v>-1.0860417336279904E-2</v>
      </c>
      <c r="K35" s="384">
        <f>'C-Döviz'!AA228-'C-Döviz'!Z228</f>
        <v>-1.589586816720202E-2</v>
      </c>
      <c r="L35" s="384">
        <f>'C-Döviz'!AJ293/'C-Döviz'!AJ11</f>
        <v>1.3542883830144962E-2</v>
      </c>
      <c r="M35" s="384">
        <f>L35-('C-Döviz'!Z293/'C-Döviz'!Z11)</f>
        <v>3.1633413160748622E-2</v>
      </c>
      <c r="N35" s="384">
        <f>'C-Döviz'!AJ306/'C-Döviz'!AJ11</f>
        <v>1.3542883830144962E-2</v>
      </c>
      <c r="O35" s="384">
        <f>N35-('C-Döviz'!Z306/'C-Döviz'!Z11)</f>
        <v>3.1633413160748622E-2</v>
      </c>
      <c r="P35" s="386"/>
    </row>
    <row r="36" spans="3:16" ht="16" customHeight="1">
      <c r="C36" s="382" t="s">
        <v>13</v>
      </c>
      <c r="D36" s="384">
        <f>'C-Döviz'!AJ105</f>
        <v>0.13792310981553255</v>
      </c>
      <c r="E36" s="384">
        <f>-('C-Döviz'!AA105-'C-Döviz'!Z105)</f>
        <v>-2.8646533038928917E-2</v>
      </c>
      <c r="F36" s="384">
        <f>'C-Döviz'!AJ82</f>
        <v>0.13548860514768354</v>
      </c>
      <c r="G36" s="384">
        <f>'C-Döviz'!AA82-'C-Döviz'!Z82</f>
        <v>-5.4818446162516188E-2</v>
      </c>
      <c r="H36" s="384">
        <f>'C-Döviz'!AJ153</f>
        <v>1.1820840905542708E-2</v>
      </c>
      <c r="I36" s="384">
        <f>'C-Döviz'!AA153-'C-Döviz'!Z153</f>
        <v>-8.0517319177883809E-2</v>
      </c>
      <c r="J36" s="384">
        <f>'C-Döviz'!AJ229</f>
        <v>-0.20801209311985788</v>
      </c>
      <c r="K36" s="384">
        <f>'C-Döviz'!AA229-'C-Döviz'!Z229</f>
        <v>-0.18418057218484035</v>
      </c>
      <c r="L36" s="384">
        <f>'C-Döviz'!AJ294/'C-Döviz'!AJ12</f>
        <v>2.0760122701801588E-2</v>
      </c>
      <c r="M36" s="384">
        <f>L36-('C-Döviz'!Z294/'C-Döviz'!Z12)</f>
        <v>-2.835901619471063E-2</v>
      </c>
      <c r="N36" s="384">
        <f>'C-Döviz'!AJ307/'C-Döviz'!AJ12</f>
        <v>9.4350887107875793E-3</v>
      </c>
      <c r="O36" s="384">
        <f>N36-('C-Döviz'!Z307/'C-Döviz'!Z12)</f>
        <v>-1.7911597912234688E-2</v>
      </c>
      <c r="P36" s="386"/>
    </row>
    <row r="37" spans="3:16" ht="16" customHeight="1">
      <c r="C37" s="382" t="s">
        <v>14</v>
      </c>
      <c r="D37" s="384">
        <f>'C-Döviz'!AJ106</f>
        <v>0.16812818354063985</v>
      </c>
      <c r="E37" s="384">
        <f>-('C-Döviz'!AA106-'C-Döviz'!Z106)</f>
        <v>-1.8282497275328602E-2</v>
      </c>
      <c r="F37" s="384">
        <f>'C-Döviz'!AJ83</f>
        <v>0.2118795659497737</v>
      </c>
      <c r="G37" s="384">
        <f>'C-Döviz'!AA83-'C-Döviz'!Z83</f>
        <v>2.0533199904829685E-2</v>
      </c>
      <c r="H37" s="384">
        <f>'C-Döviz'!AJ154</f>
        <v>7.891389514793351E-2</v>
      </c>
      <c r="I37" s="384">
        <f>'C-Döviz'!AA154-'C-Döviz'!Z154</f>
        <v>1.3672979374786759E-2</v>
      </c>
      <c r="J37" s="384">
        <f>'C-Döviz'!AJ230</f>
        <v>2.597281503446348E-2</v>
      </c>
      <c r="K37" s="384">
        <f>'C-Döviz'!AA230-'C-Döviz'!Z230</f>
        <v>1.3949801600978126E-2</v>
      </c>
      <c r="L37" s="384">
        <f>'C-Döviz'!AJ295/'C-Döviz'!AJ13</f>
        <v>0.10476984233949277</v>
      </c>
      <c r="M37" s="384">
        <f>L37-('C-Döviz'!Z295/'C-Döviz'!Z13)</f>
        <v>3.5826847936564876E-2</v>
      </c>
      <c r="N37" s="384">
        <f>'C-Döviz'!AJ308/'C-Döviz'!AJ13</f>
        <v>8.0715957165294033E-2</v>
      </c>
      <c r="O37" s="384">
        <f>N37-('C-Döviz'!Z308/'C-Döviz'!Z13)</f>
        <v>2.3625588976105637E-2</v>
      </c>
      <c r="P37" s="386"/>
    </row>
    <row r="38" spans="3:16" ht="16" customHeight="1">
      <c r="C38" s="382" t="s">
        <v>15</v>
      </c>
      <c r="D38" s="384">
        <f>'C-Döviz'!AJ107</f>
        <v>5.9822409622962543E-2</v>
      </c>
      <c r="E38" s="384">
        <f>-('C-Döviz'!AA107-'C-Döviz'!Z107)</f>
        <v>4.7564489260648948E-3</v>
      </c>
      <c r="F38" s="384">
        <f>'C-Döviz'!AJ84</f>
        <v>0.18440815314268269</v>
      </c>
      <c r="G38" s="384">
        <f>'C-Döviz'!AA84-'C-Döviz'!Z84</f>
        <v>2.2510103534955084E-2</v>
      </c>
      <c r="H38" s="384">
        <f>'C-Döviz'!AJ155</f>
        <v>0.1620624880334027</v>
      </c>
      <c r="I38" s="384">
        <f>'C-Döviz'!AA155-'C-Döviz'!Z155</f>
        <v>1.0044669522197958E-2</v>
      </c>
      <c r="J38" s="384">
        <f>'C-Döviz'!AJ231</f>
        <v>9.1943794857435535E-2</v>
      </c>
      <c r="K38" s="384">
        <f>'C-Döviz'!AA231-'C-Döviz'!Z231</f>
        <v>1.7324303941906524E-2</v>
      </c>
      <c r="L38" s="384">
        <f>'C-Döviz'!AJ296/'C-Döviz'!AJ14</f>
        <v>7.7439190819630924E-2</v>
      </c>
      <c r="M38" s="384">
        <f>L38-('C-Döviz'!Z296/'C-Döviz'!Z14)</f>
        <v>2.1877814843666854E-3</v>
      </c>
      <c r="N38" s="384">
        <f>'C-Döviz'!AJ309/'C-Döviz'!AJ14</f>
        <v>5.2544162208799094E-2</v>
      </c>
      <c r="O38" s="384">
        <f>N38-('C-Döviz'!Z309/'C-Döviz'!Z14)</f>
        <v>-1.565260704847804E-3</v>
      </c>
      <c r="P38" s="386"/>
    </row>
    <row r="39" spans="3:16" ht="16" customHeight="1">
      <c r="C39" s="382" t="s">
        <v>16</v>
      </c>
      <c r="D39" s="384">
        <f>'C-Döviz'!AJ108</f>
        <v>5.5100064439140638E-2</v>
      </c>
      <c r="E39" s="384">
        <f>-('C-Döviz'!AA108-'C-Döviz'!Z108)</f>
        <v>7.8124023948045185E-4</v>
      </c>
      <c r="F39" s="384">
        <f>'C-Döviz'!AJ85</f>
        <v>0.28649014697750291</v>
      </c>
      <c r="G39" s="384">
        <f>'C-Döviz'!AA85-'C-Döviz'!Z85</f>
        <v>3.7299385107969651E-2</v>
      </c>
      <c r="H39" s="384">
        <f>'C-Döviz'!AJ156</f>
        <v>0.26137285161218637</v>
      </c>
      <c r="I39" s="384">
        <f>'C-Döviz'!AA156-'C-Döviz'!Z156</f>
        <v>3.2004683718382193E-2</v>
      </c>
      <c r="J39" s="384">
        <f>'C-Döviz'!AJ232</f>
        <v>0.14988269140839522</v>
      </c>
      <c r="K39" s="384">
        <f>'C-Döviz'!AA232-'C-Döviz'!Z232</f>
        <v>-1.7592703217288064E-2</v>
      </c>
      <c r="L39" s="384">
        <f>'C-Döviz'!AJ297/'C-Döviz'!AJ15</f>
        <v>0.21111342163429733</v>
      </c>
      <c r="M39" s="384">
        <f>L39-('C-Döviz'!Z297/'C-Döviz'!Z15)</f>
        <v>-0.10923812619765913</v>
      </c>
      <c r="N39" s="384">
        <f>'C-Döviz'!AJ310/'C-Döviz'!AJ15</f>
        <v>7.3096359448624776E-2</v>
      </c>
      <c r="O39" s="384">
        <f>N39-('C-Döviz'!Z310/'C-Döviz'!Z15)</f>
        <v>-0.20387174676691774</v>
      </c>
      <c r="P39" s="386"/>
    </row>
    <row r="40" spans="3:16" ht="16" customHeight="1">
      <c r="C40" s="382" t="s">
        <v>17</v>
      </c>
      <c r="D40" s="384">
        <f>'C-Döviz'!AJ109</f>
        <v>4.6416570165404007E-2</v>
      </c>
      <c r="E40" s="384">
        <f>-('C-Döviz'!AA109-'C-Döviz'!Z109)</f>
        <v>1.9927701770842132E-3</v>
      </c>
      <c r="F40" s="384">
        <f>'C-Döviz'!AJ86</f>
        <v>0.12239614343920802</v>
      </c>
      <c r="G40" s="384">
        <f>'C-Döviz'!AA86-'C-Döviz'!Z86</f>
        <v>-2.3188983912886429E-2</v>
      </c>
      <c r="H40" s="384">
        <f>'C-Döviz'!AJ157</f>
        <v>0.11002396462313122</v>
      </c>
      <c r="I40" s="384">
        <f>'C-Döviz'!AA157-'C-Döviz'!Z157</f>
        <v>-1.3326982011617E-2</v>
      </c>
      <c r="J40" s="384">
        <f>'C-Döviz'!AJ233</f>
        <v>6.6940115429984584E-2</v>
      </c>
      <c r="K40" s="384">
        <f>'C-Döviz'!AA233-'C-Döviz'!Z233</f>
        <v>-3.2716960028250378E-2</v>
      </c>
      <c r="L40" s="384">
        <f>'C-Döviz'!AJ298/'C-Döviz'!AJ16</f>
        <v>7.1162281725029849E-2</v>
      </c>
      <c r="M40" s="384">
        <f>L40-('C-Döviz'!Z298/'C-Döviz'!Z16)</f>
        <v>-1.6118621295138663E-2</v>
      </c>
      <c r="N40" s="384">
        <f>'C-Döviz'!AJ311/'C-Döviz'!AJ16</f>
        <v>6.0047667926541065E-2</v>
      </c>
      <c r="O40" s="384">
        <f>N40-('C-Döviz'!Z311/'C-Döviz'!Z16)</f>
        <v>-1.5899152779960221E-2</v>
      </c>
      <c r="P40" s="386"/>
    </row>
    <row r="41" spans="3:16" ht="36" customHeight="1">
      <c r="C41" s="391"/>
      <c r="D41" s="445"/>
      <c r="E41" s="446"/>
      <c r="F41" s="446"/>
      <c r="G41" s="445"/>
      <c r="H41" s="446"/>
      <c r="I41" s="446"/>
      <c r="J41" s="392"/>
      <c r="K41" s="445"/>
      <c r="L41" s="446"/>
      <c r="M41" s="446"/>
      <c r="N41" s="392"/>
      <c r="O41" s="445"/>
      <c r="P41" s="446"/>
    </row>
    <row r="42" spans="3:16" ht="13.5" customHeight="1">
      <c r="C42" s="393"/>
      <c r="D42" s="391"/>
      <c r="E42" s="391"/>
      <c r="F42" s="391"/>
      <c r="G42" s="391"/>
      <c r="H42" s="391"/>
      <c r="I42" s="391"/>
      <c r="J42" s="393"/>
      <c r="K42" s="391"/>
      <c r="L42" s="391"/>
      <c r="M42" s="391"/>
      <c r="N42" s="393"/>
      <c r="O42" s="391"/>
      <c r="P42" s="391"/>
    </row>
    <row r="43" spans="3:16" ht="13.5" customHeight="1">
      <c r="C43" s="394"/>
      <c r="D43" s="394"/>
      <c r="E43" s="394"/>
      <c r="F43" s="395"/>
      <c r="G43" s="394"/>
      <c r="H43" s="394"/>
      <c r="I43" s="395"/>
      <c r="J43" s="394"/>
      <c r="K43" s="394"/>
      <c r="L43" s="394"/>
      <c r="M43" s="395"/>
      <c r="N43" s="394"/>
      <c r="O43" s="394"/>
      <c r="P43" s="395"/>
    </row>
    <row r="44" spans="3:16" ht="13.5" customHeight="1">
      <c r="C44" s="394"/>
      <c r="D44" s="394"/>
      <c r="E44" s="394"/>
      <c r="F44" s="395"/>
      <c r="G44" s="394"/>
      <c r="H44" s="394"/>
      <c r="I44" s="395"/>
      <c r="J44" s="394"/>
      <c r="K44" s="394"/>
      <c r="L44" s="394"/>
      <c r="M44" s="395"/>
      <c r="N44" s="394"/>
      <c r="O44" s="394"/>
      <c r="P44" s="395"/>
    </row>
    <row r="45" spans="3:16" ht="13.5" customHeight="1">
      <c r="C45" s="394"/>
      <c r="D45" s="394"/>
      <c r="E45" s="394"/>
      <c r="F45" s="395"/>
      <c r="G45" s="394"/>
      <c r="H45" s="394"/>
      <c r="I45" s="395"/>
      <c r="J45" s="394"/>
      <c r="K45" s="394"/>
      <c r="L45" s="394"/>
      <c r="M45" s="395"/>
      <c r="N45" s="394"/>
      <c r="O45" s="394"/>
      <c r="P45" s="395"/>
    </row>
    <row r="46" spans="3:16" ht="13.5" customHeight="1">
      <c r="C46" s="394"/>
      <c r="D46" s="394"/>
      <c r="E46" s="394"/>
      <c r="F46" s="395"/>
      <c r="G46" s="394"/>
      <c r="H46" s="394"/>
      <c r="I46" s="395"/>
      <c r="J46" s="394"/>
      <c r="K46" s="394"/>
      <c r="L46" s="394"/>
      <c r="M46" s="395"/>
      <c r="N46" s="394"/>
      <c r="O46" s="394"/>
      <c r="P46" s="395"/>
    </row>
    <row r="47" spans="3:16" ht="13.5" customHeight="1">
      <c r="C47" s="394"/>
      <c r="D47" s="394"/>
      <c r="E47" s="394"/>
      <c r="F47" s="395"/>
      <c r="G47" s="394"/>
      <c r="H47" s="394"/>
      <c r="I47" s="395"/>
      <c r="J47" s="394"/>
      <c r="K47" s="394"/>
      <c r="L47" s="394"/>
      <c r="M47" s="395"/>
      <c r="N47" s="394"/>
      <c r="O47" s="394"/>
      <c r="P47" s="395"/>
    </row>
    <row r="48" spans="3:16" ht="13.5" customHeight="1">
      <c r="C48" s="394"/>
      <c r="D48" s="394"/>
      <c r="E48" s="394"/>
      <c r="F48" s="395"/>
      <c r="G48" s="394"/>
      <c r="H48" s="394"/>
      <c r="I48" s="395"/>
      <c r="J48" s="394"/>
      <c r="K48" s="394"/>
      <c r="L48" s="394"/>
      <c r="M48" s="395"/>
      <c r="N48" s="394"/>
      <c r="O48" s="394"/>
      <c r="P48" s="395"/>
    </row>
    <row r="49" spans="3:16" ht="13.5" customHeight="1"/>
    <row r="50" spans="3:16" ht="13.5" customHeight="1">
      <c r="C50" s="391"/>
      <c r="D50" s="445"/>
      <c r="E50" s="446"/>
      <c r="F50" s="446"/>
      <c r="G50" s="445"/>
      <c r="H50" s="446"/>
      <c r="I50" s="446"/>
      <c r="J50" s="392"/>
      <c r="K50" s="445"/>
      <c r="L50" s="446"/>
      <c r="M50" s="446"/>
      <c r="N50" s="392"/>
      <c r="O50" s="445"/>
      <c r="P50" s="446"/>
    </row>
    <row r="51" spans="3:16" ht="14.15" customHeight="1">
      <c r="C51" s="393"/>
      <c r="D51" s="391"/>
      <c r="E51" s="391"/>
      <c r="F51" s="391"/>
      <c r="G51" s="391"/>
      <c r="H51" s="391"/>
      <c r="I51" s="391"/>
      <c r="J51" s="393"/>
      <c r="K51" s="391"/>
      <c r="L51" s="391"/>
      <c r="M51" s="391"/>
      <c r="N51" s="393"/>
      <c r="O51" s="391"/>
      <c r="P51" s="391"/>
    </row>
    <row r="52" spans="3:16" ht="14.15" customHeight="1">
      <c r="C52" s="394"/>
      <c r="D52" s="394"/>
      <c r="E52" s="394"/>
      <c r="F52" s="395"/>
      <c r="G52" s="394"/>
      <c r="H52" s="394"/>
      <c r="I52" s="395"/>
      <c r="J52" s="394"/>
      <c r="K52" s="394"/>
      <c r="L52" s="394"/>
      <c r="M52" s="395"/>
      <c r="N52" s="394"/>
      <c r="O52" s="394"/>
      <c r="P52" s="395"/>
    </row>
    <row r="53" spans="3:16" ht="14.15" customHeight="1">
      <c r="C53" s="394"/>
      <c r="D53" s="394"/>
      <c r="E53" s="394"/>
      <c r="F53" s="395"/>
      <c r="G53" s="394"/>
      <c r="H53" s="394"/>
      <c r="I53" s="395"/>
      <c r="J53" s="394"/>
      <c r="K53" s="394"/>
      <c r="L53" s="394"/>
      <c r="M53" s="395"/>
      <c r="N53" s="394"/>
      <c r="O53" s="394"/>
      <c r="P53" s="395"/>
    </row>
    <row r="54" spans="3:16" ht="14.15" customHeight="1">
      <c r="C54" s="394"/>
      <c r="D54" s="394"/>
      <c r="E54" s="394"/>
      <c r="F54" s="395"/>
      <c r="G54" s="394"/>
      <c r="H54" s="394"/>
      <c r="I54" s="395"/>
      <c r="J54" s="394"/>
      <c r="K54" s="394"/>
      <c r="L54" s="394"/>
      <c r="M54" s="395"/>
      <c r="N54" s="394"/>
      <c r="O54" s="394"/>
      <c r="P54" s="395"/>
    </row>
    <row r="55" spans="3:16" ht="14.15" customHeight="1">
      <c r="C55" s="394"/>
      <c r="D55" s="394"/>
      <c r="E55" s="394"/>
      <c r="F55" s="395"/>
      <c r="G55" s="394"/>
      <c r="H55" s="394"/>
      <c r="I55" s="395"/>
      <c r="J55" s="394"/>
      <c r="K55" s="394"/>
      <c r="L55" s="394"/>
      <c r="M55" s="395"/>
      <c r="N55" s="394"/>
      <c r="O55" s="394"/>
      <c r="P55" s="395"/>
    </row>
    <row r="56" spans="3:16" ht="14.15" customHeight="1">
      <c r="C56" s="394"/>
      <c r="D56" s="394"/>
      <c r="E56" s="394"/>
      <c r="F56" s="395"/>
      <c r="G56" s="394"/>
      <c r="H56" s="394"/>
      <c r="I56" s="395"/>
      <c r="J56" s="394"/>
      <c r="K56" s="394"/>
      <c r="L56" s="394"/>
      <c r="M56" s="395"/>
      <c r="N56" s="394"/>
      <c r="O56" s="394"/>
      <c r="P56" s="395"/>
    </row>
    <row r="57" spans="3:16" ht="14.15" customHeight="1">
      <c r="C57" s="394"/>
      <c r="D57" s="394"/>
      <c r="E57" s="394"/>
      <c r="F57" s="395"/>
      <c r="G57" s="394"/>
      <c r="H57" s="394"/>
      <c r="I57" s="395"/>
      <c r="J57" s="394"/>
      <c r="K57" s="394"/>
      <c r="L57" s="394"/>
      <c r="M57" s="395"/>
      <c r="N57" s="394"/>
      <c r="O57" s="394"/>
      <c r="P57" s="395"/>
    </row>
    <row r="58" spans="3:16" ht="14.15" customHeight="1"/>
    <row r="61" spans="3:16">
      <c r="D61" s="436"/>
      <c r="E61" s="436"/>
      <c r="F61" s="436"/>
    </row>
    <row r="62" spans="3:16">
      <c r="D62" s="436"/>
      <c r="E62" s="436"/>
      <c r="F62" s="436"/>
    </row>
    <row r="63" spans="3:16" ht="14.5" customHeight="1">
      <c r="C63" s="396"/>
      <c r="D63" s="376"/>
      <c r="E63" s="396"/>
      <c r="F63" s="396"/>
      <c r="G63" s="376"/>
      <c r="H63" s="396"/>
      <c r="I63" s="376"/>
      <c r="J63" s="376"/>
      <c r="K63" s="376"/>
      <c r="L63" s="376"/>
      <c r="M63" s="376"/>
    </row>
    <row r="64" spans="3:16" ht="15" customHeight="1">
      <c r="C64" s="374"/>
      <c r="D64" s="380" t="s">
        <v>2</v>
      </c>
      <c r="E64" s="379"/>
      <c r="F64" s="379"/>
      <c r="G64" s="380" t="s">
        <v>4</v>
      </c>
      <c r="H64" s="379"/>
      <c r="I64" s="379"/>
      <c r="J64" s="380"/>
      <c r="K64" s="380" t="s">
        <v>5</v>
      </c>
      <c r="L64" s="380"/>
      <c r="M64" s="380"/>
    </row>
    <row r="65" spans="3:13" ht="16" customHeight="1">
      <c r="C65" s="387"/>
      <c r="D65" s="374" t="s">
        <v>6</v>
      </c>
      <c r="E65" s="439" t="s">
        <v>28</v>
      </c>
      <c r="F65" s="440"/>
      <c r="G65" s="374" t="s">
        <v>6</v>
      </c>
      <c r="H65" s="374"/>
      <c r="I65" s="374" t="s">
        <v>28</v>
      </c>
      <c r="J65" s="387"/>
      <c r="K65" s="374" t="s">
        <v>6</v>
      </c>
      <c r="L65" s="374"/>
      <c r="M65" s="374" t="s">
        <v>28</v>
      </c>
    </row>
    <row r="66" spans="3:13" ht="16" customHeight="1">
      <c r="C66" s="394" t="s">
        <v>2</v>
      </c>
      <c r="D66" s="394">
        <v>55</v>
      </c>
      <c r="E66" s="432"/>
      <c r="F66" s="433"/>
      <c r="G66" s="394">
        <v>55</v>
      </c>
      <c r="H66" s="432"/>
      <c r="I66" s="433"/>
      <c r="J66" s="393"/>
      <c r="K66" s="394">
        <v>55</v>
      </c>
      <c r="L66" s="391"/>
      <c r="M66" s="394"/>
    </row>
    <row r="67" spans="3:13" ht="16" customHeight="1">
      <c r="C67" s="394" t="s">
        <v>29</v>
      </c>
      <c r="D67" s="394">
        <v>12</v>
      </c>
      <c r="E67" s="437">
        <f t="shared" ref="E67:E73" si="8">D67/$D$66</f>
        <v>0.21818181818181817</v>
      </c>
      <c r="F67" s="438"/>
      <c r="G67" s="394">
        <v>12</v>
      </c>
      <c r="H67" s="437">
        <f t="shared" ref="H67:H73" si="9">G67/$D$66</f>
        <v>0.21818181818181817</v>
      </c>
      <c r="I67" s="438"/>
      <c r="J67" s="394"/>
      <c r="K67" s="394">
        <v>12</v>
      </c>
      <c r="L67" s="394"/>
      <c r="M67" s="397">
        <f>K67/$K$66</f>
        <v>0.21818181818181817</v>
      </c>
    </row>
    <row r="68" spans="3:13">
      <c r="C68" s="394" t="s">
        <v>30</v>
      </c>
      <c r="D68" s="394">
        <v>9</v>
      </c>
      <c r="E68" s="437">
        <f t="shared" si="8"/>
        <v>0.16363636363636364</v>
      </c>
      <c r="F68" s="438"/>
      <c r="G68" s="394">
        <v>9</v>
      </c>
      <c r="H68" s="437">
        <f t="shared" si="9"/>
        <v>0.16363636363636364</v>
      </c>
      <c r="I68" s="438"/>
      <c r="J68" s="394"/>
      <c r="K68" s="394">
        <v>9</v>
      </c>
      <c r="L68" s="394"/>
      <c r="M68" s="397">
        <f t="shared" ref="M68:M73" si="10">K68/$K$66</f>
        <v>0.16363636363636364</v>
      </c>
    </row>
    <row r="69" spans="3:13">
      <c r="C69" s="394" t="s">
        <v>31</v>
      </c>
      <c r="D69" s="394">
        <v>8</v>
      </c>
      <c r="E69" s="437">
        <f t="shared" si="8"/>
        <v>0.14545454545454545</v>
      </c>
      <c r="F69" s="438"/>
      <c r="G69" s="394">
        <v>8</v>
      </c>
      <c r="H69" s="437">
        <f t="shared" si="9"/>
        <v>0.14545454545454545</v>
      </c>
      <c r="I69" s="438"/>
      <c r="J69" s="394"/>
      <c r="K69" s="394">
        <v>8</v>
      </c>
      <c r="L69" s="394"/>
      <c r="M69" s="397">
        <f t="shared" si="10"/>
        <v>0.14545454545454545</v>
      </c>
    </row>
    <row r="70" spans="3:13" ht="16" customHeight="1">
      <c r="C70" s="394" t="s">
        <v>32</v>
      </c>
      <c r="D70" s="394">
        <v>5</v>
      </c>
      <c r="E70" s="437">
        <f t="shared" si="8"/>
        <v>9.0909090909090912E-2</v>
      </c>
      <c r="F70" s="438"/>
      <c r="G70" s="394">
        <v>5</v>
      </c>
      <c r="H70" s="437">
        <f t="shared" si="9"/>
        <v>9.0909090909090912E-2</v>
      </c>
      <c r="I70" s="438"/>
      <c r="J70" s="394"/>
      <c r="K70" s="394">
        <v>5</v>
      </c>
      <c r="L70" s="394"/>
      <c r="M70" s="397">
        <f t="shared" si="10"/>
        <v>9.0909090909090912E-2</v>
      </c>
    </row>
    <row r="71" spans="3:13" ht="16" customHeight="1">
      <c r="C71" s="394" t="s">
        <v>33</v>
      </c>
      <c r="D71" s="394">
        <v>4</v>
      </c>
      <c r="E71" s="437">
        <f t="shared" si="8"/>
        <v>7.2727272727272724E-2</v>
      </c>
      <c r="F71" s="438"/>
      <c r="G71" s="394">
        <v>4</v>
      </c>
      <c r="H71" s="437">
        <f t="shared" si="9"/>
        <v>7.2727272727272724E-2</v>
      </c>
      <c r="I71" s="438"/>
      <c r="J71" s="394"/>
      <c r="K71" s="394">
        <v>4</v>
      </c>
      <c r="L71" s="394"/>
      <c r="M71" s="397">
        <f t="shared" si="10"/>
        <v>7.2727272727272724E-2</v>
      </c>
    </row>
    <row r="72" spans="3:13" ht="16" customHeight="1">
      <c r="C72" s="394" t="s">
        <v>34</v>
      </c>
      <c r="D72" s="394">
        <v>3</v>
      </c>
      <c r="E72" s="437">
        <f t="shared" si="8"/>
        <v>5.4545454545454543E-2</v>
      </c>
      <c r="F72" s="438"/>
      <c r="G72" s="394">
        <v>3</v>
      </c>
      <c r="H72" s="437">
        <f t="shared" si="9"/>
        <v>5.4545454545454543E-2</v>
      </c>
      <c r="I72" s="438"/>
      <c r="J72" s="394"/>
      <c r="K72" s="394">
        <v>3</v>
      </c>
      <c r="L72" s="394"/>
      <c r="M72" s="397">
        <f t="shared" si="10"/>
        <v>5.4545454545454543E-2</v>
      </c>
    </row>
    <row r="73" spans="3:13">
      <c r="C73" s="394" t="s">
        <v>35</v>
      </c>
      <c r="D73" s="372">
        <v>3</v>
      </c>
      <c r="E73" s="437">
        <f t="shared" si="8"/>
        <v>5.4545454545454543E-2</v>
      </c>
      <c r="F73" s="438"/>
      <c r="G73" s="372">
        <v>3</v>
      </c>
      <c r="H73" s="437">
        <f t="shared" si="9"/>
        <v>5.4545454545454543E-2</v>
      </c>
      <c r="I73" s="438"/>
      <c r="K73" s="372">
        <v>3</v>
      </c>
      <c r="M73" s="397">
        <f t="shared" si="10"/>
        <v>5.4545454545454543E-2</v>
      </c>
    </row>
    <row r="74" spans="3:13">
      <c r="C74" s="394"/>
    </row>
    <row r="75" spans="3:13" ht="16" customHeight="1"/>
    <row r="76" spans="3:13" ht="16" customHeight="1"/>
    <row r="93" spans="15:15">
      <c r="O93" s="391"/>
    </row>
    <row r="94" spans="15:15">
      <c r="O94" s="391"/>
    </row>
    <row r="95" spans="15:15">
      <c r="O95" s="372"/>
    </row>
    <row r="103" spans="9:9">
      <c r="I103" s="398"/>
    </row>
  </sheetData>
  <mergeCells count="40">
    <mergeCell ref="N30:O30"/>
    <mergeCell ref="D4:F4"/>
    <mergeCell ref="G4:I4"/>
    <mergeCell ref="J4:L4"/>
    <mergeCell ref="M4:O4"/>
    <mergeCell ref="D17:F17"/>
    <mergeCell ref="G17:I17"/>
    <mergeCell ref="J17:L17"/>
    <mergeCell ref="M17:O17"/>
    <mergeCell ref="D30:E30"/>
    <mergeCell ref="F30:G30"/>
    <mergeCell ref="H30:I30"/>
    <mergeCell ref="J30:K30"/>
    <mergeCell ref="L30:M30"/>
    <mergeCell ref="D41:F41"/>
    <mergeCell ref="G41:I41"/>
    <mergeCell ref="K41:M41"/>
    <mergeCell ref="O41:P41"/>
    <mergeCell ref="D50:F50"/>
    <mergeCell ref="G50:I50"/>
    <mergeCell ref="K50:M50"/>
    <mergeCell ref="O50:P50"/>
    <mergeCell ref="D61:F62"/>
    <mergeCell ref="E65:F65"/>
    <mergeCell ref="E66:F66"/>
    <mergeCell ref="H66:I66"/>
    <mergeCell ref="E67:F67"/>
    <mergeCell ref="H67:I67"/>
    <mergeCell ref="E68:F68"/>
    <mergeCell ref="H68:I68"/>
    <mergeCell ref="E69:F69"/>
    <mergeCell ref="H69:I69"/>
    <mergeCell ref="E70:F70"/>
    <mergeCell ref="H70:I70"/>
    <mergeCell ref="E71:F71"/>
    <mergeCell ref="H71:I71"/>
    <mergeCell ref="E72:F72"/>
    <mergeCell ref="H72:I72"/>
    <mergeCell ref="E73:F73"/>
    <mergeCell ref="H73:I73"/>
  </mergeCells>
  <conditionalFormatting sqref="E32 E15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{D0609CA7-6AC9-495D-8A14-4314C225D480}</x14:id>
        </ext>
      </extLst>
    </cfRule>
    <cfRule type="dataBar" priority="33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{E96152D3-E2BF-43F7-AF3D-E82AE12C8613}</x14:id>
        </ext>
      </extLst>
    </cfRule>
  </conditionalFormatting>
  <conditionalFormatting sqref="E32:E40">
    <cfRule type="dataBar" priority="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{EF5CFBFD-B27C-4FDD-AE3B-57FB5DC00EF9}</x14:id>
        </ext>
      </extLst>
    </cfRule>
  </conditionalFormatting>
  <conditionalFormatting sqref="E43:E48">
    <cfRule type="dataBar" priority="79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{97FC8986-95F2-439D-99C5-726CD3E2B27F}</x14:id>
        </ext>
      </extLst>
    </cfRule>
    <cfRule type="dataBar" priority="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{62720A18-0B07-4613-8C4E-0E244BC399B8}</x14:id>
        </ext>
      </extLst>
    </cfRule>
  </conditionalFormatting>
  <conditionalFormatting sqref="E52:E57">
    <cfRule type="dataBar" priority="73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{3F0E958F-2B41-401A-8216-68446590F9F5}</x14:id>
        </ext>
      </extLst>
    </cfRule>
    <cfRule type="dataBar" priority="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{E4914804-2C34-40E5-ACDD-83FFB2102FA9}</x14:id>
        </ext>
      </extLst>
    </cfRule>
  </conditionalFormatting>
  <conditionalFormatting sqref="E66:E73">
    <cfRule type="dataBar" priority="49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{3DCB968B-C8F9-48E4-83FE-FB16520187CF}</x14:id>
        </ext>
      </extLst>
    </cfRule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{AF9CE389-D736-4D7F-A84F-3C6FF4DF6684}</x14:id>
        </ext>
      </extLst>
    </cfRule>
  </conditionalFormatting>
  <conditionalFormatting sqref="F6:F14">
    <cfRule type="dataBar" priority="2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{85CA236E-6F41-4A0A-8F12-E31ECD0D6829}</x14:id>
        </ext>
      </extLst>
    </cfRule>
  </conditionalFormatting>
  <conditionalFormatting sqref="F15">
    <cfRule type="dataBar" priority="87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{65093BC8-93F3-4C5C-AB74-22EEEF9722CF}</x14:id>
        </ext>
      </extLst>
    </cfRule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{B881F809-40E9-47EE-BA09-CD762A9418A3}</x14:id>
        </ext>
      </extLst>
    </cfRule>
  </conditionalFormatting>
  <conditionalFormatting sqref="F19:F27">
    <cfRule type="dataBar" priority="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{0596CE31-C9C0-4C85-A85F-B171A27E5C5E}</x14:id>
        </ext>
      </extLst>
    </cfRule>
  </conditionalFormatting>
  <conditionalFormatting sqref="F43:F48"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{64274D17-9527-416E-9A25-6305B055AB53}</x14:id>
        </ext>
      </extLst>
    </cfRule>
    <cfRule type="dataBar" priority="61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{F1D3977C-0FA8-4F31-A1B5-2BD13D70780D}</x14:id>
        </ext>
      </extLst>
    </cfRule>
  </conditionalFormatting>
  <conditionalFormatting sqref="F52:F57">
    <cfRule type="dataBar" priority="59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{623DFA6A-D6AF-4DB5-9CB8-AAA0B74A1A9A}</x14:id>
        </ext>
      </extLst>
    </cfRule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{00A02EB6-BE75-49BD-A281-3C6919F83A14}</x14:id>
        </ext>
      </extLst>
    </cfRule>
  </conditionalFormatting>
  <conditionalFormatting sqref="G32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{2BDF9036-224D-4AED-9374-7410D5625E34}</x14:id>
        </ext>
      </extLst>
    </cfRule>
    <cfRule type="dataBar" priority="20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{E9AD3AC5-D8B5-458F-A85D-23CB7CCD4543}</x14:id>
        </ext>
      </extLst>
    </cfRule>
  </conditionalFormatting>
  <conditionalFormatting sqref="G33:G40">
    <cfRule type="dataBar" priority="1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{4B7AA911-D567-4611-8F53-78E5713485CF}</x14:id>
        </ext>
      </extLst>
    </cfRule>
  </conditionalFormatting>
  <conditionalFormatting sqref="H1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{77894BA6-985C-438F-A144-A87AD2634EE0}</x14:id>
        </ext>
      </extLst>
    </cfRule>
    <cfRule type="dataBar" priority="35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{03326B28-B4DF-4D37-90AB-F9522158E076}</x14:id>
        </ext>
      </extLst>
    </cfRule>
  </conditionalFormatting>
  <conditionalFormatting sqref="H43:H48">
    <cfRule type="dataBar" priority="77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{67BD0A34-D74C-4FF1-86C9-E95C7B7D3EF3}</x14:id>
        </ext>
      </extLst>
    </cfRule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{0D86BA0D-4B7A-4B61-81D8-58901BA2A025}</x14:id>
        </ext>
      </extLst>
    </cfRule>
  </conditionalFormatting>
  <conditionalFormatting sqref="H52:H57">
    <cfRule type="dataBar" priority="71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{2883D35D-3E71-4A87-B0C5-FA955492C1DC}</x14:id>
        </ext>
      </extLst>
    </cfRule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{2EF66A5F-2DFC-47E3-9FC6-68FED193C671}</x14:id>
        </ext>
      </extLst>
    </cfRule>
  </conditionalFormatting>
  <conditionalFormatting sqref="H66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{0871E59E-50B8-4C2D-B08F-BBDB6B5BE074}</x14:id>
        </ext>
      </extLst>
    </cfRule>
    <cfRule type="dataBar" priority="45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{089AA734-7F4E-43B8-9B43-8C8DA9C6DD56}</x14:id>
        </ext>
      </extLst>
    </cfRule>
  </conditionalFormatting>
  <conditionalFormatting sqref="H67:H73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{045CF3CC-652F-4973-9EC7-CD879FCB9525}</x14:id>
        </ext>
      </extLst>
    </cfRule>
    <cfRule type="dataBar" priority="47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{14E8D104-365A-44FC-8DE1-8A1944FC003E}</x14:id>
        </ext>
      </extLst>
    </cfRule>
  </conditionalFormatting>
  <conditionalFormatting sqref="I6:I14">
    <cfRule type="dataBar" priority="2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{66A49DF1-E9CE-4956-B82E-8CE1C1725D10}</x14:id>
        </ext>
      </extLst>
    </cfRule>
  </conditionalFormatting>
  <conditionalFormatting sqref="I15">
    <cfRule type="dataBar" priority="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{B0910036-33FE-422F-B820-AE322201CA0C}</x14:id>
        </ext>
      </extLst>
    </cfRule>
    <cfRule type="dataBar" priority="89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{ED6DC442-0B76-4F96-A9C3-F58F6EC9A5A8}</x14:id>
        </ext>
      </extLst>
    </cfRule>
  </conditionalFormatting>
  <conditionalFormatting sqref="I19:I27"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{2C71288F-468A-45CB-B9B9-49FBC502BDA5}</x14:id>
        </ext>
      </extLst>
    </cfRule>
  </conditionalFormatting>
  <conditionalFormatting sqref="I32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{29F82132-0F76-43F1-8EAA-9B6D5028008D}</x14:id>
        </ext>
      </extLst>
    </cfRule>
    <cfRule type="dataBar" priority="17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{BE9FE461-8FF7-4019-BBEC-A3BB46FF6131}</x14:id>
        </ext>
      </extLst>
    </cfRule>
  </conditionalFormatting>
  <conditionalFormatting sqref="I33:I40">
    <cfRule type="dataBar" priority="1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{4001903C-D582-461E-98BE-81C567F6713B}</x14:id>
        </ext>
      </extLst>
    </cfRule>
  </conditionalFormatting>
  <conditionalFormatting sqref="I43:I48"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{BE9B4D08-7F4D-4976-81F9-57403C2C0083}</x14:id>
        </ext>
      </extLst>
    </cfRule>
    <cfRule type="dataBar" priority="63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{6DB28D78-0EA9-4BF0-85B7-BC1AE33CA377}</x14:id>
        </ext>
      </extLst>
    </cfRule>
  </conditionalFormatting>
  <conditionalFormatting sqref="I52:I57"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{79864C84-69C0-41FA-B802-7A3D3F671235}</x14:id>
        </ext>
      </extLst>
    </cfRule>
    <cfRule type="dataBar" priority="57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{84829C72-2AB9-4FF8-AD8C-B1811BFF99A7}</x14:id>
        </ext>
      </extLst>
    </cfRule>
  </conditionalFormatting>
  <conditionalFormatting sqref="J28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{61829500-62A8-4BA0-B435-57F81494C009}</x14:id>
        </ext>
      </extLst>
    </cfRule>
  </conditionalFormatting>
  <conditionalFormatting sqref="J43:J48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{F6C5B632-0D87-4283-8254-DC0DED363107}</x14:id>
        </ext>
      </extLst>
    </cfRule>
  </conditionalFormatting>
  <conditionalFormatting sqref="J52:J57">
    <cfRule type="dataBar" priority="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{F0BCC52B-45FE-41B7-9EC1-8CE4B8DBB850}</x14:id>
        </ext>
      </extLst>
    </cfRule>
  </conditionalFormatting>
  <conditionalFormatting sqref="J67:J72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{D2E007BB-35F9-4DAD-82D3-98AAA5650CF6}</x14:id>
        </ext>
      </extLst>
    </cfRule>
  </conditionalFormatting>
  <conditionalFormatting sqref="K1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{EBFDA81E-72F7-4AEF-A7B0-0BB62E2C79ED}</x14:id>
        </ext>
      </extLst>
    </cfRule>
    <cfRule type="dataBar" priority="37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{B1793A40-B155-409B-A623-802FC10D218D}</x14:id>
        </ext>
      </extLst>
    </cfRule>
  </conditionalFormatting>
  <conditionalFormatting sqref="K32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{18BBC2F6-60A5-4B95-AC00-363B24D0C6AE}</x14:id>
        </ext>
      </extLst>
    </cfRule>
    <cfRule type="dataBar" priority="14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{EEB43811-CD88-4508-8B4D-65D90DEA3E79}</x14:id>
        </ext>
      </extLst>
    </cfRule>
  </conditionalFormatting>
  <conditionalFormatting sqref="K33:K40">
    <cfRule type="dataBar" priority="1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{25E20ACF-9FAC-4F1C-A20F-C8ACA080BD31}</x14:id>
        </ext>
      </extLst>
    </cfRule>
  </conditionalFormatting>
  <conditionalFormatting sqref="L6:L14">
    <cfRule type="dataBar" priority="2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{E16EB0A4-3018-4C00-9428-0FA223E6D55F}</x14:id>
        </ext>
      </extLst>
    </cfRule>
  </conditionalFormatting>
  <conditionalFormatting sqref="L15">
    <cfRule type="dataBar" priority="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{E0FDDA9C-4372-4D39-A2FB-CC33205ADA81}</x14:id>
        </ext>
      </extLst>
    </cfRule>
    <cfRule type="dataBar" priority="91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{2CC4F638-9779-41DA-9404-A301FB82E56F}</x14:id>
        </ext>
      </extLst>
    </cfRule>
  </conditionalFormatting>
  <conditionalFormatting sqref="L19:L27">
    <cfRule type="dataBar" priority="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{60966044-3E85-4B3D-BBE6-8218290C5F29}</x14:id>
        </ext>
      </extLst>
    </cfRule>
  </conditionalFormatting>
  <conditionalFormatting sqref="L28">
    <cfRule type="dataBar" priority="27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{46EA6611-6C6C-4348-93ED-805986BD39D3}</x14:id>
        </ext>
      </extLst>
    </cfRule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{5AB0FA56-91A5-4AE7-A76A-E2C3B89CCABC}</x14:id>
        </ext>
      </extLst>
    </cfRule>
  </conditionalFormatting>
  <conditionalFormatting sqref="L43:L48"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{E56B734C-B490-4669-8206-5CFFBFDB2FB1}</x14:id>
        </ext>
      </extLst>
    </cfRule>
    <cfRule type="dataBar" priority="75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{9240495D-B37D-49DA-B3EA-4DB2C74CAF7D}</x14:id>
        </ext>
      </extLst>
    </cfRule>
  </conditionalFormatting>
  <conditionalFormatting sqref="L52:L57">
    <cfRule type="dataBar" priority="69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{E13B7091-C41D-48E3-8594-A37D9538CB89}</x14:id>
        </ext>
      </extLst>
    </cfRule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{2CCE73A6-D4A8-46F9-8237-93ECF08D796B}</x14:id>
        </ext>
      </extLst>
    </cfRule>
  </conditionalFormatting>
  <conditionalFormatting sqref="L67:L72">
    <cfRule type="dataBar" priority="51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{9B26B021-BB05-474D-A374-074FFF3D2D95}</x14:id>
        </ext>
      </extLst>
    </cfRule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{D172BDDB-7E41-4344-BE96-83F5666A7706}</x14:id>
        </ext>
      </extLst>
    </cfRule>
  </conditionalFormatting>
  <conditionalFormatting sqref="M28">
    <cfRule type="dataBar" priority="29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{D06904EF-139F-41EA-A7E5-A25AA1902DBB}</x14:id>
        </ext>
      </extLst>
    </cfRule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{BEB5E0B9-0DB0-4005-A15D-FD12D809D7E2}</x14:id>
        </ext>
      </extLst>
    </cfRule>
  </conditionalFormatting>
  <conditionalFormatting sqref="M32">
    <cfRule type="dataBar" priority="11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{A51F1841-58AA-43D6-97CD-77FE9B5B485F}</x14:id>
        </ext>
      </extLst>
    </cfRule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{A1100271-4B16-4A0B-9343-B6147A424724}</x14:id>
        </ext>
      </extLst>
    </cfRule>
  </conditionalFormatting>
  <conditionalFormatting sqref="M33:M40">
    <cfRule type="dataBar" priority="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{CC6E3D13-4B94-4EF8-85A8-3B94B10C8A10}</x14:id>
        </ext>
      </extLst>
    </cfRule>
  </conditionalFormatting>
  <conditionalFormatting sqref="M43:M48"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{0C0D2F99-7F0E-4893-B90F-31B655AF7DEA}</x14:id>
        </ext>
      </extLst>
    </cfRule>
    <cfRule type="dataBar" priority="65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{C23EE251-9C38-4279-B8B5-6A9194352C04}</x14:id>
        </ext>
      </extLst>
    </cfRule>
  </conditionalFormatting>
  <conditionalFormatting sqref="M52:M57">
    <cfRule type="dataBar" priority="55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{D3C26453-C965-4D69-AB82-0B1F6A26B38D}</x14:id>
        </ext>
      </extLst>
    </cfRule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{878AD2DE-AC3A-4389-BCE5-7C624AE745E5}</x14:id>
        </ext>
      </extLst>
    </cfRule>
  </conditionalFormatting>
  <conditionalFormatting sqref="M66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{576691EE-48A1-47A3-AC41-533C78388AA5}</x14:id>
        </ext>
      </extLst>
    </cfRule>
    <cfRule type="dataBar" priority="43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{71E17D57-73AB-471B-AC97-8BDE37E63BAD}</x14:id>
        </ext>
      </extLst>
    </cfRule>
  </conditionalFormatting>
  <conditionalFormatting sqref="M67:M73">
    <cfRule type="dataBar" priority="41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{5260876A-86B7-4BB8-9846-7EC00AAA82CC}</x14:id>
        </ext>
      </extLst>
    </cfRule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{0D9AFF5A-15EF-403C-8CF4-BDE2B132ACF3}</x14:id>
        </ext>
      </extLst>
    </cfRule>
  </conditionalFormatting>
  <conditionalFormatting sqref="N1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{167FC5C6-E767-4B25-8A0E-9791B53D675B}</x14:id>
        </ext>
      </extLst>
    </cfRule>
    <cfRule type="dataBar" priority="39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{3B6C78A2-C88D-4729-A66B-47061E9BED00}</x14:id>
        </ext>
      </extLst>
    </cfRule>
  </conditionalFormatting>
  <conditionalFormatting sqref="N28">
    <cfRule type="dataBar" priority="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{B9181D89-6129-46CC-996C-C23E30B06029}</x14:id>
        </ext>
      </extLst>
    </cfRule>
  </conditionalFormatting>
  <conditionalFormatting sqref="N43:N48">
    <cfRule type="dataBar" priority="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{6409FA98-5C76-427D-8AA8-5B44FF992C89}</x14:id>
        </ext>
      </extLst>
    </cfRule>
  </conditionalFormatting>
  <conditionalFormatting sqref="N52:N57"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{B3FB3800-71BD-4089-A10F-644976A73E88}</x14:id>
        </ext>
      </extLst>
    </cfRule>
  </conditionalFormatting>
  <conditionalFormatting sqref="O6:O14">
    <cfRule type="dataBar" priority="2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{94B435FA-6855-40F4-BC8F-BE8DE0570D12}</x14:id>
        </ext>
      </extLst>
    </cfRule>
  </conditionalFormatting>
  <conditionalFormatting sqref="O19:O27">
    <cfRule type="dataBar" priority="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{149FC446-A5B3-4EDA-A3DE-139EED60100A}</x14:id>
        </ext>
      </extLst>
    </cfRule>
  </conditionalFormatting>
  <conditionalFormatting sqref="O32">
    <cfRule type="dataBar" priority="8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{A0DF38DA-E1E1-4BB1-AE69-9329637DAFDE}</x14:id>
        </ext>
      </extLst>
    </cfRule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{C0ABB52C-EA96-46A7-A0E9-D80782E67521}</x14:id>
        </ext>
      </extLst>
    </cfRule>
  </conditionalFormatting>
  <conditionalFormatting sqref="O33:O40">
    <cfRule type="dataBar" priority="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{D0530110-084D-4887-8936-6C78FCE586BB}</x14:id>
        </ext>
      </extLst>
    </cfRule>
  </conditionalFormatting>
  <conditionalFormatting sqref="P28">
    <cfRule type="dataBar" priority="31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{C764C988-FD5B-4A26-AD16-603764461C49}</x14:id>
        </ext>
      </extLst>
    </cfRule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{A779A213-FAC3-4816-858B-EF7A3AC39F2A}</x14:id>
        </ext>
      </extLst>
    </cfRule>
  </conditionalFormatting>
  <conditionalFormatting sqref="P32:P40 O15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{F0859AA6-EB49-4483-B520-01AC1A105C5A}</x14:id>
        </ext>
      </extLst>
    </cfRule>
    <cfRule type="dataBar" priority="95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{C65EFA25-3191-4DC5-A879-1D6BF7CF6A64}</x14:id>
        </ext>
      </extLst>
    </cfRule>
  </conditionalFormatting>
  <conditionalFormatting sqref="P43:P48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{87450A70-9FC8-4F1D-AE42-1C1DB8942910}</x14:id>
        </ext>
      </extLst>
    </cfRule>
    <cfRule type="dataBar" priority="67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{DDC7CE21-2705-49C1-8312-30AFFFA9E2F2}</x14:id>
        </ext>
      </extLst>
    </cfRule>
  </conditionalFormatting>
  <conditionalFormatting sqref="P52:P57">
    <cfRule type="dataBar" priority="53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{B8BBEEF2-DB50-4FC6-A3C5-84EE8DA9246D}</x14:id>
        </ext>
      </extLst>
    </cfRule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{DBEEB75B-4520-4118-8210-F2FD28C84999}</x14:id>
        </ext>
      </extLst>
    </cfRule>
  </conditionalFormatting>
  <pageMargins left="0.7" right="0.7" top="0.75" bottom="0.75" header="0.3" footer="0.3"/>
  <pageSetup paperSize="9" orientation="portrait" r:id="rId1"/>
  <ignoredErrors>
    <ignoredError sqref="F6 I6 L6 L24 I19 L9 L19 F19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609CA7-6AC9-495D-8A14-4314C225D4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96152D3-E2BF-43F7-AF3D-E82AE12C8613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E32 E15</xm:sqref>
        </x14:conditionalFormatting>
        <x14:conditionalFormatting xmlns:xm="http://schemas.microsoft.com/office/excel/2006/main">
          <x14:cfRule type="dataBar" id="{EF5CFBFD-B27C-4FDD-AE3B-57FB5DC00EF9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E32:E40</xm:sqref>
        </x14:conditionalFormatting>
        <x14:conditionalFormatting xmlns:xm="http://schemas.microsoft.com/office/excel/2006/main">
          <x14:cfRule type="dataBar" id="{97FC8986-95F2-439D-99C5-726CD3E2B27F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62720A18-0B07-4613-8C4E-0E244BC399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E43:E48</xm:sqref>
        </x14:conditionalFormatting>
        <x14:conditionalFormatting xmlns:xm="http://schemas.microsoft.com/office/excel/2006/main">
          <x14:cfRule type="dataBar" id="{3F0E958F-2B41-401A-8216-68446590F9F5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E4914804-2C34-40E5-ACDD-83FFB2102F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E52:E57</xm:sqref>
        </x14:conditionalFormatting>
        <x14:conditionalFormatting xmlns:xm="http://schemas.microsoft.com/office/excel/2006/main">
          <x14:cfRule type="dataBar" id="{3DCB968B-C8F9-48E4-83FE-FB16520187CF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AF9CE389-D736-4D7F-A84F-3C6FF4DF66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E66:E73</xm:sqref>
        </x14:conditionalFormatting>
        <x14:conditionalFormatting xmlns:xm="http://schemas.microsoft.com/office/excel/2006/main">
          <x14:cfRule type="dataBar" id="{85CA236E-6F41-4A0A-8F12-E31ECD0D6829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F6:F14</xm:sqref>
        </x14:conditionalFormatting>
        <x14:conditionalFormatting xmlns:xm="http://schemas.microsoft.com/office/excel/2006/main">
          <x14:cfRule type="dataBar" id="{65093BC8-93F3-4C5C-AB74-22EEEF9722CF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B881F809-40E9-47EE-BA09-CD762A9418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</xm:sqref>
        </x14:conditionalFormatting>
        <x14:conditionalFormatting xmlns:xm="http://schemas.microsoft.com/office/excel/2006/main">
          <x14:cfRule type="dataBar" id="{0596CE31-C9C0-4C85-A85F-B171A27E5C5E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F19:F27</xm:sqref>
        </x14:conditionalFormatting>
        <x14:conditionalFormatting xmlns:xm="http://schemas.microsoft.com/office/excel/2006/main">
          <x14:cfRule type="dataBar" id="{64274D17-9527-416E-9A25-6305B055AB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1D3977C-0FA8-4F31-A1B5-2BD13D70780D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F43:F48</xm:sqref>
        </x14:conditionalFormatting>
        <x14:conditionalFormatting xmlns:xm="http://schemas.microsoft.com/office/excel/2006/main">
          <x14:cfRule type="dataBar" id="{623DFA6A-D6AF-4DB5-9CB8-AAA0B74A1A9A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00A02EB6-BE75-49BD-A281-3C6919F83A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F52:F57</xm:sqref>
        </x14:conditionalFormatting>
        <x14:conditionalFormatting xmlns:xm="http://schemas.microsoft.com/office/excel/2006/main">
          <x14:cfRule type="dataBar" id="{2BDF9036-224D-4AED-9374-7410D5625E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9AD3AC5-D8B5-458F-A85D-23CB7CCD4543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G32</xm:sqref>
        </x14:conditionalFormatting>
        <x14:conditionalFormatting xmlns:xm="http://schemas.microsoft.com/office/excel/2006/main">
          <x14:cfRule type="dataBar" id="{4B7AA911-D567-4611-8F53-78E5713485CF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G33:G40</xm:sqref>
        </x14:conditionalFormatting>
        <x14:conditionalFormatting xmlns:xm="http://schemas.microsoft.com/office/excel/2006/main">
          <x14:cfRule type="dataBar" id="{77894BA6-985C-438F-A144-A87AD2634E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3326B28-B4DF-4D37-90AB-F9522158E076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H15</xm:sqref>
        </x14:conditionalFormatting>
        <x14:conditionalFormatting xmlns:xm="http://schemas.microsoft.com/office/excel/2006/main">
          <x14:cfRule type="dataBar" id="{67BD0A34-D74C-4FF1-86C9-E95C7B7D3EF3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0D86BA0D-4B7A-4B61-81D8-58901BA2A0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H43:H48</xm:sqref>
        </x14:conditionalFormatting>
        <x14:conditionalFormatting xmlns:xm="http://schemas.microsoft.com/office/excel/2006/main">
          <x14:cfRule type="dataBar" id="{2883D35D-3E71-4A87-B0C5-FA955492C1DC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2EF66A5F-2DFC-47E3-9FC6-68FED193C6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H52:H57</xm:sqref>
        </x14:conditionalFormatting>
        <x14:conditionalFormatting xmlns:xm="http://schemas.microsoft.com/office/excel/2006/main">
          <x14:cfRule type="dataBar" id="{0871E59E-50B8-4C2D-B08F-BBDB6B5BE0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89AA734-7F4E-43B8-9B43-8C8DA9C6DD56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H66</xm:sqref>
        </x14:conditionalFormatting>
        <x14:conditionalFormatting xmlns:xm="http://schemas.microsoft.com/office/excel/2006/main">
          <x14:cfRule type="dataBar" id="{045CF3CC-652F-4973-9EC7-CD879FCB95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4E8D104-365A-44FC-8DE1-8A1944FC003E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H67:H73</xm:sqref>
        </x14:conditionalFormatting>
        <x14:conditionalFormatting xmlns:xm="http://schemas.microsoft.com/office/excel/2006/main">
          <x14:cfRule type="dataBar" id="{66A49DF1-E9CE-4956-B82E-8CE1C1725D10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I6:I14</xm:sqref>
        </x14:conditionalFormatting>
        <x14:conditionalFormatting xmlns:xm="http://schemas.microsoft.com/office/excel/2006/main">
          <x14:cfRule type="dataBar" id="{B0910036-33FE-422F-B820-AE322201CA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D6DC442-0B76-4F96-A9C3-F58F6EC9A5A8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I15</xm:sqref>
        </x14:conditionalFormatting>
        <x14:conditionalFormatting xmlns:xm="http://schemas.microsoft.com/office/excel/2006/main">
          <x14:cfRule type="dataBar" id="{2C71288F-468A-45CB-B9B9-49FBC502BDA5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I19:I27</xm:sqref>
        </x14:conditionalFormatting>
        <x14:conditionalFormatting xmlns:xm="http://schemas.microsoft.com/office/excel/2006/main">
          <x14:cfRule type="dataBar" id="{29F82132-0F76-43F1-8EAA-9B6D502800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E9FE461-8FF7-4019-BBEC-A3BB46FF6131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I32</xm:sqref>
        </x14:conditionalFormatting>
        <x14:conditionalFormatting xmlns:xm="http://schemas.microsoft.com/office/excel/2006/main">
          <x14:cfRule type="dataBar" id="{4001903C-D582-461E-98BE-81C567F6713B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I33:I40</xm:sqref>
        </x14:conditionalFormatting>
        <x14:conditionalFormatting xmlns:xm="http://schemas.microsoft.com/office/excel/2006/main">
          <x14:cfRule type="dataBar" id="{BE9B4D08-7F4D-4976-81F9-57403C2C00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DB28D78-0EA9-4BF0-85B7-BC1AE33CA377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I43:I48</xm:sqref>
        </x14:conditionalFormatting>
        <x14:conditionalFormatting xmlns:xm="http://schemas.microsoft.com/office/excel/2006/main">
          <x14:cfRule type="dataBar" id="{79864C84-69C0-41FA-B802-7A3D3F6712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4829C72-2AB9-4FF8-AD8C-B1811BFF99A7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I52:I57</xm:sqref>
        </x14:conditionalFormatting>
        <x14:conditionalFormatting xmlns:xm="http://schemas.microsoft.com/office/excel/2006/main">
          <x14:cfRule type="iconSet" priority="80" id="{45760758-C088-4C19-880E-7549542853BF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I103</xm:sqref>
        </x14:conditionalFormatting>
        <x14:conditionalFormatting xmlns:xm="http://schemas.microsoft.com/office/excel/2006/main">
          <x14:cfRule type="dataBar" id="{61829500-62A8-4BA0-B435-57F81494C0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F6C5B632-0D87-4283-8254-DC0DED3631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J43:J48</xm:sqref>
        </x14:conditionalFormatting>
        <x14:conditionalFormatting xmlns:xm="http://schemas.microsoft.com/office/excel/2006/main">
          <x14:cfRule type="dataBar" id="{F0BCC52B-45FE-41B7-9EC1-8CE4B8DBB8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J52:J57</xm:sqref>
        </x14:conditionalFormatting>
        <x14:conditionalFormatting xmlns:xm="http://schemas.microsoft.com/office/excel/2006/main">
          <x14:cfRule type="dataBar" id="{D2E007BB-35F9-4DAD-82D3-98AAA5650C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J67:J72</xm:sqref>
        </x14:conditionalFormatting>
        <x14:conditionalFormatting xmlns:xm="http://schemas.microsoft.com/office/excel/2006/main">
          <x14:cfRule type="dataBar" id="{EBFDA81E-72F7-4AEF-A7B0-0BB62E2C79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1793A40-B155-409B-A623-802FC10D218D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K15</xm:sqref>
        </x14:conditionalFormatting>
        <x14:conditionalFormatting xmlns:xm="http://schemas.microsoft.com/office/excel/2006/main">
          <x14:cfRule type="dataBar" id="{18BBC2F6-60A5-4B95-AC00-363B24D0C6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EB43811-CD88-4508-8B4D-65D90DEA3E79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K32</xm:sqref>
        </x14:conditionalFormatting>
        <x14:conditionalFormatting xmlns:xm="http://schemas.microsoft.com/office/excel/2006/main">
          <x14:cfRule type="dataBar" id="{25E20ACF-9FAC-4F1C-A20F-C8ACA080BD31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K33:K40</xm:sqref>
        </x14:conditionalFormatting>
        <x14:conditionalFormatting xmlns:xm="http://schemas.microsoft.com/office/excel/2006/main">
          <x14:cfRule type="dataBar" id="{E16EB0A4-3018-4C00-9428-0FA223E6D55F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L6:L14</xm:sqref>
        </x14:conditionalFormatting>
        <x14:conditionalFormatting xmlns:xm="http://schemas.microsoft.com/office/excel/2006/main">
          <x14:cfRule type="dataBar" id="{E0FDDA9C-4372-4D39-A2FB-CC33205ADA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CC4F638-9779-41DA-9404-A301FB82E56F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60966044-3E85-4B3D-BBE6-8218290C5F29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L19:L27</xm:sqref>
        </x14:conditionalFormatting>
        <x14:conditionalFormatting xmlns:xm="http://schemas.microsoft.com/office/excel/2006/main">
          <x14:cfRule type="dataBar" id="{46EA6611-6C6C-4348-93ED-805986BD39D3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5AB0FA56-91A5-4AE7-A76A-E2C3B89CCA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E56B734C-B490-4669-8206-5CFFBFDB2F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240495D-B37D-49DA-B3EA-4DB2C74CAF7D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L43:L48</xm:sqref>
        </x14:conditionalFormatting>
        <x14:conditionalFormatting xmlns:xm="http://schemas.microsoft.com/office/excel/2006/main">
          <x14:cfRule type="dataBar" id="{E13B7091-C41D-48E3-8594-A37D9538CB89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2CCE73A6-D4A8-46F9-8237-93ECF08D79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L52:L57</xm:sqref>
        </x14:conditionalFormatting>
        <x14:conditionalFormatting xmlns:xm="http://schemas.microsoft.com/office/excel/2006/main">
          <x14:cfRule type="dataBar" id="{9B26B021-BB05-474D-A374-074FFF3D2D95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D172BDDB-7E41-4344-BE96-83F5666A77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L67:L72</xm:sqref>
        </x14:conditionalFormatting>
        <x14:conditionalFormatting xmlns:xm="http://schemas.microsoft.com/office/excel/2006/main">
          <x14:cfRule type="dataBar" id="{D06904EF-139F-41EA-A7E5-A25AA1902DBB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BEB5E0B9-0DB0-4005-A15D-FD12D809D7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A51F1841-58AA-43D6-97CD-77FE9B5B485F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A1100271-4B16-4A0B-9343-B6147A4247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M32</xm:sqref>
        </x14:conditionalFormatting>
        <x14:conditionalFormatting xmlns:xm="http://schemas.microsoft.com/office/excel/2006/main">
          <x14:cfRule type="dataBar" id="{CC6E3D13-4B94-4EF8-85A8-3B94B10C8A10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M33:M40</xm:sqref>
        </x14:conditionalFormatting>
        <x14:conditionalFormatting xmlns:xm="http://schemas.microsoft.com/office/excel/2006/main">
          <x14:cfRule type="dataBar" id="{0C0D2F99-7F0E-4893-B90F-31B655AF7D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23EE251-9C38-4279-B8B5-6A9194352C04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M43:M48</xm:sqref>
        </x14:conditionalFormatting>
        <x14:conditionalFormatting xmlns:xm="http://schemas.microsoft.com/office/excel/2006/main">
          <x14:cfRule type="dataBar" id="{D3C26453-C965-4D69-AB82-0B1F6A26B38D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878AD2DE-AC3A-4389-BCE5-7C624AE745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M52:M57</xm:sqref>
        </x14:conditionalFormatting>
        <x14:conditionalFormatting xmlns:xm="http://schemas.microsoft.com/office/excel/2006/main">
          <x14:cfRule type="dataBar" id="{576691EE-48A1-47A3-AC41-533C78388A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1E17D57-73AB-471B-AC97-8BDE37E63BAD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M66</xm:sqref>
        </x14:conditionalFormatting>
        <x14:conditionalFormatting xmlns:xm="http://schemas.microsoft.com/office/excel/2006/main">
          <x14:cfRule type="dataBar" id="{5260876A-86B7-4BB8-9846-7EC00AAA82CC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0D9AFF5A-15EF-403C-8CF4-BDE2B132AC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M67:M73</xm:sqref>
        </x14:conditionalFormatting>
        <x14:conditionalFormatting xmlns:xm="http://schemas.microsoft.com/office/excel/2006/main">
          <x14:cfRule type="dataBar" id="{167FC5C6-E767-4B25-8A0E-9791B53D67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B6C78A2-C88D-4729-A66B-47061E9BED00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N15</xm:sqref>
        </x14:conditionalFormatting>
        <x14:conditionalFormatting xmlns:xm="http://schemas.microsoft.com/office/excel/2006/main">
          <x14:cfRule type="dataBar" id="{B9181D89-6129-46CC-996C-C23E30B060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N28</xm:sqref>
        </x14:conditionalFormatting>
        <x14:conditionalFormatting xmlns:xm="http://schemas.microsoft.com/office/excel/2006/main">
          <x14:cfRule type="dataBar" id="{6409FA98-5C76-427D-8AA8-5B44FF992C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N43:N48</xm:sqref>
        </x14:conditionalFormatting>
        <x14:conditionalFormatting xmlns:xm="http://schemas.microsoft.com/office/excel/2006/main">
          <x14:cfRule type="dataBar" id="{B3FB3800-71BD-4089-A10F-644976A73E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N52:N57</xm:sqref>
        </x14:conditionalFormatting>
        <x14:conditionalFormatting xmlns:xm="http://schemas.microsoft.com/office/excel/2006/main">
          <x14:cfRule type="dataBar" id="{94B435FA-6855-40F4-BC8F-BE8DE0570D12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O6:O14</xm:sqref>
        </x14:conditionalFormatting>
        <x14:conditionalFormatting xmlns:xm="http://schemas.microsoft.com/office/excel/2006/main">
          <x14:cfRule type="dataBar" id="{149FC446-A5B3-4EDA-A3DE-139EED60100A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O19:O27</xm:sqref>
        </x14:conditionalFormatting>
        <x14:conditionalFormatting xmlns:xm="http://schemas.microsoft.com/office/excel/2006/main">
          <x14:cfRule type="dataBar" id="{A0DF38DA-E1E1-4BB1-AE69-9329637DAFDE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C0ABB52C-EA96-46A7-A0E9-D80782E675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O32</xm:sqref>
        </x14:conditionalFormatting>
        <x14:conditionalFormatting xmlns:xm="http://schemas.microsoft.com/office/excel/2006/main">
          <x14:cfRule type="dataBar" id="{D0530110-084D-4887-8936-6C78FCE586BB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O33:O40</xm:sqref>
        </x14:conditionalFormatting>
        <x14:conditionalFormatting xmlns:xm="http://schemas.microsoft.com/office/excel/2006/main">
          <x14:cfRule type="dataBar" id="{C764C988-FD5B-4A26-AD16-603764461C49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A779A213-FAC3-4816-858B-EF7A3AC39F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P28</xm:sqref>
        </x14:conditionalFormatting>
        <x14:conditionalFormatting xmlns:xm="http://schemas.microsoft.com/office/excel/2006/main">
          <x14:cfRule type="dataBar" id="{F0859AA6-EB49-4483-B520-01AC1A105C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65EFA25-3191-4DC5-A879-1D6BF7CF6A64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P32:P40 O15</xm:sqref>
        </x14:conditionalFormatting>
        <x14:conditionalFormatting xmlns:xm="http://schemas.microsoft.com/office/excel/2006/main">
          <x14:cfRule type="dataBar" id="{87450A70-9FC8-4F1D-AE42-1C1DB89429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DC7CE21-2705-49C1-8312-30AFFFA9E2F2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P43:P48</xm:sqref>
        </x14:conditionalFormatting>
        <x14:conditionalFormatting xmlns:xm="http://schemas.microsoft.com/office/excel/2006/main">
          <x14:cfRule type="dataBar" id="{B8BBEEF2-DB50-4FC6-A3C5-84EE8DA9246D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DBEEB75B-4520-4118-8210-F2FD28C849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P52:P57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A4AAC-2BC2-499D-B7C6-BEBCCCA1343A}">
  <dimension ref="C2:Z104"/>
  <sheetViews>
    <sheetView zoomScale="50" zoomScaleNormal="50" workbookViewId="0">
      <selection activeCell="D7" sqref="D7"/>
    </sheetView>
  </sheetViews>
  <sheetFormatPr defaultColWidth="8.7265625" defaultRowHeight="17"/>
  <cols>
    <col min="1" max="1" width="8.7265625" style="373"/>
    <col min="2" max="2" width="3.81640625" style="373" customWidth="1"/>
    <col min="3" max="3" width="19.54296875" style="372" customWidth="1"/>
    <col min="4" max="4" width="14.453125" style="373" bestFit="1" customWidth="1"/>
    <col min="5" max="5" width="13.453125" style="372" bestFit="1" customWidth="1"/>
    <col min="6" max="6" width="14" style="372" bestFit="1" customWidth="1"/>
    <col min="7" max="7" width="16.453125" style="372" bestFit="1" customWidth="1"/>
    <col min="8" max="8" width="14.453125" style="373" bestFit="1" customWidth="1"/>
    <col min="9" max="9" width="13.453125" style="372" bestFit="1" customWidth="1"/>
    <col min="10" max="10" width="14" style="373" bestFit="1" customWidth="1"/>
    <col min="11" max="11" width="16.453125" style="373" bestFit="1" customWidth="1"/>
    <col min="12" max="12" width="17.54296875" style="373" bestFit="1" customWidth="1"/>
    <col min="13" max="13" width="14.453125" style="373" bestFit="1" customWidth="1"/>
    <col min="14" max="14" width="14" style="373" bestFit="1" customWidth="1"/>
    <col min="15" max="15" width="16.453125" style="373" bestFit="1" customWidth="1"/>
    <col min="16" max="16" width="14" style="373" bestFit="1" customWidth="1"/>
    <col min="17" max="17" width="16.453125" style="373" bestFit="1" customWidth="1"/>
    <col min="18" max="18" width="9.1796875" style="373" bestFit="1" customWidth="1"/>
    <col min="19" max="20" width="11.81640625" style="373" bestFit="1" customWidth="1"/>
    <col min="21" max="21" width="11.81640625" style="373" customWidth="1"/>
    <col min="22" max="22" width="16.453125" style="373" bestFit="1" customWidth="1"/>
    <col min="23" max="23" width="11.7265625" style="373" bestFit="1" customWidth="1"/>
    <col min="24" max="24" width="11.81640625" style="373" bestFit="1" customWidth="1"/>
    <col min="25" max="25" width="16.81640625" style="373" bestFit="1" customWidth="1"/>
    <col min="26" max="26" width="34.54296875" style="373" bestFit="1" customWidth="1"/>
    <col min="27" max="27" width="35.1796875" style="373" bestFit="1" customWidth="1"/>
    <col min="28" max="28" width="27.453125" style="373" bestFit="1" customWidth="1"/>
    <col min="29" max="16384" width="8.7265625" style="373"/>
  </cols>
  <sheetData>
    <row r="2" spans="3:26" ht="16.5" customHeight="1"/>
    <row r="3" spans="3:26">
      <c r="C3" s="374" t="s">
        <v>36</v>
      </c>
      <c r="D3" s="434" t="s">
        <v>2</v>
      </c>
      <c r="E3" s="443"/>
      <c r="F3" s="443"/>
      <c r="G3" s="443"/>
      <c r="H3" s="447"/>
      <c r="I3" s="434" t="s">
        <v>3</v>
      </c>
      <c r="J3" s="443"/>
      <c r="K3" s="443"/>
      <c r="L3" s="443"/>
      <c r="M3" s="447"/>
      <c r="N3" s="434" t="s">
        <v>4</v>
      </c>
      <c r="O3" s="443"/>
      <c r="P3" s="443"/>
      <c r="Q3" s="443"/>
      <c r="R3" s="447"/>
      <c r="S3" s="434" t="s">
        <v>5</v>
      </c>
      <c r="T3" s="443"/>
      <c r="U3" s="443"/>
      <c r="V3" s="443"/>
      <c r="W3" s="443"/>
      <c r="Z3" s="372"/>
    </row>
    <row r="4" spans="3:26">
      <c r="C4" s="403" t="s">
        <v>1</v>
      </c>
      <c r="D4" s="434"/>
      <c r="E4" s="443"/>
      <c r="F4" s="443"/>
      <c r="G4" s="443"/>
      <c r="H4" s="447"/>
      <c r="I4" s="434"/>
      <c r="J4" s="443"/>
      <c r="K4" s="443"/>
      <c r="L4" s="443"/>
      <c r="M4" s="447"/>
      <c r="N4" s="434"/>
      <c r="O4" s="443"/>
      <c r="P4" s="443"/>
      <c r="Q4" s="443"/>
      <c r="R4" s="447"/>
      <c r="S4" s="434"/>
      <c r="T4" s="443"/>
      <c r="U4" s="443"/>
      <c r="V4" s="443"/>
      <c r="W4" s="443"/>
      <c r="X4" s="381"/>
    </row>
    <row r="5" spans="3:26" s="323" customFormat="1" ht="13">
      <c r="C5" s="370"/>
      <c r="D5" s="371" t="s">
        <v>39</v>
      </c>
      <c r="E5" s="371" t="s">
        <v>170</v>
      </c>
      <c r="F5" s="371" t="s">
        <v>169</v>
      </c>
      <c r="G5" s="371" t="s">
        <v>40</v>
      </c>
      <c r="H5" s="371" t="s">
        <v>8</v>
      </c>
      <c r="I5" s="371" t="s">
        <v>39</v>
      </c>
      <c r="J5" s="371" t="s">
        <v>170</v>
      </c>
      <c r="K5" s="371" t="s">
        <v>169</v>
      </c>
      <c r="L5" s="371" t="s">
        <v>40</v>
      </c>
      <c r="M5" s="371" t="s">
        <v>8</v>
      </c>
      <c r="N5" s="371" t="s">
        <v>39</v>
      </c>
      <c r="O5" s="371" t="s">
        <v>170</v>
      </c>
      <c r="P5" s="371" t="s">
        <v>169</v>
      </c>
      <c r="Q5" s="371" t="s">
        <v>40</v>
      </c>
      <c r="R5" s="371" t="s">
        <v>8</v>
      </c>
      <c r="S5" s="371" t="s">
        <v>39</v>
      </c>
      <c r="T5" s="371" t="s">
        <v>170</v>
      </c>
      <c r="U5" s="371" t="s">
        <v>169</v>
      </c>
      <c r="V5" s="371" t="s">
        <v>40</v>
      </c>
      <c r="W5" s="371" t="s">
        <v>8</v>
      </c>
      <c r="Y5" s="322"/>
    </row>
    <row r="6" spans="3:26" ht="16" customHeight="1">
      <c r="C6" s="382" t="s">
        <v>9</v>
      </c>
      <c r="D6" s="383">
        <f>SUM(D7:D14)</f>
        <v>776064.94760585437</v>
      </c>
      <c r="E6" s="383">
        <f>SUM(E7:E14)</f>
        <v>757192.30010521528</v>
      </c>
      <c r="F6" s="383">
        <f>SUM(F7:F14)</f>
        <v>754778.03532360448</v>
      </c>
      <c r="G6" s="383">
        <f>SUM(G7:G14)</f>
        <v>-85366.677756659003</v>
      </c>
      <c r="H6" s="384">
        <f t="shared" ref="H6:H14" si="0">(F6/(F6-G6))-1</f>
        <v>-0.10160949230243321</v>
      </c>
      <c r="I6" s="383">
        <f>SUM(I7:I14)</f>
        <v>151507.6211886332</v>
      </c>
      <c r="J6" s="383">
        <f>SUM(J7:J14)</f>
        <v>145586.14899268994</v>
      </c>
      <c r="K6" s="383">
        <f>SUM(K7:K14)</f>
        <v>142940.27533073295</v>
      </c>
      <c r="L6" s="383">
        <f>SUM(L7:L14)</f>
        <v>-20993.177652112394</v>
      </c>
      <c r="M6" s="384">
        <f t="shared" ref="M6:M14" si="1">(K6/(K6-L6))-1</f>
        <v>-0.12805914394000595</v>
      </c>
      <c r="N6" s="383">
        <f>SUM(N7:N14)</f>
        <v>106038.39286485367</v>
      </c>
      <c r="O6" s="383">
        <f>SUM(O7:O14)</f>
        <v>100861.3007672942</v>
      </c>
      <c r="P6" s="383">
        <f>SUM(P7:P14)</f>
        <v>98351.624222677056</v>
      </c>
      <c r="Q6" s="383">
        <f>SUM(Q7:Q14)</f>
        <v>-14514.789542010538</v>
      </c>
      <c r="R6" s="384">
        <f t="shared" ref="R6:R14" si="2">(P6/(P6-Q6))-1</f>
        <v>-0.12860149496972639</v>
      </c>
      <c r="S6" s="383">
        <f>SUM(S7:S14)</f>
        <v>30465.031084147831</v>
      </c>
      <c r="T6" s="383">
        <f>SUM(T7:T14)</f>
        <v>22244.031734397711</v>
      </c>
      <c r="U6" s="383">
        <f>SUM(U7:U14)</f>
        <v>19292.456124415483</v>
      </c>
      <c r="V6" s="383">
        <f>SUM(V7:V14)</f>
        <v>-33324.726809690022</v>
      </c>
      <c r="W6" s="384">
        <f t="shared" ref="W6:W14" si="3">(U6/(U6-V6))-1</f>
        <v>-0.63334304406649522</v>
      </c>
      <c r="X6" s="381"/>
    </row>
    <row r="7" spans="3:26" ht="16" customHeight="1">
      <c r="C7" s="382" t="s">
        <v>10</v>
      </c>
      <c r="D7" s="383">
        <f>'Tahmin Data'!O4/1000</f>
        <v>8537.1050286138343</v>
      </c>
      <c r="E7" s="383">
        <f>'Tahmin Data'!Q4/1000</f>
        <v>8329.6735544907042</v>
      </c>
      <c r="F7" s="383">
        <f>'Tahmin Data'!S4/1000</f>
        <v>8347.1111794086064</v>
      </c>
      <c r="G7" s="383">
        <f>F7-'C-Döviz'!AI9/1000</f>
        <v>-886.13970519996292</v>
      </c>
      <c r="H7" s="384">
        <f t="shared" si="0"/>
        <v>-9.5972666211975199E-2</v>
      </c>
      <c r="I7" s="383">
        <f>'Tahmin Data'!O20/1000</f>
        <v>8537.1050286138343</v>
      </c>
      <c r="J7" s="383">
        <f>'Tahmin Data'!Q20/1000</f>
        <v>8329.6735544907042</v>
      </c>
      <c r="K7" s="383">
        <f>'Tahmin Data'!S20/1000</f>
        <v>8347.1111794086064</v>
      </c>
      <c r="L7" s="383">
        <f>K7-'C-Döviz'!AI36/1000</f>
        <v>-886.13970519996292</v>
      </c>
      <c r="M7" s="384">
        <f t="shared" si="1"/>
        <v>-9.5972666211975199E-2</v>
      </c>
      <c r="N7" s="383">
        <f>'Tahmin Data'!M60/1000</f>
        <v>3415.0849397032971</v>
      </c>
      <c r="O7" s="383">
        <f>'Tahmin Data'!Q60/1000</f>
        <v>3225.6410983589521</v>
      </c>
      <c r="P7" s="383">
        <f>'Tahmin Data'!S60/1000</f>
        <v>3247.0800284650823</v>
      </c>
      <c r="Q7" s="383">
        <f>P7-'C-Döviz'!AI139/1000</f>
        <v>-692.67235809006434</v>
      </c>
      <c r="R7" s="384">
        <f t="shared" si="2"/>
        <v>-0.17581621638301115</v>
      </c>
      <c r="S7" s="383">
        <f>'Tahmin Data'!O100/1000</f>
        <v>3519.3370284178545</v>
      </c>
      <c r="T7" s="383">
        <f>'Tahmin Data'!Q100/1000</f>
        <v>3099.3830412358698</v>
      </c>
      <c r="U7" s="383">
        <f>'Tahmin Data'!S100/1000</f>
        <v>2980.6565457797146</v>
      </c>
      <c r="V7" s="383">
        <f>U7-'C-Döviz'!AI215/1000</f>
        <v>434.52102095421469</v>
      </c>
      <c r="W7" s="384">
        <f t="shared" si="3"/>
        <v>0.17065903080080336</v>
      </c>
      <c r="Y7" s="372"/>
    </row>
    <row r="8" spans="3:26" ht="16" customHeight="1">
      <c r="C8" s="382" t="s">
        <v>11</v>
      </c>
      <c r="D8" s="383">
        <f>'Tahmin Data'!O6/1000</f>
        <v>8341.0385606759719</v>
      </c>
      <c r="E8" s="383">
        <f>'Tahmin Data'!Q6/1000</f>
        <v>7796.0767526215295</v>
      </c>
      <c r="F8" s="383">
        <f>'Tahmin Data'!S6/1000</f>
        <v>7507.5363060169238</v>
      </c>
      <c r="G8" s="383">
        <f>F8-'C-Döviz'!AI10/1000</f>
        <v>-1892.1519379861838</v>
      </c>
      <c r="H8" s="384">
        <f t="shared" si="0"/>
        <v>-0.20129943556302043</v>
      </c>
      <c r="I8" s="383">
        <f>'Tahmin Data'!O22/1000</f>
        <v>2061.777389107232</v>
      </c>
      <c r="J8" s="383">
        <f>'Tahmin Data'!Q22/1000</f>
        <v>1933.6857988610323</v>
      </c>
      <c r="K8" s="383">
        <f>'Tahmin Data'!S22/1000</f>
        <v>1728.7068677638556</v>
      </c>
      <c r="L8" s="383">
        <f>K8-'C-Döviz'!AI37/1000</f>
        <v>-1010.8879704027133</v>
      </c>
      <c r="M8" s="384">
        <f t="shared" si="1"/>
        <v>-0.36899177802482441</v>
      </c>
      <c r="N8" s="383">
        <f>'Tahmin Data'!O62/1000</f>
        <v>596.76643504968843</v>
      </c>
      <c r="O8" s="383">
        <f>'Tahmin Data'!Q62/1000</f>
        <v>490.55285031380254</v>
      </c>
      <c r="P8" s="383">
        <f>'Tahmin Data'!S62/1000</f>
        <v>263.00678816949136</v>
      </c>
      <c r="Q8" s="383">
        <f>P8-'C-Döviz'!AI140/1000</f>
        <v>-888.05445736932393</v>
      </c>
      <c r="R8" s="384">
        <f t="shared" si="2"/>
        <v>-0.77150930136095663</v>
      </c>
      <c r="S8" s="383">
        <f>'Tahmin Data'!O102/1000</f>
        <v>-1203.5408464184729</v>
      </c>
      <c r="T8" s="383">
        <f>'Tahmin Data'!Q102/1000</f>
        <v>-1440.003253946358</v>
      </c>
      <c r="U8" s="383">
        <f>'Tahmin Data'!S102/1000</f>
        <v>-1708.7458979581336</v>
      </c>
      <c r="V8" s="383">
        <f>U8-'C-Döviz'!AI216/1000</f>
        <v>-2413.2673142580529</v>
      </c>
      <c r="W8" s="384">
        <f t="shared" si="3"/>
        <v>-3.425399510113273</v>
      </c>
      <c r="X8" s="381"/>
    </row>
    <row r="9" spans="3:26" ht="16" customHeight="1">
      <c r="C9" s="382" t="s">
        <v>12</v>
      </c>
      <c r="D9" s="383">
        <f>'Tahmin Data'!O5/1000</f>
        <v>13327.052768462021</v>
      </c>
      <c r="E9" s="383">
        <f>'Tahmin Data'!Q5/1000</f>
        <v>12990.150871628291</v>
      </c>
      <c r="F9" s="383">
        <f>'Tahmin Data'!S5/1000</f>
        <v>12844.341440322451</v>
      </c>
      <c r="G9" s="383">
        <f>F9-'C-Döviz'!AI11/1000</f>
        <v>-3977.7010299791345</v>
      </c>
      <c r="H9" s="384">
        <f t="shared" si="0"/>
        <v>-0.23645767373382587</v>
      </c>
      <c r="I9" s="383">
        <f>'Tahmin Data'!O21/1000</f>
        <v>2151.0436143936536</v>
      </c>
      <c r="J9" s="383">
        <f>'Tahmin Data'!Q21/1000</f>
        <v>2081.2902149534634</v>
      </c>
      <c r="K9" s="383">
        <f>'Tahmin Data'!S21/1000</f>
        <v>2050.814895313632</v>
      </c>
      <c r="L9" s="383">
        <f>K9-'C-Döviz'!AI38/1000</f>
        <v>-1120.6244736934591</v>
      </c>
      <c r="M9" s="384">
        <f t="shared" si="1"/>
        <v>-0.35334885624639967</v>
      </c>
      <c r="N9" s="383">
        <f>'Tahmin Data'!O61/1000</f>
        <v>455.37839869438494</v>
      </c>
      <c r="O9" s="383">
        <f>'Tahmin Data'!Q61/1000</f>
        <v>488.72535133516345</v>
      </c>
      <c r="P9" s="383">
        <f>'Tahmin Data'!S61/1000</f>
        <v>473.82975475790573</v>
      </c>
      <c r="Q9" s="383">
        <f>P9-'C-Döviz'!AI141/1000</f>
        <v>-358.03084133130284</v>
      </c>
      <c r="R9" s="384">
        <f t="shared" si="2"/>
        <v>-0.43039764476704179</v>
      </c>
      <c r="S9" s="383">
        <f>'Tahmin Data'!O101/1000</f>
        <v>-2.7123574776457668</v>
      </c>
      <c r="T9" s="383">
        <f>'Tahmin Data'!Q101/1000</f>
        <v>10.980640946147714</v>
      </c>
      <c r="U9" s="383">
        <f>'Tahmin Data'!S101/1000</f>
        <v>10.583732081089895</v>
      </c>
      <c r="V9" s="383">
        <f>U9-'C-Döviz'!AI217/1000</f>
        <v>-146.65483644736545</v>
      </c>
      <c r="W9" s="384">
        <f t="shared" si="3"/>
        <v>-0.93268997434828105</v>
      </c>
      <c r="Y9" s="372"/>
      <c r="Z9" s="372"/>
    </row>
    <row r="10" spans="3:26" ht="16" customHeight="1">
      <c r="C10" s="382" t="s">
        <v>13</v>
      </c>
      <c r="D10" s="383">
        <f>'Tahmin Data'!O3/1000</f>
        <v>188623.16651979671</v>
      </c>
      <c r="E10" s="383">
        <f>'Tahmin Data'!Q3/1000</f>
        <v>179530.44806898225</v>
      </c>
      <c r="F10" s="383">
        <f>'Tahmin Data'!S3/1000</f>
        <v>175031.19877250775</v>
      </c>
      <c r="G10" s="383">
        <f>F10-'C-Döviz'!AI12/1000</f>
        <v>-83460.790369715658</v>
      </c>
      <c r="H10" s="384">
        <f t="shared" si="0"/>
        <v>-0.32287573261620561</v>
      </c>
      <c r="I10" s="383">
        <f>'Tahmin Data'!O19/1000</f>
        <v>30932.748222812748</v>
      </c>
      <c r="J10" s="383">
        <f>'Tahmin Data'!Q19/1000</f>
        <v>29215.740191837362</v>
      </c>
      <c r="K10" s="383">
        <f>'Tahmin Data'!S19/1000</f>
        <v>26026.065562253334</v>
      </c>
      <c r="L10" s="383">
        <f>K10-'C-Döviz'!AI39/1000</f>
        <v>-26247.099093089553</v>
      </c>
      <c r="M10" s="384">
        <f t="shared" si="1"/>
        <v>-0.50211421608289442</v>
      </c>
      <c r="N10" s="383">
        <f>'Tahmin Data'!O59/1000</f>
        <v>10575.875504751179</v>
      </c>
      <c r="O10" s="383">
        <f>'Tahmin Data'!Q59/1000</f>
        <v>9274.5208750438833</v>
      </c>
      <c r="P10" s="383">
        <f>'Tahmin Data'!S59/1000</f>
        <v>6204.1747536552812</v>
      </c>
      <c r="Q10" s="383">
        <f>P10-'C-Döviz'!AI142/1000</f>
        <v>-22169.826062541702</v>
      </c>
      <c r="R10" s="384">
        <f t="shared" si="2"/>
        <v>-0.781342969789664</v>
      </c>
      <c r="S10" s="383">
        <f>'Tahmin Data'!O99/1000</f>
        <v>-26431.220325681799</v>
      </c>
      <c r="T10" s="383">
        <f>'Tahmin Data'!Q99/1000</f>
        <v>-26769.171881848997</v>
      </c>
      <c r="U10" s="383">
        <f>'Tahmin Data'!S99/1000</f>
        <v>-29355.247544465699</v>
      </c>
      <c r="V10" s="383">
        <f>U10-'C-Döviz'!AI218/1000</f>
        <v>-29801.068925499803</v>
      </c>
      <c r="W10" s="384">
        <f t="shared" si="3"/>
        <v>-66.845311134191903</v>
      </c>
      <c r="Y10" s="372"/>
      <c r="Z10" s="372"/>
    </row>
    <row r="11" spans="3:26" ht="16" customHeight="1">
      <c r="C11" s="382" t="s">
        <v>14</v>
      </c>
      <c r="D11" s="383">
        <f>'Tahmin Data'!O10/1000</f>
        <v>67920.753234358897</v>
      </c>
      <c r="E11" s="383">
        <f>'Tahmin Data'!Q10/1000</f>
        <v>65560.404214455528</v>
      </c>
      <c r="F11" s="383">
        <f>'Tahmin Data'!S10/1000</f>
        <v>66014.098004867876</v>
      </c>
      <c r="G11" s="383">
        <f>F11-'C-Döviz'!AI13/1000</f>
        <v>-12653.070342444029</v>
      </c>
      <c r="H11" s="384">
        <f t="shared" si="0"/>
        <v>-0.16084308877855258</v>
      </c>
      <c r="I11" s="383">
        <f>'Tahmin Data'!O26/1000</f>
        <v>13230.516903379727</v>
      </c>
      <c r="J11" s="383">
        <f>'Tahmin Data'!Q26/1000</f>
        <v>13039.541547760367</v>
      </c>
      <c r="K11" s="383">
        <f>'Tahmin Data'!S26/1000</f>
        <v>13326.951625869517</v>
      </c>
      <c r="L11" s="383">
        <f>K11-'C-Döviz'!AI40/1000</f>
        <v>-1743.488516124733</v>
      </c>
      <c r="M11" s="384">
        <f t="shared" si="1"/>
        <v>-0.11568928974187342</v>
      </c>
      <c r="N11" s="383">
        <f>'Tahmin Data'!O66/1000</f>
        <v>4252.5571507881332</v>
      </c>
      <c r="O11" s="383">
        <f>'Tahmin Data'!Q66/1000</f>
        <v>4416.1307540423795</v>
      </c>
      <c r="P11" s="383">
        <f>'Tahmin Data'!S66/1000</f>
        <v>4791.8743945592742</v>
      </c>
      <c r="Q11" s="383">
        <f>P11-'C-Döviz'!AI143/1000</f>
        <v>-545.24382581115697</v>
      </c>
      <c r="R11" s="384">
        <f t="shared" si="2"/>
        <v>-0.10216071731933896</v>
      </c>
      <c r="S11" s="383">
        <f>'Tahmin Data'!O106/1000</f>
        <v>1452.9059505058945</v>
      </c>
      <c r="T11" s="383">
        <f>'Tahmin Data'!Q106/1000</f>
        <v>1414.3520958380518</v>
      </c>
      <c r="U11" s="383">
        <f>'Tahmin Data'!S106/1000</f>
        <v>1612.4862341495109</v>
      </c>
      <c r="V11" s="383">
        <f>U11-'C-Döviz'!AI219/1000</f>
        <v>499.63511669098102</v>
      </c>
      <c r="W11" s="384">
        <f t="shared" si="3"/>
        <v>0.44896851775826141</v>
      </c>
      <c r="Y11" s="372"/>
      <c r="Z11" s="372"/>
    </row>
    <row r="12" spans="3:26" ht="16" customHeight="1">
      <c r="C12" s="382" t="s">
        <v>15</v>
      </c>
      <c r="D12" s="383">
        <f>'Tahmin Data'!O9/1000</f>
        <v>138028.08465573497</v>
      </c>
      <c r="E12" s="383">
        <f>'Tahmin Data'!Q9/1000</f>
        <v>134805.52686453701</v>
      </c>
      <c r="F12" s="383">
        <f>'Tahmin Data'!S9/1000</f>
        <v>135924.72653078099</v>
      </c>
      <c r="G12" s="383">
        <f>F12-'C-Döviz'!AI14/1000</f>
        <v>1924.9902195219765</v>
      </c>
      <c r="H12" s="384">
        <f t="shared" si="0"/>
        <v>1.436562692220944E-2</v>
      </c>
      <c r="I12" s="383">
        <f>'Tahmin Data'!O25/1000</f>
        <v>28313.429135442992</v>
      </c>
      <c r="J12" s="383">
        <f>'Tahmin Data'!Q25/1000</f>
        <v>26203.408855703994</v>
      </c>
      <c r="K12" s="383">
        <f>'Tahmin Data'!S25/1000</f>
        <v>26856.800028851012</v>
      </c>
      <c r="L12" s="383">
        <f>K12-'C-Döviz'!AI41/1000</f>
        <v>4618.3393736100152</v>
      </c>
      <c r="M12" s="384">
        <f t="shared" si="1"/>
        <v>0.20767351864894468</v>
      </c>
      <c r="N12" s="383">
        <f>'Tahmin Data'!O65/1000</f>
        <v>25617.40426656299</v>
      </c>
      <c r="O12" s="383">
        <f>'Tahmin Data'!Q65/1000</f>
        <v>23465.102749090995</v>
      </c>
      <c r="P12" s="383">
        <f>'Tahmin Data'!S65/1000</f>
        <v>24141.523709416011</v>
      </c>
      <c r="Q12" s="383">
        <f>P12-'C-Döviz'!AI144/1000</f>
        <v>2979.1055963880099</v>
      </c>
      <c r="R12" s="384">
        <f t="shared" si="2"/>
        <v>0.14077340219235213</v>
      </c>
      <c r="S12" s="383">
        <f>'Tahmin Data'!O105/1000</f>
        <v>15040.334896928001</v>
      </c>
      <c r="T12" s="383">
        <f>'Tahmin Data'!Q105/1000</f>
        <v>13183.786472756001</v>
      </c>
      <c r="U12" s="383">
        <f>'Tahmin Data'!S105/1000</f>
        <v>13840.253032412</v>
      </c>
      <c r="V12" s="383">
        <f>U12-'C-Döviz'!AI220/1000</f>
        <v>3233.2944594679993</v>
      </c>
      <c r="W12" s="384">
        <f t="shared" si="3"/>
        <v>0.30482766923549764</v>
      </c>
      <c r="Y12" s="372"/>
      <c r="Z12" s="372"/>
    </row>
    <row r="13" spans="3:26" ht="16" customHeight="1">
      <c r="C13" s="382" t="s">
        <v>16</v>
      </c>
      <c r="D13" s="383">
        <f>'Tahmin Data'!O8/1000</f>
        <v>94646.152952185003</v>
      </c>
      <c r="E13" s="383">
        <f>'Tahmin Data'!Q8/1000</f>
        <v>94582.018911289008</v>
      </c>
      <c r="F13" s="383">
        <f>'Tahmin Data'!S8/1000</f>
        <v>95763.67946345199</v>
      </c>
      <c r="G13" s="383">
        <f>F13-'C-Döviz'!AI15/1000</f>
        <v>9915.8181450719858</v>
      </c>
      <c r="H13" s="384">
        <f t="shared" si="0"/>
        <v>0.11550454481676198</v>
      </c>
      <c r="I13" s="383">
        <f>'Tahmin Data'!O24/1000</f>
        <v>27497.363958931008</v>
      </c>
      <c r="J13" s="383">
        <f>'Tahmin Data'!Q24/1000</f>
        <v>27357.649035823011</v>
      </c>
      <c r="K13" s="383">
        <f>'Tahmin Data'!S24/1000</f>
        <v>27754.870746806999</v>
      </c>
      <c r="L13" s="383">
        <f>K13-'C-Döviz'!AI42/1000</f>
        <v>5992.4756669779999</v>
      </c>
      <c r="M13" s="384">
        <f t="shared" si="1"/>
        <v>0.27535919851635593</v>
      </c>
      <c r="N13" s="383">
        <f>'Tahmin Data'!O64/1000</f>
        <v>25607.473362751</v>
      </c>
      <c r="O13" s="383">
        <f>'Tahmin Data'!Q64/1000</f>
        <v>25493.942849523009</v>
      </c>
      <c r="P13" s="383">
        <f>'Tahmin Data'!S64/1000</f>
        <v>25763.872134644997</v>
      </c>
      <c r="Q13" s="383">
        <f>P13-'C-Döviz'!AI145/1000</f>
        <v>5623.6208510339966</v>
      </c>
      <c r="R13" s="384">
        <f t="shared" si="2"/>
        <v>0.27922297352914272</v>
      </c>
      <c r="S13" s="383">
        <f>'Tahmin Data'!O104/1000</f>
        <v>13178.547806290997</v>
      </c>
      <c r="T13" s="383">
        <f>'Tahmin Data'!Q104/1000</f>
        <v>8851.394512384999</v>
      </c>
      <c r="U13" s="383">
        <f>'Tahmin Data'!S104/1000</f>
        <v>8923.2264794389994</v>
      </c>
      <c r="V13" s="383">
        <f>U13-'C-Döviz'!AI221/1000</f>
        <v>-2412.3441799230004</v>
      </c>
      <c r="W13" s="384">
        <f t="shared" si="3"/>
        <v>-0.21281188679554086</v>
      </c>
      <c r="Y13" s="372"/>
      <c r="Z13" s="372"/>
    </row>
    <row r="14" spans="3:26" ht="16" customHeight="1">
      <c r="C14" s="382" t="s">
        <v>17</v>
      </c>
      <c r="D14" s="383">
        <f>'Tahmin Data'!O7/1000</f>
        <v>256641.59388602703</v>
      </c>
      <c r="E14" s="383">
        <f>'Tahmin Data'!Q7/1000</f>
        <v>253598.00086721103</v>
      </c>
      <c r="F14" s="383">
        <f>'Tahmin Data'!S7/1000</f>
        <v>253345.34362624801</v>
      </c>
      <c r="G14" s="383">
        <f>F14-'C-Döviz'!AI16/1000</f>
        <v>5662.3672640720033</v>
      </c>
      <c r="H14" s="384">
        <f t="shared" si="0"/>
        <v>2.2861350211619502E-2</v>
      </c>
      <c r="I14" s="383">
        <f>'Tahmin Data'!O23/1000</f>
        <v>38783.63693595201</v>
      </c>
      <c r="J14" s="383">
        <f>'Tahmin Data'!Q23/1000</f>
        <v>37425.15979326002</v>
      </c>
      <c r="K14" s="383">
        <f>'Tahmin Data'!S23/1000</f>
        <v>36848.954424466006</v>
      </c>
      <c r="L14" s="383">
        <f>K14-'C-Döviz'!AI43/1000</f>
        <v>-595.75293418998626</v>
      </c>
      <c r="M14" s="384">
        <f t="shared" si="1"/>
        <v>-1.5910204037213993E-2</v>
      </c>
      <c r="N14" s="383">
        <f>'Tahmin Data'!O63/1000</f>
        <v>35517.852806553004</v>
      </c>
      <c r="O14" s="383">
        <f>'Tahmin Data'!Q63/1000</f>
        <v>34006.684239586015</v>
      </c>
      <c r="P14" s="383">
        <f>'Tahmin Data'!S63/1000</f>
        <v>33466.262659009008</v>
      </c>
      <c r="Q14" s="383">
        <f>P14-'C-Döviz'!AI146/1000</f>
        <v>1536.3115557110068</v>
      </c>
      <c r="R14" s="384">
        <f t="shared" si="2"/>
        <v>4.8115061333505293E-2</v>
      </c>
      <c r="S14" s="383">
        <f>'Tahmin Data'!O103/1000</f>
        <v>24911.378931583004</v>
      </c>
      <c r="T14" s="383">
        <f>'Tahmin Data'!Q103/1000</f>
        <v>23893.310107031997</v>
      </c>
      <c r="U14" s="383">
        <f>'Tahmin Data'!S103/1000</f>
        <v>22989.243542978002</v>
      </c>
      <c r="V14" s="383">
        <f>U14-'C-Döviz'!AI222/1000</f>
        <v>-2718.8421506749983</v>
      </c>
      <c r="W14" s="384">
        <f t="shared" si="3"/>
        <v>-0.10575824987802362</v>
      </c>
      <c r="Y14" s="372"/>
      <c r="Z14" s="372"/>
    </row>
    <row r="15" spans="3:26" ht="16" customHeight="1">
      <c r="C15" s="382"/>
      <c r="D15" s="385"/>
      <c r="E15" s="385"/>
      <c r="F15" s="385"/>
      <c r="G15" s="386"/>
      <c r="H15" s="385"/>
      <c r="I15" s="385"/>
      <c r="J15" s="386"/>
      <c r="K15" s="386"/>
      <c r="L15" s="385"/>
      <c r="M15" s="385"/>
      <c r="N15" s="386"/>
      <c r="O15" s="385"/>
      <c r="P15" s="385"/>
      <c r="Q15" s="385"/>
      <c r="R15" s="386"/>
      <c r="Y15" s="372"/>
      <c r="Z15" s="372"/>
    </row>
    <row r="16" spans="3:26" ht="16" customHeight="1">
      <c r="C16" s="374"/>
      <c r="D16" s="434" t="s">
        <v>18</v>
      </c>
      <c r="E16" s="443"/>
      <c r="F16" s="443"/>
      <c r="G16" s="443"/>
      <c r="H16" s="447"/>
      <c r="I16" s="434" t="s">
        <v>19</v>
      </c>
      <c r="J16" s="443"/>
      <c r="K16" s="443"/>
      <c r="L16" s="443"/>
      <c r="M16" s="447"/>
      <c r="N16" s="434" t="s">
        <v>20</v>
      </c>
      <c r="O16" s="443"/>
      <c r="P16" s="443"/>
      <c r="Q16" s="443"/>
      <c r="R16" s="447"/>
      <c r="Y16" s="372"/>
      <c r="Z16" s="372"/>
    </row>
    <row r="17" spans="3:26" ht="16" customHeight="1">
      <c r="C17" s="403" t="s">
        <v>1</v>
      </c>
      <c r="D17" s="434"/>
      <c r="E17" s="443"/>
      <c r="F17" s="443"/>
      <c r="G17" s="443"/>
      <c r="H17" s="447"/>
      <c r="I17" s="434"/>
      <c r="J17" s="443"/>
      <c r="K17" s="443"/>
      <c r="L17" s="443"/>
      <c r="M17" s="447"/>
      <c r="N17" s="434"/>
      <c r="O17" s="443"/>
      <c r="P17" s="443"/>
      <c r="Q17" s="443"/>
      <c r="R17" s="447"/>
      <c r="Z17" s="388"/>
    </row>
    <row r="18" spans="3:26" s="323" customFormat="1" ht="13">
      <c r="C18" s="370"/>
      <c r="D18" s="371" t="s">
        <v>39</v>
      </c>
      <c r="E18" s="371" t="s">
        <v>170</v>
      </c>
      <c r="F18" s="371" t="s">
        <v>169</v>
      </c>
      <c r="G18" s="371" t="s">
        <v>40</v>
      </c>
      <c r="H18" s="371" t="s">
        <v>8</v>
      </c>
      <c r="I18" s="371" t="s">
        <v>39</v>
      </c>
      <c r="J18" s="371" t="s">
        <v>170</v>
      </c>
      <c r="K18" s="371" t="s">
        <v>169</v>
      </c>
      <c r="L18" s="371" t="s">
        <v>40</v>
      </c>
      <c r="M18" s="371" t="s">
        <v>8</v>
      </c>
      <c r="N18" s="371" t="s">
        <v>39</v>
      </c>
      <c r="O18" s="371" t="s">
        <v>170</v>
      </c>
      <c r="P18" s="371" t="s">
        <v>169</v>
      </c>
      <c r="Q18" s="371" t="s">
        <v>40</v>
      </c>
      <c r="R18" s="371" t="s">
        <v>8</v>
      </c>
      <c r="Y18" s="322"/>
    </row>
    <row r="19" spans="3:26" ht="16" customHeight="1">
      <c r="C19" s="382" t="s">
        <v>9</v>
      </c>
      <c r="D19" s="383">
        <f>SUM(D20:D27)</f>
        <v>11368.659906720308</v>
      </c>
      <c r="E19" s="383">
        <f>SUM(E20:E27)</f>
        <v>14457.74481255685</v>
      </c>
      <c r="F19" s="383">
        <f>SUM(F20:F27)</f>
        <v>15244.086953951717</v>
      </c>
      <c r="G19" s="383">
        <f>SUM(G20:G27)</f>
        <v>6001.7735567260861</v>
      </c>
      <c r="H19" s="384">
        <f>(F19/(F19-G19))-1</f>
        <v>0.64938000896265935</v>
      </c>
      <c r="I19" s="383">
        <f>SUM(I20:I27)</f>
        <v>108461.55523497469</v>
      </c>
      <c r="J19" s="383">
        <f>SUM(J20:J27)</f>
        <v>96880.474915316576</v>
      </c>
      <c r="K19" s="383">
        <f>SUM(K20:K27)</f>
        <v>88358.719381032599</v>
      </c>
      <c r="L19" s="383">
        <f>SUM(L20:L27)</f>
        <v>-7782.0647669401696</v>
      </c>
      <c r="M19" s="384">
        <f>(K19/(K19-L19))-1</f>
        <v>-8.0944469466387892E-2</v>
      </c>
      <c r="N19" s="383">
        <f>SUM(N20:N27)</f>
        <v>90736.943941437814</v>
      </c>
      <c r="O19" s="383">
        <f>SUM(O20:O27)</f>
        <v>79885.440260728661</v>
      </c>
      <c r="P19" s="383">
        <f>SUM(P20:P27)</f>
        <v>70451.485191970816</v>
      </c>
      <c r="Q19" s="383">
        <f>SUM(Q20:Q27)</f>
        <v>-9408.9875481539511</v>
      </c>
      <c r="R19" s="384">
        <f>(P19/(P19-Q19))-1</f>
        <v>-0.11781782933807428</v>
      </c>
      <c r="Z19" s="388"/>
    </row>
    <row r="20" spans="3:26" ht="16" customHeight="1">
      <c r="C20" s="382" t="s">
        <v>10</v>
      </c>
      <c r="D20" s="383">
        <f>'Tahmin Data'!O92/1000</f>
        <v>410.74147057132984</v>
      </c>
      <c r="E20" s="383">
        <f>'Tahmin Data'!Q92/1000</f>
        <v>590.84300188964778</v>
      </c>
      <c r="F20" s="383">
        <f>'Tahmin Data'!S92/1000</f>
        <v>827.15496519707426</v>
      </c>
      <c r="G20" s="383">
        <f>F20-('C-Döviz'!AI202/-1000)</f>
        <v>-21.556876411458347</v>
      </c>
      <c r="H20" s="384">
        <f>(F20/(F20-G20))-1</f>
        <v>-2.5399523553957248E-2</v>
      </c>
      <c r="I20" s="383">
        <f>'Tahmin Data'!O140/1000</f>
        <v>3252.9797587522976</v>
      </c>
      <c r="J20" s="383">
        <f>'Tahmin Data'!Q140/1000</f>
        <v>2990.0395524367859</v>
      </c>
      <c r="K20" s="383">
        <f>'Tahmin Data'!S140/1000</f>
        <v>2775.1665192354899</v>
      </c>
      <c r="L20" s="383">
        <f>K20-('C-Döviz'!AI291/1000)</f>
        <v>-454.21832977540498</v>
      </c>
      <c r="M20" s="384">
        <f>(K20/(K20-L20))-1</f>
        <v>-0.14065165689822456</v>
      </c>
      <c r="N20" s="383">
        <f>'Tahmin Data'!O148/1000</f>
        <v>3239.5278973887498</v>
      </c>
      <c r="O20" s="383">
        <f>'Tahmin Data'!Q148/1000</f>
        <v>2976.9008844533623</v>
      </c>
      <c r="P20" s="383">
        <f>'Tahmin Data'!S148/1000</f>
        <v>2762.1044024538842</v>
      </c>
      <c r="Q20" s="383">
        <f>P20-('C-Döviz'!AI304/1000)</f>
        <v>-452.35211505385223</v>
      </c>
      <c r="R20" s="384">
        <f>(P20/(P20-Q20))-1</f>
        <v>-0.14072429121068786</v>
      </c>
      <c r="Z20" s="388"/>
    </row>
    <row r="21" spans="3:26" ht="16" customHeight="1">
      <c r="C21" s="382" t="s">
        <v>11</v>
      </c>
      <c r="D21" s="383">
        <f>'Tahmin Data'!O94/1000</f>
        <v>3.357126347655115</v>
      </c>
      <c r="E21" s="383">
        <f>'Tahmin Data'!Q94/1000</f>
        <v>1.1061965044759892</v>
      </c>
      <c r="F21" s="383">
        <f>'Tahmin Data'!S94/1000</f>
        <v>0.48283212432487926</v>
      </c>
      <c r="G21" s="383">
        <f>F21-('C-Döviz'!AI203/-1000)</f>
        <v>-175.64752195062638</v>
      </c>
      <c r="H21" s="384">
        <f>(F21/(F21-G21))-1</f>
        <v>-0.99725866602119351</v>
      </c>
      <c r="I21" s="383">
        <f>'Tahmin Data'!O142/1000</f>
        <v>771.42031616719498</v>
      </c>
      <c r="J21" s="383">
        <f>'Tahmin Data'!Q142/1000</f>
        <v>634.70742123282093</v>
      </c>
      <c r="K21" s="383">
        <f>'Tahmin Data'!S142/1000</f>
        <v>513.20467861101554</v>
      </c>
      <c r="L21" s="383">
        <f>K21-('C-Döviz'!AI292/1000)</f>
        <v>-690.11325513474424</v>
      </c>
      <c r="M21" s="384">
        <f>(K21/(K21-L21))-1</f>
        <v>-0.57350865949992003</v>
      </c>
      <c r="N21" s="383">
        <f>'Tahmin Data'!O150/1000</f>
        <v>186.51448178319168</v>
      </c>
      <c r="O21" s="383">
        <f>'Tahmin Data'!Q150/1000</f>
        <v>54.325379435000123</v>
      </c>
      <c r="P21" s="383">
        <f>'Tahmin Data'!S150/1000</f>
        <v>-69.172497435307136</v>
      </c>
      <c r="Q21" s="383">
        <f>P21-('C-Döviz'!AI305/1000)</f>
        <v>-645.37776163566548</v>
      </c>
      <c r="R21" s="384">
        <f>(P21/(P21-Q21))-1</f>
        <v>-1.1200483607717517</v>
      </c>
      <c r="Z21" s="388"/>
    </row>
    <row r="22" spans="3:26" ht="16" customHeight="1">
      <c r="C22" s="382" t="s">
        <v>12</v>
      </c>
      <c r="D22" s="383">
        <f>'Tahmin Data'!O93/1000</f>
        <v>1.9830577288798405E-3</v>
      </c>
      <c r="E22" s="383">
        <f>'Tahmin Data'!Q93/1000</f>
        <v>2.3131390162173756E-3</v>
      </c>
      <c r="F22" s="383">
        <f>'Tahmin Data'!S93/1000</f>
        <v>8.4467769391150664</v>
      </c>
      <c r="G22" s="383">
        <f>F22-('C-Döviz'!AI204/-1000)</f>
        <v>-93.874758365181393</v>
      </c>
      <c r="H22" s="384">
        <f>(F22/(F22-G22))-1</f>
        <v>-0.91744868845062777</v>
      </c>
      <c r="I22" s="383">
        <f>'Tahmin Data'!O141/1000</f>
        <v>855.04791971504415</v>
      </c>
      <c r="J22" s="383">
        <f>'Tahmin Data'!Q141/1000</f>
        <v>843.21919260105051</v>
      </c>
      <c r="K22" s="383">
        <f>'Tahmin Data'!S141/1000</f>
        <v>967.11505001238515</v>
      </c>
      <c r="L22" s="383">
        <f>K22-('C-Döviz'!AI293/1000)</f>
        <v>1282.0655229508523</v>
      </c>
      <c r="M22" s="384">
        <f>-(K22/(K22-L22))</f>
        <v>3.0706893086689653</v>
      </c>
      <c r="N22" s="383">
        <f>'Tahmin Data'!O149/1000</f>
        <v>855.04791971504415</v>
      </c>
      <c r="O22" s="383">
        <f>'Tahmin Data'!Q149/1000</f>
        <v>843.21919260105051</v>
      </c>
      <c r="P22" s="383">
        <f>'Tahmin Data'!S149/1000</f>
        <v>967.11505001238515</v>
      </c>
      <c r="Q22" s="383">
        <f>P22-('C-Döviz'!AI306/1000)</f>
        <v>1282.0655229508523</v>
      </c>
      <c r="R22" s="384">
        <f>-(P22/(P22-Q22))</f>
        <v>3.0706893086689653</v>
      </c>
      <c r="Z22" s="388"/>
    </row>
    <row r="23" spans="3:26" ht="16" customHeight="1">
      <c r="C23" s="382" t="s">
        <v>13</v>
      </c>
      <c r="D23" s="383">
        <f>'Tahmin Data'!O91/1000</f>
        <v>0</v>
      </c>
      <c r="E23" s="383">
        <f>'Tahmin Data'!Q91/1000</f>
        <v>0</v>
      </c>
      <c r="F23" s="383">
        <f>'Tahmin Data'!S91/1000</f>
        <v>0</v>
      </c>
      <c r="G23" s="383">
        <f>F23-('C-Döviz'!AI205/-1000)</f>
        <v>0</v>
      </c>
      <c r="H23" s="384">
        <v>0</v>
      </c>
      <c r="I23" s="383">
        <f>'Tahmin Data'!O139/1000</f>
        <v>15056.206108337958</v>
      </c>
      <c r="J23" s="383">
        <f>'Tahmin Data'!Q139/1000</f>
        <v>13354.777636417784</v>
      </c>
      <c r="K23" s="383">
        <f>'Tahmin Data'!S139/1000</f>
        <v>8648.9198707051073</v>
      </c>
      <c r="L23" s="383">
        <f>K23-('C-Döviz'!AI294/1000)</f>
        <v>-12656.813489217897</v>
      </c>
      <c r="M23" s="384">
        <f>(K23/(K23-L23))-1</f>
        <v>-0.59405669241247072</v>
      </c>
      <c r="N23" s="383">
        <f>'Tahmin Data'!O147/1000</f>
        <v>9583.6561532233518</v>
      </c>
      <c r="O23" s="383">
        <f>'Tahmin Data'!Q147/1000</f>
        <v>8095.740237162333</v>
      </c>
      <c r="P23" s="383">
        <f>'Tahmin Data'!S147/1000</f>
        <v>3428.1353628490992</v>
      </c>
      <c r="Q23" s="383">
        <f>P23-('C-Döviz'!AI307/1000)</f>
        <v>-11707.110203934466</v>
      </c>
      <c r="R23" s="384">
        <f>-(P23/(P23-Q23))</f>
        <v>-0.22650014812925312</v>
      </c>
      <c r="Z23" s="388"/>
    </row>
    <row r="24" spans="3:26" ht="16" customHeight="1">
      <c r="C24" s="382" t="s">
        <v>14</v>
      </c>
      <c r="D24" s="383">
        <f>'Tahmin Data'!O98/1000</f>
        <v>360.08077681159341</v>
      </c>
      <c r="E24" s="383">
        <f>'Tahmin Data'!Q98/1000</f>
        <v>389.20971891270932</v>
      </c>
      <c r="F24" s="383">
        <f>'Tahmin Data'!S98/1000</f>
        <v>349.57752502820432</v>
      </c>
      <c r="G24" s="383">
        <f>F24-('C-Döviz'!AI206/-1000)</f>
        <v>-164.33968922064611</v>
      </c>
      <c r="H24" s="384">
        <f>(F24/(F24-G24))-1</f>
        <v>-0.31977852592629652</v>
      </c>
      <c r="I24" s="383">
        <f>'Tahmin Data'!O146/1000</f>
        <v>5383.029468572191</v>
      </c>
      <c r="J24" s="383">
        <f>'Tahmin Data'!Q146/1000</f>
        <v>5017.2294246311039</v>
      </c>
      <c r="K24" s="383">
        <f>'Tahmin Data'!S146/1000</f>
        <v>5842.0166181045797</v>
      </c>
      <c r="L24" s="383">
        <f>K24-('C-Döviz'!AI295/1000)</f>
        <v>366.90171791101329</v>
      </c>
      <c r="M24" s="384">
        <f>(K24/(K24-L24))-1</f>
        <v>6.7012606054722701E-2</v>
      </c>
      <c r="N24" s="383">
        <f>'Tahmin Data'!O154/1000</f>
        <v>4147.0188738984825</v>
      </c>
      <c r="O24" s="383">
        <f>'Tahmin Data'!Q154/1000</f>
        <v>3768.7038525008838</v>
      </c>
      <c r="P24" s="383">
        <f>'Tahmin Data'!S154/1000</f>
        <v>3840.7678524927292</v>
      </c>
      <c r="Q24" s="383">
        <f>P24-('C-Döviz'!AI308/1000)</f>
        <v>-741.44074163984669</v>
      </c>
      <c r="R24" s="384">
        <f>(P24/(P24-Q24))-1</f>
        <v>-0.16180859653339363</v>
      </c>
      <c r="Z24" s="388"/>
    </row>
    <row r="25" spans="3:26" ht="16" customHeight="1">
      <c r="C25" s="382" t="s">
        <v>15</v>
      </c>
      <c r="D25" s="383">
        <f>'Tahmin Data'!O97/1000</f>
        <v>4700.8965928039997</v>
      </c>
      <c r="E25" s="383">
        <f>'Tahmin Data'!Q97/1000</f>
        <v>4211.0715147840001</v>
      </c>
      <c r="F25" s="383">
        <f>'Tahmin Data'!S97/1000</f>
        <v>4273.6600162660006</v>
      </c>
      <c r="G25" s="383">
        <f>F25-('C-Döviz'!AI207/-1000)</f>
        <v>1280.7591729780006</v>
      </c>
      <c r="H25" s="384">
        <f>(F25/(F25-G25))-1</f>
        <v>0.42793237732893252</v>
      </c>
      <c r="I25" s="383">
        <f>'Tahmin Data'!O145/1000</f>
        <v>20934.517210822989</v>
      </c>
      <c r="J25" s="383">
        <f>'Tahmin Data'!Q145/1000</f>
        <v>18760.218706181993</v>
      </c>
      <c r="K25" s="383">
        <f>'Tahmin Data'!S145/1000</f>
        <v>16915.992229906009</v>
      </c>
      <c r="L25" s="383">
        <f>K25-('C-Döviz'!AI296/1000)</f>
        <v>1325.0498326910056</v>
      </c>
      <c r="M25" s="384">
        <f>(K25/(K25-L25))-1</f>
        <v>8.4988437448636711E-2</v>
      </c>
      <c r="N25" s="383">
        <f>'Tahmin Data'!O153/1000</f>
        <v>17535.581180211986</v>
      </c>
      <c r="O25" s="383">
        <f>'Tahmin Data'!Q153/1000</f>
        <v>15333.093145526995</v>
      </c>
      <c r="P25" s="383">
        <f>'Tahmin Data'!S153/1000</f>
        <v>13489.000769906008</v>
      </c>
      <c r="Q25" s="383">
        <f>P25-('C-Döviz'!AI309/1000)</f>
        <v>768.0744576300076</v>
      </c>
      <c r="R25" s="384">
        <f>(P25/(P25-Q25))-1</f>
        <v>6.0378815093740323E-2</v>
      </c>
      <c r="Z25" s="388"/>
    </row>
    <row r="26" spans="3:26" ht="16" customHeight="1">
      <c r="C26" s="382" t="s">
        <v>16</v>
      </c>
      <c r="D26" s="383">
        <f>'Tahmin Data'!O96/1000</f>
        <v>4677.6054388730008</v>
      </c>
      <c r="E26" s="383">
        <f>'Tahmin Data'!Q96/1000</f>
        <v>8383.4497694870006</v>
      </c>
      <c r="F26" s="383">
        <f>'Tahmin Data'!S96/1000</f>
        <v>8408.4781978669998</v>
      </c>
      <c r="G26" s="383">
        <f>F26-('C-Döviz'!AI208/-1000)</f>
        <v>3070.5851777049984</v>
      </c>
      <c r="H26" s="384">
        <f>(F26/(F26-G26))-1</f>
        <v>0.57524292189951165</v>
      </c>
      <c r="I26" s="383">
        <f>'Tahmin Data'!O144/1000</f>
        <v>28253.002924494998</v>
      </c>
      <c r="J26" s="383">
        <f>'Tahmin Data'!Q144/1000</f>
        <v>24170.708240723008</v>
      </c>
      <c r="K26" s="383">
        <f>'Tahmin Data'!S144/1000</f>
        <v>24930.269750263997</v>
      </c>
      <c r="L26" s="383">
        <f>K26-('C-Döviz'!AI297/1000)</f>
        <v>3374.7710881780004</v>
      </c>
      <c r="M26" s="384">
        <f>(K26/(K26-L26))-1</f>
        <v>0.15656195855556287</v>
      </c>
      <c r="N26" s="383">
        <f>'Tahmin Data'!O152/1000</f>
        <v>25117.016067105</v>
      </c>
      <c r="O26" s="383">
        <f>'Tahmin Data'!Q152/1000</f>
        <v>21586.652987957008</v>
      </c>
      <c r="P26" s="383">
        <f>'Tahmin Data'!S152/1000</f>
        <v>21850.269747497998</v>
      </c>
      <c r="Q26" s="383">
        <f>P26-('C-Döviz'!AI310/1000)</f>
        <v>3381.7710854119978</v>
      </c>
      <c r="R26" s="384">
        <f>(P26/(P26-Q26))-1</f>
        <v>0.18311023257967585</v>
      </c>
      <c r="Z26" s="388"/>
    </row>
    <row r="27" spans="3:26" ht="16" customHeight="1">
      <c r="C27" s="382" t="s">
        <v>17</v>
      </c>
      <c r="D27" s="383">
        <f>'Tahmin Data'!O95/1000</f>
        <v>1215.976518255</v>
      </c>
      <c r="E27" s="383">
        <f>'Tahmin Data'!Q95/1000</f>
        <v>882.06229784000004</v>
      </c>
      <c r="F27" s="383">
        <f>'Tahmin Data'!S95/1000</f>
        <v>1376.2866405299999</v>
      </c>
      <c r="G27" s="383">
        <f>F27-('C-Döviz'!AI209/-1000)</f>
        <v>2105.8480519909999</v>
      </c>
      <c r="H27" s="384">
        <f>(F27/(F27-G27))-1</f>
        <v>-2.8864575605415936</v>
      </c>
      <c r="I27" s="383">
        <f>'Tahmin Data'!O143/1000</f>
        <v>33955.351528112013</v>
      </c>
      <c r="J27" s="383">
        <f>'Tahmin Data'!Q143/1000</f>
        <v>31109.57474109203</v>
      </c>
      <c r="K27" s="383">
        <f>'Tahmin Data'!S143/1000</f>
        <v>27766.034664194012</v>
      </c>
      <c r="L27" s="383">
        <f>K27-('C-Döviz'!AI298/1000)</f>
        <v>-329.70785454299403</v>
      </c>
      <c r="M27" s="384">
        <f>(K27/(K27-L27))-1</f>
        <v>-1.1735153620628158E-2</v>
      </c>
      <c r="N27" s="383">
        <f>'Tahmin Data'!O151/1000</f>
        <v>30072.581368112013</v>
      </c>
      <c r="O27" s="383">
        <f>'Tahmin Data'!Q151/1000</f>
        <v>27226.804581092027</v>
      </c>
      <c r="P27" s="383">
        <f>'Tahmin Data'!S151/1000</f>
        <v>24183.264504194016</v>
      </c>
      <c r="Q27" s="383">
        <f>P27-('C-Döviz'!AI311/1000)</f>
        <v>-1294.6177918829781</v>
      </c>
      <c r="R27" s="384">
        <f>(P27/(P27-Q27))-1</f>
        <v>-5.0813398729074089E-2</v>
      </c>
    </row>
    <row r="28" spans="3:26" ht="16" customHeight="1">
      <c r="C28" s="382"/>
      <c r="D28" s="382"/>
      <c r="E28" s="382"/>
      <c r="F28" s="382"/>
      <c r="G28" s="382"/>
      <c r="H28" s="382"/>
      <c r="I28" s="382"/>
      <c r="J28" s="382"/>
      <c r="K28" s="382"/>
      <c r="L28" s="385"/>
      <c r="M28" s="385"/>
      <c r="N28" s="385"/>
      <c r="R28" s="384"/>
      <c r="S28" s="386"/>
    </row>
    <row r="29" spans="3:26" ht="16" customHeight="1">
      <c r="C29" s="382"/>
      <c r="D29" s="382"/>
      <c r="E29" s="382"/>
      <c r="F29" s="382"/>
      <c r="G29" s="382"/>
      <c r="H29" s="382"/>
      <c r="I29" s="382"/>
      <c r="J29" s="382"/>
      <c r="K29" s="382"/>
      <c r="L29" s="385"/>
      <c r="M29" s="385"/>
      <c r="N29" s="385"/>
      <c r="S29" s="386"/>
    </row>
    <row r="30" spans="3:26" ht="16" customHeight="1">
      <c r="C30" s="374"/>
      <c r="D30" s="434" t="s">
        <v>22</v>
      </c>
      <c r="E30" s="443"/>
      <c r="F30" s="443"/>
      <c r="G30" s="447"/>
      <c r="H30" s="434" t="s">
        <v>23</v>
      </c>
      <c r="I30" s="443"/>
      <c r="J30" s="443"/>
      <c r="K30" s="447"/>
      <c r="L30" s="434" t="s">
        <v>24</v>
      </c>
      <c r="M30" s="443"/>
      <c r="N30" s="443"/>
      <c r="O30" s="447"/>
    </row>
    <row r="31" spans="3:26" ht="16" customHeight="1">
      <c r="C31" s="403" t="s">
        <v>1</v>
      </c>
      <c r="D31" s="434"/>
      <c r="E31" s="443"/>
      <c r="F31" s="443"/>
      <c r="G31" s="447"/>
      <c r="H31" s="434"/>
      <c r="I31" s="443"/>
      <c r="J31" s="443"/>
      <c r="K31" s="447"/>
      <c r="L31" s="434"/>
      <c r="M31" s="443"/>
      <c r="N31" s="443"/>
      <c r="O31" s="447"/>
    </row>
    <row r="32" spans="3:26" s="323" customFormat="1" ht="13">
      <c r="C32" s="370"/>
      <c r="D32" s="371" t="s">
        <v>39</v>
      </c>
      <c r="E32" s="371" t="s">
        <v>170</v>
      </c>
      <c r="F32" s="371" t="s">
        <v>169</v>
      </c>
      <c r="G32" s="371" t="s">
        <v>40</v>
      </c>
      <c r="H32" s="371" t="s">
        <v>39</v>
      </c>
      <c r="I32" s="371" t="s">
        <v>170</v>
      </c>
      <c r="J32" s="371" t="s">
        <v>169</v>
      </c>
      <c r="K32" s="371" t="s">
        <v>40</v>
      </c>
      <c r="L32" s="371" t="s">
        <v>39</v>
      </c>
      <c r="M32" s="371" t="s">
        <v>170</v>
      </c>
      <c r="N32" s="371" t="s">
        <v>169</v>
      </c>
      <c r="O32" s="371" t="s">
        <v>40</v>
      </c>
    </row>
    <row r="33" spans="3:19" ht="16" customHeight="1">
      <c r="C33" s="382"/>
      <c r="E33" s="373"/>
      <c r="G33" s="383"/>
      <c r="I33" s="373"/>
      <c r="K33" s="383"/>
      <c r="O33" s="383"/>
    </row>
    <row r="34" spans="3:19" ht="16" customHeight="1">
      <c r="C34" s="382" t="s">
        <v>10</v>
      </c>
      <c r="D34" s="384">
        <f>'Tahmin Data'!O28/1000/D7*-1</f>
        <v>0.60682417702976088</v>
      </c>
      <c r="E34" s="384">
        <f>'Tahmin Data'!Q28/1000/E7*-1</f>
        <v>0.61866795705519273</v>
      </c>
      <c r="F34" s="384">
        <f>'Tahmin Data'!S28/1000/F7*-1</f>
        <v>0.61690877350168638</v>
      </c>
      <c r="G34" s="384">
        <f>-(F34-'C-Döviz'!AI102)</f>
        <v>-3.782942782514831E-2</v>
      </c>
      <c r="H34" s="384">
        <f t="shared" ref="H34:J41" si="4">I7/D7</f>
        <v>1</v>
      </c>
      <c r="I34" s="384">
        <f t="shared" si="4"/>
        <v>1</v>
      </c>
      <c r="J34" s="384">
        <f t="shared" si="4"/>
        <v>1</v>
      </c>
      <c r="K34" s="384">
        <f>J34-'C-Döviz'!AI79</f>
        <v>0</v>
      </c>
      <c r="L34" s="384">
        <f t="shared" ref="L34:N41" si="5">N7/D7</f>
        <v>0.40002845557796807</v>
      </c>
      <c r="M34" s="384">
        <f t="shared" si="5"/>
        <v>0.38724700040855026</v>
      </c>
      <c r="N34" s="384">
        <f t="shared" si="5"/>
        <v>0.38900644290868763</v>
      </c>
      <c r="O34" s="384">
        <f>N34-'C-Döviz'!AI150</f>
        <v>-3.768535132410461E-2</v>
      </c>
    </row>
    <row r="35" spans="3:19" ht="16" customHeight="1">
      <c r="C35" s="382" t="s">
        <v>11</v>
      </c>
      <c r="D35" s="384">
        <f>'Tahmin Data'!O30/1000/D8*-1</f>
        <v>0.19565258748301759</v>
      </c>
      <c r="E35" s="384">
        <f>'Tahmin Data'!Q30/1000/E8*-1</f>
        <v>0.20575323161953663</v>
      </c>
      <c r="F35" s="384">
        <f>'Tahmin Data'!S30/1000/F8*-1</f>
        <v>0.21588734161782719</v>
      </c>
      <c r="G35" s="384">
        <f>-(F35-'C-Döviz'!AI103)</f>
        <v>-2.5050889264314258E-2</v>
      </c>
      <c r="H35" s="384">
        <f t="shared" si="4"/>
        <v>0.24718473294531107</v>
      </c>
      <c r="I35" s="384">
        <f t="shared" si="4"/>
        <v>0.24803319159355453</v>
      </c>
      <c r="J35" s="384">
        <f t="shared" si="4"/>
        <v>0.23026287150664612</v>
      </c>
      <c r="K35" s="384">
        <f>J35-'C-Döviz'!AI80</f>
        <v>-6.1193054163484334E-2</v>
      </c>
      <c r="L35" s="384">
        <f t="shared" si="5"/>
        <v>7.1545818989874735E-2</v>
      </c>
      <c r="M35" s="384">
        <f t="shared" si="5"/>
        <v>6.2923040123847931E-2</v>
      </c>
      <c r="N35" s="384">
        <f t="shared" si="5"/>
        <v>3.5032369801356038E-2</v>
      </c>
      <c r="O35" s="384">
        <f>N35-'C-Döviz'!AI151</f>
        <v>-8.7425015556416741E-2</v>
      </c>
    </row>
    <row r="36" spans="3:19" ht="16" customHeight="1">
      <c r="C36" s="382" t="s">
        <v>12</v>
      </c>
      <c r="D36" s="384">
        <f>'Tahmin Data'!O29/1000/D9*-1</f>
        <v>0.12764511625857503</v>
      </c>
      <c r="E36" s="384">
        <f>'Tahmin Data'!Q29/1000/E9*-1</f>
        <v>0.12310904533771914</v>
      </c>
      <c r="F36" s="384">
        <f>'Tahmin Data'!S29/1000/F9*-1</f>
        <v>0.12329410573892406</v>
      </c>
      <c r="G36" s="384">
        <f>-(F36-'C-Döviz'!AI104)</f>
        <v>1.6620069162902776E-2</v>
      </c>
      <c r="H36" s="384">
        <f t="shared" si="4"/>
        <v>0.1614042993424637</v>
      </c>
      <c r="I36" s="384">
        <f t="shared" si="4"/>
        <v>0.16022063450388374</v>
      </c>
      <c r="J36" s="384">
        <f t="shared" si="4"/>
        <v>0.159666799955619</v>
      </c>
      <c r="K36" s="384">
        <f>J36-'C-Döviz'!AI81</f>
        <v>-2.8861993418080878E-2</v>
      </c>
      <c r="L36" s="384">
        <f t="shared" si="5"/>
        <v>3.4169475172486835E-2</v>
      </c>
      <c r="M36" s="384">
        <f t="shared" si="5"/>
        <v>3.7622761749641069E-2</v>
      </c>
      <c r="N36" s="384">
        <f t="shared" si="5"/>
        <v>3.6890155634636455E-2</v>
      </c>
      <c r="O36" s="384">
        <f>N36-'C-Döviz'!AI152</f>
        <v>-1.2560474249208746E-2</v>
      </c>
      <c r="Q36" s="408"/>
    </row>
    <row r="37" spans="3:19" ht="16" customHeight="1">
      <c r="C37" s="382" t="s">
        <v>13</v>
      </c>
      <c r="D37" s="384">
        <f>'Tahmin Data'!O27/1000/D10*-1</f>
        <v>0.12172349762551241</v>
      </c>
      <c r="E37" s="384">
        <f>'Tahmin Data'!Q27/1000/E10*-1</f>
        <v>0.12482421163407638</v>
      </c>
      <c r="F37" s="384">
        <f>'Tahmin Data'!S27/1000/F10*-1</f>
        <v>0.12744526060929534</v>
      </c>
      <c r="G37" s="384">
        <f>-(F37-'C-Döviz'!AI105)</f>
        <v>-2.4454443938721301E-2</v>
      </c>
      <c r="H37" s="384">
        <f t="shared" si="4"/>
        <v>0.16399230695539321</v>
      </c>
      <c r="I37" s="384">
        <f t="shared" si="4"/>
        <v>0.16273417966746004</v>
      </c>
      <c r="J37" s="384">
        <f t="shared" si="4"/>
        <v>0.14869386569236742</v>
      </c>
      <c r="K37" s="384">
        <f>J37-'C-Döviz'!AI82</f>
        <v>-5.3529672564293834E-2</v>
      </c>
      <c r="L37" s="384">
        <f t="shared" si="5"/>
        <v>5.6068804802093072E-2</v>
      </c>
      <c r="M37" s="384">
        <f t="shared" si="5"/>
        <v>5.1659877055953589E-2</v>
      </c>
      <c r="N37" s="384">
        <f t="shared" si="5"/>
        <v>3.5446107877710395E-2</v>
      </c>
      <c r="O37" s="384">
        <f>N37-'C-Döviz'!AI153</f>
        <v>-7.4321320158852414E-2</v>
      </c>
    </row>
    <row r="38" spans="3:19" ht="16" customHeight="1">
      <c r="C38" s="382" t="s">
        <v>14</v>
      </c>
      <c r="D38" s="384">
        <f>'Tahmin Data'!O34/1000/D11*-1</f>
        <v>0.16245587705244502</v>
      </c>
      <c r="E38" s="384">
        <f>'Tahmin Data'!Q34/1000/E11*-1</f>
        <v>0.16333987231948591</v>
      </c>
      <c r="F38" s="384">
        <f>'Tahmin Data'!S34/1000/F11*-1</f>
        <v>0.16193423596475379</v>
      </c>
      <c r="G38" s="384">
        <f>-(F38-'C-Döviz'!AI106)</f>
        <v>-1.3974318448353201E-2</v>
      </c>
      <c r="H38" s="384">
        <f t="shared" si="4"/>
        <v>0.19479343607583607</v>
      </c>
      <c r="I38" s="384">
        <f t="shared" si="4"/>
        <v>0.19889355021525715</v>
      </c>
      <c r="J38" s="384">
        <f t="shared" si="4"/>
        <v>0.20188038659388768</v>
      </c>
      <c r="K38" s="384">
        <f>J38-'C-Döviz'!AI83</f>
        <v>1.0308216670865233E-2</v>
      </c>
      <c r="L38" s="384">
        <f t="shared" si="5"/>
        <v>6.261057111829707E-2</v>
      </c>
      <c r="M38" s="384">
        <f t="shared" si="5"/>
        <v>6.7359724317695088E-2</v>
      </c>
      <c r="N38" s="384">
        <f t="shared" si="5"/>
        <v>7.2588652111946178E-2</v>
      </c>
      <c r="O38" s="384">
        <f>N38-'C-Döviz'!AI154</f>
        <v>4.7443616347892792E-3</v>
      </c>
    </row>
    <row r="39" spans="3:19" ht="16" customHeight="1">
      <c r="C39" s="382" t="s">
        <v>15</v>
      </c>
      <c r="D39" s="384">
        <f>'Tahmin Data'!O33/1000/D12*-1</f>
        <v>5.7632749783081756E-2</v>
      </c>
      <c r="E39" s="384">
        <f>'Tahmin Data'!Q33/1000/E12*-1</f>
        <v>5.903218501391027E-2</v>
      </c>
      <c r="F39" s="384">
        <f>'Tahmin Data'!S33/1000/F12*-1</f>
        <v>5.8640817988940205E-2</v>
      </c>
      <c r="G39" s="384">
        <f>-(F39-'C-Döviz'!AI107)</f>
        <v>4.480971838897771E-3</v>
      </c>
      <c r="H39" s="384">
        <f t="shared" si="4"/>
        <v>0.20512803032847554</v>
      </c>
      <c r="I39" s="384">
        <f t="shared" si="4"/>
        <v>0.19437933640536267</v>
      </c>
      <c r="J39" s="384">
        <f t="shared" si="4"/>
        <v>0.19758583088095547</v>
      </c>
      <c r="K39" s="384">
        <f>J39-'C-Döviz'!AI84</f>
        <v>3.1626842696196894E-2</v>
      </c>
      <c r="L39" s="384">
        <f t="shared" si="5"/>
        <v>0.18559559332042505</v>
      </c>
      <c r="M39" s="384">
        <f t="shared" si="5"/>
        <v>0.17406632572765759</v>
      </c>
      <c r="N39" s="384">
        <f t="shared" si="5"/>
        <v>0.177609507302919</v>
      </c>
      <c r="O39" s="384">
        <f>N39-'C-Döviz'!AI155</f>
        <v>1.9680703145638884E-2</v>
      </c>
    </row>
    <row r="40" spans="3:19" ht="16" customHeight="1">
      <c r="C40" s="382" t="s">
        <v>16</v>
      </c>
      <c r="D40" s="384">
        <f>'Tahmin Data'!O32/1000/D13*-1</f>
        <v>5.2245570848221602E-2</v>
      </c>
      <c r="E40" s="384">
        <f>'Tahmin Data'!Q32/1000/E13*-1</f>
        <v>5.1818682128216012E-2</v>
      </c>
      <c r="F40" s="384">
        <f>'Tahmin Data'!S32/1000/F13*-1</f>
        <v>5.2249482430273726E-2</v>
      </c>
      <c r="G40" s="384">
        <f>-(F40-'C-Döviz'!AI108)</f>
        <v>3.3660610833977783E-3</v>
      </c>
      <c r="H40" s="384">
        <f t="shared" si="4"/>
        <v>0.29052806797992736</v>
      </c>
      <c r="I40" s="384">
        <f t="shared" si="4"/>
        <v>0.28924788612814956</v>
      </c>
      <c r="J40" s="384">
        <f t="shared" si="4"/>
        <v>0.28982669528064225</v>
      </c>
      <c r="K40" s="384">
        <f>J40-'C-Döviz'!AI85</f>
        <v>3.6327135179548886E-2</v>
      </c>
      <c r="L40" s="384">
        <f t="shared" si="5"/>
        <v>0.27056010798122804</v>
      </c>
      <c r="M40" s="384">
        <f t="shared" si="5"/>
        <v>0.26954322970663647</v>
      </c>
      <c r="N40" s="384">
        <f t="shared" si="5"/>
        <v>0.26903594639424572</v>
      </c>
      <c r="O40" s="384">
        <f>N40-'C-Döviz'!AI156</f>
        <v>3.4431950740611672E-2</v>
      </c>
    </row>
    <row r="41" spans="3:19" ht="16" customHeight="1">
      <c r="C41" s="382" t="s">
        <v>17</v>
      </c>
      <c r="D41" s="384">
        <f>'Tahmin Data'!O31/1000/D14*-1</f>
        <v>4.4362069529824841E-2</v>
      </c>
      <c r="E41" s="384">
        <f>'Tahmin Data'!Q31/1000/E14*-1</f>
        <v>4.5930347871196514E-2</v>
      </c>
      <c r="F41" s="384">
        <f>'Tahmin Data'!S31/1000/F14*-1</f>
        <v>4.6085892874525025E-2</v>
      </c>
      <c r="G41" s="384">
        <f>-(F41-'C-Döviz'!AI109)</f>
        <v>-4.9364307325784895E-3</v>
      </c>
      <c r="H41" s="384">
        <f t="shared" si="4"/>
        <v>0.15111984128798542</v>
      </c>
      <c r="I41" s="384">
        <f t="shared" si="4"/>
        <v>0.14757671458481481</v>
      </c>
      <c r="J41" s="384">
        <f t="shared" si="4"/>
        <v>0.1454495034210222</v>
      </c>
      <c r="K41" s="384">
        <f>J41-'C-Döviz'!AI86</f>
        <v>-5.7304763604797415E-3</v>
      </c>
      <c r="L41" s="384">
        <f t="shared" si="5"/>
        <v>0.13839476395368036</v>
      </c>
      <c r="M41" s="384">
        <f t="shared" si="5"/>
        <v>0.13409681512983454</v>
      </c>
      <c r="N41" s="384">
        <f t="shared" si="5"/>
        <v>0.1320974057781803</v>
      </c>
      <c r="O41" s="384">
        <f>N41-'C-Döviz'!AI157</f>
        <v>3.1828086901340424E-3</v>
      </c>
    </row>
    <row r="42" spans="3:19" ht="36" customHeight="1">
      <c r="C42" s="391"/>
      <c r="D42" s="445"/>
      <c r="E42" s="446"/>
      <c r="F42" s="446"/>
      <c r="G42" s="446"/>
      <c r="H42" s="445"/>
      <c r="I42" s="446"/>
      <c r="J42" s="446"/>
      <c r="K42" s="390"/>
      <c r="L42" s="392"/>
      <c r="M42" s="445"/>
      <c r="N42" s="446"/>
      <c r="O42" s="446"/>
      <c r="P42" s="390"/>
      <c r="Q42" s="392"/>
      <c r="R42" s="445"/>
      <c r="S42" s="446"/>
    </row>
    <row r="43" spans="3:19" ht="13.5" customHeight="1">
      <c r="C43" s="374"/>
      <c r="D43" s="434" t="s">
        <v>25</v>
      </c>
      <c r="E43" s="443"/>
      <c r="F43" s="443"/>
      <c r="G43" s="447"/>
      <c r="H43" s="434" t="s">
        <v>26</v>
      </c>
      <c r="I43" s="443"/>
      <c r="J43" s="443"/>
      <c r="K43" s="447"/>
      <c r="L43" s="434" t="s">
        <v>27</v>
      </c>
      <c r="M43" s="443"/>
      <c r="N43" s="443"/>
      <c r="O43" s="443"/>
      <c r="P43" s="391"/>
      <c r="Q43" s="393"/>
      <c r="R43" s="391"/>
      <c r="S43" s="391"/>
    </row>
    <row r="44" spans="3:19" ht="13.5" customHeight="1">
      <c r="C44" s="403" t="s">
        <v>1</v>
      </c>
      <c r="D44" s="434"/>
      <c r="E44" s="443"/>
      <c r="F44" s="443"/>
      <c r="G44" s="447"/>
      <c r="H44" s="434"/>
      <c r="I44" s="443"/>
      <c r="J44" s="443"/>
      <c r="K44" s="447"/>
      <c r="L44" s="434"/>
      <c r="M44" s="443"/>
      <c r="N44" s="443"/>
      <c r="O44" s="443"/>
      <c r="P44" s="395"/>
      <c r="Q44" s="394"/>
      <c r="R44" s="394"/>
      <c r="S44" s="395"/>
    </row>
    <row r="45" spans="3:19" ht="13.5" customHeight="1">
      <c r="C45" s="370"/>
      <c r="D45" s="371" t="s">
        <v>39</v>
      </c>
      <c r="E45" s="371" t="s">
        <v>170</v>
      </c>
      <c r="F45" s="371" t="s">
        <v>169</v>
      </c>
      <c r="G45" s="371" t="s">
        <v>40</v>
      </c>
      <c r="H45" s="371" t="s">
        <v>39</v>
      </c>
      <c r="I45" s="371" t="s">
        <v>170</v>
      </c>
      <c r="J45" s="371" t="s">
        <v>169</v>
      </c>
      <c r="K45" s="371" t="s">
        <v>40</v>
      </c>
      <c r="L45" s="371" t="s">
        <v>39</v>
      </c>
      <c r="M45" s="371" t="s">
        <v>170</v>
      </c>
      <c r="N45" s="371" t="s">
        <v>169</v>
      </c>
      <c r="O45" s="371" t="s">
        <v>40</v>
      </c>
      <c r="P45" s="395"/>
      <c r="Q45" s="394"/>
      <c r="R45" s="394"/>
      <c r="S45" s="395"/>
    </row>
    <row r="46" spans="3:19" ht="13.5" customHeight="1">
      <c r="C46" s="382"/>
      <c r="E46" s="373"/>
      <c r="G46" s="383"/>
      <c r="I46" s="373"/>
      <c r="K46" s="383"/>
      <c r="O46" s="383"/>
      <c r="P46" s="395"/>
      <c r="Q46" s="394"/>
      <c r="R46" s="394"/>
      <c r="S46" s="395"/>
    </row>
    <row r="47" spans="3:19" ht="15.5" customHeight="1">
      <c r="C47" s="382" t="s">
        <v>10</v>
      </c>
      <c r="D47" s="384">
        <f t="shared" ref="D47:F54" si="6">S7/D7</f>
        <v>0.41224009973194481</v>
      </c>
      <c r="E47" s="384">
        <f t="shared" si="6"/>
        <v>0.37208937672772618</v>
      </c>
      <c r="F47" s="384">
        <f t="shared" si="6"/>
        <v>0.35708839641823176</v>
      </c>
      <c r="G47" s="384">
        <f>F47-'C-Döviz'!AI226</f>
        <v>8.1331184072816309E-2</v>
      </c>
      <c r="H47" s="384">
        <f t="shared" ref="H47:J54" si="7">I20/D7</f>
        <v>0.38104014743279813</v>
      </c>
      <c r="I47" s="384">
        <f t="shared" si="7"/>
        <v>0.35896239304897992</v>
      </c>
      <c r="J47" s="384">
        <f t="shared" si="7"/>
        <v>0.33247029536176737</v>
      </c>
      <c r="K47" s="384">
        <f>J47-('C-Döviz'!AI291/'C-Döviz'!AI9)</f>
        <v>-1.7285699506100927E-2</v>
      </c>
      <c r="L47" s="384">
        <f t="shared" ref="L47:N54" si="8">N20/D7</f>
        <v>0.37946445387878169</v>
      </c>
      <c r="M47" s="384">
        <f t="shared" si="8"/>
        <v>0.35738506016822852</v>
      </c>
      <c r="N47" s="384">
        <f t="shared" si="8"/>
        <v>0.33090542860716748</v>
      </c>
      <c r="O47" s="384">
        <f>N47-'C-Döviz'!AI304/'C-Döviz'!AI9</f>
        <v>-1.7233765018134839E-2</v>
      </c>
      <c r="P47" s="395"/>
      <c r="Q47" s="394"/>
      <c r="R47" s="394"/>
      <c r="S47" s="395"/>
    </row>
    <row r="48" spans="3:19" ht="15.5" customHeight="1">
      <c r="C48" s="382" t="s">
        <v>11</v>
      </c>
      <c r="D48" s="384">
        <f t="shared" si="6"/>
        <v>-0.14429148572608158</v>
      </c>
      <c r="E48" s="384">
        <f t="shared" si="6"/>
        <v>-0.1847087066532713</v>
      </c>
      <c r="F48" s="384">
        <f t="shared" si="6"/>
        <v>-0.22760408052754366</v>
      </c>
      <c r="G48" s="384">
        <f>F48-'C-Döviz'!AI227</f>
        <v>-0.30255565317671057</v>
      </c>
      <c r="H48" s="384">
        <f t="shared" si="7"/>
        <v>9.2484923856373802E-2</v>
      </c>
      <c r="I48" s="384">
        <f t="shared" si="7"/>
        <v>8.1413695807880868E-2</v>
      </c>
      <c r="J48" s="384">
        <f t="shared" si="7"/>
        <v>6.8358600970028882E-2</v>
      </c>
      <c r="K48" s="384">
        <f>J48-('C-Döviz'!AI292/'C-Döviz'!AI10)</f>
        <v>-5.9658190918091741E-2</v>
      </c>
      <c r="L48" s="384">
        <f t="shared" si="8"/>
        <v>2.2361062165869694E-2</v>
      </c>
      <c r="M48" s="384">
        <f t="shared" si="8"/>
        <v>6.9682971523763572E-3</v>
      </c>
      <c r="N48" s="384">
        <f t="shared" si="8"/>
        <v>-9.2137413148263778E-3</v>
      </c>
      <c r="O48" s="384">
        <f>N48-'C-Döviz'!AI305/'C-Döviz'!AI10</f>
        <v>-7.0514206739088786E-2</v>
      </c>
      <c r="P48" s="395"/>
      <c r="Q48" s="394"/>
      <c r="R48" s="394"/>
      <c r="S48" s="395"/>
    </row>
    <row r="49" spans="3:19" ht="15.5" customHeight="1">
      <c r="C49" s="382" t="s">
        <v>12</v>
      </c>
      <c r="D49" s="384">
        <f t="shared" si="6"/>
        <v>-2.035226786273752E-4</v>
      </c>
      <c r="E49" s="384">
        <f t="shared" si="6"/>
        <v>8.4530511267043589E-4</v>
      </c>
      <c r="F49" s="384">
        <f t="shared" si="6"/>
        <v>8.2399959003458224E-4</v>
      </c>
      <c r="G49" s="384">
        <f>F49-'C-Döviz'!AI228</f>
        <v>-8.5231750355230229E-3</v>
      </c>
      <c r="H49" s="384">
        <f t="shared" si="7"/>
        <v>6.4158815498838839E-2</v>
      </c>
      <c r="I49" s="384">
        <f t="shared" si="7"/>
        <v>6.4912193933229861E-2</v>
      </c>
      <c r="J49" s="384">
        <f t="shared" si="7"/>
        <v>7.5295028126261501E-2</v>
      </c>
      <c r="K49" s="384">
        <f>J49-('C-Döviz'!AI293/'C-Döviz'!AI11)</f>
        <v>9.4017515213932062E-2</v>
      </c>
      <c r="L49" s="384">
        <f t="shared" si="8"/>
        <v>6.4158815498838839E-2</v>
      </c>
      <c r="M49" s="384">
        <f t="shared" si="8"/>
        <v>6.4912193933229861E-2</v>
      </c>
      <c r="N49" s="384">
        <f t="shared" si="8"/>
        <v>7.5295028126261501E-2</v>
      </c>
      <c r="O49" s="384">
        <f>N49-'C-Döviz'!AI306/'C-Döviz'!AI11</f>
        <v>9.4017515213932062E-2</v>
      </c>
      <c r="P49" s="395"/>
      <c r="Q49" s="394"/>
      <c r="R49" s="394"/>
      <c r="S49" s="395"/>
    </row>
    <row r="50" spans="3:19" ht="15.5" customHeight="1">
      <c r="C50" s="382" t="s">
        <v>13</v>
      </c>
      <c r="D50" s="384">
        <f t="shared" si="6"/>
        <v>-0.14012711594950211</v>
      </c>
      <c r="E50" s="384">
        <f t="shared" si="6"/>
        <v>-0.14910658425785964</v>
      </c>
      <c r="F50" s="384">
        <f t="shared" si="6"/>
        <v>-0.16771437178248103</v>
      </c>
      <c r="G50" s="384">
        <f>F50-'C-Döviz'!AI229</f>
        <v>-0.16943907273941788</v>
      </c>
      <c r="H50" s="384">
        <f t="shared" si="7"/>
        <v>7.9821616751183919E-2</v>
      </c>
      <c r="I50" s="384">
        <f t="shared" si="7"/>
        <v>7.4387257315184682E-2</v>
      </c>
      <c r="J50" s="384">
        <f t="shared" si="7"/>
        <v>4.9413589870605387E-2</v>
      </c>
      <c r="K50" s="384">
        <f>J50-('C-Döviz'!AI294/'C-Döviz'!AI12)</f>
        <v>-3.3009596358970564E-2</v>
      </c>
      <c r="L50" s="384">
        <f t="shared" si="8"/>
        <v>5.0808478778334533E-2</v>
      </c>
      <c r="M50" s="384">
        <f t="shared" si="8"/>
        <v>4.5093967760007202E-2</v>
      </c>
      <c r="N50" s="384">
        <f t="shared" si="8"/>
        <v>1.9585853190120288E-2</v>
      </c>
      <c r="O50" s="384">
        <f>N50-'C-Döviz'!AI307/'C-Döviz'!AI12</f>
        <v>-3.8966234311732961E-2</v>
      </c>
    </row>
    <row r="51" spans="3:19" ht="15.5" customHeight="1">
      <c r="C51" s="382" t="s">
        <v>14</v>
      </c>
      <c r="D51" s="384">
        <f t="shared" si="6"/>
        <v>2.1391193137871689E-2</v>
      </c>
      <c r="E51" s="384">
        <f t="shared" si="6"/>
        <v>2.1573266864120384E-2</v>
      </c>
      <c r="F51" s="384">
        <f t="shared" si="6"/>
        <v>2.4426391981158424E-2</v>
      </c>
      <c r="G51" s="384">
        <f>F51-'C-Döviz'!AI230</f>
        <v>1.028006968638173E-2</v>
      </c>
      <c r="H51" s="384">
        <f t="shared" si="7"/>
        <v>7.9254560826176046E-2</v>
      </c>
      <c r="I51" s="384">
        <f t="shared" si="7"/>
        <v>7.6528347937257629E-2</v>
      </c>
      <c r="J51" s="384">
        <f t="shared" si="7"/>
        <v>8.8496499909364659E-2</v>
      </c>
      <c r="K51" s="384">
        <f>J51-('C-Döviz'!AI295/'C-Döviz'!AI13)</f>
        <v>1.8898025536660812E-2</v>
      </c>
      <c r="L51" s="384">
        <f t="shared" si="8"/>
        <v>6.1056726794376022E-2</v>
      </c>
      <c r="M51" s="384">
        <f t="shared" si="8"/>
        <v>5.7484451135673686E-2</v>
      </c>
      <c r="N51" s="384">
        <f t="shared" si="8"/>
        <v>5.8181024486762073E-2</v>
      </c>
      <c r="O51" s="384">
        <f>N51-'C-Döviz'!AI308/'C-Döviz'!AI13</f>
        <v>-6.7018380401233368E-5</v>
      </c>
      <c r="P51" s="390"/>
      <c r="Q51" s="392"/>
      <c r="R51" s="445"/>
      <c r="S51" s="446"/>
    </row>
    <row r="52" spans="3:19" ht="15.5" customHeight="1">
      <c r="C52" s="382" t="s">
        <v>15</v>
      </c>
      <c r="D52" s="384">
        <f t="shared" si="6"/>
        <v>0.10896575819653732</v>
      </c>
      <c r="E52" s="384">
        <f t="shared" si="6"/>
        <v>9.7798560484868596E-2</v>
      </c>
      <c r="F52" s="384">
        <f t="shared" si="6"/>
        <v>0.10182292350816531</v>
      </c>
      <c r="G52" s="384">
        <f>F52-'C-Döviz'!AI231</f>
        <v>2.2666360481012726E-2</v>
      </c>
      <c r="H52" s="384">
        <f t="shared" si="7"/>
        <v>0.15166853371208591</v>
      </c>
      <c r="I52" s="384">
        <f t="shared" si="7"/>
        <v>0.13916505608137053</v>
      </c>
      <c r="J52" s="384">
        <f t="shared" si="7"/>
        <v>0.12445117721885046</v>
      </c>
      <c r="K52" s="384">
        <f>J52-('C-Döviz'!AI296/'C-Döviz'!AI14)</f>
        <v>8.100631864045818E-3</v>
      </c>
      <c r="L52" s="384">
        <f t="shared" si="8"/>
        <v>0.127043573950538</v>
      </c>
      <c r="M52" s="384">
        <f t="shared" si="8"/>
        <v>0.11374231830223748</v>
      </c>
      <c r="N52" s="384">
        <f t="shared" si="8"/>
        <v>9.923875599522608E-2</v>
      </c>
      <c r="O52" s="384">
        <f>N52-'C-Döviz'!AI309/'C-Döviz'!AI14</f>
        <v>4.3062832720901639E-3</v>
      </c>
      <c r="P52" s="391"/>
      <c r="Q52" s="393"/>
      <c r="R52" s="391"/>
      <c r="S52" s="391"/>
    </row>
    <row r="53" spans="3:19" ht="15.5" customHeight="1">
      <c r="C53" s="382" t="s">
        <v>16</v>
      </c>
      <c r="D53" s="384">
        <f t="shared" si="6"/>
        <v>0.13924018457410273</v>
      </c>
      <c r="E53" s="384">
        <f t="shared" si="6"/>
        <v>9.3584326220472816E-2</v>
      </c>
      <c r="F53" s="384">
        <f t="shared" si="6"/>
        <v>9.3179653595542242E-2</v>
      </c>
      <c r="G53" s="384">
        <f>F53-'C-Döviz'!AI232</f>
        <v>-3.8862898021699468E-2</v>
      </c>
      <c r="H53" s="384">
        <f t="shared" si="7"/>
        <v>0.2985118997786243</v>
      </c>
      <c r="I53" s="384">
        <f t="shared" si="7"/>
        <v>0.25555288963955569</v>
      </c>
      <c r="J53" s="384">
        <f t="shared" si="7"/>
        <v>0.2603311598921863</v>
      </c>
      <c r="K53" s="384">
        <f>J53-('C-Döviz'!AI297/'C-Döviz'!AI15)</f>
        <v>9.2416355749279644E-3</v>
      </c>
      <c r="L53" s="384">
        <f t="shared" si="8"/>
        <v>0.26537809814408464</v>
      </c>
      <c r="M53" s="384">
        <f t="shared" si="8"/>
        <v>0.22823210200454386</v>
      </c>
      <c r="N53" s="384">
        <f t="shared" si="8"/>
        <v>0.2281686529790985</v>
      </c>
      <c r="O53" s="384">
        <f>N53-'C-Döviz'!AI310/'C-Döviz'!AI15</f>
        <v>1.3038090860693102E-2</v>
      </c>
      <c r="P53" s="395"/>
      <c r="Q53" s="394"/>
      <c r="R53" s="394"/>
      <c r="S53" s="395"/>
    </row>
    <row r="54" spans="3:19" ht="15.5" customHeight="1">
      <c r="C54" s="382" t="s">
        <v>17</v>
      </c>
      <c r="D54" s="384">
        <f t="shared" si="6"/>
        <v>9.7066802595708615E-2</v>
      </c>
      <c r="E54" s="384">
        <f t="shared" si="6"/>
        <v>9.4217265220253102E-2</v>
      </c>
      <c r="F54" s="384">
        <f t="shared" si="6"/>
        <v>9.0742711959582223E-2</v>
      </c>
      <c r="G54" s="384">
        <f>F54-'C-Döviz'!AI233</f>
        <v>-1.3051606371206836E-2</v>
      </c>
      <c r="H54" s="384">
        <f t="shared" si="7"/>
        <v>0.13230650189614773</v>
      </c>
      <c r="I54" s="384">
        <f t="shared" si="7"/>
        <v>0.1226727917203954</v>
      </c>
      <c r="J54" s="384">
        <f t="shared" si="7"/>
        <v>0.10959757249439059</v>
      </c>
      <c r="K54" s="384">
        <f>J54-('C-Döviz'!AI298/'C-Döviz'!AI16)</f>
        <v>-3.8367173037658631E-3</v>
      </c>
      <c r="L54" s="384">
        <f t="shared" si="8"/>
        <v>0.11717734803917662</v>
      </c>
      <c r="M54" s="384">
        <f t="shared" si="8"/>
        <v>0.10736206313924582</v>
      </c>
      <c r="N54" s="384">
        <f t="shared" si="8"/>
        <v>9.5455729156288679E-2</v>
      </c>
      <c r="O54" s="384">
        <f>N54-'C-Döviz'!AI311/'C-Döviz'!AI16</f>
        <v>-7.4091615611976969E-3</v>
      </c>
      <c r="P54" s="395"/>
      <c r="Q54" s="394"/>
      <c r="R54" s="394"/>
      <c r="S54" s="395"/>
    </row>
    <row r="55" spans="3:19" ht="14.15" customHeight="1">
      <c r="C55" s="394"/>
      <c r="D55" s="394"/>
      <c r="E55" s="394"/>
      <c r="F55" s="394"/>
      <c r="G55" s="395"/>
      <c r="H55" s="394"/>
      <c r="I55" s="394"/>
      <c r="J55" s="395"/>
      <c r="K55" s="395"/>
      <c r="L55" s="394"/>
      <c r="M55" s="394"/>
      <c r="N55" s="394"/>
      <c r="O55" s="395"/>
      <c r="P55" s="395"/>
      <c r="Q55" s="394"/>
      <c r="R55" s="394"/>
      <c r="S55" s="395"/>
    </row>
    <row r="56" spans="3:19" ht="14.15" customHeight="1">
      <c r="C56" s="394"/>
      <c r="D56" s="394"/>
      <c r="E56" s="394"/>
      <c r="F56" s="394"/>
      <c r="G56" s="395"/>
      <c r="H56" s="394"/>
      <c r="I56" s="394"/>
      <c r="J56" s="395"/>
      <c r="K56" s="395"/>
      <c r="L56" s="394"/>
      <c r="M56" s="394"/>
      <c r="N56" s="394"/>
      <c r="O56" s="395"/>
      <c r="P56" s="395"/>
      <c r="Q56" s="394"/>
      <c r="R56" s="394"/>
      <c r="S56" s="395"/>
    </row>
    <row r="57" spans="3:19" ht="14.15" customHeight="1">
      <c r="C57" s="394"/>
      <c r="D57" s="394"/>
      <c r="E57" s="394"/>
      <c r="F57" s="394"/>
      <c r="G57" s="395"/>
      <c r="H57" s="394"/>
      <c r="I57" s="394"/>
      <c r="J57" s="395"/>
      <c r="K57" s="395"/>
      <c r="L57" s="394"/>
      <c r="M57" s="394"/>
      <c r="N57" s="394"/>
      <c r="O57" s="395"/>
      <c r="P57" s="395"/>
      <c r="Q57" s="394"/>
      <c r="R57" s="394"/>
      <c r="S57" s="395"/>
    </row>
    <row r="58" spans="3:19" ht="14.15" customHeight="1">
      <c r="C58" s="394"/>
      <c r="D58" s="394"/>
      <c r="E58" s="394"/>
      <c r="F58" s="394"/>
      <c r="G58" s="395"/>
      <c r="H58" s="394"/>
      <c r="I58" s="394"/>
      <c r="J58" s="395"/>
      <c r="K58" s="395"/>
      <c r="L58" s="394"/>
      <c r="M58" s="394"/>
      <c r="N58" s="394"/>
      <c r="O58" s="395"/>
      <c r="P58" s="395"/>
      <c r="Q58" s="394"/>
      <c r="R58" s="394"/>
      <c r="S58" s="395"/>
    </row>
    <row r="59" spans="3:19" ht="14.15" customHeight="1"/>
    <row r="62" spans="3:19">
      <c r="D62" s="436"/>
      <c r="E62" s="436"/>
      <c r="F62" s="436"/>
      <c r="G62" s="436"/>
    </row>
    <row r="63" spans="3:19">
      <c r="D63" s="436"/>
      <c r="E63" s="436"/>
      <c r="F63" s="436"/>
      <c r="G63" s="436"/>
    </row>
    <row r="64" spans="3:19" ht="14.5" customHeight="1">
      <c r="C64" s="396"/>
      <c r="D64" s="376"/>
      <c r="E64" s="396"/>
      <c r="F64" s="396"/>
      <c r="G64" s="396"/>
      <c r="H64" s="376"/>
      <c r="I64" s="396"/>
      <c r="J64" s="376"/>
      <c r="K64" s="376"/>
      <c r="L64" s="376"/>
      <c r="M64" s="376"/>
      <c r="N64" s="376"/>
      <c r="O64" s="376"/>
      <c r="P64" s="376"/>
    </row>
    <row r="65" spans="3:16" ht="15" customHeight="1">
      <c r="C65" s="374"/>
      <c r="D65" s="380" t="s">
        <v>2</v>
      </c>
      <c r="E65" s="379"/>
      <c r="F65" s="379"/>
      <c r="G65" s="379"/>
      <c r="H65" s="380" t="s">
        <v>4</v>
      </c>
      <c r="I65" s="379"/>
      <c r="J65" s="379"/>
      <c r="K65" s="379"/>
      <c r="L65" s="380"/>
      <c r="M65" s="380" t="s">
        <v>5</v>
      </c>
      <c r="N65" s="380"/>
      <c r="O65" s="380"/>
      <c r="P65" s="380"/>
    </row>
    <row r="66" spans="3:16" ht="16" customHeight="1">
      <c r="C66" s="387"/>
      <c r="D66" s="374" t="s">
        <v>6</v>
      </c>
      <c r="E66" s="439" t="s">
        <v>28</v>
      </c>
      <c r="F66" s="439"/>
      <c r="G66" s="440"/>
      <c r="H66" s="374" t="s">
        <v>6</v>
      </c>
      <c r="I66" s="374"/>
      <c r="J66" s="374" t="s">
        <v>28</v>
      </c>
      <c r="K66" s="374"/>
      <c r="L66" s="387"/>
      <c r="M66" s="374" t="s">
        <v>6</v>
      </c>
      <c r="N66" s="374"/>
      <c r="O66" s="374" t="s">
        <v>28</v>
      </c>
      <c r="P66" s="374"/>
    </row>
    <row r="67" spans="3:16" ht="16" customHeight="1">
      <c r="C67" s="394" t="s">
        <v>2</v>
      </c>
      <c r="D67" s="394">
        <v>55</v>
      </c>
      <c r="E67" s="432"/>
      <c r="F67" s="432"/>
      <c r="G67" s="433"/>
      <c r="H67" s="394">
        <v>55</v>
      </c>
      <c r="I67" s="432"/>
      <c r="J67" s="433"/>
      <c r="K67" s="372"/>
      <c r="L67" s="393"/>
      <c r="M67" s="394">
        <v>55</v>
      </c>
      <c r="N67" s="391"/>
      <c r="O67" s="394"/>
      <c r="P67" s="394"/>
    </row>
    <row r="68" spans="3:16" ht="16" customHeight="1">
      <c r="C68" s="394" t="s">
        <v>29</v>
      </c>
      <c r="D68" s="394">
        <v>12</v>
      </c>
      <c r="E68" s="437">
        <f t="shared" ref="E68:E74" si="9">D68/$D$67</f>
        <v>0.21818181818181817</v>
      </c>
      <c r="F68" s="437"/>
      <c r="G68" s="438"/>
      <c r="H68" s="394">
        <v>12</v>
      </c>
      <c r="I68" s="437">
        <f t="shared" ref="I68:I74" si="10">H68/$D$67</f>
        <v>0.21818181818181817</v>
      </c>
      <c r="J68" s="438"/>
      <c r="K68" s="398"/>
      <c r="L68" s="394"/>
      <c r="M68" s="394">
        <v>12</v>
      </c>
      <c r="N68" s="394"/>
      <c r="O68" s="397">
        <f>M68/$M$67</f>
        <v>0.21818181818181817</v>
      </c>
      <c r="P68" s="397"/>
    </row>
    <row r="69" spans="3:16">
      <c r="C69" s="394" t="s">
        <v>30</v>
      </c>
      <c r="D69" s="394">
        <v>9</v>
      </c>
      <c r="E69" s="437">
        <f t="shared" si="9"/>
        <v>0.16363636363636364</v>
      </c>
      <c r="F69" s="437"/>
      <c r="G69" s="438"/>
      <c r="H69" s="394">
        <v>9</v>
      </c>
      <c r="I69" s="437">
        <f t="shared" si="10"/>
        <v>0.16363636363636364</v>
      </c>
      <c r="J69" s="438"/>
      <c r="K69" s="398"/>
      <c r="L69" s="394"/>
      <c r="M69" s="394">
        <v>9</v>
      </c>
      <c r="N69" s="394"/>
      <c r="O69" s="397">
        <f t="shared" ref="O69:O74" si="11">M69/$M$67</f>
        <v>0.16363636363636364</v>
      </c>
      <c r="P69" s="397"/>
    </row>
    <row r="70" spans="3:16">
      <c r="C70" s="394" t="s">
        <v>31</v>
      </c>
      <c r="D70" s="394">
        <v>8</v>
      </c>
      <c r="E70" s="437">
        <f t="shared" si="9"/>
        <v>0.14545454545454545</v>
      </c>
      <c r="F70" s="437"/>
      <c r="G70" s="438"/>
      <c r="H70" s="394">
        <v>8</v>
      </c>
      <c r="I70" s="437">
        <f t="shared" si="10"/>
        <v>0.14545454545454545</v>
      </c>
      <c r="J70" s="438"/>
      <c r="K70" s="398"/>
      <c r="L70" s="394"/>
      <c r="M70" s="394">
        <v>8</v>
      </c>
      <c r="N70" s="394"/>
      <c r="O70" s="397">
        <f t="shared" si="11"/>
        <v>0.14545454545454545</v>
      </c>
      <c r="P70" s="397"/>
    </row>
    <row r="71" spans="3:16" ht="16" customHeight="1">
      <c r="C71" s="394" t="s">
        <v>32</v>
      </c>
      <c r="D71" s="394">
        <v>5</v>
      </c>
      <c r="E71" s="437">
        <f t="shared" si="9"/>
        <v>9.0909090909090912E-2</v>
      </c>
      <c r="F71" s="437"/>
      <c r="G71" s="438"/>
      <c r="H71" s="394">
        <v>5</v>
      </c>
      <c r="I71" s="437">
        <f t="shared" si="10"/>
        <v>9.0909090909090912E-2</v>
      </c>
      <c r="J71" s="438"/>
      <c r="K71" s="398"/>
      <c r="L71" s="394"/>
      <c r="M71" s="394">
        <v>5</v>
      </c>
      <c r="N71" s="394"/>
      <c r="O71" s="397">
        <f t="shared" si="11"/>
        <v>9.0909090909090912E-2</v>
      </c>
      <c r="P71" s="397"/>
    </row>
    <row r="72" spans="3:16" ht="16" customHeight="1">
      <c r="C72" s="394" t="s">
        <v>33</v>
      </c>
      <c r="D72" s="394">
        <v>4</v>
      </c>
      <c r="E72" s="437">
        <f t="shared" si="9"/>
        <v>7.2727272727272724E-2</v>
      </c>
      <c r="F72" s="437"/>
      <c r="G72" s="438"/>
      <c r="H72" s="394">
        <v>4</v>
      </c>
      <c r="I72" s="437">
        <f t="shared" si="10"/>
        <v>7.2727272727272724E-2</v>
      </c>
      <c r="J72" s="438"/>
      <c r="K72" s="398"/>
      <c r="L72" s="394"/>
      <c r="M72" s="394">
        <v>4</v>
      </c>
      <c r="N72" s="394"/>
      <c r="O72" s="397">
        <f t="shared" si="11"/>
        <v>7.2727272727272724E-2</v>
      </c>
      <c r="P72" s="397"/>
    </row>
    <row r="73" spans="3:16" ht="16" customHeight="1">
      <c r="C73" s="394" t="s">
        <v>34</v>
      </c>
      <c r="D73" s="394">
        <v>3</v>
      </c>
      <c r="E73" s="437">
        <f t="shared" si="9"/>
        <v>5.4545454545454543E-2</v>
      </c>
      <c r="F73" s="437"/>
      <c r="G73" s="438"/>
      <c r="H73" s="394">
        <v>3</v>
      </c>
      <c r="I73" s="437">
        <f t="shared" si="10"/>
        <v>5.4545454545454543E-2</v>
      </c>
      <c r="J73" s="438"/>
      <c r="K73" s="398"/>
      <c r="L73" s="394"/>
      <c r="M73" s="394">
        <v>3</v>
      </c>
      <c r="N73" s="394"/>
      <c r="O73" s="397">
        <f t="shared" si="11"/>
        <v>5.4545454545454543E-2</v>
      </c>
      <c r="P73" s="397"/>
    </row>
    <row r="74" spans="3:16">
      <c r="C74" s="394" t="s">
        <v>35</v>
      </c>
      <c r="D74" s="372">
        <v>3</v>
      </c>
      <c r="E74" s="437">
        <f t="shared" si="9"/>
        <v>5.4545454545454543E-2</v>
      </c>
      <c r="F74" s="437"/>
      <c r="G74" s="438"/>
      <c r="H74" s="372">
        <v>3</v>
      </c>
      <c r="I74" s="437">
        <f t="shared" si="10"/>
        <v>5.4545454545454543E-2</v>
      </c>
      <c r="J74" s="438"/>
      <c r="K74" s="398"/>
      <c r="M74" s="372">
        <v>3</v>
      </c>
      <c r="O74" s="397">
        <f t="shared" si="11"/>
        <v>5.4545454545454543E-2</v>
      </c>
      <c r="P74" s="397"/>
    </row>
    <row r="75" spans="3:16">
      <c r="C75" s="394"/>
    </row>
    <row r="76" spans="3:16" ht="16" customHeight="1"/>
    <row r="77" spans="3:16" ht="16" customHeight="1"/>
    <row r="94" spans="18:18">
      <c r="R94" s="391"/>
    </row>
    <row r="95" spans="18:18">
      <c r="R95" s="391"/>
    </row>
    <row r="96" spans="18:18">
      <c r="R96" s="372"/>
    </row>
    <row r="104" spans="10:11">
      <c r="J104" s="398"/>
      <c r="K104" s="398"/>
    </row>
  </sheetData>
  <mergeCells count="36">
    <mergeCell ref="E74:G74"/>
    <mergeCell ref="I74:J74"/>
    <mergeCell ref="E71:G71"/>
    <mergeCell ref="I71:J71"/>
    <mergeCell ref="E72:G72"/>
    <mergeCell ref="I72:J72"/>
    <mergeCell ref="E73:G73"/>
    <mergeCell ref="I73:J73"/>
    <mergeCell ref="E68:G68"/>
    <mergeCell ref="I68:J68"/>
    <mergeCell ref="E69:G69"/>
    <mergeCell ref="I69:J69"/>
    <mergeCell ref="E70:G70"/>
    <mergeCell ref="I70:J70"/>
    <mergeCell ref="R51:S51"/>
    <mergeCell ref="L43:O44"/>
    <mergeCell ref="D62:G63"/>
    <mergeCell ref="E66:G66"/>
    <mergeCell ref="E67:G67"/>
    <mergeCell ref="I67:J67"/>
    <mergeCell ref="D3:H4"/>
    <mergeCell ref="I3:M4"/>
    <mergeCell ref="N3:R4"/>
    <mergeCell ref="S3:W4"/>
    <mergeCell ref="D43:G44"/>
    <mergeCell ref="H43:K44"/>
    <mergeCell ref="D16:H17"/>
    <mergeCell ref="I16:M17"/>
    <mergeCell ref="N16:R17"/>
    <mergeCell ref="D30:G31"/>
    <mergeCell ref="H30:K31"/>
    <mergeCell ref="L30:O31"/>
    <mergeCell ref="D42:G42"/>
    <mergeCell ref="H42:J42"/>
    <mergeCell ref="M42:O42"/>
    <mergeCell ref="R42:S42"/>
  </mergeCells>
  <conditionalFormatting sqref="E15:F15 G33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{64023ACF-643E-4239-8EDB-1214717E01DC}</x14:id>
        </ext>
      </extLst>
    </cfRule>
    <cfRule type="dataBar" priority="62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{11AA00A6-8947-40B3-8EF6-18A2F3F5B6CF}</x14:id>
        </ext>
      </extLst>
    </cfRule>
  </conditionalFormatting>
  <conditionalFormatting sqref="E55:F58">
    <cfRule type="dataBar" priority="1218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{957D0C6D-A84D-4948-A281-851EF6D7F737}</x14:id>
        </ext>
      </extLst>
    </cfRule>
    <cfRule type="dataBar" priority="12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{CCE3E781-8E5A-453C-B051-94FC51303FE1}</x14:id>
        </ext>
      </extLst>
    </cfRule>
  </conditionalFormatting>
  <conditionalFormatting sqref="E67:F74">
    <cfRule type="dataBar" priority="78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{6E0BD6B4-0BA8-4DB0-895A-FC69279FA759}</x14:id>
        </ext>
      </extLst>
    </cfRule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{8615758C-962E-4B5C-9C0B-A4B6C5430B84}</x14:id>
        </ext>
      </extLst>
    </cfRule>
  </conditionalFormatting>
  <conditionalFormatting sqref="G15">
    <cfRule type="dataBar" priority="116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{219E7ADB-86A6-47B9-8D34-47FF95A672E7}</x14:id>
        </ext>
      </extLst>
    </cfRule>
    <cfRule type="dataBar" priority="1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{AD050179-CB85-4CE1-820C-A8B110C92C94}</x14:id>
        </ext>
      </extLst>
    </cfRule>
  </conditionalFormatting>
  <conditionalFormatting sqref="G34:G41">
    <cfRule type="dataBar" priority="1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{012B9508-92F1-4467-A914-504DB7184A3F}</x14:id>
        </ext>
      </extLst>
    </cfRule>
  </conditionalFormatting>
  <conditionalFormatting sqref="G46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{0FC84BFE-CCE9-465A-B812-1CCB682443EF}</x14:id>
        </ext>
      </extLst>
    </cfRule>
    <cfRule type="dataBar" priority="43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{534B4B33-5797-4663-ADAF-EEC3360D3FEE}</x14:id>
        </ext>
      </extLst>
    </cfRule>
  </conditionalFormatting>
  <conditionalFormatting sqref="G47:G54">
    <cfRule type="dataBar" priority="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{698F05B6-7E95-4476-82DD-55632CF63E48}</x14:id>
        </ext>
      </extLst>
    </cfRule>
  </conditionalFormatting>
  <conditionalFormatting sqref="G55:G58">
    <cfRule type="dataBar" priority="1220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{747D6167-1351-475B-81ED-36FFE5F33F3E}</x14:id>
        </ext>
      </extLst>
    </cfRule>
    <cfRule type="dataBar" priority="12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{7E593D3D-4722-44AF-8A0C-31164C00D50A}</x14:id>
        </ext>
      </extLst>
    </cfRule>
  </conditionalFormatting>
  <conditionalFormatting sqref="H6:H14">
    <cfRule type="dataBar" priority="5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{57A18411-5B07-401F-9B71-49C53A433C11}</x14:id>
        </ext>
      </extLst>
    </cfRule>
  </conditionalFormatting>
  <conditionalFormatting sqref="H19:H27">
    <cfRule type="dataBar" priority="1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{7D84073C-D267-48A7-86AA-FBD010FCB2E7}</x14:id>
        </ext>
      </extLst>
    </cfRule>
  </conditionalFormatting>
  <conditionalFormatting sqref="I15"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{0BFE920B-C20D-4211-A4BB-DCE57AA5A2A9}</x14:id>
        </ext>
      </extLst>
    </cfRule>
    <cfRule type="dataBar" priority="64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{97330CBD-A5C7-411C-8A55-BB1B40EB3E45}</x14:id>
        </ext>
      </extLst>
    </cfRule>
  </conditionalFormatting>
  <conditionalFormatting sqref="I55:I58">
    <cfRule type="dataBar" priority="1222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{E1C213B7-2390-41F8-9579-D5B1ADA0081D}</x14:id>
        </ext>
      </extLst>
    </cfRule>
    <cfRule type="dataBar" priority="1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{84D529B9-B1F9-4ADD-B10F-00058AB645C2}</x14:id>
        </ext>
      </extLst>
    </cfRule>
  </conditionalFormatting>
  <conditionalFormatting sqref="I67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{FD0B8A5D-A73C-4DAD-8374-A351E95321A3}</x14:id>
        </ext>
      </extLst>
    </cfRule>
    <cfRule type="dataBar" priority="74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{5B052263-86D7-4688-B75A-C9B8CCAE2CB1}</x14:id>
        </ext>
      </extLst>
    </cfRule>
  </conditionalFormatting>
  <conditionalFormatting sqref="I68:I74">
    <cfRule type="dataBar" priority="76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{7BF33CFF-7474-4D01-99FD-BE975E0C2CC9}</x14:id>
        </ext>
      </extLst>
    </cfRule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{42399D3F-AE1C-431A-9A23-2C7DB4C22052}</x14:id>
        </ext>
      </extLst>
    </cfRule>
  </conditionalFormatting>
  <conditionalFormatting sqref="J15:K15">
    <cfRule type="dataBar" priority="1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{97DBAF69-640B-40D5-B8E0-41DB90F3ED5E}</x14:id>
        </ext>
      </extLst>
    </cfRule>
    <cfRule type="dataBar" priority="118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{BA66FC9F-AF88-4B3A-8BA5-F5D294B8486E}</x14:id>
        </ext>
      </extLst>
    </cfRule>
  </conditionalFormatting>
  <conditionalFormatting sqref="J55:K58">
    <cfRule type="dataBar" priority="1224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{B8842EA2-A4E4-43FA-9A18-10662059453F}</x14:id>
        </ext>
      </extLst>
    </cfRule>
    <cfRule type="dataBar" priority="12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{6302A9FA-ACA8-436F-B195-7258629A47F2}</x14:id>
        </ext>
      </extLst>
    </cfRule>
  </conditionalFormatting>
  <conditionalFormatting sqref="K33">
    <cfRule type="dataBar" priority="1215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{F5D92928-2B48-4112-A54D-23CA0769BA1B}</x14:id>
        </ext>
      </extLst>
    </cfRule>
    <cfRule type="dataBar" priority="12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{586D4499-4940-4D95-9CA4-1922ADB7C9CC}</x14:id>
        </ext>
      </extLst>
    </cfRule>
  </conditionalFormatting>
  <conditionalFormatting sqref="K34:K41">
    <cfRule type="dataBar" priority="121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{7FFB4D71-8F44-4E60-AC1A-277B7F7B7F3C}</x14:id>
        </ext>
      </extLst>
    </cfRule>
  </conditionalFormatting>
  <conditionalFormatting sqref="K46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{FD5C88CE-F776-4230-A1F3-03A22263530F}</x14:id>
        </ext>
      </extLst>
    </cfRule>
    <cfRule type="dataBar" priority="40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{4203ACD5-2E66-4B2D-B432-78F9FFAAA707}</x14:id>
        </ext>
      </extLst>
    </cfRule>
  </conditionalFormatting>
  <conditionalFormatting sqref="K47:K54">
    <cfRule type="dataBar" priority="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{4F937782-C67F-4878-AD24-6638111A10EF}</x14:id>
        </ext>
      </extLst>
    </cfRule>
  </conditionalFormatting>
  <conditionalFormatting sqref="L28:L29">
    <cfRule type="dataBar" priority="1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{C435697B-913C-4E67-BBCF-D706EF7F4DF0}</x14:id>
        </ext>
      </extLst>
    </cfRule>
  </conditionalFormatting>
  <conditionalFormatting sqref="L55:L58">
    <cfRule type="dataBar" priority="1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{8D450F37-0AD0-43A7-A3E8-8BA575AE84C3}</x14:id>
        </ext>
      </extLst>
    </cfRule>
  </conditionalFormatting>
  <conditionalFormatting sqref="L68:L73">
    <cfRule type="dataBar" priority="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{712A7831-C9FE-490C-874B-8D9D748A05DE}</x14:id>
        </ext>
      </extLst>
    </cfRule>
  </conditionalFormatting>
  <conditionalFormatting sqref="M6:M14">
    <cfRule type="dataBar" priority="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{4F3046C8-6D3A-4464-B3EC-B03A0D1BEE84}</x14:id>
        </ext>
      </extLst>
    </cfRule>
  </conditionalFormatting>
  <conditionalFormatting sqref="M15"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{40E4E64F-8FDD-4937-8818-E5DF63721E60}</x14:id>
        </ext>
      </extLst>
    </cfRule>
    <cfRule type="dataBar" priority="66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{BB3A028B-8F75-4AF5-9B4E-6AC5CBE50C3D}</x14:id>
        </ext>
      </extLst>
    </cfRule>
  </conditionalFormatting>
  <conditionalFormatting sqref="M19:M27">
    <cfRule type="dataBar" priority="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{BF11CBF6-392F-4DA6-AEDB-59F35495FFFB}</x14:id>
        </ext>
      </extLst>
    </cfRule>
  </conditionalFormatting>
  <conditionalFormatting sqref="N15">
    <cfRule type="dataBar" priority="120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{72CF4203-0580-4562-8589-9EEBE46498BA}</x14:id>
        </ext>
      </extLst>
    </cfRule>
    <cfRule type="dataBar" priority="1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{012F56DC-235E-4EBF-BCCD-F7CCB45DBEF3}</x14:id>
        </ext>
      </extLst>
    </cfRule>
  </conditionalFormatting>
  <conditionalFormatting sqref="N28:N29">
    <cfRule type="dataBar" priority="56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{82F3B569-B3BC-4D75-A17A-EBC308AE103E}</x14:id>
        </ext>
      </extLst>
    </cfRule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{236B86EF-0A50-4495-A9C5-C1A6FD24588C}</x14:id>
        </ext>
      </extLst>
    </cfRule>
  </conditionalFormatting>
  <conditionalFormatting sqref="N55:N58">
    <cfRule type="dataBar" priority="1226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{F87457BF-5F62-4237-9B83-84046D02D2FB}</x14:id>
        </ext>
      </extLst>
    </cfRule>
    <cfRule type="dataBar" priority="12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{E09DBFFD-858B-44E9-8B5D-2DB92DABBA72}</x14:id>
        </ext>
      </extLst>
    </cfRule>
  </conditionalFormatting>
  <conditionalFormatting sqref="N68:N73"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{5581E75C-ECAC-48AF-833A-DFCD0691EC55}</x14:id>
        </ext>
      </extLst>
    </cfRule>
    <cfRule type="dataBar" priority="80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{61CD915B-8CA0-4BA7-80E3-06E9C7A51A53}</x14:id>
        </ext>
      </extLst>
    </cfRule>
  </conditionalFormatting>
  <conditionalFormatting sqref="O33">
    <cfRule type="dataBar" priority="46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{D84D2593-E364-4BA2-BE25-E629C2314EA2}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{0283F9E4-1FCC-45F1-8F50-A2C5D93F1E57}</x14:id>
        </ext>
      </extLst>
    </cfRule>
  </conditionalFormatting>
  <conditionalFormatting sqref="O34:O41">
    <cfRule type="dataBar" priority="1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{1D09DFF0-DE41-4607-921D-8DDE196A2B33}</x14:id>
        </ext>
      </extLst>
    </cfRule>
  </conditionalFormatting>
  <conditionalFormatting sqref="O46">
    <cfRule type="dataBar" priority="37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{6F7CDC18-BD5F-4CD5-9B80-B096B298A459}</x14:id>
        </ext>
      </extLst>
    </cfRule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{FBC84203-C125-43F4-8C47-A0B956040BFF}</x14:id>
        </ext>
      </extLst>
    </cfRule>
  </conditionalFormatting>
  <conditionalFormatting sqref="O47:O54">
    <cfRule type="dataBar" priority="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{D03F2B7A-042A-4B78-A2B8-81B12F05D574}</x14:id>
        </ext>
      </extLst>
    </cfRule>
  </conditionalFormatting>
  <conditionalFormatting sqref="O55:P58 P53:P54">
    <cfRule type="dataBar" priority="84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{8677AC63-E651-4569-A1DD-A51CF3656B87}</x14:id>
        </ext>
      </extLst>
    </cfRule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{EE74ADDA-D0A7-4904-BEB6-FC950AFAF21E}</x14:id>
        </ext>
      </extLst>
    </cfRule>
  </conditionalFormatting>
  <conditionalFormatting sqref="O67:P67">
    <cfRule type="dataBar" priority="72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{2A665FFF-7117-41C2-B384-D072E7B42465}</x14:id>
        </ext>
      </extLst>
    </cfRule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{1377A537-C2B3-4352-9966-78F605832D17}</x14:id>
        </ext>
      </extLst>
    </cfRule>
  </conditionalFormatting>
  <conditionalFormatting sqref="O68:P74">
    <cfRule type="dataBar" priority="70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{995E9999-C7F0-4B65-8BB7-F644283D943F}</x14:id>
        </ext>
      </extLst>
    </cfRule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{A47A359A-AFB4-47F0-8BF0-760A6DA7D5B2}</x14:id>
        </ext>
      </extLst>
    </cfRule>
  </conditionalFormatting>
  <conditionalFormatting sqref="P44:P49">
    <cfRule type="dataBar" priority="94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{A1F2BD55-4774-4885-8CC2-500EC60205A0}</x14:id>
        </ext>
      </extLst>
    </cfRule>
    <cfRule type="dataBar" priority="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{70003A21-6E54-4B6C-8045-4FDD1686C88E}</x14:id>
        </ext>
      </extLst>
    </cfRule>
  </conditionalFormatting>
  <conditionalFormatting sqref="Q15">
    <cfRule type="dataBar" priority="68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{41860647-A739-4BED-A7BB-DD0545342341}</x14:id>
        </ext>
      </extLst>
    </cfRule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{54F6D182-A33F-4003-A7E7-F02FACC6167E}</x14:id>
        </ext>
      </extLst>
    </cfRule>
  </conditionalFormatting>
  <conditionalFormatting sqref="Q44:Q49">
    <cfRule type="dataBar" priority="1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{F90693E5-9EA7-4856-8C1A-9BBE0B43F86B}</x14:id>
        </ext>
      </extLst>
    </cfRule>
  </conditionalFormatting>
  <conditionalFormatting sqref="Q53:Q58">
    <cfRule type="dataBar" priority="1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{37E4C76E-A1C0-46EE-A684-AAC8F7757D9A}</x14:id>
        </ext>
      </extLst>
    </cfRule>
  </conditionalFormatting>
  <conditionalFormatting sqref="R6:R14"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{FBDCDE31-741E-4527-8FD9-630294D154FE}</x14:id>
        </ext>
      </extLst>
    </cfRule>
  </conditionalFormatting>
  <conditionalFormatting sqref="R15">
    <cfRule type="dataBar" priority="12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{F7F4DE1B-267B-4B65-A59D-26BA695E27D1}</x14:id>
        </ext>
      </extLst>
    </cfRule>
    <cfRule type="dataBar" priority="1213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{5911D803-4627-46FC-A2C1-7D794B4DD06D}</x14:id>
        </ext>
      </extLst>
    </cfRule>
  </conditionalFormatting>
  <conditionalFormatting sqref="R19:R27">
    <cfRule type="dataBar" priority="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{B2CF1C35-C187-40CE-B50B-67507552CA28}</x14:id>
        </ext>
      </extLst>
    </cfRule>
  </conditionalFormatting>
  <conditionalFormatting sqref="R28">
    <cfRule type="dataBar" priority="2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{C27A7C9C-3E88-4282-9A65-EF3E4B50C5B5}</x14:id>
        </ext>
      </extLst>
    </cfRule>
  </conditionalFormatting>
  <conditionalFormatting sqref="S28:S29">
    <cfRule type="dataBar" priority="60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{B56F024E-5CB1-417F-8B35-F697F2DAE821}</x14:id>
        </ext>
      </extLst>
    </cfRule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{9ABD4D41-EF33-4811-88B8-6B2EFE6CA381}</x14:id>
        </ext>
      </extLst>
    </cfRule>
  </conditionalFormatting>
  <conditionalFormatting sqref="S44:S49">
    <cfRule type="dataBar" priority="96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{17C35B2A-FAD2-43DC-B481-2E7B40CA105C}</x14:id>
        </ext>
      </extLst>
    </cfRule>
    <cfRule type="dataBar" priority="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{1A33E079-446C-49F0-8807-B5F188A59829}</x14:id>
        </ext>
      </extLst>
    </cfRule>
  </conditionalFormatting>
  <conditionalFormatting sqref="S53:S58">
    <cfRule type="dataBar" priority="82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{355BB845-EFF1-4AAC-8E5F-D95C1E44E04F}</x14:id>
        </ext>
      </extLst>
    </cfRule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{24BEE3D1-0B32-4FF9-8304-A1E78F9886FA}</x14:id>
        </ext>
      </extLst>
    </cfRule>
  </conditionalFormatting>
  <conditionalFormatting sqref="W6:W14">
    <cfRule type="dataBar" priority="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{D954DD75-8B0F-45B1-8316-BB12C1E159E4}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023ACF-643E-4239-8EDB-1214717E01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1AA00A6-8947-40B3-8EF6-18A2F3F5B6CF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E15:F15 G33</xm:sqref>
        </x14:conditionalFormatting>
        <x14:conditionalFormatting xmlns:xm="http://schemas.microsoft.com/office/excel/2006/main">
          <x14:cfRule type="dataBar" id="{957D0C6D-A84D-4948-A281-851EF6D7F737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CCE3E781-8E5A-453C-B051-94FC51303F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E55:F58</xm:sqref>
        </x14:conditionalFormatting>
        <x14:conditionalFormatting xmlns:xm="http://schemas.microsoft.com/office/excel/2006/main">
          <x14:cfRule type="dataBar" id="{6E0BD6B4-0BA8-4DB0-895A-FC69279FA759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8615758C-962E-4B5C-9C0B-A4B6C5430B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E67:F74</xm:sqref>
        </x14:conditionalFormatting>
        <x14:conditionalFormatting xmlns:xm="http://schemas.microsoft.com/office/excel/2006/main">
          <x14:cfRule type="dataBar" id="{219E7ADB-86A6-47B9-8D34-47FF95A672E7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AD050179-CB85-4CE1-820C-A8B110C92C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G15</xm:sqref>
        </x14:conditionalFormatting>
        <x14:conditionalFormatting xmlns:xm="http://schemas.microsoft.com/office/excel/2006/main">
          <x14:cfRule type="dataBar" id="{012B9508-92F1-4467-A914-504DB7184A3F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G34:G41</xm:sqref>
        </x14:conditionalFormatting>
        <x14:conditionalFormatting xmlns:xm="http://schemas.microsoft.com/office/excel/2006/main">
          <x14:cfRule type="dataBar" id="{0FC84BFE-CCE9-465A-B812-1CCB682443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34B4B33-5797-4663-ADAF-EEC3360D3FEE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G46</xm:sqref>
        </x14:conditionalFormatting>
        <x14:conditionalFormatting xmlns:xm="http://schemas.microsoft.com/office/excel/2006/main">
          <x14:cfRule type="dataBar" id="{698F05B6-7E95-4476-82DD-55632CF63E48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G47:G54</xm:sqref>
        </x14:conditionalFormatting>
        <x14:conditionalFormatting xmlns:xm="http://schemas.microsoft.com/office/excel/2006/main">
          <x14:cfRule type="dataBar" id="{747D6167-1351-475B-81ED-36FFE5F33F3E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7E593D3D-4722-44AF-8A0C-31164C00D5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G55:G58</xm:sqref>
        </x14:conditionalFormatting>
        <x14:conditionalFormatting xmlns:xm="http://schemas.microsoft.com/office/excel/2006/main">
          <x14:cfRule type="dataBar" id="{57A18411-5B07-401F-9B71-49C53A433C11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H6:H14</xm:sqref>
        </x14:conditionalFormatting>
        <x14:conditionalFormatting xmlns:xm="http://schemas.microsoft.com/office/excel/2006/main">
          <x14:cfRule type="dataBar" id="{7D84073C-D267-48A7-86AA-FBD010FCB2E7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H19:H27</xm:sqref>
        </x14:conditionalFormatting>
        <x14:conditionalFormatting xmlns:xm="http://schemas.microsoft.com/office/excel/2006/main">
          <x14:cfRule type="dataBar" id="{0BFE920B-C20D-4211-A4BB-DCE57AA5A2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7330CBD-A5C7-411C-8A55-BB1B40EB3E45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I15</xm:sqref>
        </x14:conditionalFormatting>
        <x14:conditionalFormatting xmlns:xm="http://schemas.microsoft.com/office/excel/2006/main">
          <x14:cfRule type="dataBar" id="{E1C213B7-2390-41F8-9579-D5B1ADA0081D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84D529B9-B1F9-4ADD-B10F-00058AB645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I55:I58</xm:sqref>
        </x14:conditionalFormatting>
        <x14:conditionalFormatting xmlns:xm="http://schemas.microsoft.com/office/excel/2006/main">
          <x14:cfRule type="dataBar" id="{FD0B8A5D-A73C-4DAD-8374-A351E95321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B052263-86D7-4688-B75A-C9B8CCAE2CB1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I67</xm:sqref>
        </x14:conditionalFormatting>
        <x14:conditionalFormatting xmlns:xm="http://schemas.microsoft.com/office/excel/2006/main">
          <x14:cfRule type="dataBar" id="{7BF33CFF-7474-4D01-99FD-BE975E0C2CC9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42399D3F-AE1C-431A-9A23-2C7DB4C220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I68:I74</xm:sqref>
        </x14:conditionalFormatting>
        <x14:conditionalFormatting xmlns:xm="http://schemas.microsoft.com/office/excel/2006/main">
          <x14:cfRule type="dataBar" id="{97DBAF69-640B-40D5-B8E0-41DB90F3ED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A66FC9F-AF88-4B3A-8BA5-F5D294B8486E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J15:K15</xm:sqref>
        </x14:conditionalFormatting>
        <x14:conditionalFormatting xmlns:xm="http://schemas.microsoft.com/office/excel/2006/main">
          <x14:cfRule type="dataBar" id="{B8842EA2-A4E4-43FA-9A18-10662059453F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6302A9FA-ACA8-436F-B195-7258629A47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J55:K58</xm:sqref>
        </x14:conditionalFormatting>
        <x14:conditionalFormatting xmlns:xm="http://schemas.microsoft.com/office/excel/2006/main">
          <x14:cfRule type="iconSet" priority="109" id="{C1E7BFE8-10DB-45C1-B187-F2744797F93E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J104:K104</xm:sqref>
        </x14:conditionalFormatting>
        <x14:conditionalFormatting xmlns:xm="http://schemas.microsoft.com/office/excel/2006/main">
          <x14:cfRule type="dataBar" id="{F5D92928-2B48-4112-A54D-23CA0769BA1B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586D4499-4940-4D95-9CA4-1922ADB7C9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K33</xm:sqref>
        </x14:conditionalFormatting>
        <x14:conditionalFormatting xmlns:xm="http://schemas.microsoft.com/office/excel/2006/main">
          <x14:cfRule type="dataBar" id="{7FFB4D71-8F44-4E60-AC1A-277B7F7B7F3C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K34:K41</xm:sqref>
        </x14:conditionalFormatting>
        <x14:conditionalFormatting xmlns:xm="http://schemas.microsoft.com/office/excel/2006/main">
          <x14:cfRule type="dataBar" id="{FD5C88CE-F776-4230-A1F3-03A2226353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203ACD5-2E66-4B2D-B432-78F9FFAAA707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K46</xm:sqref>
        </x14:conditionalFormatting>
        <x14:conditionalFormatting xmlns:xm="http://schemas.microsoft.com/office/excel/2006/main">
          <x14:cfRule type="dataBar" id="{4F937782-C67F-4878-AD24-6638111A10EF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K47:K54</xm:sqref>
        </x14:conditionalFormatting>
        <x14:conditionalFormatting xmlns:xm="http://schemas.microsoft.com/office/excel/2006/main">
          <x14:cfRule type="dataBar" id="{C435697B-913C-4E67-BBCF-D706EF7F4D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L28:L29</xm:sqref>
        </x14:conditionalFormatting>
        <x14:conditionalFormatting xmlns:xm="http://schemas.microsoft.com/office/excel/2006/main">
          <x14:cfRule type="dataBar" id="{8D450F37-0AD0-43A7-A3E8-8BA575AE84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L55:L58</xm:sqref>
        </x14:conditionalFormatting>
        <x14:conditionalFormatting xmlns:xm="http://schemas.microsoft.com/office/excel/2006/main">
          <x14:cfRule type="dataBar" id="{712A7831-C9FE-490C-874B-8D9D748A05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L68:L73</xm:sqref>
        </x14:conditionalFormatting>
        <x14:conditionalFormatting xmlns:xm="http://schemas.microsoft.com/office/excel/2006/main">
          <x14:cfRule type="dataBar" id="{4F3046C8-6D3A-4464-B3EC-B03A0D1BEE84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M6:M14</xm:sqref>
        </x14:conditionalFormatting>
        <x14:conditionalFormatting xmlns:xm="http://schemas.microsoft.com/office/excel/2006/main">
          <x14:cfRule type="dataBar" id="{40E4E64F-8FDD-4937-8818-E5DF63721E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B3A028B-8F75-4AF5-9B4E-6AC5CBE50C3D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BF11CBF6-392F-4DA6-AEDB-59F35495FFFB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M19:M27</xm:sqref>
        </x14:conditionalFormatting>
        <x14:conditionalFormatting xmlns:xm="http://schemas.microsoft.com/office/excel/2006/main">
          <x14:cfRule type="dataBar" id="{72CF4203-0580-4562-8589-9EEBE46498BA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012F56DC-235E-4EBF-BCCD-F7CCB45DBE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N15</xm:sqref>
        </x14:conditionalFormatting>
        <x14:conditionalFormatting xmlns:xm="http://schemas.microsoft.com/office/excel/2006/main">
          <x14:cfRule type="dataBar" id="{82F3B569-B3BC-4D75-A17A-EBC308AE103E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236B86EF-0A50-4495-A9C5-C1A6FD2458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N28:N29</xm:sqref>
        </x14:conditionalFormatting>
        <x14:conditionalFormatting xmlns:xm="http://schemas.microsoft.com/office/excel/2006/main">
          <x14:cfRule type="dataBar" id="{F87457BF-5F62-4237-9B83-84046D02D2FB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E09DBFFD-858B-44E9-8B5D-2DB92DABBA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N55:N58</xm:sqref>
        </x14:conditionalFormatting>
        <x14:conditionalFormatting xmlns:xm="http://schemas.microsoft.com/office/excel/2006/main">
          <x14:cfRule type="dataBar" id="{5581E75C-ECAC-48AF-833A-DFCD0691EC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1CD915B-8CA0-4BA7-80E3-06E9C7A51A53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N68:N73</xm:sqref>
        </x14:conditionalFormatting>
        <x14:conditionalFormatting xmlns:xm="http://schemas.microsoft.com/office/excel/2006/main">
          <x14:cfRule type="dataBar" id="{D84D2593-E364-4BA2-BE25-E629C2314EA2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0283F9E4-1FCC-45F1-8F50-A2C5D93F1E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1D09DFF0-DE41-4607-921D-8DDE196A2B33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O34:O41</xm:sqref>
        </x14:conditionalFormatting>
        <x14:conditionalFormatting xmlns:xm="http://schemas.microsoft.com/office/excel/2006/main">
          <x14:cfRule type="dataBar" id="{6F7CDC18-BD5F-4CD5-9B80-B096B298A459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FBC84203-C125-43F4-8C47-A0B956040B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O46</xm:sqref>
        </x14:conditionalFormatting>
        <x14:conditionalFormatting xmlns:xm="http://schemas.microsoft.com/office/excel/2006/main">
          <x14:cfRule type="dataBar" id="{D03F2B7A-042A-4B78-A2B8-81B12F05D574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O47:O54</xm:sqref>
        </x14:conditionalFormatting>
        <x14:conditionalFormatting xmlns:xm="http://schemas.microsoft.com/office/excel/2006/main">
          <x14:cfRule type="dataBar" id="{8677AC63-E651-4569-A1DD-A51CF3656B87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EE74ADDA-D0A7-4904-BEB6-FC950AFAF2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O55:P58 P53:P54</xm:sqref>
        </x14:conditionalFormatting>
        <x14:conditionalFormatting xmlns:xm="http://schemas.microsoft.com/office/excel/2006/main">
          <x14:cfRule type="dataBar" id="{2A665FFF-7117-41C2-B384-D072E7B42465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1377A537-C2B3-4352-9966-78F605832D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O67:P67</xm:sqref>
        </x14:conditionalFormatting>
        <x14:conditionalFormatting xmlns:xm="http://schemas.microsoft.com/office/excel/2006/main">
          <x14:cfRule type="dataBar" id="{995E9999-C7F0-4B65-8BB7-F644283D943F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A47A359A-AFB4-47F0-8BF0-760A6DA7D5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O68:P74</xm:sqref>
        </x14:conditionalFormatting>
        <x14:conditionalFormatting xmlns:xm="http://schemas.microsoft.com/office/excel/2006/main">
          <x14:cfRule type="dataBar" id="{A1F2BD55-4774-4885-8CC2-500EC60205A0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70003A21-6E54-4B6C-8045-4FDD1686C8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P44:P49</xm:sqref>
        </x14:conditionalFormatting>
        <x14:conditionalFormatting xmlns:xm="http://schemas.microsoft.com/office/excel/2006/main">
          <x14:cfRule type="dataBar" id="{41860647-A739-4BED-A7BB-DD0545342341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54F6D182-A33F-4003-A7E7-F02FACC616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F90693E5-9EA7-4856-8C1A-9BBE0B43F8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Q44:Q49</xm:sqref>
        </x14:conditionalFormatting>
        <x14:conditionalFormatting xmlns:xm="http://schemas.microsoft.com/office/excel/2006/main">
          <x14:cfRule type="dataBar" id="{37E4C76E-A1C0-46EE-A684-AAC8F7757D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Q53:Q58</xm:sqref>
        </x14:conditionalFormatting>
        <x14:conditionalFormatting xmlns:xm="http://schemas.microsoft.com/office/excel/2006/main">
          <x14:cfRule type="dataBar" id="{FBDCDE31-741E-4527-8FD9-630294D154FE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R6:R14</xm:sqref>
        </x14:conditionalFormatting>
        <x14:conditionalFormatting xmlns:xm="http://schemas.microsoft.com/office/excel/2006/main">
          <x14:cfRule type="dataBar" id="{F7F4DE1B-267B-4B65-A59D-26BA695E27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911D803-4627-46FC-A2C1-7D794B4DD06D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B2CF1C35-C187-40CE-B50B-67507552CA28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R19:R27</xm:sqref>
        </x14:conditionalFormatting>
        <x14:conditionalFormatting xmlns:xm="http://schemas.microsoft.com/office/excel/2006/main">
          <x14:cfRule type="dataBar" id="{C27A7C9C-3E88-4282-9A65-EF3E4B50C5B5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B56F024E-5CB1-417F-8B35-F697F2DAE821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9ABD4D41-EF33-4811-88B8-6B2EFE6CA3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S28:S29</xm:sqref>
        </x14:conditionalFormatting>
        <x14:conditionalFormatting xmlns:xm="http://schemas.microsoft.com/office/excel/2006/main">
          <x14:cfRule type="dataBar" id="{17C35B2A-FAD2-43DC-B481-2E7B40CA105C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1A33E079-446C-49F0-8807-B5F188A598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S44:S49</xm:sqref>
        </x14:conditionalFormatting>
        <x14:conditionalFormatting xmlns:xm="http://schemas.microsoft.com/office/excel/2006/main">
          <x14:cfRule type="dataBar" id="{355BB845-EFF1-4AAC-8E5F-D95C1E44E04F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14:cfRule type="dataBar" id="{24BEE3D1-0B32-4FF9-8304-A1E78F9886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S53:S58</xm:sqref>
        </x14:conditionalFormatting>
        <x14:conditionalFormatting xmlns:xm="http://schemas.microsoft.com/office/excel/2006/main">
          <x14:cfRule type="dataBar" id="{D954DD75-8B0F-45B1-8316-BB12C1E159E4}">
            <x14:dataBar minLength="0" maxLength="100" gradient="0" axisPosition="middle">
              <x14:cfvo type="autoMin"/>
              <x14:cfvo type="autoMax"/>
              <x14:negativeFillColor rgb="FFFFB3B3"/>
              <x14:axisColor rgb="FF000000"/>
            </x14:dataBar>
          </x14:cfRule>
          <xm:sqref>W6:W14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7B353-6275-4B33-9617-16F035185C36}">
  <dimension ref="A1:AS363"/>
  <sheetViews>
    <sheetView showGridLines="0" zoomScale="55" zoomScaleNormal="55" workbookViewId="0">
      <pane xSplit="1" ySplit="4" topLeftCell="H5" activePane="bottomRight" state="frozen"/>
      <selection pane="topRight" activeCell="B1" sqref="B1"/>
      <selection pane="bottomLeft" activeCell="A5" sqref="A5"/>
      <selection pane="bottomRight" activeCell="AD12" sqref="AD12"/>
    </sheetView>
  </sheetViews>
  <sheetFormatPr defaultColWidth="9.1796875" defaultRowHeight="14.5"/>
  <cols>
    <col min="1" max="1" width="51.54296875" style="4" bestFit="1" customWidth="1"/>
    <col min="2" max="2" width="15.1796875" style="9" bestFit="1" customWidth="1"/>
    <col min="3" max="3" width="20.54296875" style="9" bestFit="1" customWidth="1"/>
    <col min="4" max="4" width="2.81640625" style="9" customWidth="1"/>
    <col min="5" max="6" width="14.453125" style="9" customWidth="1"/>
    <col min="7" max="7" width="5.54296875" style="9" customWidth="1"/>
    <col min="8" max="9" width="14.453125" style="9" customWidth="1"/>
    <col min="10" max="10" width="2.81640625" style="9" customWidth="1"/>
    <col min="11" max="12" width="14.453125" style="9" customWidth="1"/>
    <col min="13" max="13" width="2.81640625" style="9" customWidth="1"/>
    <col min="14" max="15" width="14.453125" style="9" customWidth="1"/>
    <col min="16" max="16" width="6.1796875" style="9" customWidth="1"/>
    <col min="17" max="18" width="14.453125" style="9" customWidth="1"/>
    <col min="19" max="19" width="4.54296875" style="9" customWidth="1"/>
    <col min="20" max="21" width="14.453125" style="9" customWidth="1"/>
    <col min="22" max="22" width="2.81640625" style="9" customWidth="1"/>
    <col min="23" max="24" width="14.453125" style="9" customWidth="1"/>
    <col min="25" max="25" width="2.81640625" style="9" customWidth="1"/>
    <col min="26" max="27" width="14.453125" style="9" customWidth="1"/>
    <col min="28" max="28" width="2.81640625" style="9" customWidth="1"/>
    <col min="29" max="30" width="14.453125" style="9" customWidth="1"/>
    <col min="31" max="31" width="2.81640625" style="9" customWidth="1"/>
    <col min="32" max="33" width="14.453125" style="9" customWidth="1"/>
    <col min="34" max="34" width="2.81640625" style="9" customWidth="1"/>
    <col min="35" max="36" width="14.453125" style="9" customWidth="1"/>
    <col min="37" max="37" width="12.453125" style="9" customWidth="1"/>
    <col min="38" max="38" width="14.453125" style="9" bestFit="1" customWidth="1"/>
    <col min="39" max="39" width="10.453125" style="6" customWidth="1"/>
    <col min="40" max="40" width="12.1796875" bestFit="1" customWidth="1"/>
    <col min="41" max="42" width="9.1796875" hidden="1" customWidth="1"/>
    <col min="43" max="43" width="10.54296875" bestFit="1" customWidth="1"/>
    <col min="44" max="44" width="13.1796875" bestFit="1" customWidth="1"/>
    <col min="45" max="45" width="10" bestFit="1" customWidth="1"/>
  </cols>
  <sheetData>
    <row r="1" spans="1:45" s="42" customFormat="1">
      <c r="A1" s="59" t="str">
        <f>'A-TRY'!A1</f>
        <v>EYLÜL</v>
      </c>
      <c r="B1" s="449" t="s">
        <v>41</v>
      </c>
      <c r="C1" s="450"/>
      <c r="D1" s="39"/>
      <c r="E1" s="449" t="s">
        <v>42</v>
      </c>
      <c r="F1" s="450"/>
      <c r="G1" s="39"/>
      <c r="H1" s="449" t="s">
        <v>43</v>
      </c>
      <c r="I1" s="450"/>
      <c r="J1" s="39"/>
      <c r="K1" s="449" t="s">
        <v>44</v>
      </c>
      <c r="L1" s="450"/>
      <c r="M1" s="39"/>
      <c r="N1" s="449" t="s">
        <v>45</v>
      </c>
      <c r="O1" s="450"/>
      <c r="P1" s="39"/>
      <c r="Q1" s="449" t="s">
        <v>46</v>
      </c>
      <c r="R1" s="450"/>
      <c r="S1" s="39"/>
      <c r="T1" s="449" t="s">
        <v>47</v>
      </c>
      <c r="U1" s="450"/>
      <c r="V1" s="39"/>
      <c r="W1" s="449" t="s">
        <v>48</v>
      </c>
      <c r="X1" s="450"/>
      <c r="Y1" s="39"/>
      <c r="Z1" s="449" t="s">
        <v>49</v>
      </c>
      <c r="AA1" s="450"/>
      <c r="AB1" s="39"/>
      <c r="AC1" s="449" t="s">
        <v>50</v>
      </c>
      <c r="AD1" s="450"/>
      <c r="AE1" s="39"/>
      <c r="AF1" s="449" t="s">
        <v>51</v>
      </c>
      <c r="AG1" s="450"/>
      <c r="AH1" s="39"/>
      <c r="AI1" s="449" t="s">
        <v>52</v>
      </c>
      <c r="AJ1" s="450"/>
      <c r="AK1" s="39"/>
      <c r="AL1" s="448"/>
      <c r="AM1" s="448"/>
    </row>
    <row r="2" spans="1:45" s="1" customFormat="1">
      <c r="A2" s="3"/>
      <c r="B2" s="11" t="s">
        <v>53</v>
      </c>
      <c r="C2" s="11" t="s">
        <v>54</v>
      </c>
      <c r="D2" s="8"/>
      <c r="E2" s="11" t="s">
        <v>53</v>
      </c>
      <c r="F2" s="11" t="s">
        <v>54</v>
      </c>
      <c r="G2" s="8"/>
      <c r="H2" s="11" t="s">
        <v>53</v>
      </c>
      <c r="I2" s="11" t="s">
        <v>54</v>
      </c>
      <c r="J2" s="8"/>
      <c r="K2" s="11" t="s">
        <v>53</v>
      </c>
      <c r="L2" s="11" t="s">
        <v>54</v>
      </c>
      <c r="M2" s="8"/>
      <c r="N2" s="11" t="s">
        <v>53</v>
      </c>
      <c r="O2" s="11" t="s">
        <v>54</v>
      </c>
      <c r="P2" s="8"/>
      <c r="Q2" s="11" t="s">
        <v>53</v>
      </c>
      <c r="R2" s="11" t="s">
        <v>54</v>
      </c>
      <c r="S2" s="8"/>
      <c r="T2" s="11" t="s">
        <v>53</v>
      </c>
      <c r="U2" s="11" t="s">
        <v>54</v>
      </c>
      <c r="V2" s="8"/>
      <c r="W2" s="11" t="s">
        <v>53</v>
      </c>
      <c r="X2" s="11" t="s">
        <v>54</v>
      </c>
      <c r="Y2" s="8"/>
      <c r="Z2" s="11" t="s">
        <v>53</v>
      </c>
      <c r="AA2" s="11" t="s">
        <v>54</v>
      </c>
      <c r="AB2" s="8"/>
      <c r="AC2" s="11" t="s">
        <v>53</v>
      </c>
      <c r="AD2" s="11" t="s">
        <v>54</v>
      </c>
      <c r="AE2" s="8"/>
      <c r="AF2" s="11" t="s">
        <v>53</v>
      </c>
      <c r="AG2" s="11" t="s">
        <v>54</v>
      </c>
      <c r="AH2" s="8"/>
      <c r="AI2" s="11" t="s">
        <v>53</v>
      </c>
      <c r="AJ2" s="11" t="s">
        <v>54</v>
      </c>
      <c r="AK2" s="8"/>
      <c r="AL2" s="11" t="s">
        <v>55</v>
      </c>
      <c r="AM2" s="11" t="s">
        <v>56</v>
      </c>
      <c r="AO2" s="43" t="s">
        <v>53</v>
      </c>
      <c r="AP2" s="43" t="s">
        <v>54</v>
      </c>
    </row>
    <row r="3" spans="1:45" ht="15.5">
      <c r="A3" s="2" t="s">
        <v>57</v>
      </c>
      <c r="B3" s="10">
        <f>'Bütçe aylık-TL'!$B$2</f>
        <v>37.515625</v>
      </c>
      <c r="C3" s="10">
        <f>'gerç aylık-tl'!$B$2</f>
        <v>37.184399999999997</v>
      </c>
      <c r="D3" s="10"/>
      <c r="E3" s="10">
        <f>'Bütçe aylık-TL'!$C$2</f>
        <v>38.281250000000007</v>
      </c>
      <c r="F3" s="10">
        <f>'gerç aylık-tl'!$C$2</f>
        <v>38.103999999999999</v>
      </c>
      <c r="G3" s="10"/>
      <c r="H3" s="10">
        <f>'Bütçe aylık-TL'!$D$2</f>
        <v>39.046875</v>
      </c>
      <c r="I3" s="10">
        <f>'gerç aylık-tl'!$D$2</f>
        <v>40.701900000000002</v>
      </c>
      <c r="J3" s="10"/>
      <c r="K3" s="10">
        <f>'Bütçe aylık-TL'!$E$2</f>
        <v>39.8125</v>
      </c>
      <c r="L3" s="10">
        <f>'gerç aylık-tl'!$E$2</f>
        <v>43.6858</v>
      </c>
      <c r="M3" s="10"/>
      <c r="N3" s="10">
        <f>'Bütçe aylık-TL'!$F$2</f>
        <v>40.578125000000007</v>
      </c>
      <c r="O3" s="10">
        <f>'gerç aylık-tl'!$F$2</f>
        <v>44.270600000000002</v>
      </c>
      <c r="P3" s="10"/>
      <c r="Q3" s="10">
        <f>'Bütçe aylık-TL'!$G$2</f>
        <v>41.34375</v>
      </c>
      <c r="R3" s="10">
        <f>'gerç aylık-tl'!$G$2</f>
        <v>46.552599999999998</v>
      </c>
      <c r="S3" s="10"/>
      <c r="T3" s="10">
        <f>'Bütçe aylık-TL'!$H$2</f>
        <v>42.109375</v>
      </c>
      <c r="U3" s="10">
        <f>'gerç aylık-tl'!$H$2</f>
        <v>46.7684</v>
      </c>
      <c r="V3" s="10"/>
      <c r="W3" s="10">
        <f>'Bütçe aylık-TL'!$I$2</f>
        <v>42.875000000000007</v>
      </c>
      <c r="X3" s="10">
        <f>'gerç aylık-tl'!$I$2</f>
        <v>47.784100000000002</v>
      </c>
      <c r="Y3" s="10"/>
      <c r="Z3" s="10">
        <f>'Bütçe aylık-TL'!$J$2</f>
        <v>43.640625</v>
      </c>
      <c r="AA3" s="10">
        <f>'gerç aylık-tl'!$J$2</f>
        <v>48.647899999999993</v>
      </c>
      <c r="AB3" s="10"/>
      <c r="AC3" s="10">
        <f>'Bütçe aylık-TL'!$K$2</f>
        <v>44.40625</v>
      </c>
      <c r="AD3" s="10" t="e">
        <f>'gerç aylık-tl'!$K$2</f>
        <v>#DIV/0!</v>
      </c>
      <c r="AE3" s="10"/>
      <c r="AF3" s="10">
        <f>'Bütçe aylık-TL'!$L$2</f>
        <v>45.171875000000007</v>
      </c>
      <c r="AG3" s="10" t="e">
        <f>'gerç aylık-tl'!$L$2</f>
        <v>#DIV/0!</v>
      </c>
      <c r="AH3" s="10"/>
      <c r="AI3" s="10">
        <f>'Bütçe aylık-TL'!$M$2</f>
        <v>45.9375</v>
      </c>
      <c r="AJ3" s="10" t="e">
        <f>'gerç aylık-tl'!$M$2</f>
        <v>#DIV/0!</v>
      </c>
      <c r="AK3" s="10"/>
      <c r="AL3" s="25">
        <f>AP3-AO3</f>
        <v>5.0072749999999928</v>
      </c>
      <c r="AM3" s="22">
        <f>AP3/AO3-1</f>
        <v>0.11473884711779436</v>
      </c>
      <c r="AO3" s="44">
        <f>IF($A$1=$B$1,B3,IF($A$1=$E$1,E3,IF($A$1=$H$1,H3,IF($A$1=$K$1,K3,IF($A$1=$N$1,N3,IF($A$1=$Q$1,Q3,IF($A$1=$T$1,T3,IF($A$1=$W$1,W3,IF($A$1=$Z$1,Z3,IF($A$1=$AC$1,AC3,IF($A$1=$AF$1,AF3,IF($A$1=$AI$1,AI3))))))))))))</f>
        <v>43.640625</v>
      </c>
      <c r="AP3" s="44">
        <f>IF($A$1=$B$1,C3,IF($A$1=$E$1,F3,IF($A$1=$H$1,I3,IF($A$1=$K$1,L3,IF($A$1=$N$1,O3,IF($A$1=$Q$1,R3,IF($A$1=$T$1,U3,IF($A$1=$W$1,X3,IF($A$1=$Z$1,AA3,IF($A$1=$AC$1,AD3,IF($A$1=$AF$1,AG3,IF($A$1=$AI$1,AJ3))))))))))))</f>
        <v>48.647899999999993</v>
      </c>
      <c r="AR3" s="94">
        <f>250000000/L3</f>
        <v>5722683.3433289537</v>
      </c>
    </row>
    <row r="4" spans="1:45" ht="15.5">
      <c r="A4" s="2" t="s">
        <v>58</v>
      </c>
      <c r="B4" s="10">
        <f>'Bütçe aylık-TL'!$B$3</f>
        <v>37.1328125</v>
      </c>
      <c r="C4" s="10">
        <f>'gerç aylık-tl'!$B$3</f>
        <v>36.689261290322584</v>
      </c>
      <c r="D4" s="10"/>
      <c r="E4" s="10">
        <f>'Bütçe aylık-TL'!$C$3</f>
        <v>37.8984375</v>
      </c>
      <c r="F4" s="10">
        <f>'gerç aylık-tl'!$C$3</f>
        <v>37.57770714285715</v>
      </c>
      <c r="G4" s="10"/>
      <c r="H4" s="10">
        <f>'Bütçe aylık-TL'!$D$3</f>
        <v>38.6640625</v>
      </c>
      <c r="I4" s="10">
        <f>'gerç aylık-tl'!$D$3</f>
        <v>39.849870967741943</v>
      </c>
      <c r="J4" s="10"/>
      <c r="K4" s="10">
        <f>'Bütçe aylık-TL'!$E$3</f>
        <v>39.4296875</v>
      </c>
      <c r="L4" s="10">
        <f>'gerç aylık-tl'!$E$3</f>
        <v>42.673176666666649</v>
      </c>
      <c r="M4" s="10"/>
      <c r="N4" s="10">
        <f>'Bütçe aylık-TL'!$F$3</f>
        <v>40.1953125</v>
      </c>
      <c r="O4" s="10">
        <f>'gerç aylık-tl'!$F$3</f>
        <v>43.629358064516119</v>
      </c>
      <c r="P4" s="10"/>
      <c r="Q4" s="10">
        <f>'Bütçe aylık-TL'!$G$3</f>
        <v>40.9609375</v>
      </c>
      <c r="R4" s="10">
        <f>'gerç aylık-tl'!$G$3</f>
        <v>45.227209999999999</v>
      </c>
      <c r="S4" s="10"/>
      <c r="T4" s="10">
        <f>'Bütçe aylık-TL'!$H$3</f>
        <v>41.7265625</v>
      </c>
      <c r="U4" s="10">
        <f>'gerç aylık-tl'!$H$3</f>
        <v>46.914206451612912</v>
      </c>
      <c r="V4" s="10"/>
      <c r="W4" s="10">
        <f>'Bütçe aylık-TL'!$I$3</f>
        <v>42.4921875</v>
      </c>
      <c r="X4" s="10">
        <f>'gerç aylık-tl'!$I$3</f>
        <v>47.302506451612928</v>
      </c>
      <c r="Y4" s="10"/>
      <c r="Z4" s="10">
        <f>'Bütçe aylık-TL'!$J$3</f>
        <v>43.2578125</v>
      </c>
      <c r="AA4" s="10">
        <f>'gerç aylık-tl'!$J$3</f>
        <v>48.337949999999999</v>
      </c>
      <c r="AB4" s="10"/>
      <c r="AC4" s="10">
        <f>'Bütçe aylık-TL'!$K$3</f>
        <v>44.0234375</v>
      </c>
      <c r="AD4" s="10" t="e">
        <f>'gerç aylık-tl'!$K$3</f>
        <v>#DIV/0!</v>
      </c>
      <c r="AE4" s="10"/>
      <c r="AF4" s="10">
        <f>'Bütçe aylık-TL'!$L$3</f>
        <v>44.7890625</v>
      </c>
      <c r="AG4" s="10" t="e">
        <f>'gerç aylık-tl'!$L$3</f>
        <v>#DIV/0!</v>
      </c>
      <c r="AH4" s="10"/>
      <c r="AI4" s="10">
        <f>'Bütçe aylık-TL'!$M$3</f>
        <v>45.5546875</v>
      </c>
      <c r="AJ4" s="10" t="e">
        <f>'gerç aylık-tl'!$M$3</f>
        <v>#DIV/0!</v>
      </c>
      <c r="AK4" s="10"/>
      <c r="AL4" s="25">
        <f>AP4-AO4</f>
        <v>5.0801374999999993</v>
      </c>
      <c r="AM4" s="22">
        <f>AP4/AO4-1</f>
        <v>0.11743861296731084</v>
      </c>
      <c r="AO4" s="44">
        <f>IF($A$1=$B$1,B4,IF($A$1=$E$1,E4,IF($A$1=$H$1,H4,IF($A$1=$K$1,K4,IF($A$1=$N$1,N4,IF($A$1=$Q$1,Q4,IF($A$1=$T$1,T4,IF($A$1=$W$1,W4,IF($A$1=$Z$1,Z4,IF($A$1=$AC$1,AC4,IF($A$1=$AF$1,AF4,IF($A$1=$AI$1,AI4))))))))))))</f>
        <v>43.2578125</v>
      </c>
      <c r="AP4" s="44">
        <f>IF($A$1=$B$1,C4,IF($A$1=$E$1,F4,IF($A$1=$H$1,I4,IF($A$1=$K$1,L4,IF($A$1=$N$1,O4,IF($A$1=$Q$1,R4,IF($A$1=$T$1,U4,IF($A$1=$W$1,X4,IF($A$1=$Z$1,AA4,IF($A$1=$AC$1,AD4,IF($A$1=$AF$1,AG4,IF($A$1=$AI$1,AJ4))))))))))))</f>
        <v>48.337949999999999</v>
      </c>
    </row>
    <row r="5" spans="1:45" ht="15.5">
      <c r="A5" s="2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5"/>
      <c r="AL5" s="25"/>
      <c r="AM5" s="22"/>
      <c r="AO5" s="44"/>
      <c r="AP5" s="44"/>
    </row>
    <row r="6" spans="1:45" s="44" customFormat="1" ht="15.5">
      <c r="A6" s="31" t="s">
        <v>59</v>
      </c>
      <c r="B6" s="32">
        <f>'Bütçe aylık-Eur'!$B$4</f>
        <v>27601026.295465603</v>
      </c>
      <c r="C6" s="32">
        <f>'gerç aylık-eur'!$B$4</f>
        <v>30208400.538231172</v>
      </c>
      <c r="D6" s="18"/>
      <c r="E6" s="32">
        <f>'Bütçe aylık-Eur'!$C$4</f>
        <v>28100063.298026536</v>
      </c>
      <c r="F6" s="32">
        <f>'gerç aylık-eur'!$C$4</f>
        <v>27091507.218858514</v>
      </c>
      <c r="G6" s="18"/>
      <c r="H6" s="32">
        <f>'Bütçe aylık-Eur'!$D$4</f>
        <v>31103326.400600508</v>
      </c>
      <c r="I6" s="32">
        <f>'gerç aylık-eur'!$D$4</f>
        <v>28022189.236976314</v>
      </c>
      <c r="J6" s="18"/>
      <c r="K6" s="32">
        <f>'Bütçe aylık-Eur'!$E$4</f>
        <v>28901857.624936871</v>
      </c>
      <c r="L6" s="32">
        <f>'gerç aylık-eur'!$E$4</f>
        <v>26602564.282311246</v>
      </c>
      <c r="M6" s="18"/>
      <c r="N6" s="32">
        <f>'Bütçe aylık-Eur'!$F$4</f>
        <v>29998376.870413315</v>
      </c>
      <c r="O6" s="32">
        <f>'gerç aylık-eur'!$F$4</f>
        <v>28299452.88777275</v>
      </c>
      <c r="P6" s="18"/>
      <c r="Q6" s="32">
        <f>'Bütçe aylık-Eur'!$G$4</f>
        <v>29120047.202436857</v>
      </c>
      <c r="R6" s="32">
        <f>'gerç aylık-eur'!$G$4</f>
        <v>23718501.568336729</v>
      </c>
      <c r="S6" s="18"/>
      <c r="T6" s="32">
        <f>'Bütçe aylık-Eur'!$H$4</f>
        <v>29852729.069400061</v>
      </c>
      <c r="U6" s="32">
        <f>'gerç aylık-eur'!$H$4</f>
        <v>27200733.136235934</v>
      </c>
      <c r="V6" s="18"/>
      <c r="W6" s="32">
        <f>'Bütçe aylık-Eur'!$I$4</f>
        <v>26329536.848574184</v>
      </c>
      <c r="X6" s="32">
        <f>'gerç aylık-eur'!$I$4</f>
        <v>21922624.301572159</v>
      </c>
      <c r="Y6" s="18"/>
      <c r="Z6" s="32">
        <f>'Bütçe aylık-Eur'!$J$4</f>
        <v>32874061.41647606</v>
      </c>
      <c r="AA6" s="32">
        <f>'gerç aylık-eur'!$J$4</f>
        <v>26154340.888091411</v>
      </c>
      <c r="AB6" s="18"/>
      <c r="AC6" s="32">
        <f>'Bütçe aylık-Eur'!$K$4</f>
        <v>33028262.823979408</v>
      </c>
      <c r="AD6" s="32">
        <f>'gerç aylık-eur'!$K$4</f>
        <v>0</v>
      </c>
      <c r="AE6" s="18"/>
      <c r="AF6" s="32">
        <f>'Bütçe aylık-Eur'!$L$4</f>
        <v>31691839.084899154</v>
      </c>
      <c r="AG6" s="32">
        <f>'gerç aylık-eur'!$L$4</f>
        <v>0</v>
      </c>
      <c r="AH6" s="18"/>
      <c r="AI6" s="32">
        <f>'Bütçe aylık-Eur'!$M$4</f>
        <v>28729747.256244853</v>
      </c>
      <c r="AJ6" s="32">
        <f>'gerç aylık-eur'!$M$4</f>
        <v>0</v>
      </c>
      <c r="AK6" s="18"/>
      <c r="AL6" s="33">
        <f>AP6-AO6</f>
        <v>-6719720.5283846483</v>
      </c>
      <c r="AM6" s="270">
        <f>AP6/AO6-1</f>
        <v>-0.20440798121210568</v>
      </c>
      <c r="AO6" s="44">
        <f>IF($A$1=$B$1,B6,IF($A$1=$E$1,E6,IF($A$1=$H$1,H6,IF($A$1=$K$1,K6,IF($A$1=$N$1,N6,IF($A$1=$Q$1,Q6,IF($A$1=$T$1,T6,IF($A$1=$W$1,W6,IF($A$1=$Z$1,Z6,IF($A$1=$AC$1,AC6,IF($A$1=$AF$1,AF6,IF($A$1=$AI$1,AI6))))))))))))</f>
        <v>32874061.41647606</v>
      </c>
      <c r="AP6" s="44">
        <f>IF($A$1=$B$1,C6,IF($A$1=$E$1,F6,IF($A$1=$H$1,I6,IF($A$1=$K$1,L6,IF($A$1=$N$1,O6,IF($A$1=$Q$1,R6,IF($A$1=$T$1,U6,IF($A$1=$W$1,X6,IF($A$1=$Z$1,AA6,IF($A$1=$AC$1,AD6,IF($A$1=$AF$1,AG6,IF($A$1=$AI$1,AJ6))))))))))))</f>
        <v>26154340.888091411</v>
      </c>
    </row>
    <row r="7" spans="1:45" s="46" customFormat="1" ht="15.5">
      <c r="A7" s="17"/>
      <c r="B7" s="28"/>
      <c r="C7" s="291">
        <f>B6-C6</f>
        <v>-2607374.2427655682</v>
      </c>
      <c r="D7" s="40"/>
      <c r="E7" s="28"/>
      <c r="F7" s="291">
        <f>E6-F6</f>
        <v>1008556.0791680217</v>
      </c>
      <c r="G7" s="40"/>
      <c r="H7" s="28"/>
      <c r="I7" s="291">
        <f>H6-I6</f>
        <v>3081137.1636241935</v>
      </c>
      <c r="J7" s="40"/>
      <c r="K7" s="28"/>
      <c r="L7" s="291">
        <f>K6-L6</f>
        <v>2299293.3426256254</v>
      </c>
      <c r="M7" s="40"/>
      <c r="N7" s="28"/>
      <c r="O7" s="291">
        <f>N6-O6</f>
        <v>1698923.9826405644</v>
      </c>
      <c r="P7" s="40"/>
      <c r="Q7" s="28"/>
      <c r="R7" s="28"/>
      <c r="S7" s="40"/>
      <c r="T7" s="28"/>
      <c r="U7" s="28"/>
      <c r="V7" s="40"/>
      <c r="W7" s="28"/>
      <c r="X7" s="28"/>
      <c r="Y7" s="40"/>
      <c r="Z7" s="28"/>
      <c r="AA7" s="28"/>
      <c r="AB7" s="40"/>
      <c r="AC7" s="28"/>
      <c r="AD7" s="28"/>
      <c r="AE7" s="40"/>
      <c r="AF7" s="28"/>
      <c r="AG7" s="28"/>
      <c r="AH7" s="40"/>
      <c r="AI7" s="28"/>
      <c r="AJ7" s="28"/>
      <c r="AK7" s="40"/>
      <c r="AL7" s="21"/>
      <c r="AM7" s="22"/>
      <c r="AO7" s="44"/>
      <c r="AP7" s="44"/>
    </row>
    <row r="8" spans="1:45" s="51" customFormat="1" ht="17">
      <c r="A8" s="47" t="s">
        <v>60</v>
      </c>
      <c r="B8" s="411"/>
      <c r="C8" s="412"/>
      <c r="D8" s="411"/>
      <c r="E8" s="411"/>
      <c r="F8" s="412"/>
      <c r="G8" s="411"/>
      <c r="H8" s="411"/>
      <c r="I8" s="412"/>
      <c r="J8" s="411"/>
      <c r="K8" s="411"/>
      <c r="L8" s="412"/>
      <c r="M8" s="411"/>
      <c r="N8" s="411"/>
      <c r="O8" s="412"/>
      <c r="P8" s="411"/>
      <c r="Q8" s="411"/>
      <c r="R8" s="412"/>
      <c r="S8" s="411"/>
      <c r="T8" s="411"/>
      <c r="U8" s="412"/>
      <c r="V8" s="411"/>
      <c r="W8" s="411"/>
      <c r="X8" s="412"/>
      <c r="Y8" s="411"/>
      <c r="Z8" s="411"/>
      <c r="AA8" s="412"/>
      <c r="AB8" s="411"/>
      <c r="AC8" s="411"/>
      <c r="AD8" s="412"/>
      <c r="AE8" s="411"/>
      <c r="AF8" s="411"/>
      <c r="AG8" s="412"/>
      <c r="AH8" s="411"/>
      <c r="AI8" s="411"/>
      <c r="AJ8" s="412"/>
      <c r="AK8" s="411"/>
      <c r="AL8" s="411"/>
      <c r="AM8" s="50"/>
    </row>
    <row r="9" spans="1:45" ht="15.5">
      <c r="A9" s="26" t="s">
        <v>10</v>
      </c>
      <c r="B9" s="14">
        <f>'Bütçe aylık-Eur'!$B$5</f>
        <v>714880.86352755502</v>
      </c>
      <c r="C9" s="14">
        <f>'gerç aylık-eur'!$B$5</f>
        <v>754597.33410611225</v>
      </c>
      <c r="D9" s="14"/>
      <c r="E9" s="14">
        <f>'Bütçe aylık-Eur'!$C$5</f>
        <v>723499.00924788369</v>
      </c>
      <c r="F9" s="14">
        <f>'gerç aylık-eur'!$C$5</f>
        <v>724922.81996981858</v>
      </c>
      <c r="G9" s="14"/>
      <c r="H9" s="14">
        <f>'Bütçe aylık-Eur'!$D$5</f>
        <v>810291.91766801768</v>
      </c>
      <c r="I9" s="14">
        <f>'gerç aylık-eur'!$D$5</f>
        <v>791351.51568062697</v>
      </c>
      <c r="J9" s="14"/>
      <c r="K9" s="14">
        <f>'Bütçe aylık-Eur'!$E$5</f>
        <v>742627.94948145689</v>
      </c>
      <c r="L9" s="14">
        <f>'gerç aylık-eur'!$E$5</f>
        <v>689017.20745264436</v>
      </c>
      <c r="M9" s="14"/>
      <c r="N9" s="14">
        <f>'Bütçe aylık-Eur'!$F$5</f>
        <v>779760.19581908826</v>
      </c>
      <c r="O9" s="14">
        <f>'gerç aylık-eur'!$F$5</f>
        <v>778380.85194336087</v>
      </c>
      <c r="P9" s="56">
        <f>O9/N9</f>
        <v>0.99823106657261662</v>
      </c>
      <c r="Q9" s="14">
        <f>'Bütçe aylık-Eur'!$G$5</f>
        <v>762531.4828638531</v>
      </c>
      <c r="R9" s="14">
        <f>'gerç aylık-eur'!$G$5</f>
        <v>668367.48828857671</v>
      </c>
      <c r="S9" s="56"/>
      <c r="T9" s="14">
        <f>'Bütçe aylık-Eur'!$H$5</f>
        <v>756667.04259661702</v>
      </c>
      <c r="U9" s="14">
        <f>'gerç aylık-eur'!$H$5</f>
        <v>729930.37504149636</v>
      </c>
      <c r="V9" s="14"/>
      <c r="W9" s="14">
        <f>'Bütçe aylık-Eur'!$I$5</f>
        <v>671190.30574924336</v>
      </c>
      <c r="X9" s="14">
        <f>'gerç aylık-eur'!$I$5</f>
        <v>603787.73203520454</v>
      </c>
      <c r="Y9" s="14"/>
      <c r="Z9" s="14">
        <f>'Bütçe aylık-Eur'!$J$5</f>
        <v>875959.11332765408</v>
      </c>
      <c r="AA9" s="14">
        <f>'gerç aylık-eur'!$J$5</f>
        <v>789956.16860044748</v>
      </c>
      <c r="AB9" s="14"/>
      <c r="AC9" s="14">
        <f>'Bütçe aylık-Eur'!$K$5</f>
        <v>851941.10560356535</v>
      </c>
      <c r="AD9" s="14">
        <f>'gerç aylık-eur'!$K$5</f>
        <v>0</v>
      </c>
      <c r="AE9" s="14"/>
      <c r="AF9" s="14">
        <f>'Bütçe aylık-Eur'!$L$5</f>
        <v>816659.57431370579</v>
      </c>
      <c r="AG9" s="14">
        <f>'gerç aylık-eur'!$L$5</f>
        <v>0</v>
      </c>
      <c r="AH9" s="14"/>
      <c r="AI9" s="14">
        <f>'Bütçe aylık-Eur'!$M$5</f>
        <v>727242.32440992922</v>
      </c>
      <c r="AJ9" s="14">
        <f>'gerç aylık-eur'!$M$5</f>
        <v>0</v>
      </c>
      <c r="AK9" s="14"/>
      <c r="AL9" s="21">
        <f t="shared" ref="AL9:AL16" si="0">AP9-AO9</f>
        <v>-86002.944727206603</v>
      </c>
      <c r="AM9" s="401">
        <f t="shared" ref="AM9:AM16" si="1">AP9/AO9-1</f>
        <v>-9.8181460091776085E-2</v>
      </c>
      <c r="AO9" s="44">
        <f t="shared" ref="AO9:AP18" si="2">IF($A$1=$B$1,B9,IF($A$1=$E$1,E9,IF($A$1=$H$1,H9,IF($A$1=$K$1,K9,IF($A$1=$N$1,N9,IF($A$1=$Q$1,Q9,IF($A$1=$T$1,T9,IF($A$1=$W$1,W9,IF($A$1=$Z$1,Z9,IF($A$1=$AC$1,AC9,IF($A$1=$AF$1,AF9,IF($A$1=$AI$1,AI9))))))))))))</f>
        <v>875959.11332765408</v>
      </c>
      <c r="AP9" s="44">
        <f t="shared" si="2"/>
        <v>789956.16860044748</v>
      </c>
    </row>
    <row r="10" spans="1:45" ht="15.5">
      <c r="A10" s="26" t="s">
        <v>11</v>
      </c>
      <c r="B10" s="7">
        <f>'Bütçe aylık-Eur'!$B$6</f>
        <v>834190.48278605426</v>
      </c>
      <c r="C10" s="14">
        <f>'gerç aylık-eur'!$B$6</f>
        <v>881940.78190761793</v>
      </c>
      <c r="D10" s="7"/>
      <c r="E10" s="7">
        <f>'Bütçe aylık-Eur'!$C$6</f>
        <v>967501.2499086241</v>
      </c>
      <c r="F10" s="14">
        <f>'gerç aylık-eur'!$C$6</f>
        <v>936556.67191737343</v>
      </c>
      <c r="G10" s="7"/>
      <c r="H10" s="7">
        <f>'Bütçe aylık-Eur'!$D$6</f>
        <v>986615.93041573453</v>
      </c>
      <c r="I10" s="14">
        <f>'gerç aylık-eur'!$D$6</f>
        <v>696132.56739044108</v>
      </c>
      <c r="J10" s="7"/>
      <c r="K10" s="7">
        <f>'Bütçe aylık-Eur'!$E$6</f>
        <v>1060816.0798685765</v>
      </c>
      <c r="L10" s="14">
        <f>'gerç aylık-eur'!$E$6</f>
        <v>467016.19627880224</v>
      </c>
      <c r="M10" s="7"/>
      <c r="N10" s="7">
        <f>'Bütçe aylık-Eur'!$F$6</f>
        <v>996710.57535378519</v>
      </c>
      <c r="O10" s="14">
        <f>'gerç aylık-eur'!$F$6</f>
        <v>705071.84585774795</v>
      </c>
      <c r="P10" s="56">
        <f t="shared" ref="P10:P16" si="3">O10/N10</f>
        <v>0.70739878084215246</v>
      </c>
      <c r="Q10" s="7">
        <f>'Bütçe aylık-Eur'!$G$6</f>
        <v>1017075.9970098314</v>
      </c>
      <c r="R10" s="14">
        <f>'gerç aylık-eur'!$G$6</f>
        <v>633638.42853793106</v>
      </c>
      <c r="S10" s="56"/>
      <c r="T10" s="7">
        <f>'Bütçe aylık-Eur'!$H$6</f>
        <v>854222.84431331581</v>
      </c>
      <c r="U10" s="14">
        <f>'gerç aylık-eur'!$H$6</f>
        <v>693656.15614594275</v>
      </c>
      <c r="V10" s="7"/>
      <c r="W10" s="7">
        <f>'Bütçe aylık-Eur'!$I$6</f>
        <v>596499.2737679386</v>
      </c>
      <c r="X10" s="14">
        <f>'gerç aylık-eur'!$I$6</f>
        <v>500471.21325042972</v>
      </c>
      <c r="Y10" s="7"/>
      <c r="Z10" s="7">
        <f>'Bütçe aylık-Eur'!$J$6</f>
        <v>630604.09967980336</v>
      </c>
      <c r="AA10" s="14">
        <f>'gerç aylık-eur'!$J$6</f>
        <v>453450.99586335372</v>
      </c>
      <c r="AB10" s="7"/>
      <c r="AC10" s="7">
        <f>'Bütçe aylık-Eur'!$K$6</f>
        <v>538427.92607588239</v>
      </c>
      <c r="AD10" s="14">
        <f>'gerç aylık-eur'!$K$6</f>
        <v>0</v>
      </c>
      <c r="AE10" s="7"/>
      <c r="AF10" s="7">
        <f>'Bütçe aylık-Eur'!$L$6</f>
        <v>484665.88296612346</v>
      </c>
      <c r="AG10" s="14">
        <f>'gerç aylık-eur'!$L$6</f>
        <v>0</v>
      </c>
      <c r="AH10" s="7"/>
      <c r="AI10" s="7">
        <f>'Bütçe aylık-Eur'!$M$6</f>
        <v>432357.90185743733</v>
      </c>
      <c r="AJ10" s="14">
        <f>'gerç aylık-eur'!$M$6</f>
        <v>0</v>
      </c>
      <c r="AK10" s="7"/>
      <c r="AL10" s="21">
        <f t="shared" si="0"/>
        <v>-177153.10381644964</v>
      </c>
      <c r="AM10" s="401">
        <f t="shared" si="1"/>
        <v>-0.2809260261809291</v>
      </c>
      <c r="AO10" s="44">
        <f t="shared" si="2"/>
        <v>630604.09967980336</v>
      </c>
      <c r="AP10" s="44">
        <f t="shared" si="2"/>
        <v>453450.99586335372</v>
      </c>
    </row>
    <row r="11" spans="1:45" ht="15.5">
      <c r="A11" s="26" t="s">
        <v>12</v>
      </c>
      <c r="B11" s="7">
        <f>'Bütçe aylık-Eur'!$B$7</f>
        <v>994090.61881676037</v>
      </c>
      <c r="C11" s="14">
        <f>'gerç aylık-eur'!$B$7</f>
        <v>967950.96851315629</v>
      </c>
      <c r="D11" s="7"/>
      <c r="E11" s="7">
        <f>'Bütçe aylık-Eur'!$C$7</f>
        <v>987408.16503475071</v>
      </c>
      <c r="F11" s="14">
        <f>'gerç aylık-eur'!$C$7</f>
        <v>1038871.4056339251</v>
      </c>
      <c r="G11" s="7"/>
      <c r="H11" s="7">
        <f>'Bütçe aylık-Eur'!$D$7</f>
        <v>1292386.7035357864</v>
      </c>
      <c r="I11" s="14">
        <f>'gerç aylık-eur'!$D$7</f>
        <v>1519045.4259940127</v>
      </c>
      <c r="J11" s="7"/>
      <c r="K11" s="7">
        <f>'Bütçe aylık-Eur'!$E$7</f>
        <v>1340897.4889938296</v>
      </c>
      <c r="L11" s="14">
        <f>'gerç aylık-eur'!$E$7</f>
        <v>1265253.1709029088</v>
      </c>
      <c r="M11" s="7"/>
      <c r="N11" s="7">
        <f>'Bütçe aylık-Eur'!$F$7</f>
        <v>1451102.2620130959</v>
      </c>
      <c r="O11" s="14">
        <f>'gerç aylık-eur'!$F$7</f>
        <v>747521.94569933356</v>
      </c>
      <c r="P11" s="56">
        <f t="shared" si="3"/>
        <v>0.51514077626914168</v>
      </c>
      <c r="Q11" s="7">
        <f>'Bütçe aylık-Eur'!$G$7</f>
        <v>1453352.0153251758</v>
      </c>
      <c r="R11" s="14">
        <f>'gerç aylık-eur'!$G$7</f>
        <v>899615.96127640863</v>
      </c>
      <c r="S11" s="56"/>
      <c r="T11" s="7">
        <f>'Bütçe aylık-Eur'!$H$7</f>
        <v>1783426.6038197938</v>
      </c>
      <c r="U11" s="14">
        <f>'gerç aylık-eur'!$H$7</f>
        <v>927197.7162794898</v>
      </c>
      <c r="V11" s="7"/>
      <c r="W11" s="7">
        <f>'Bütçe aylık-Eur'!$I$7</f>
        <v>1437121.1074481434</v>
      </c>
      <c r="X11" s="14">
        <f>'gerç aylık-eur'!$I$7</f>
        <v>831655.35209516576</v>
      </c>
      <c r="Y11" s="7"/>
      <c r="Z11" s="7">
        <f>'Bütçe aylık-Eur'!$J$7</f>
        <v>1414781.2490265106</v>
      </c>
      <c r="AA11" s="14">
        <f>'gerç aylık-eur'!$J$7</f>
        <v>890674.75968674722</v>
      </c>
      <c r="AB11" s="7"/>
      <c r="AC11" s="7">
        <f>'Bütçe aylık-Eur'!$K$7</f>
        <v>1455398.6725839439</v>
      </c>
      <c r="AD11" s="14">
        <f>'gerç aylık-eur'!$K$7</f>
        <v>0</v>
      </c>
      <c r="AE11" s="7"/>
      <c r="AF11" s="7">
        <f>'Bütçe aylık-Eur'!$L$7</f>
        <v>1730074.2602313287</v>
      </c>
      <c r="AG11" s="14">
        <f>'gerç aylık-eur'!$L$7</f>
        <v>0</v>
      </c>
      <c r="AH11" s="7"/>
      <c r="AI11" s="7">
        <f>'Bütçe aylık-Eur'!$M$7</f>
        <v>1482003.3234724628</v>
      </c>
      <c r="AJ11" s="14">
        <f>'gerç aylık-eur'!$M$7</f>
        <v>0</v>
      </c>
      <c r="AK11" s="7"/>
      <c r="AL11" s="21">
        <f t="shared" si="0"/>
        <v>-524106.48933976342</v>
      </c>
      <c r="AM11" s="401">
        <f t="shared" si="1"/>
        <v>-0.37045054823874224</v>
      </c>
      <c r="AO11" s="44">
        <f t="shared" si="2"/>
        <v>1414781.2490265106</v>
      </c>
      <c r="AP11" s="44">
        <f t="shared" si="2"/>
        <v>890674.75968674722</v>
      </c>
    </row>
    <row r="12" spans="1:45" ht="15.5">
      <c r="A12" s="26" t="s">
        <v>13</v>
      </c>
      <c r="B12" s="7">
        <f>'Bütçe aylık-Eur'!$B$8</f>
        <v>19103567.880199067</v>
      </c>
      <c r="C12" s="14">
        <f>'gerç aylık-eur'!$B$8</f>
        <v>21339706.384310201</v>
      </c>
      <c r="D12" s="7"/>
      <c r="E12" s="7">
        <f>'Bütçe aylık-Eur'!$C$8</f>
        <v>19444514.477016628</v>
      </c>
      <c r="F12" s="14">
        <f>'gerç aylık-eur'!$C$8</f>
        <v>15129669.043276552</v>
      </c>
      <c r="G12" s="7"/>
      <c r="H12" s="7">
        <f>'Bütçe aylık-Eur'!$D$8</f>
        <v>20350915.048664551</v>
      </c>
      <c r="I12" s="14">
        <f>'gerç aylık-eur'!$D$8</f>
        <v>12750548.496673902</v>
      </c>
      <c r="J12" s="7"/>
      <c r="K12" s="7">
        <f>'Bütçe aylık-Eur'!$E$8</f>
        <v>19394470.714204319</v>
      </c>
      <c r="L12" s="14">
        <f>'gerç aylık-eur'!$E$8</f>
        <v>12435016.931867266</v>
      </c>
      <c r="M12" s="7"/>
      <c r="N12" s="7">
        <f>'Bütçe aylık-Eur'!$F$8</f>
        <v>18642731.556084417</v>
      </c>
      <c r="O12" s="14">
        <f>'gerç aylık-eur'!$F$8</f>
        <v>14259476.831738273</v>
      </c>
      <c r="P12" s="56">
        <f t="shared" si="3"/>
        <v>0.7648813044826801</v>
      </c>
      <c r="Q12" s="7">
        <f>'Bütçe aylık-Eur'!$G$8</f>
        <v>18744066.988365024</v>
      </c>
      <c r="R12" s="14">
        <f>'gerç aylık-eur'!$G$8</f>
        <v>8679241.2331981342</v>
      </c>
      <c r="S12" s="56"/>
      <c r="T12" s="7">
        <f>'Bütçe aylık-Eur'!$H$8</f>
        <v>21889006.518687841</v>
      </c>
      <c r="U12" s="14">
        <f>'gerç aylık-eur'!$H$8</f>
        <v>16380819.217029219</v>
      </c>
      <c r="V12" s="7"/>
      <c r="W12" s="7">
        <f>'Bütçe aylık-Eur'!$I$8</f>
        <v>21093772.165743902</v>
      </c>
      <c r="X12" s="14">
        <f>'gerç aylık-eur'!$I$8</f>
        <v>14295312.34252416</v>
      </c>
      <c r="Y12" s="7"/>
      <c r="Z12" s="7">
        <f>'Bütçe aylık-Eur'!$J$8</f>
        <v>22542985.735969603</v>
      </c>
      <c r="AA12" s="14">
        <f>'gerç aylık-eur'!$J$8</f>
        <v>10760310.273309914</v>
      </c>
      <c r="AB12" s="7"/>
      <c r="AC12" s="7">
        <f>'Bütçe aylık-Eur'!$K$8</f>
        <v>25704924.844504058</v>
      </c>
      <c r="AD12" s="14">
        <f>'gerç aylık-eur'!$K$8</f>
        <v>0</v>
      </c>
      <c r="AE12" s="7"/>
      <c r="AF12" s="7">
        <f>'Bütçe aylık-Eur'!$L$8</f>
        <v>25549148.286325693</v>
      </c>
      <c r="AG12" s="14">
        <f>'gerç aylık-eur'!$L$8</f>
        <v>0</v>
      </c>
      <c r="AH12" s="7"/>
      <c r="AI12" s="7">
        <f>'Bütçe aylık-Eur'!$M$8</f>
        <v>26031884.926458303</v>
      </c>
      <c r="AJ12" s="14">
        <f>'gerç aylık-eur'!$M$8</f>
        <v>0</v>
      </c>
      <c r="AK12" s="7"/>
      <c r="AL12" s="21">
        <f t="shared" si="0"/>
        <v>-11782675.462659689</v>
      </c>
      <c r="AM12" s="401">
        <f t="shared" si="1"/>
        <v>-0.52267590463224423</v>
      </c>
      <c r="AN12" s="94">
        <f>AL12*0.4</f>
        <v>-4713070.1850638753</v>
      </c>
      <c r="AO12" s="44">
        <f t="shared" si="2"/>
        <v>22542985.735969603</v>
      </c>
      <c r="AP12" s="44">
        <f t="shared" si="2"/>
        <v>10760310.273309914</v>
      </c>
    </row>
    <row r="13" spans="1:45" s="1" customFormat="1" ht="15.5">
      <c r="A13" s="26" t="s">
        <v>14</v>
      </c>
      <c r="B13" s="7">
        <f>'Bütçe aylık-Eur'!$B$9</f>
        <v>6610337.0335660111</v>
      </c>
      <c r="C13" s="14">
        <f>'gerç aylık-eur'!$B$9</f>
        <v>6014583.6999505255</v>
      </c>
      <c r="D13" s="8"/>
      <c r="E13" s="7">
        <f>'Bütçe aylık-Eur'!$C$9</f>
        <v>6831152.053912566</v>
      </c>
      <c r="F13" s="14">
        <f>'gerç aylık-eur'!$C$9</f>
        <v>5689931.3400669349</v>
      </c>
      <c r="G13" s="8"/>
      <c r="H13" s="7">
        <f>'Bütçe aylık-Eur'!$D$9</f>
        <v>6764140.1196458731</v>
      </c>
      <c r="I13" s="14">
        <f>'gerç aylık-eur'!$D$9</f>
        <v>6425103.5631041657</v>
      </c>
      <c r="J13" s="8"/>
      <c r="K13" s="7">
        <f>'Bütçe aylık-Eur'!$E$9</f>
        <v>6725265.7531002024</v>
      </c>
      <c r="L13" s="14">
        <f>'gerç aylık-eur'!$E$9</f>
        <v>5089628.3873249665</v>
      </c>
      <c r="M13" s="8"/>
      <c r="N13" s="7">
        <f>'Bütçe aylık-Eur'!$F$9</f>
        <v>6899932.2881719256</v>
      </c>
      <c r="O13" s="14">
        <f>'gerç aylık-eur'!$F$9</f>
        <v>5622265.8689424954</v>
      </c>
      <c r="P13" s="56">
        <f t="shared" si="3"/>
        <v>0.81482913659607281</v>
      </c>
      <c r="Q13" s="7">
        <f>'Bütçe aylık-Eur'!$G$9</f>
        <v>5650391.0051249601</v>
      </c>
      <c r="R13" s="14">
        <f>'gerç aylık-eur'!$G$9</f>
        <v>4374597.432386389</v>
      </c>
      <c r="S13" s="56"/>
      <c r="T13" s="7">
        <f>'Bütçe aylık-Eur'!$H$9</f>
        <v>6884689.9621470002</v>
      </c>
      <c r="U13" s="14">
        <f>'gerç aylık-eur'!$H$9</f>
        <v>5296348.1348933158</v>
      </c>
      <c r="V13" s="8"/>
      <c r="W13" s="7">
        <f>'Bütçe aylık-Eur'!$I$9</f>
        <v>6053244.0774362357</v>
      </c>
      <c r="X13" s="14">
        <f>'gerç aylık-eur'!$I$9</f>
        <v>4571844.3979542218</v>
      </c>
      <c r="Y13" s="8"/>
      <c r="Z13" s="7">
        <f>'Bütçe aylık-Eur'!$J$9</f>
        <v>5958226.5937106134</v>
      </c>
      <c r="AA13" s="14">
        <f>'gerç aylık-eur'!$J$9</f>
        <v>5403645.5865422292</v>
      </c>
      <c r="AB13" s="8"/>
      <c r="AC13" s="7">
        <f>'Bütçe aylık-Eur'!$K$9</f>
        <v>7616376.8136759764</v>
      </c>
      <c r="AD13" s="14">
        <f>'gerç aylık-eur'!$K$9</f>
        <v>0</v>
      </c>
      <c r="AE13" s="8"/>
      <c r="AF13" s="7">
        <f>'Bütçe aylık-Eur'!$L$9</f>
        <v>6378504.4432143094</v>
      </c>
      <c r="AG13" s="14">
        <f>'gerç aylık-eur'!$L$9</f>
        <v>0</v>
      </c>
      <c r="AH13" s="8"/>
      <c r="AI13" s="7">
        <f>'Bütçe aylık-Eur'!$M$9</f>
        <v>6294908.2036062358</v>
      </c>
      <c r="AJ13" s="14">
        <f>'gerç aylık-eur'!$M$9</f>
        <v>0</v>
      </c>
      <c r="AK13" s="8"/>
      <c r="AL13" s="21">
        <f t="shared" si="0"/>
        <v>-554581.00716838427</v>
      </c>
      <c r="AM13" s="401">
        <f t="shared" si="1"/>
        <v>-9.3078200106351927E-2</v>
      </c>
      <c r="AN13" s="94">
        <f>AL13*0.4</f>
        <v>-221832.40286735373</v>
      </c>
      <c r="AO13" s="44">
        <f t="shared" si="2"/>
        <v>5958226.5937106134</v>
      </c>
      <c r="AP13" s="44">
        <f t="shared" si="2"/>
        <v>5403645.5865422292</v>
      </c>
      <c r="AR13" s="1">
        <v>43.12</v>
      </c>
      <c r="AS13" s="129">
        <f>B13/AR13</f>
        <v>153300.95161331195</v>
      </c>
    </row>
    <row r="14" spans="1:45" ht="15.5">
      <c r="A14" s="26" t="s">
        <v>15</v>
      </c>
      <c r="B14" s="7">
        <f>'Bütçe aylık-Eur'!$B$10</f>
        <v>10048793.329626</v>
      </c>
      <c r="C14" s="14">
        <f>'gerç aylık-eur'!$B$10</f>
        <v>11605520.09</v>
      </c>
      <c r="D14" s="7"/>
      <c r="E14" s="7">
        <f>'Bütçe aylık-Eur'!$C$10</f>
        <v>10827279.550258998</v>
      </c>
      <c r="F14" s="14">
        <f>'gerç aylık-eur'!$C$10</f>
        <v>11543132.73</v>
      </c>
      <c r="G14" s="7"/>
      <c r="H14" s="7">
        <f>'Bütçe aylık-Eur'!$D$10</f>
        <v>12591060.708298003</v>
      </c>
      <c r="I14" s="14">
        <f>'gerç aylık-eur'!$D$10</f>
        <v>12423119.07</v>
      </c>
      <c r="J14" s="7"/>
      <c r="K14" s="7">
        <f>'Bütçe aylık-Eur'!$E$10</f>
        <v>10932455.197366998</v>
      </c>
      <c r="L14" s="14">
        <f>'gerç aylık-eur'!$E$10</f>
        <v>12093194.74</v>
      </c>
      <c r="M14" s="7"/>
      <c r="N14" s="7">
        <f>'Bütçe aylık-Eur'!$F$10</f>
        <v>11676964.859473003</v>
      </c>
      <c r="O14" s="14">
        <f>'gerç aylık-eur'!$F$10</f>
        <v>12658094.32</v>
      </c>
      <c r="P14" s="56">
        <f t="shared" si="3"/>
        <v>1.0840226439262639</v>
      </c>
      <c r="Q14" s="7">
        <f>'Bütçe aylık-Eur'!$G$10</f>
        <v>11838097.752993001</v>
      </c>
      <c r="R14" s="14">
        <f>'gerç aylık-eur'!$G$10</f>
        <v>12477093.469999997</v>
      </c>
      <c r="S14" s="56"/>
      <c r="T14" s="7">
        <f>'Bütçe aylık-Eur'!$H$10</f>
        <v>9412291.1087169945</v>
      </c>
      <c r="U14" s="14">
        <f>'gerç aylık-eur'!$H$10</f>
        <v>10770777.799999997</v>
      </c>
      <c r="V14" s="7"/>
      <c r="W14" s="7">
        <f>'Bütçe aylık-Eur'!$I$10</f>
        <v>9404847.8481760025</v>
      </c>
      <c r="X14" s="14">
        <f>'gerç aylık-eur'!$I$10</f>
        <v>9564597.1899999976</v>
      </c>
      <c r="Y14" s="7"/>
      <c r="Z14" s="7">
        <f>'Bütçe aylık-Eur'!$J$10</f>
        <v>13855810.835183993</v>
      </c>
      <c r="AA14" s="14">
        <f>'gerç aylık-eur'!$J$10</f>
        <v>11814678.540000007</v>
      </c>
      <c r="AB14" s="7"/>
      <c r="AC14" s="7">
        <f>'Bütçe aylık-Eur'!$K$10</f>
        <v>11997698.855788006</v>
      </c>
      <c r="AD14" s="14">
        <f>'gerç aylık-eur'!$K$10</f>
        <v>0</v>
      </c>
      <c r="AE14" s="7"/>
      <c r="AF14" s="7">
        <f>'Bütçe aylık-Eur'!$L$10</f>
        <v>11428204.912931994</v>
      </c>
      <c r="AG14" s="14">
        <f>'gerç aylık-eur'!$L$10</f>
        <v>0</v>
      </c>
      <c r="AH14" s="7"/>
      <c r="AI14" s="7">
        <f>'Bütçe aylık-Eur'!$M$10</f>
        <v>9986231.3524460047</v>
      </c>
      <c r="AJ14" s="14">
        <f>'gerç aylık-eur'!$M$10</f>
        <v>0</v>
      </c>
      <c r="AK14" s="7"/>
      <c r="AL14" s="21">
        <f t="shared" si="0"/>
        <v>-2041132.2951839864</v>
      </c>
      <c r="AM14" s="401">
        <f t="shared" si="1"/>
        <v>-0.1473123673138601</v>
      </c>
      <c r="AN14" s="94">
        <f>AL14*0.4</f>
        <v>-816452.91807359457</v>
      </c>
      <c r="AO14" s="44">
        <f t="shared" si="2"/>
        <v>13855810.835183993</v>
      </c>
      <c r="AP14" s="44">
        <f t="shared" si="2"/>
        <v>11814678.540000007</v>
      </c>
    </row>
    <row r="15" spans="1:45" ht="15.5">
      <c r="A15" s="26" t="s">
        <v>16</v>
      </c>
      <c r="B15" s="7">
        <f>'Bütçe aylık-Eur'!$B$11</f>
        <v>7577608.2747520003</v>
      </c>
      <c r="C15" s="14">
        <f>'gerç aylık-eur'!$B$11</f>
        <v>7830554.3300000001</v>
      </c>
      <c r="D15" s="7"/>
      <c r="E15" s="7">
        <f>'Bütçe aylık-Eur'!$C$11</f>
        <v>6103066.9399209991</v>
      </c>
      <c r="F15" s="14">
        <f>'gerç aylık-eur'!$C$11</f>
        <v>8732829.0899999999</v>
      </c>
      <c r="G15" s="7"/>
      <c r="H15" s="7">
        <f>'Bütçe aylık-Eur'!$D$11</f>
        <v>7983071.5425080014</v>
      </c>
      <c r="I15" s="14">
        <f>'gerç aylık-eur'!$D$11</f>
        <v>8949431.2500000019</v>
      </c>
      <c r="J15" s="7"/>
      <c r="K15" s="7">
        <f>'Bütçe aylık-Eur'!$E$11</f>
        <v>7994757.4802430021</v>
      </c>
      <c r="L15" s="14">
        <f>'gerç aylık-eur'!$E$11</f>
        <v>8776440.4200000018</v>
      </c>
      <c r="M15" s="7"/>
      <c r="N15" s="7">
        <f>'Bütçe aylık-Eur'!$F$11</f>
        <v>7875525.1757379994</v>
      </c>
      <c r="O15" s="14">
        <f>'gerç aylık-eur'!$F$11</f>
        <v>8093665.3099999949</v>
      </c>
      <c r="P15" s="56">
        <f t="shared" si="3"/>
        <v>1.0276984873255204</v>
      </c>
      <c r="Q15" s="7">
        <f>'Bütçe aylık-Eur'!$G$11</f>
        <v>6939893.4785410017</v>
      </c>
      <c r="R15" s="14">
        <f>'gerç aylık-eur'!$G$11</f>
        <v>7243188.6499999985</v>
      </c>
      <c r="S15" s="56"/>
      <c r="T15" s="7">
        <f>'Bütçe aylık-Eur'!$H$11</f>
        <v>6547612.1428819979</v>
      </c>
      <c r="U15" s="14">
        <f>'gerç aylık-eur'!$H$11</f>
        <v>8047483.3599999994</v>
      </c>
      <c r="V15" s="7"/>
      <c r="W15" s="7">
        <f>'Bütçe aylık-Eur'!$I$11</f>
        <v>5870756.4802609971</v>
      </c>
      <c r="X15" s="14">
        <f>'gerç aylık-eur'!$I$11</f>
        <v>6472770.0900000036</v>
      </c>
      <c r="Y15" s="7"/>
      <c r="Z15" s="7">
        <f>'Bütçe aylık-Eur'!$J$11</f>
        <v>8293869.2559960037</v>
      </c>
      <c r="AA15" s="14">
        <f>'gerç aylık-eur'!$J$11</f>
        <v>9589366.3299999982</v>
      </c>
      <c r="AB15" s="7"/>
      <c r="AC15" s="7">
        <f>'Bütçe aylık-Eur'!$K$11</f>
        <v>7857375.0965680042</v>
      </c>
      <c r="AD15" s="14">
        <f>'gerç aylık-eur'!$K$11</f>
        <v>0</v>
      </c>
      <c r="AE15" s="7"/>
      <c r="AF15" s="7">
        <f>'Bütçe aylık-Eur'!$L$11</f>
        <v>7288061.4245729893</v>
      </c>
      <c r="AG15" s="14">
        <f>'gerç aylık-eur'!$L$11</f>
        <v>0</v>
      </c>
      <c r="AH15" s="7"/>
      <c r="AI15" s="7">
        <f>'Bütçe aylık-Eur'!$M$11</f>
        <v>5516264.0263970038</v>
      </c>
      <c r="AJ15" s="14">
        <f>'gerç aylık-eur'!$M$11</f>
        <v>0</v>
      </c>
      <c r="AK15" s="7"/>
      <c r="AL15" s="21">
        <f t="shared" si="0"/>
        <v>1295497.0740039945</v>
      </c>
      <c r="AM15" s="401">
        <f t="shared" si="1"/>
        <v>0.15619936051770078</v>
      </c>
      <c r="AN15" s="94">
        <f>AL15*0.4</f>
        <v>518198.8296015978</v>
      </c>
      <c r="AO15" s="44">
        <f t="shared" si="2"/>
        <v>8293869.2559960037</v>
      </c>
      <c r="AP15" s="44">
        <f t="shared" si="2"/>
        <v>9589366.3299999982</v>
      </c>
    </row>
    <row r="16" spans="1:45" ht="15.5">
      <c r="A16" s="26" t="s">
        <v>17</v>
      </c>
      <c r="B16" s="7">
        <f>'Bütçe aylık-Eur'!$B$12</f>
        <v>19304354.307695001</v>
      </c>
      <c r="C16" s="14">
        <f>'gerç aylık-eur'!$B$12</f>
        <v>22219414.129999999</v>
      </c>
      <c r="D16" s="7"/>
      <c r="E16" s="7">
        <f>'Bütçe aylık-Eur'!$C$12</f>
        <v>20348124.163479</v>
      </c>
      <c r="F16" s="14">
        <f>'gerç aylık-eur'!$C$12</f>
        <v>19882328.599999998</v>
      </c>
      <c r="G16" s="7"/>
      <c r="H16" s="7">
        <f>'Bütçe aylık-Eur'!$D$12</f>
        <v>22345892.203335997</v>
      </c>
      <c r="I16" s="14">
        <f>'gerç aylık-eur'!$D$12</f>
        <v>21990946.940000005</v>
      </c>
      <c r="J16" s="7"/>
      <c r="K16" s="7">
        <f>'Bütçe aylık-Eur'!$E$12</f>
        <v>19346841.121567994</v>
      </c>
      <c r="L16" s="14">
        <f>'gerç aylık-eur'!$E$12</f>
        <v>22058913.789999992</v>
      </c>
      <c r="M16" s="7"/>
      <c r="N16" s="7">
        <f>'Bütçe aylık-Eur'!$F$12</f>
        <v>21831855.713601008</v>
      </c>
      <c r="O16" s="14">
        <f>'gerç aylık-eur'!$F$12</f>
        <v>24537693.280000001</v>
      </c>
      <c r="P16" s="56">
        <f t="shared" si="3"/>
        <v>1.1239398794997204</v>
      </c>
      <c r="Q16" s="7">
        <f>'Bütçe aylık-Eur'!$G$12</f>
        <v>21545270.043070998</v>
      </c>
      <c r="R16" s="14">
        <f>'gerç aylık-eur'!$G$12</f>
        <v>21018078.440000013</v>
      </c>
      <c r="S16" s="56"/>
      <c r="T16" s="7">
        <f>'Bütçe aylık-Eur'!$H$12</f>
        <v>21412431.714241996</v>
      </c>
      <c r="U16" s="14">
        <f>'gerç aylık-eur'!$H$12</f>
        <v>21629443.709999979</v>
      </c>
      <c r="V16" s="7"/>
      <c r="W16" s="7">
        <f>'Bütçe aylık-Eur'!$I$12</f>
        <v>16639194.832405001</v>
      </c>
      <c r="X16" s="14">
        <f>'gerç aylık-eur'!$I$12</f>
        <v>15062250.99000001</v>
      </c>
      <c r="Y16" s="7"/>
      <c r="Z16" s="7">
        <f>'Bütçe aylık-Eur'!$J$12</f>
        <v>24230899.965245008</v>
      </c>
      <c r="AA16" s="14">
        <f>'gerç aylık-eur'!$J$12</f>
        <v>22482646.680000007</v>
      </c>
      <c r="AB16" s="7"/>
      <c r="AC16" s="7">
        <f>'Bütçe aylık-Eur'!$K$12</f>
        <v>22279862.188753992</v>
      </c>
      <c r="AD16" s="14">
        <f>'gerç aylık-eur'!$K$12</f>
        <v>0</v>
      </c>
      <c r="AE16" s="7"/>
      <c r="AF16" s="7">
        <f>'Bütçe aylık-Eur'!$L$12</f>
        <v>21007179.351424992</v>
      </c>
      <c r="AG16" s="14">
        <f>'gerç aylık-eur'!$L$12</f>
        <v>0</v>
      </c>
      <c r="AH16" s="7"/>
      <c r="AI16" s="7">
        <f>'Bütçe aylık-Eur'!$M$12</f>
        <v>17391070.757355005</v>
      </c>
      <c r="AJ16" s="14">
        <f>'gerç aylık-eur'!$M$12</f>
        <v>0</v>
      </c>
      <c r="AK16" s="7"/>
      <c r="AL16" s="21">
        <f t="shared" si="0"/>
        <v>-1748253.2852450013</v>
      </c>
      <c r="AM16" s="401">
        <f t="shared" si="1"/>
        <v>-7.2149746305443241E-2</v>
      </c>
      <c r="AN16" s="94">
        <f>AL16*0.4</f>
        <v>-699301.31409800053</v>
      </c>
      <c r="AO16" s="44">
        <f t="shared" si="2"/>
        <v>24230899.965245008</v>
      </c>
      <c r="AP16" s="44">
        <f t="shared" si="2"/>
        <v>22482646.680000007</v>
      </c>
    </row>
    <row r="17" spans="1:42" ht="15.5">
      <c r="A17" s="26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21"/>
      <c r="AM17" s="22"/>
      <c r="AO17" s="44">
        <f t="shared" si="2"/>
        <v>0</v>
      </c>
      <c r="AP17" s="44">
        <f t="shared" si="2"/>
        <v>0</v>
      </c>
    </row>
    <row r="18" spans="1:42" ht="15.5">
      <c r="A18" s="2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21"/>
      <c r="AM18" s="22"/>
      <c r="AO18" s="44">
        <f t="shared" si="2"/>
        <v>0</v>
      </c>
      <c r="AP18" s="44">
        <f t="shared" si="2"/>
        <v>0</v>
      </c>
    </row>
    <row r="19" spans="1:42" s="51" customFormat="1" ht="17">
      <c r="A19" s="47" t="s">
        <v>61</v>
      </c>
      <c r="B19" s="411"/>
      <c r="C19" s="412"/>
      <c r="D19" s="411"/>
      <c r="E19" s="411"/>
      <c r="F19" s="412"/>
      <c r="G19" s="411"/>
      <c r="H19" s="411"/>
      <c r="I19" s="412"/>
      <c r="J19" s="411"/>
      <c r="K19" s="411"/>
      <c r="L19" s="412"/>
      <c r="M19" s="411"/>
      <c r="N19" s="411"/>
      <c r="O19" s="412"/>
      <c r="P19" s="411"/>
      <c r="Q19" s="411"/>
      <c r="R19" s="412"/>
      <c r="S19" s="411"/>
      <c r="T19" s="411"/>
      <c r="U19" s="412"/>
      <c r="V19" s="411"/>
      <c r="W19" s="411"/>
      <c r="X19" s="412"/>
      <c r="Y19" s="411"/>
      <c r="Z19" s="411"/>
      <c r="AA19" s="412"/>
      <c r="AB19" s="411"/>
      <c r="AC19" s="411"/>
      <c r="AD19" s="412"/>
      <c r="AE19" s="411"/>
      <c r="AF19" s="411"/>
      <c r="AG19" s="412"/>
      <c r="AH19" s="411"/>
      <c r="AI19" s="411"/>
      <c r="AJ19" s="412"/>
      <c r="AK19" s="411"/>
      <c r="AL19" s="411"/>
      <c r="AM19" s="50"/>
    </row>
    <row r="20" spans="1:42" ht="15.5">
      <c r="A20" s="26" t="s">
        <v>10</v>
      </c>
      <c r="B20" s="56">
        <f>B9/B6</f>
        <v>2.5900517461736494E-2</v>
      </c>
      <c r="C20" s="56">
        <f>C9/C6</f>
        <v>2.4979718245959709E-2</v>
      </c>
      <c r="D20" s="14"/>
      <c r="E20" s="56">
        <f>E9/E6</f>
        <v>2.5747237704574672E-2</v>
      </c>
      <c r="F20" s="56">
        <f>F9/F6</f>
        <v>2.6758305254614874E-2</v>
      </c>
      <c r="G20" s="56"/>
      <c r="H20" s="56">
        <f>H9/H6</f>
        <v>2.6051616062916456E-2</v>
      </c>
      <c r="I20" s="56">
        <f>I9/I6</f>
        <v>2.8240174562678685E-2</v>
      </c>
      <c r="J20" s="56"/>
      <c r="K20" s="56">
        <f>K9/K6</f>
        <v>2.5694817236962254E-2</v>
      </c>
      <c r="L20" s="56">
        <f>L9/L6</f>
        <v>2.5900405695506213E-2</v>
      </c>
      <c r="M20" s="56"/>
      <c r="N20" s="56">
        <f>N9/N6</f>
        <v>2.5993412883219932E-2</v>
      </c>
      <c r="O20" s="56">
        <f>O9/O6</f>
        <v>2.7505155489407827E-2</v>
      </c>
      <c r="P20" s="56"/>
      <c r="Q20" s="56">
        <f>Q9/Q6</f>
        <v>2.6185791443361469E-2</v>
      </c>
      <c r="R20" s="56">
        <f>R9/R6</f>
        <v>2.8179161586700786E-2</v>
      </c>
      <c r="S20" s="56"/>
      <c r="T20" s="56">
        <f>T9/T6</f>
        <v>2.5346662304727891E-2</v>
      </c>
      <c r="U20" s="56">
        <f>U9/U6</f>
        <v>2.6834952256088524E-2</v>
      </c>
      <c r="V20" s="56"/>
      <c r="W20" s="56">
        <f>W9/W6</f>
        <v>2.5491914635999004E-2</v>
      </c>
      <c r="X20" s="56">
        <f>X9/X6</f>
        <v>2.7541763418894357E-2</v>
      </c>
      <c r="Y20" s="56"/>
      <c r="Z20" s="56">
        <f>Z9/Z6</f>
        <v>2.66459048740669E-2</v>
      </c>
      <c r="AA20" s="56">
        <f>AA9/AA6</f>
        <v>3.0203635105181724E-2</v>
      </c>
      <c r="AB20" s="56"/>
      <c r="AC20" s="56">
        <f>AC9/AC6</f>
        <v>2.57943056267868E-2</v>
      </c>
      <c r="AD20" s="56" t="e">
        <f>AD9/AD6</f>
        <v>#DIV/0!</v>
      </c>
      <c r="AE20" s="56"/>
      <c r="AF20" s="56">
        <f>AF9/AF6</f>
        <v>2.5768765647394568E-2</v>
      </c>
      <c r="AG20" s="56" t="e">
        <f>AG9/AG6</f>
        <v>#DIV/0!</v>
      </c>
      <c r="AH20" s="56"/>
      <c r="AI20" s="56">
        <f>AI9/AI6</f>
        <v>2.5313216921943226E-2</v>
      </c>
      <c r="AJ20" s="56" t="e">
        <f>AJ9/AJ6</f>
        <v>#DIV/0!</v>
      </c>
      <c r="AK20" s="56"/>
      <c r="AL20" s="56">
        <f t="shared" ref="AL20:AL32" si="4">AP20-AO20</f>
        <v>3.5577302311148237E-3</v>
      </c>
      <c r="AM20" s="56"/>
      <c r="AO20" s="44">
        <f t="shared" ref="AO20:AP33" si="5">IF($A$1=$B$1,B20,IF($A$1=$E$1,E20,IF($A$1=$H$1,H20,IF($A$1=$K$1,K20,IF($A$1=$N$1,N20,IF($A$1=$Q$1,Q20,IF($A$1=$T$1,T20,IF($A$1=$W$1,W20,IF($A$1=$Z$1,Z20,IF($A$1=$AC$1,AC20,IF($A$1=$AF$1,AF20,IF($A$1=$AI$1,AI20))))))))))))</f>
        <v>2.66459048740669E-2</v>
      </c>
      <c r="AP20" s="44">
        <f t="shared" si="5"/>
        <v>3.0203635105181724E-2</v>
      </c>
    </row>
    <row r="21" spans="1:42" ht="15.5">
      <c r="A21" s="26" t="s">
        <v>11</v>
      </c>
      <c r="B21" s="56">
        <f>B10/B6</f>
        <v>3.0223169017562876E-2</v>
      </c>
      <c r="C21" s="56">
        <f>C10/C6</f>
        <v>2.919521610525028E-2</v>
      </c>
      <c r="D21" s="7"/>
      <c r="E21" s="56">
        <f>E10/E6</f>
        <v>3.4430571904675092E-2</v>
      </c>
      <c r="F21" s="56">
        <f>F10/F6</f>
        <v>3.4570120604638502E-2</v>
      </c>
      <c r="G21" s="56"/>
      <c r="H21" s="56">
        <f>H10/H6</f>
        <v>3.1720592122798999E-2</v>
      </c>
      <c r="I21" s="56">
        <f>I10/I6</f>
        <v>2.4842190647683886E-2</v>
      </c>
      <c r="J21" s="56"/>
      <c r="K21" s="56">
        <f>K10/K6</f>
        <v>3.670407949672036E-2</v>
      </c>
      <c r="L21" s="56">
        <f>L10/L6</f>
        <v>1.7555307500537975E-2</v>
      </c>
      <c r="M21" s="56"/>
      <c r="N21" s="56">
        <f>N10/N6</f>
        <v>3.3225483487302178E-2</v>
      </c>
      <c r="O21" s="56">
        <f>O10/O6</f>
        <v>2.4914681165528328E-2</v>
      </c>
      <c r="P21" s="56"/>
      <c r="Q21" s="56">
        <f>Q10/Q6</f>
        <v>3.4927003721502183E-2</v>
      </c>
      <c r="R21" s="56">
        <f>R10/R6</f>
        <v>2.6714943467753188E-2</v>
      </c>
      <c r="S21" s="56"/>
      <c r="T21" s="56">
        <f>T10/T6</f>
        <v>2.8614564595667729E-2</v>
      </c>
      <c r="U21" s="56">
        <f>U10/U6</f>
        <v>2.5501377211847153E-2</v>
      </c>
      <c r="V21" s="56"/>
      <c r="W21" s="56">
        <f>W10/W6</f>
        <v>2.2655137353858948E-2</v>
      </c>
      <c r="X21" s="56">
        <f>X10/X6</f>
        <v>2.2828982806339427E-2</v>
      </c>
      <c r="Y21" s="56"/>
      <c r="Z21" s="56">
        <f>Z10/Z6</f>
        <v>1.9182421413976938E-2</v>
      </c>
      <c r="AA21" s="56">
        <f>AA10/AA6</f>
        <v>1.7337504233181381E-2</v>
      </c>
      <c r="AB21" s="56"/>
      <c r="AC21" s="56">
        <f>AC10/AC6</f>
        <v>1.6302035894087935E-2</v>
      </c>
      <c r="AD21" s="56" t="e">
        <f>AD10/AD6</f>
        <v>#DIV/0!</v>
      </c>
      <c r="AE21" s="56"/>
      <c r="AF21" s="56">
        <f>AF10/AF6</f>
        <v>1.5293081656377019E-2</v>
      </c>
      <c r="AG21" s="56" t="e">
        <f>AG10/AG6</f>
        <v>#DIV/0!</v>
      </c>
      <c r="AH21" s="56"/>
      <c r="AI21" s="56">
        <f>AI10/AI6</f>
        <v>1.5049136979910524E-2</v>
      </c>
      <c r="AJ21" s="56" t="e">
        <f>AJ10/AJ6</f>
        <v>#DIV/0!</v>
      </c>
      <c r="AK21" s="56"/>
      <c r="AL21" s="56">
        <f t="shared" si="4"/>
        <v>-1.8449171807955571E-3</v>
      </c>
      <c r="AM21" s="56"/>
      <c r="AO21" s="44">
        <f t="shared" si="5"/>
        <v>1.9182421413976938E-2</v>
      </c>
      <c r="AP21" s="44">
        <f t="shared" si="5"/>
        <v>1.7337504233181381E-2</v>
      </c>
    </row>
    <row r="22" spans="1:42" ht="15.5">
      <c r="A22" s="26" t="s">
        <v>12</v>
      </c>
      <c r="B22" s="56">
        <f>B11/B6</f>
        <v>3.6016436786630399E-2</v>
      </c>
      <c r="C22" s="56">
        <f>C11/C6</f>
        <v>3.204244353447764E-2</v>
      </c>
      <c r="D22" s="7"/>
      <c r="E22" s="56">
        <f>E11/E6</f>
        <v>3.513900145214606E-2</v>
      </c>
      <c r="F22" s="56">
        <f>F11/F6</f>
        <v>3.8346755580684795E-2</v>
      </c>
      <c r="G22" s="56"/>
      <c r="H22" s="56">
        <f>H11/H6</f>
        <v>4.1551398293876197E-2</v>
      </c>
      <c r="I22" s="56">
        <f>I11/I6</f>
        <v>5.4208663468362284E-2</v>
      </c>
      <c r="J22" s="56"/>
      <c r="K22" s="56">
        <f>K11/K6</f>
        <v>4.6394854835797375E-2</v>
      </c>
      <c r="L22" s="56">
        <f>L11/L6</f>
        <v>4.7561323693303105E-2</v>
      </c>
      <c r="M22" s="56"/>
      <c r="N22" s="56">
        <f>N11/N6</f>
        <v>4.837269257205324E-2</v>
      </c>
      <c r="O22" s="56">
        <f>O11/O6</f>
        <v>2.6414713693009694E-2</v>
      </c>
      <c r="P22" s="56"/>
      <c r="Q22" s="56">
        <f>Q11/Q6</f>
        <v>4.9908985559733395E-2</v>
      </c>
      <c r="R22" s="56">
        <f>R11/R6</f>
        <v>3.7928869945028934E-2</v>
      </c>
      <c r="S22" s="56"/>
      <c r="T22" s="56">
        <f>T11/T6</f>
        <v>5.9740823013995706E-2</v>
      </c>
      <c r="U22" s="56">
        <f>U11/U6</f>
        <v>3.4087232562283666E-2</v>
      </c>
      <c r="V22" s="56"/>
      <c r="W22" s="56">
        <f>W11/W6</f>
        <v>5.4582088386638958E-2</v>
      </c>
      <c r="X22" s="56">
        <f>X11/X6</f>
        <v>3.7935939632716527E-2</v>
      </c>
      <c r="Y22" s="56"/>
      <c r="Z22" s="56">
        <f>Z11/Z6</f>
        <v>4.3036399765239847E-2</v>
      </c>
      <c r="AA22" s="56">
        <f>AA11/AA6</f>
        <v>3.4054567213058273E-2</v>
      </c>
      <c r="AB22" s="56"/>
      <c r="AC22" s="56">
        <f>AC11/AC6</f>
        <v>4.4065250429316714E-2</v>
      </c>
      <c r="AD22" s="56" t="e">
        <f>AD11/AD6</f>
        <v>#DIV/0!</v>
      </c>
      <c r="AE22" s="56"/>
      <c r="AF22" s="56">
        <f>AF11/AF6</f>
        <v>5.459052898749861E-2</v>
      </c>
      <c r="AG22" s="56" t="e">
        <f>AG11/AG6</f>
        <v>#DIV/0!</v>
      </c>
      <c r="AH22" s="56"/>
      <c r="AI22" s="56">
        <f>AI11/AI6</f>
        <v>5.1584279884339272E-2</v>
      </c>
      <c r="AJ22" s="56" t="e">
        <f>AJ11/AJ6</f>
        <v>#DIV/0!</v>
      </c>
      <c r="AK22" s="56"/>
      <c r="AL22" s="56">
        <f t="shared" si="4"/>
        <v>-8.9818325521815734E-3</v>
      </c>
      <c r="AM22" s="56"/>
      <c r="AO22" s="44">
        <f t="shared" si="5"/>
        <v>4.3036399765239847E-2</v>
      </c>
      <c r="AP22" s="44">
        <f t="shared" si="5"/>
        <v>3.4054567213058273E-2</v>
      </c>
    </row>
    <row r="23" spans="1:42" ht="15.5">
      <c r="A23" s="26" t="s">
        <v>13</v>
      </c>
      <c r="B23" s="56">
        <f>B12*0.5/B6</f>
        <v>0.34606625992268758</v>
      </c>
      <c r="C23" s="56">
        <f>C12*0.5/C6</f>
        <v>0.35320814747048718</v>
      </c>
      <c r="D23" s="7"/>
      <c r="E23" s="56">
        <f>E12*0.5/E6</f>
        <v>0.34598702271219106</v>
      </c>
      <c r="F23" s="56">
        <f>F12*0.5/F6</f>
        <v>0.27923269312872939</v>
      </c>
      <c r="G23" s="56"/>
      <c r="H23" s="56">
        <f>H12*0.5/H6</f>
        <v>0.32715013800375448</v>
      </c>
      <c r="I23" s="56">
        <f>I12*0.5/I6</f>
        <v>0.2275080720647101</v>
      </c>
      <c r="J23" s="56"/>
      <c r="K23" s="56">
        <f>K12*0.5/K6</f>
        <v>0.33552290939026935</v>
      </c>
      <c r="L23" s="56">
        <f>L12*0.5/L6</f>
        <v>0.23371838894748279</v>
      </c>
      <c r="M23" s="56"/>
      <c r="N23" s="56">
        <f>N12*0.5/N6</f>
        <v>0.31072900438275547</v>
      </c>
      <c r="O23" s="56">
        <f>O12*0.5/O6</f>
        <v>0.25193909027653527</v>
      </c>
      <c r="P23" s="56"/>
      <c r="Q23" s="56">
        <f>Q12*0.5/Q6</f>
        <v>0.32184128786021443</v>
      </c>
      <c r="R23" s="56">
        <f>R12*0.5/R6</f>
        <v>0.18296352339526756</v>
      </c>
      <c r="S23" s="56"/>
      <c r="T23" s="56">
        <f>T12*0.5/T6</f>
        <v>0.36661650711734639</v>
      </c>
      <c r="U23" s="56">
        <f>U12*0.5/U6</f>
        <v>0.30110988433630165</v>
      </c>
      <c r="V23" s="56"/>
      <c r="W23" s="56">
        <f>W12*0.5/W6</f>
        <v>0.40057241202262522</v>
      </c>
      <c r="X23" s="56">
        <f>X12*0.5/X6</f>
        <v>0.3260401707814467</v>
      </c>
      <c r="Y23" s="56"/>
      <c r="Z23" s="56">
        <f>Z12*0.5/Z6</f>
        <v>0.34286888757638184</v>
      </c>
      <c r="AA23" s="56">
        <f>AA12*0.5/AA6</f>
        <v>0.20570792281386255</v>
      </c>
      <c r="AB23" s="56"/>
      <c r="AC23" s="56">
        <f>AC12*0.5/AC6</f>
        <v>0.38913528364321953</v>
      </c>
      <c r="AD23" s="56" t="e">
        <f>AD12*0.5/AD6</f>
        <v>#DIV/0!</v>
      </c>
      <c r="AE23" s="56"/>
      <c r="AF23" s="56">
        <f>AF12*0.5/AF6</f>
        <v>0.40308718307388491</v>
      </c>
      <c r="AG23" s="56" t="e">
        <f>AG12*0.5/AG6</f>
        <v>#DIV/0!</v>
      </c>
      <c r="AH23" s="56"/>
      <c r="AI23" s="56">
        <f>AI12*0.5/AI6</f>
        <v>0.45304757981815991</v>
      </c>
      <c r="AJ23" s="56" t="e">
        <f>AJ12*0.5/AJ6</f>
        <v>#DIV/0!</v>
      </c>
      <c r="AK23" s="56"/>
      <c r="AL23" s="56">
        <f t="shared" si="4"/>
        <v>-0.13716096476251929</v>
      </c>
      <c r="AM23" s="56"/>
      <c r="AO23" s="44">
        <f t="shared" si="5"/>
        <v>0.34286888757638184</v>
      </c>
      <c r="AP23" s="44">
        <f t="shared" si="5"/>
        <v>0.20570792281386255</v>
      </c>
    </row>
    <row r="24" spans="1:42" s="1" customFormat="1" ht="15.5">
      <c r="A24" s="26" t="s">
        <v>14</v>
      </c>
      <c r="B24" s="56">
        <f>B13*0.4/B6</f>
        <v>9.5798423765887028E-2</v>
      </c>
      <c r="C24" s="56">
        <f>C13*0.4/C6</f>
        <v>7.9641206985965163E-2</v>
      </c>
      <c r="D24" s="8"/>
      <c r="E24" s="56">
        <f>E13*0.4/E6</f>
        <v>9.7240379588644094E-2</v>
      </c>
      <c r="F24" s="56">
        <f>F13*0.4/F6</f>
        <v>8.4010554216875019E-2</v>
      </c>
      <c r="G24" s="57"/>
      <c r="H24" s="56">
        <f>H13*0.4/H6</f>
        <v>8.6989282529154555E-2</v>
      </c>
      <c r="I24" s="56">
        <f>I13*0.4/I6</f>
        <v>9.1714512506767376E-2</v>
      </c>
      <c r="J24" s="57"/>
      <c r="K24" s="56">
        <f>K13*0.4/K6</f>
        <v>9.3077280227102946E-2</v>
      </c>
      <c r="L24" s="56">
        <f>L13*0.4/L6</f>
        <v>7.6528387764621564E-2</v>
      </c>
      <c r="M24" s="57"/>
      <c r="N24" s="56">
        <f>N13*0.4/N6</f>
        <v>9.2004074993499593E-2</v>
      </c>
      <c r="O24" s="56">
        <f>O13*0.4/O6</f>
        <v>7.9468191717186012E-2</v>
      </c>
      <c r="P24" s="57"/>
      <c r="Q24" s="56">
        <f>Q13*0.4/Q6</f>
        <v>7.7615135248161521E-2</v>
      </c>
      <c r="R24" s="56">
        <f>R13*0.4/R6</f>
        <v>7.3775274880371111E-2</v>
      </c>
      <c r="S24" s="57"/>
      <c r="T24" s="56">
        <f>T13*0.4/T6</f>
        <v>9.2248717980079262E-2</v>
      </c>
      <c r="U24" s="56">
        <f>U13*0.4/U6</f>
        <v>7.7885373285585355E-2</v>
      </c>
      <c r="V24" s="57"/>
      <c r="W24" s="56">
        <f>W13*0.4/W6</f>
        <v>9.196126938729704E-2</v>
      </c>
      <c r="X24" s="56">
        <f>X13*0.4/X6</f>
        <v>8.3417830549171193E-2</v>
      </c>
      <c r="Y24" s="57"/>
      <c r="Z24" s="56">
        <f>Z13*0.4/Z6</f>
        <v>7.2497602510706832E-2</v>
      </c>
      <c r="AA24" s="56">
        <f>AA13*0.4/AA6</f>
        <v>8.2642428033850648E-2</v>
      </c>
      <c r="AB24" s="57"/>
      <c r="AC24" s="56">
        <f>AC13*0.4/AC6</f>
        <v>9.2240719462196863E-2</v>
      </c>
      <c r="AD24" s="56" t="e">
        <f>AD13*0.4/AD6</f>
        <v>#DIV/0!</v>
      </c>
      <c r="AE24" s="57"/>
      <c r="AF24" s="56">
        <f>AF13*0.4/AF6</f>
        <v>8.0506586268180358E-2</v>
      </c>
      <c r="AG24" s="56" t="e">
        <f>AG13*0.4/AG6</f>
        <v>#DIV/0!</v>
      </c>
      <c r="AH24" s="57"/>
      <c r="AI24" s="56">
        <f>AI13*0.4/AI6</f>
        <v>8.7643071099248057E-2</v>
      </c>
      <c r="AJ24" s="56" t="e">
        <f>AJ13*0.4/AJ6</f>
        <v>#DIV/0!</v>
      </c>
      <c r="AK24" s="57"/>
      <c r="AL24" s="56">
        <f t="shared" si="4"/>
        <v>1.0144825523143816E-2</v>
      </c>
      <c r="AM24" s="57"/>
      <c r="AO24" s="44">
        <f t="shared" si="5"/>
        <v>7.2497602510706832E-2</v>
      </c>
      <c r="AP24" s="44">
        <f t="shared" si="5"/>
        <v>8.2642428033850648E-2</v>
      </c>
    </row>
    <row r="25" spans="1:42" ht="15.5">
      <c r="A25" s="26" t="s">
        <v>15</v>
      </c>
      <c r="B25" s="56">
        <f>B14*0.4/B6</f>
        <v>0.14562927076775914</v>
      </c>
      <c r="C25" s="56">
        <f>C14*0.4/C6</f>
        <v>0.15367275172761666</v>
      </c>
      <c r="D25" s="7"/>
      <c r="E25" s="56">
        <f>E14*0.4/E6</f>
        <v>0.15412462862344367</v>
      </c>
      <c r="F25" s="56">
        <f>F14*0.4/F6</f>
        <v>0.17043175393305215</v>
      </c>
      <c r="G25" s="56"/>
      <c r="H25" s="56">
        <f>H14*0.4/H6</f>
        <v>0.16192558372862537</v>
      </c>
      <c r="I25" s="56">
        <f>I14*0.4/I6</f>
        <v>0.17733259831972353</v>
      </c>
      <c r="J25" s="56"/>
      <c r="K25" s="56">
        <f>K14*0.4/K6</f>
        <v>0.15130453328279278</v>
      </c>
      <c r="L25" s="56">
        <f>L14*0.4/L6</f>
        <v>0.18183502329572174</v>
      </c>
      <c r="M25" s="56"/>
      <c r="N25" s="56">
        <f>N14*0.4/N6</f>
        <v>0.15570128890526364</v>
      </c>
      <c r="O25" s="56">
        <f>O14*0.4/O6</f>
        <v>0.17891645284024754</v>
      </c>
      <c r="P25" s="56"/>
      <c r="Q25" s="56">
        <f>Q14*0.4/Q6</f>
        <v>0.16261096928445024</v>
      </c>
      <c r="R25" s="56">
        <f>R14*0.4/R6</f>
        <v>0.2104195905302286</v>
      </c>
      <c r="S25" s="56"/>
      <c r="T25" s="56">
        <f>T14*0.4/T6</f>
        <v>0.12611632372820311</v>
      </c>
      <c r="U25" s="56">
        <f>U14*0.4/U6</f>
        <v>0.15838952201845644</v>
      </c>
      <c r="V25" s="56"/>
      <c r="W25" s="56">
        <f>W14*0.4/W6</f>
        <v>0.14287904724287318</v>
      </c>
      <c r="X25" s="56">
        <f>X14*0.4/X6</f>
        <v>0.17451555175926783</v>
      </c>
      <c r="Y25" s="56"/>
      <c r="Z25" s="56">
        <f>Z14*0.4/Z6</f>
        <v>0.16859262577443063</v>
      </c>
      <c r="AA25" s="56">
        <f>AA14*0.4/AA6</f>
        <v>0.18069166553349411</v>
      </c>
      <c r="AB25" s="56"/>
      <c r="AC25" s="56">
        <f>AC14*0.4/AC6</f>
        <v>0.14530220883524464</v>
      </c>
      <c r="AD25" s="56" t="e">
        <f>AD14*0.4/AD6</f>
        <v>#DIV/0!</v>
      </c>
      <c r="AE25" s="56"/>
      <c r="AF25" s="56">
        <f>AF14*0.4/AF6</f>
        <v>0.14424161226260196</v>
      </c>
      <c r="AG25" s="56" t="e">
        <f>AG14*0.4/AG6</f>
        <v>#DIV/0!</v>
      </c>
      <c r="AH25" s="56"/>
      <c r="AI25" s="56">
        <f>AI14*0.4/AI6</f>
        <v>0.13903681453759179</v>
      </c>
      <c r="AJ25" s="56" t="e">
        <f>AJ14*0.4/AJ6</f>
        <v>#DIV/0!</v>
      </c>
      <c r="AK25" s="56"/>
      <c r="AL25" s="56">
        <f t="shared" si="4"/>
        <v>1.2099039759063485E-2</v>
      </c>
      <c r="AM25" s="56"/>
      <c r="AO25" s="44">
        <f t="shared" si="5"/>
        <v>0.16859262577443063</v>
      </c>
      <c r="AP25" s="44">
        <f t="shared" si="5"/>
        <v>0.18069166553349411</v>
      </c>
    </row>
    <row r="26" spans="1:42" ht="15.5">
      <c r="A26" s="26" t="s">
        <v>16</v>
      </c>
      <c r="B26" s="56">
        <f>B15*0.4/B6</f>
        <v>0.10981632630083582</v>
      </c>
      <c r="C26" s="56">
        <f>C15*0.4/C6</f>
        <v>0.10368710941964374</v>
      </c>
      <c r="D26" s="7"/>
      <c r="E26" s="56">
        <f>E15*0.4/E6</f>
        <v>8.6876202024066151E-2</v>
      </c>
      <c r="F26" s="56">
        <f>F15*0.4/F6</f>
        <v>0.12893825388823019</v>
      </c>
      <c r="G26" s="56"/>
      <c r="H26" s="56">
        <f>H15*0.4/H6</f>
        <v>0.1026651804336127</v>
      </c>
      <c r="I26" s="56">
        <f>I15*0.4/I6</f>
        <v>0.12774778122175975</v>
      </c>
      <c r="J26" s="56"/>
      <c r="K26" s="56">
        <f>K15*0.4/K6</f>
        <v>0.11064697064101553</v>
      </c>
      <c r="L26" s="56">
        <f>L15*0.4/L6</f>
        <v>0.13196382614642441</v>
      </c>
      <c r="M26" s="56"/>
      <c r="N26" s="56">
        <f>N15*0.4/N6</f>
        <v>0.10501268398298499</v>
      </c>
      <c r="O26" s="56">
        <f>O15*0.4/O6</f>
        <v>0.1144003079083836</v>
      </c>
      <c r="P26" s="56"/>
      <c r="Q26" s="56">
        <f>Q15*0.4/Q6</f>
        <v>9.53280525995885E-2</v>
      </c>
      <c r="R26" s="56">
        <f>R15*0.4/R6</f>
        <v>0.12215255047425715</v>
      </c>
      <c r="S26" s="56"/>
      <c r="T26" s="56">
        <f>T15*0.4/T6</f>
        <v>8.773217520797448E-2</v>
      </c>
      <c r="U26" s="56">
        <f>U15*0.4/U6</f>
        <v>0.11834215378966244</v>
      </c>
      <c r="V26" s="56"/>
      <c r="W26" s="56">
        <f>W15*0.4/W6</f>
        <v>8.9188906193447381E-2</v>
      </c>
      <c r="X26" s="56">
        <f>X15*0.4/X6</f>
        <v>0.11810210312340783</v>
      </c>
      <c r="Y26" s="56"/>
      <c r="Z26" s="56">
        <f>Z15*0.4/Z6</f>
        <v>0.10091687973593945</v>
      </c>
      <c r="AA26" s="56">
        <f>AA15*0.4/AA6</f>
        <v>0.14665812258134522</v>
      </c>
      <c r="AB26" s="56"/>
      <c r="AC26" s="56">
        <f>AC15*0.4/AC6</f>
        <v>9.5159411058862456E-2</v>
      </c>
      <c r="AD26" s="56" t="e">
        <f>AD15*0.4/AD6</f>
        <v>#DIV/0!</v>
      </c>
      <c r="AE26" s="56"/>
      <c r="AF26" s="56">
        <f>AF15*0.4/AF6</f>
        <v>9.1986601409265373E-2</v>
      </c>
      <c r="AG26" s="56" t="e">
        <f>AG15*0.4/AG6</f>
        <v>#DIV/0!</v>
      </c>
      <c r="AH26" s="56"/>
      <c r="AI26" s="56">
        <f>AI15*0.4/AI6</f>
        <v>7.6802123975496642E-2</v>
      </c>
      <c r="AJ26" s="56" t="e">
        <f>AJ15*0.4/AJ6</f>
        <v>#DIV/0!</v>
      </c>
      <c r="AK26" s="56"/>
      <c r="AL26" s="56">
        <f t="shared" si="4"/>
        <v>4.5741242845405775E-2</v>
      </c>
      <c r="AM26" s="56"/>
      <c r="AO26" s="44">
        <f t="shared" si="5"/>
        <v>0.10091687973593945</v>
      </c>
      <c r="AP26" s="44">
        <f t="shared" si="5"/>
        <v>0.14665812258134522</v>
      </c>
    </row>
    <row r="27" spans="1:42" ht="15.5">
      <c r="A27" s="26" t="s">
        <v>17</v>
      </c>
      <c r="B27" s="56">
        <f>B16*0.4/B6</f>
        <v>0.27976284796143819</v>
      </c>
      <c r="C27" s="56">
        <f>C16*0.4/C6</f>
        <v>0.29421503600469728</v>
      </c>
      <c r="D27" s="7"/>
      <c r="E27" s="56">
        <f>E16*0.4/E6</f>
        <v>0.28965236053269744</v>
      </c>
      <c r="F27" s="56">
        <f>F16*0.4/F6</f>
        <v>0.29355810201892091</v>
      </c>
      <c r="G27" s="56"/>
      <c r="H27" s="56">
        <f>H16*0.4/H6</f>
        <v>0.28737623642601223</v>
      </c>
      <c r="I27" s="56">
        <f>I16*0.4/I6</f>
        <v>0.31390762162125635</v>
      </c>
      <c r="J27" s="56"/>
      <c r="K27" s="56">
        <f>K16*0.4/K6</f>
        <v>0.26775913676739321</v>
      </c>
      <c r="L27" s="56">
        <f>L16*0.4/L6</f>
        <v>0.33168101474589878</v>
      </c>
      <c r="M27" s="56"/>
      <c r="N27" s="56">
        <f>N16*0.4/N6</f>
        <v>0.29110715966947198</v>
      </c>
      <c r="O27" s="56">
        <f>O16*0.4/O6</f>
        <v>0.34682922496500873</v>
      </c>
      <c r="P27" s="56"/>
      <c r="Q27" s="56">
        <f>Q16*0.4/Q6</f>
        <v>0.29595103185503113</v>
      </c>
      <c r="R27" s="56">
        <f>R16*0.4/R6</f>
        <v>0.35445879039944622</v>
      </c>
      <c r="S27" s="56"/>
      <c r="T27" s="56">
        <f>T16*0.4/T6</f>
        <v>0.28690752747547466</v>
      </c>
      <c r="U27" s="56">
        <f>U16*0.4/U6</f>
        <v>0.31807148140703512</v>
      </c>
      <c r="V27" s="56"/>
      <c r="W27" s="56">
        <f>W16*0.4/W6</f>
        <v>0.25278370718178522</v>
      </c>
      <c r="X27" s="56">
        <f>X16*0.4/X6</f>
        <v>0.27482569208504543</v>
      </c>
      <c r="Y27" s="56"/>
      <c r="Z27" s="56">
        <f>Z16*0.4/Z6</f>
        <v>0.2948330558645339</v>
      </c>
      <c r="AA27" s="56">
        <f>AA16*0.4/AA6</f>
        <v>0.34384573904879862</v>
      </c>
      <c r="AB27" s="56"/>
      <c r="AC27" s="56">
        <f>AC16*0.4/AC6</f>
        <v>0.26982784177892899</v>
      </c>
      <c r="AD27" s="56" t="e">
        <f>AD16*0.4/AD6</f>
        <v>#DIV/0!</v>
      </c>
      <c r="AE27" s="56"/>
      <c r="AF27" s="56">
        <f>AF16*0.4/AF6</f>
        <v>0.26514307730957409</v>
      </c>
      <c r="AG27" s="56" t="e">
        <f>AG16*0.4/AG6</f>
        <v>#DIV/0!</v>
      </c>
      <c r="AH27" s="56"/>
      <c r="AI27" s="56">
        <f>AI16*0.4/AI6</f>
        <v>0.24213329274694248</v>
      </c>
      <c r="AJ27" s="56" t="e">
        <f>AJ16*0.4/AJ6</f>
        <v>#DIV/0!</v>
      </c>
      <c r="AK27" s="56"/>
      <c r="AL27" s="56">
        <f t="shared" si="4"/>
        <v>4.9012683184264716E-2</v>
      </c>
      <c r="AM27" s="56"/>
      <c r="AO27" s="44">
        <f t="shared" si="5"/>
        <v>0.2948330558645339</v>
      </c>
      <c r="AP27" s="44">
        <f t="shared" si="5"/>
        <v>0.34384573904879862</v>
      </c>
    </row>
    <row r="28" spans="1:42" ht="15.5">
      <c r="A28" s="26"/>
      <c r="B28" s="56"/>
      <c r="C28" s="56"/>
      <c r="D28" s="7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>
        <f t="shared" si="4"/>
        <v>0</v>
      </c>
      <c r="AM28" s="56"/>
      <c r="AO28" s="44">
        <f t="shared" si="5"/>
        <v>0</v>
      </c>
      <c r="AP28" s="44">
        <f t="shared" si="5"/>
        <v>0</v>
      </c>
    </row>
    <row r="29" spans="1:42" ht="15.5">
      <c r="A29" s="26"/>
      <c r="B29" s="56"/>
      <c r="C29" s="56"/>
      <c r="D29" s="7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>
        <f t="shared" si="4"/>
        <v>0</v>
      </c>
      <c r="AM29" s="56"/>
      <c r="AO29" s="44">
        <f t="shared" si="5"/>
        <v>0</v>
      </c>
      <c r="AP29" s="44">
        <f t="shared" si="5"/>
        <v>0</v>
      </c>
    </row>
    <row r="30" spans="1:42" s="45" customFormat="1" ht="15.5">
      <c r="A30" s="35" t="s">
        <v>59</v>
      </c>
      <c r="B30" s="36">
        <f>'Bütçe aylık-Eur'!$B$4</f>
        <v>27601026.295465603</v>
      </c>
      <c r="C30" s="36">
        <f>'gerç aylık-eur'!$B$4</f>
        <v>30208400.538231172</v>
      </c>
      <c r="D30" s="19"/>
      <c r="E30" s="36">
        <f>'Bütçe aylık-Eur'!$C$4</f>
        <v>28100063.298026536</v>
      </c>
      <c r="F30" s="36">
        <f>'gerç aylık-eur'!$C$4</f>
        <v>27091507.218858514</v>
      </c>
      <c r="G30" s="19"/>
      <c r="H30" s="36">
        <f>'Bütçe aylık-Eur'!$D$4</f>
        <v>31103326.400600508</v>
      </c>
      <c r="I30" s="36">
        <f>'gerç aylık-eur'!$D$4</f>
        <v>28022189.236976314</v>
      </c>
      <c r="J30" s="19"/>
      <c r="K30" s="36">
        <f>'Bütçe aylık-Eur'!$E$4</f>
        <v>28901857.624936871</v>
      </c>
      <c r="L30" s="36">
        <f>'gerç aylık-eur'!$E$4</f>
        <v>26602564.282311246</v>
      </c>
      <c r="M30" s="19"/>
      <c r="N30" s="36">
        <f>'Bütçe aylık-Eur'!$F$4</f>
        <v>29998376.870413315</v>
      </c>
      <c r="O30" s="36">
        <f>'gerç aylık-eur'!$F$4</f>
        <v>28299452.88777275</v>
      </c>
      <c r="P30" s="19"/>
      <c r="Q30" s="36">
        <f>'Bütçe aylık-Eur'!$G$4</f>
        <v>29120047.202436857</v>
      </c>
      <c r="R30" s="36">
        <f>'gerç aylık-eur'!$G$4</f>
        <v>23718501.568336729</v>
      </c>
      <c r="S30" s="19"/>
      <c r="T30" s="36">
        <f>'Bütçe aylık-Eur'!$H$4</f>
        <v>29852729.069400061</v>
      </c>
      <c r="U30" s="36">
        <f>'gerç aylık-eur'!$H$4</f>
        <v>27200733.136235934</v>
      </c>
      <c r="V30" s="19"/>
      <c r="W30" s="36">
        <f>'Bütçe aylık-Eur'!$I$4</f>
        <v>26329536.848574184</v>
      </c>
      <c r="X30" s="36">
        <f>'gerç aylık-eur'!$I$4</f>
        <v>21922624.301572159</v>
      </c>
      <c r="Y30" s="19"/>
      <c r="Z30" s="36">
        <f>'Bütçe aylık-Eur'!$J$4</f>
        <v>32874061.41647606</v>
      </c>
      <c r="AA30" s="36">
        <f>'gerç aylık-eur'!$J$4</f>
        <v>26154340.888091411</v>
      </c>
      <c r="AB30" s="19"/>
      <c r="AC30" s="36">
        <f>'Bütçe aylık-Eur'!$K$4</f>
        <v>33028262.823979408</v>
      </c>
      <c r="AD30" s="36">
        <f>'gerç aylık-eur'!$K$4</f>
        <v>0</v>
      </c>
      <c r="AE30" s="19"/>
      <c r="AF30" s="36">
        <f>'Bütçe aylık-Eur'!$L$4</f>
        <v>31691839.084899154</v>
      </c>
      <c r="AG30" s="36">
        <f>'gerç aylık-eur'!$L$4</f>
        <v>0</v>
      </c>
      <c r="AH30" s="19"/>
      <c r="AI30" s="36">
        <f>'Bütçe aylık-Eur'!$M$4</f>
        <v>28729747.256244853</v>
      </c>
      <c r="AJ30" s="36">
        <f>'gerç aylık-eur'!$M$4</f>
        <v>0</v>
      </c>
      <c r="AK30" s="19"/>
      <c r="AL30" s="37">
        <f t="shared" si="4"/>
        <v>-6719720.5283846483</v>
      </c>
      <c r="AM30" s="38">
        <f>AP30/AO30-1</f>
        <v>-0.20440798121210568</v>
      </c>
      <c r="AO30" s="44">
        <f t="shared" si="5"/>
        <v>32874061.41647606</v>
      </c>
      <c r="AP30" s="44">
        <f t="shared" si="5"/>
        <v>26154340.888091411</v>
      </c>
    </row>
    <row r="31" spans="1:42" s="45" customFormat="1" ht="15.5">
      <c r="A31" s="35" t="s">
        <v>62</v>
      </c>
      <c r="B31" s="36">
        <f>'Bütçe aylık-Eur'!$B$15</f>
        <v>-22308743.055338696</v>
      </c>
      <c r="C31" s="36">
        <f>'gerç aylık-eur'!$B$15</f>
        <v>-24977661.016322665</v>
      </c>
      <c r="D31" s="19"/>
      <c r="E31" s="36">
        <f>'Bütçe aylık-Eur'!$C$15</f>
        <v>-22508719.693987604</v>
      </c>
      <c r="F31" s="36">
        <f>'gerç aylık-eur'!$C$15</f>
        <v>-21839160.812535547</v>
      </c>
      <c r="G31" s="19"/>
      <c r="H31" s="36">
        <f>'Bütçe aylık-Eur'!$D$15</f>
        <v>-24694859.736047301</v>
      </c>
      <c r="I31" s="36">
        <f>'gerç aylık-eur'!$D$15</f>
        <v>-22923129.042587362</v>
      </c>
      <c r="J31" s="19"/>
      <c r="K31" s="36">
        <f>'Bütçe aylık-Eur'!$E$15</f>
        <v>-23329115.790265966</v>
      </c>
      <c r="L31" s="36">
        <f>'gerç aylık-eur'!$E$15</f>
        <v>-21871431.201607466</v>
      </c>
      <c r="M31" s="19"/>
      <c r="N31" s="36">
        <f>'Bütçe aylık-Eur'!$F$15</f>
        <v>-23674369.033381689</v>
      </c>
      <c r="O31" s="36">
        <f>'gerç aylık-eur'!$F$15</f>
        <v>-22630200.954216022</v>
      </c>
      <c r="P31" s="19"/>
      <c r="Q31" s="36">
        <f>'Bütçe aylık-Eur'!$G$15</f>
        <v>-23220512.973773871</v>
      </c>
      <c r="R31" s="36">
        <f>'gerç aylık-eur'!$G$15</f>
        <v>-19359712.282367967</v>
      </c>
      <c r="S31" s="19"/>
      <c r="T31" s="36">
        <f>'Bütçe aylık-Eur'!$H$15</f>
        <v>-23762767.26292821</v>
      </c>
      <c r="U31" s="36">
        <f>'gerç aylık-eur'!$H$15</f>
        <v>-22225001.673278652</v>
      </c>
      <c r="V31" s="19"/>
      <c r="W31" s="36">
        <f>'Bütçe aylık-Eur'!$I$15</f>
        <v>-21666176.712158915</v>
      </c>
      <c r="X31" s="36">
        <f>'gerç aylık-eur'!$I$15</f>
        <v>-17755689.357902694</v>
      </c>
      <c r="Y31" s="19"/>
      <c r="Z31" s="36">
        <f>'Bütçe aylık-Eur'!$J$15</f>
        <v>-25000303.820464592</v>
      </c>
      <c r="AA31" s="36">
        <f>'gerç aylık-eur'!$J$15</f>
        <v>-19802015.867863256</v>
      </c>
      <c r="AB31" s="19"/>
      <c r="AC31" s="36">
        <f>'Bütçe aylık-Eur'!$K$15</f>
        <v>-25695834.881431401</v>
      </c>
      <c r="AD31" s="36">
        <f>'gerç aylık-eur'!$K$15</f>
        <v>0</v>
      </c>
      <c r="AE31" s="19"/>
      <c r="AF31" s="36">
        <f>'Bütçe aylık-Eur'!$L$15</f>
        <v>-24520546.985295236</v>
      </c>
      <c r="AG31" s="36">
        <f>'gerç aylık-eur'!$L$15</f>
        <v>0</v>
      </c>
      <c r="AH31" s="19"/>
      <c r="AI31" s="36">
        <f>'Bütçe aylık-Eur'!$M$15</f>
        <v>-22288972.654011242</v>
      </c>
      <c r="AJ31" s="36">
        <f>'gerç aylık-eur'!$M$15</f>
        <v>0</v>
      </c>
      <c r="AK31" s="19"/>
      <c r="AL31" s="37">
        <f t="shared" si="4"/>
        <v>5198287.9526013359</v>
      </c>
      <c r="AM31" s="38">
        <f>AP31/AO31-1</f>
        <v>-0.20792899118074537</v>
      </c>
      <c r="AO31" s="44">
        <f t="shared" si="5"/>
        <v>-25000303.820464592</v>
      </c>
      <c r="AP31" s="44">
        <f t="shared" si="5"/>
        <v>-19802015.867863256</v>
      </c>
    </row>
    <row r="32" spans="1:42" s="44" customFormat="1" ht="15.5">
      <c r="A32" s="31" t="s">
        <v>63</v>
      </c>
      <c r="B32" s="32">
        <f>'Bütçe aylık-Eur'!$B$26</f>
        <v>5292283.2401269088</v>
      </c>
      <c r="C32" s="32">
        <f>'gerç aylık-eur'!$B$26</f>
        <v>5230739.5219085133</v>
      </c>
      <c r="D32" s="18"/>
      <c r="E32" s="32">
        <f>'Bütçe aylık-Eur'!$C$26</f>
        <v>5591343.6040389342</v>
      </c>
      <c r="F32" s="32">
        <f>'gerç aylık-eur'!$C$26</f>
        <v>5252346.4063229626</v>
      </c>
      <c r="G32" s="18"/>
      <c r="H32" s="32">
        <f>'Bütçe aylık-Eur'!$D$26</f>
        <v>6408466.6645532092</v>
      </c>
      <c r="I32" s="32">
        <f>'gerç aylık-eur'!$D$26</f>
        <v>5099060.1943889502</v>
      </c>
      <c r="J32" s="18"/>
      <c r="K32" s="32">
        <f>'Bütçe aylık-Eur'!$E$26</f>
        <v>5572742.6874884358</v>
      </c>
      <c r="L32" s="32">
        <f>'gerç aylık-eur'!$E$26</f>
        <v>4731133.0807037819</v>
      </c>
      <c r="M32" s="18"/>
      <c r="N32" s="32">
        <f>'Bütçe aylık-Eur'!$F$26</f>
        <v>6324006.9787310064</v>
      </c>
      <c r="O32" s="32">
        <f>'gerç aylık-eur'!$F$26</f>
        <v>5669251.9335567253</v>
      </c>
      <c r="P32" s="18"/>
      <c r="Q32" s="32">
        <f>'Bütçe aylık-Eur'!$G$26</f>
        <v>5899532.1594753563</v>
      </c>
      <c r="R32" s="32">
        <f>'gerç aylık-eur'!$G$26</f>
        <v>4358789.2859687628</v>
      </c>
      <c r="S32" s="18"/>
      <c r="T32" s="32">
        <f>'Bütçe aylık-Eur'!$H$26</f>
        <v>6089964.2814025264</v>
      </c>
      <c r="U32" s="32">
        <f>'gerç aylık-eur'!$H$26</f>
        <v>4975731.4629572826</v>
      </c>
      <c r="V32" s="18"/>
      <c r="W32" s="32">
        <f>'Bütçe aylık-Eur'!$I$26</f>
        <v>4663360.8486925662</v>
      </c>
      <c r="X32" s="32">
        <f>'gerç aylık-eur'!$I$26</f>
        <v>4166934.9436694635</v>
      </c>
      <c r="Y32" s="18"/>
      <c r="Z32" s="32">
        <f>'Bütçe aylık-Eur'!$J$26</f>
        <v>7873756.9073235448</v>
      </c>
      <c r="AA32" s="32">
        <f>'gerç aylık-eur'!$J$26</f>
        <v>6352325.0202281559</v>
      </c>
      <c r="AB32" s="18"/>
      <c r="AC32" s="32">
        <f>'Bütçe aylık-Eur'!$K$26</f>
        <v>7332425.3474382441</v>
      </c>
      <c r="AD32" s="32">
        <f>'gerç aylık-eur'!$K$26</f>
        <v>0</v>
      </c>
      <c r="AE32" s="18"/>
      <c r="AF32" s="32">
        <f>'Bütçe aylık-Eur'!$L$26</f>
        <v>7171294.2357854107</v>
      </c>
      <c r="AG32" s="32">
        <f>'gerç aylık-eur'!$L$26</f>
        <v>0</v>
      </c>
      <c r="AH32" s="18"/>
      <c r="AI32" s="32">
        <f>'Bütçe aylık-Eur'!$M$26</f>
        <v>6440775.2931513358</v>
      </c>
      <c r="AJ32" s="32">
        <f>'gerç aylık-eur'!$M$26</f>
        <v>0</v>
      </c>
      <c r="AK32" s="18"/>
      <c r="AL32" s="33">
        <f t="shared" si="4"/>
        <v>-1521431.887095389</v>
      </c>
      <c r="AM32" s="34">
        <f>AP32/AO32-1</f>
        <v>-0.1932282016073259</v>
      </c>
      <c r="AO32" s="44">
        <f t="shared" si="5"/>
        <v>7873756.9073235448</v>
      </c>
      <c r="AP32" s="44">
        <f t="shared" si="5"/>
        <v>6352325.0202281559</v>
      </c>
    </row>
    <row r="33" spans="1:42" s="46" customFormat="1" ht="15.5">
      <c r="A33" s="29" t="s">
        <v>64</v>
      </c>
      <c r="B33" s="77">
        <f>B32/B30</f>
        <v>0.19174226289535995</v>
      </c>
      <c r="C33" s="77">
        <f>C32/C30</f>
        <v>0.17315512998738844</v>
      </c>
      <c r="D33" s="399"/>
      <c r="E33" s="77">
        <f>E32/E30</f>
        <v>0.19897975121043993</v>
      </c>
      <c r="F33" s="77">
        <f>F32/F30</f>
        <v>0.19387427816001251</v>
      </c>
      <c r="G33" s="399"/>
      <c r="H33" s="77">
        <f>H32/H30</f>
        <v>0.20603798391253361</v>
      </c>
      <c r="I33" s="77">
        <f>I32/I30</f>
        <v>0.18196509028140284</v>
      </c>
      <c r="J33" s="399"/>
      <c r="K33" s="77">
        <f>K32/K30</f>
        <v>0.19281607292536818</v>
      </c>
      <c r="L33" s="77">
        <f>L32/L30</f>
        <v>0.17784500135010062</v>
      </c>
      <c r="M33" s="399"/>
      <c r="N33" s="77">
        <f>N32/N30</f>
        <v>0.21081163844461945</v>
      </c>
      <c r="O33" s="77">
        <f>O32/O30</f>
        <v>0.20033079635989076</v>
      </c>
      <c r="P33" s="399"/>
      <c r="Q33" s="77">
        <f>Q32/Q30</f>
        <v>0.20259349576128657</v>
      </c>
      <c r="R33" s="77">
        <f>R32/R30</f>
        <v>0.18377169710364738</v>
      </c>
      <c r="S33" s="399"/>
      <c r="T33" s="77">
        <f>T32/T30</f>
        <v>0.20400025294990271</v>
      </c>
      <c r="U33" s="77">
        <f>U32/U30</f>
        <v>0.18292637327222533</v>
      </c>
      <c r="V33" s="399"/>
      <c r="W33" s="77">
        <f>W32/W30</f>
        <v>0.17711518723296873</v>
      </c>
      <c r="X33" s="77">
        <f>X32/X30</f>
        <v>0.1900746409895204</v>
      </c>
      <c r="Y33" s="399"/>
      <c r="Z33" s="77">
        <f>Z32/Z30</f>
        <v>0.23951275163638036</v>
      </c>
      <c r="AA33" s="77">
        <f>AA32/AA30</f>
        <v>0.24287842111595689</v>
      </c>
      <c r="AB33" s="399"/>
      <c r="AC33" s="77">
        <f>AC32/AC30</f>
        <v>0.22200457185761238</v>
      </c>
      <c r="AD33" s="77" t="e">
        <f>AD32/AD30</f>
        <v>#DIV/0!</v>
      </c>
      <c r="AE33" s="399"/>
      <c r="AF33" s="77">
        <f>AF32/AF30</f>
        <v>0.22628204745626332</v>
      </c>
      <c r="AG33" s="77" t="e">
        <f>AG32/AG30</f>
        <v>#DIV/0!</v>
      </c>
      <c r="AH33" s="399"/>
      <c r="AI33" s="77">
        <f>AI32/AI30</f>
        <v>0.22418489225488519</v>
      </c>
      <c r="AJ33" s="77" t="e">
        <f>AJ32/AJ30</f>
        <v>#DIV/0!</v>
      </c>
      <c r="AK33" s="399"/>
      <c r="AL33" s="400"/>
      <c r="AM33" s="124">
        <f>AP33-AO33</f>
        <v>3.365669479576533E-3</v>
      </c>
      <c r="AO33" s="44">
        <f t="shared" si="5"/>
        <v>0.23951275163638036</v>
      </c>
      <c r="AP33" s="44">
        <f t="shared" si="5"/>
        <v>0.24287842111595689</v>
      </c>
    </row>
    <row r="34" spans="1:42">
      <c r="A34" s="2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5"/>
    </row>
    <row r="35" spans="1:42" s="49" customFormat="1" ht="17">
      <c r="A35" s="47" t="s">
        <v>65</v>
      </c>
      <c r="B35" s="413"/>
      <c r="C35" s="413"/>
      <c r="D35" s="413"/>
      <c r="E35" s="413"/>
      <c r="F35" s="413"/>
      <c r="G35" s="413"/>
      <c r="H35" s="413"/>
      <c r="I35" s="413"/>
      <c r="J35" s="413"/>
      <c r="K35" s="413"/>
      <c r="L35" s="413"/>
      <c r="M35" s="413"/>
      <c r="N35" s="413"/>
      <c r="O35" s="413"/>
      <c r="P35" s="413"/>
      <c r="Q35" s="413"/>
      <c r="R35" s="413"/>
      <c r="S35" s="413"/>
      <c r="T35" s="413"/>
      <c r="U35" s="413"/>
      <c r="V35" s="413"/>
      <c r="W35" s="413"/>
      <c r="X35" s="413"/>
      <c r="Y35" s="413"/>
      <c r="Z35" s="413"/>
      <c r="AA35" s="413"/>
      <c r="AB35" s="413"/>
      <c r="AC35" s="413"/>
      <c r="AD35" s="413"/>
      <c r="AE35" s="413"/>
      <c r="AF35" s="413"/>
      <c r="AG35" s="413"/>
      <c r="AH35" s="413"/>
      <c r="AI35" s="413"/>
      <c r="AJ35" s="413"/>
      <c r="AK35" s="413"/>
      <c r="AL35" s="413"/>
      <c r="AM35" s="48"/>
    </row>
    <row r="36" spans="1:42" ht="15.5">
      <c r="A36" s="26" t="s">
        <v>10</v>
      </c>
      <c r="B36" s="7">
        <f>'Bütçe aylık-Eur'!$B$27</f>
        <v>714880.86352755502</v>
      </c>
      <c r="C36" s="7">
        <f>'gerç aylık-eur'!$B$27</f>
        <v>754597.33410611225</v>
      </c>
      <c r="D36" s="7"/>
      <c r="E36" s="7">
        <f>'Bütçe aylık-Eur'!$C$27</f>
        <v>723499.00924788369</v>
      </c>
      <c r="F36" s="7">
        <f>'gerç aylık-eur'!$C$27</f>
        <v>724922.81996981858</v>
      </c>
      <c r="G36" s="7"/>
      <c r="H36" s="7">
        <f>'Bütçe aylık-Eur'!$D$27</f>
        <v>810291.91766801768</v>
      </c>
      <c r="I36" s="7">
        <f>'gerç aylık-eur'!$D$27</f>
        <v>791351.51568062697</v>
      </c>
      <c r="J36" s="7"/>
      <c r="K36" s="7">
        <f>'Bütçe aylık-Eur'!$E$27</f>
        <v>742627.94948145689</v>
      </c>
      <c r="L36" s="7">
        <f>'gerç aylık-eur'!$E$27</f>
        <v>689017.20745264436</v>
      </c>
      <c r="M36" s="7"/>
      <c r="N36" s="7">
        <f>'Bütçe aylık-Eur'!$F$27</f>
        <v>779760.19581908826</v>
      </c>
      <c r="O36" s="7">
        <f>'gerç aylık-eur'!$F$27</f>
        <v>778380.85194336087</v>
      </c>
      <c r="P36" s="7"/>
      <c r="Q36" s="7">
        <f>'Bütçe aylık-Eur'!$G$27</f>
        <v>762531.4828638531</v>
      </c>
      <c r="R36" s="7">
        <f>'gerç aylık-eur'!$G$27</f>
        <v>668367.48828857671</v>
      </c>
      <c r="S36" s="7"/>
      <c r="T36" s="7">
        <f>'Bütçe aylık-Eur'!$H$27</f>
        <v>756667.04259661702</v>
      </c>
      <c r="U36" s="7">
        <f>'gerç aylık-eur'!$H$27</f>
        <v>729930.37504149636</v>
      </c>
      <c r="V36" s="7"/>
      <c r="W36" s="7">
        <f>'Bütçe aylık-Eur'!$I$27</f>
        <v>671190.30574924336</v>
      </c>
      <c r="X36" s="7">
        <f>'gerç aylık-eur'!$I$27</f>
        <v>603787.73203520454</v>
      </c>
      <c r="Y36" s="7"/>
      <c r="Z36" s="7">
        <f>'Bütçe aylık-Eur'!$J$27</f>
        <v>875959.11332765408</v>
      </c>
      <c r="AA36" s="7">
        <f>'gerç aylık-eur'!$J$27</f>
        <v>789956.16860044748</v>
      </c>
      <c r="AB36" s="7"/>
      <c r="AC36" s="7">
        <f>'Bütçe aylık-Eur'!$K$27</f>
        <v>851941.10560356535</v>
      </c>
      <c r="AD36" s="7">
        <f>'gerç aylık-eur'!$K$27</f>
        <v>0</v>
      </c>
      <c r="AE36" s="7"/>
      <c r="AF36" s="7">
        <f>'Bütçe aylık-Eur'!$L$27</f>
        <v>816659.57431370579</v>
      </c>
      <c r="AG36" s="7">
        <f>'gerç aylık-eur'!$L$27</f>
        <v>0</v>
      </c>
      <c r="AH36" s="7"/>
      <c r="AI36" s="7">
        <f>'Bütçe aylık-Eur'!$M$27</f>
        <v>727242.32440992922</v>
      </c>
      <c r="AJ36" s="7">
        <f>'gerç aylık-eur'!$M$27</f>
        <v>0</v>
      </c>
      <c r="AK36" s="7"/>
      <c r="AL36" s="21">
        <f t="shared" ref="AL36:AL70" si="6">AP36-AO36</f>
        <v>-86002.944727206603</v>
      </c>
      <c r="AM36" s="22">
        <f t="shared" ref="AM36:AM70" si="7">AP36/AO36-1</f>
        <v>-9.8181460091776085E-2</v>
      </c>
      <c r="AO36" s="44">
        <f t="shared" ref="AO36:AP70" si="8">IF($A$1=$B$1,B36,IF($A$1=$E$1,E36,IF($A$1=$H$1,H36,IF($A$1=$K$1,K36,IF($A$1=$N$1,N36,IF($A$1=$Q$1,Q36,IF($A$1=$T$1,T36,IF($A$1=$W$1,W36,IF($A$1=$Z$1,Z36,IF($A$1=$AC$1,AC36,IF($A$1=$AF$1,AF36,IF($A$1=$AI$1,AI36))))))))))))</f>
        <v>875959.11332765408</v>
      </c>
      <c r="AP36" s="44">
        <f t="shared" si="8"/>
        <v>789956.16860044748</v>
      </c>
    </row>
    <row r="37" spans="1:42" ht="15.5">
      <c r="A37" s="26" t="s">
        <v>11</v>
      </c>
      <c r="B37" s="7">
        <f>'Bütçe aylık-Eur'!$B$28</f>
        <v>142793.68868275476</v>
      </c>
      <c r="C37" s="7">
        <f>'gerç aylık-eur'!$B$28</f>
        <v>114810.92773067288</v>
      </c>
      <c r="D37" s="7"/>
      <c r="E37" s="7">
        <f>'Bütçe aylık-Eur'!$C$28</f>
        <v>247956.93443841964</v>
      </c>
      <c r="F37" s="7">
        <f>'gerç aylık-eur'!$C$28</f>
        <v>201075.92928801838</v>
      </c>
      <c r="G37" s="7"/>
      <c r="H37" s="7">
        <f>'Bütçe aylık-Eur'!$D$28</f>
        <v>270995.85908113734</v>
      </c>
      <c r="I37" s="7">
        <f>'gerç aylık-eur'!$D$28</f>
        <v>184064.85552268347</v>
      </c>
      <c r="J37" s="7"/>
      <c r="K37" s="7">
        <f>'Bütçe aylık-Eur'!$E$28</f>
        <v>343271.11793206655</v>
      </c>
      <c r="L37" s="7">
        <f>'gerç aylık-eur'!$E$28</f>
        <v>118802.17461968499</v>
      </c>
      <c r="M37" s="7"/>
      <c r="N37" s="7">
        <f>'Bütçe aylık-Eur'!$F$28</f>
        <v>370588.62575564813</v>
      </c>
      <c r="O37" s="7">
        <f>'gerç aylık-eur'!$F$28</f>
        <v>176786.87113778747</v>
      </c>
      <c r="P37" s="7"/>
      <c r="Q37" s="7">
        <f>'Bütçe aylık-Eur'!$G$28</f>
        <v>354534.56410701433</v>
      </c>
      <c r="R37" s="7">
        <f>'gerç aylık-eur'!$G$28</f>
        <v>181448.19367745653</v>
      </c>
      <c r="S37" s="7"/>
      <c r="T37" s="7">
        <f>'Bütçe aylık-Eur'!$H$28</f>
        <v>294234.99921788508</v>
      </c>
      <c r="U37" s="7">
        <f>'gerç aylık-eur'!$H$28</f>
        <v>192830.99641029909</v>
      </c>
      <c r="V37" s="7"/>
      <c r="W37" s="7">
        <f>'Bütçe aylık-Eur'!$I$28</f>
        <v>166609.24856027693</v>
      </c>
      <c r="X37" s="7">
        <f>'gerç aylık-eur'!$I$28</f>
        <v>128361.89375721681</v>
      </c>
      <c r="Y37" s="7"/>
      <c r="Z37" s="7">
        <f>'Bütçe aylık-Eur'!$J$28</f>
        <v>202029.25544142327</v>
      </c>
      <c r="AA37" s="7">
        <f>'gerç aylık-eur'!$J$28</f>
        <v>103702.61303963035</v>
      </c>
      <c r="AB37" s="7"/>
      <c r="AC37" s="7">
        <f>'Bütçe aylık-Eur'!$K$28</f>
        <v>146230.20865821361</v>
      </c>
      <c r="AD37" s="7">
        <f>'gerç aylık-eur'!$K$28</f>
        <v>0</v>
      </c>
      <c r="AE37" s="7"/>
      <c r="AF37" s="7">
        <f>'Bütçe aylık-Eur'!$L$28</f>
        <v>120857.3209062696</v>
      </c>
      <c r="AG37" s="7">
        <f>'gerç aylık-eur'!$L$28</f>
        <v>0</v>
      </c>
      <c r="AH37" s="7"/>
      <c r="AI37" s="7">
        <f>'Bütçe aylık-Eur'!$M$28</f>
        <v>79493.015385459701</v>
      </c>
      <c r="AJ37" s="7">
        <f>'gerç aylık-eur'!$M$28</f>
        <v>0</v>
      </c>
      <c r="AK37" s="7"/>
      <c r="AL37" s="21">
        <f t="shared" si="6"/>
        <v>-98326.642401792924</v>
      </c>
      <c r="AM37" s="22">
        <f t="shared" si="7"/>
        <v>-0.48669506892432179</v>
      </c>
      <c r="AO37" s="44">
        <f t="shared" si="8"/>
        <v>202029.25544142327</v>
      </c>
      <c r="AP37" s="44">
        <f t="shared" si="8"/>
        <v>103702.61303963035</v>
      </c>
    </row>
    <row r="38" spans="1:42" ht="15.5">
      <c r="A38" s="26" t="s">
        <v>12</v>
      </c>
      <c r="B38" s="7">
        <f>'Bütçe aylık-Eur'!$B$29</f>
        <v>166073.61759417551</v>
      </c>
      <c r="C38" s="7">
        <f>'gerç aylık-eur'!$B$29</f>
        <v>155750.77799419372</v>
      </c>
      <c r="D38" s="7"/>
      <c r="E38" s="7">
        <f>'Bütçe aylık-Eur'!$C$29</f>
        <v>167711.00885799923</v>
      </c>
      <c r="F38" s="7">
        <f>'gerç aylık-eur'!$C$29</f>
        <v>151226.35738248285</v>
      </c>
      <c r="G38" s="7"/>
      <c r="H38" s="7">
        <f>'Bütçe aylık-Eur'!$D$29</f>
        <v>244700.51867763628</v>
      </c>
      <c r="I38" s="7">
        <f>'gerç aylık-eur'!$D$29</f>
        <v>185887.15295957564</v>
      </c>
      <c r="J38" s="7"/>
      <c r="K38" s="7">
        <f>'Bütçe aylık-Eur'!$E$29</f>
        <v>260983.7516673978</v>
      </c>
      <c r="L38" s="7">
        <f>'gerç aylık-eur'!$E$29</f>
        <v>163819.8558454325</v>
      </c>
      <c r="M38" s="7"/>
      <c r="N38" s="7">
        <f>'Bütçe aylık-Eur'!$F$29</f>
        <v>286550.90639340924</v>
      </c>
      <c r="O38" s="7">
        <f>'gerç aylık-eur'!$F$29</f>
        <v>155411.7090142247</v>
      </c>
      <c r="P38" s="7"/>
      <c r="Q38" s="7">
        <f>'Bütçe aylık-Eur'!$G$29</f>
        <v>292065.17980559519</v>
      </c>
      <c r="R38" s="7">
        <f>'gerç aylık-eur'!$G$29</f>
        <v>142552.21580106311</v>
      </c>
      <c r="S38" s="7"/>
      <c r="T38" s="7">
        <f>'Bütçe aylık-Eur'!$H$29</f>
        <v>324153.65034241951</v>
      </c>
      <c r="U38" s="7">
        <f>'gerç aylık-eur'!$H$29</f>
        <v>172485.31916118122</v>
      </c>
      <c r="V38" s="7"/>
      <c r="W38" s="7">
        <f>'Bütçe aylık-Eur'!$I$29</f>
        <v>291101.18869512505</v>
      </c>
      <c r="X38" s="7">
        <f>'gerç aylık-eur'!$I$29</f>
        <v>130379.56591811229</v>
      </c>
      <c r="Y38" s="7"/>
      <c r="Z38" s="7">
        <f>'Bütçe aylık-Eur'!$J$29</f>
        <v>288120.48503536941</v>
      </c>
      <c r="AA38" s="7">
        <f>'gerç aylık-eur'!$J$29</f>
        <v>170335.83095683635</v>
      </c>
      <c r="AB38" s="7"/>
      <c r="AC38" s="7">
        <f>'Bütçe aylık-Eur'!$K$29</f>
        <v>281692.40045961924</v>
      </c>
      <c r="AD38" s="7">
        <f>'gerç aylık-eur'!$K$29</f>
        <v>0</v>
      </c>
      <c r="AE38" s="7"/>
      <c r="AF38" s="7">
        <f>'Bütçe aylık-Eur'!$L$29</f>
        <v>295577.61123239808</v>
      </c>
      <c r="AG38" s="7">
        <f>'gerç aylık-eur'!$L$29</f>
        <v>0</v>
      </c>
      <c r="AH38" s="7"/>
      <c r="AI38" s="7">
        <f>'Bütçe aylık-Eur'!$M$29</f>
        <v>272709.05024594604</v>
      </c>
      <c r="AJ38" s="7">
        <f>'gerç aylık-eur'!$M$29</f>
        <v>0</v>
      </c>
      <c r="AK38" s="7"/>
      <c r="AL38" s="21">
        <f t="shared" si="6"/>
        <v>-117784.65407853306</v>
      </c>
      <c r="AM38" s="22">
        <f t="shared" si="7"/>
        <v>-0.40880347006244255</v>
      </c>
      <c r="AO38" s="44">
        <f t="shared" si="8"/>
        <v>288120.48503536941</v>
      </c>
      <c r="AP38" s="44">
        <f t="shared" si="8"/>
        <v>170335.83095683635</v>
      </c>
    </row>
    <row r="39" spans="1:42" ht="15.5">
      <c r="A39" s="26" t="s">
        <v>13</v>
      </c>
      <c r="B39" s="7">
        <f>'Bütçe aylık-Eur'!$B$30</f>
        <v>3474138.3306522504</v>
      </c>
      <c r="C39" s="7">
        <f>'gerç aylık-eur'!$B$30</f>
        <v>3182076.8322878215</v>
      </c>
      <c r="D39" s="7"/>
      <c r="E39" s="7">
        <f>'Bütçe aylık-Eur'!$C$30</f>
        <v>3424875.7438098686</v>
      </c>
      <c r="F39" s="7">
        <f>'gerç aylık-eur'!$C$30</f>
        <v>2895865.1590986899</v>
      </c>
      <c r="G39" s="7"/>
      <c r="H39" s="7">
        <f>'Bütçe aylık-Eur'!$D$30</f>
        <v>3680540.126705498</v>
      </c>
      <c r="I39" s="7">
        <f>'gerç aylık-eur'!$D$30</f>
        <v>1755014.7082271706</v>
      </c>
      <c r="J39" s="7"/>
      <c r="K39" s="7">
        <f>'Bütçe aylık-Eur'!$E$30</f>
        <v>3367439.9140633596</v>
      </c>
      <c r="L39" s="7">
        <f>'gerç aylık-eur'!$E$30</f>
        <v>1361465.2995005692</v>
      </c>
      <c r="M39" s="7"/>
      <c r="N39" s="7">
        <f>'Bütçe aylık-Eur'!$F$30</f>
        <v>3387750.8910177066</v>
      </c>
      <c r="O39" s="7">
        <f>'gerç aylık-eur'!$F$30</f>
        <v>1748452.4882938131</v>
      </c>
      <c r="P39" s="7"/>
      <c r="Q39" s="7">
        <f>'Bütçe aylık-Eur'!$G$30</f>
        <v>3696214.6502046357</v>
      </c>
      <c r="R39" s="7">
        <f>'gerç aylık-eur'!$G$30</f>
        <v>880896.07233607792</v>
      </c>
      <c r="S39" s="7"/>
      <c r="T39" s="7">
        <f>'Bütçe aylık-Eur'!$H$30</f>
        <v>4193852.4541608011</v>
      </c>
      <c r="U39" s="7">
        <f>'gerç aylık-eur'!$H$30</f>
        <v>1233671.6250308673</v>
      </c>
      <c r="V39" s="7"/>
      <c r="W39" s="7">
        <f>'Bütçe aylık-Eur'!$I$30</f>
        <v>4378809.0241638478</v>
      </c>
      <c r="X39" s="7">
        <f>'gerç aylık-eur'!$I$30</f>
        <v>2370779.4121889933</v>
      </c>
      <c r="Y39" s="7"/>
      <c r="Z39" s="7">
        <f>'Bütçe aylık-Eur'!$J$30</f>
        <v>4881164.320620466</v>
      </c>
      <c r="AA39" s="7">
        <f>'gerç aylık-eur'!$J$30</f>
        <v>1647420.9608076676</v>
      </c>
      <c r="AB39" s="7"/>
      <c r="AC39" s="7">
        <f>'Bütçe aylık-Eur'!$K$30</f>
        <v>5606321.8221182814</v>
      </c>
      <c r="AD39" s="7">
        <f>'gerç aylık-eur'!$K$30</f>
        <v>0</v>
      </c>
      <c r="AE39" s="7"/>
      <c r="AF39" s="7">
        <f>'Bütçe aylık-Eur'!$L$30</f>
        <v>5680158.8193868166</v>
      </c>
      <c r="AG39" s="7">
        <f>'gerç aylık-eur'!$L$30</f>
        <v>0</v>
      </c>
      <c r="AH39" s="7"/>
      <c r="AI39" s="7">
        <f>'Bütçe aylık-Eur'!$M$30</f>
        <v>6501898.558439347</v>
      </c>
      <c r="AJ39" s="7">
        <f>'gerç aylık-eur'!$M$30</f>
        <v>0</v>
      </c>
      <c r="AK39" s="7"/>
      <c r="AL39" s="21">
        <f t="shared" si="6"/>
        <v>-3233743.3598127984</v>
      </c>
      <c r="AM39" s="22">
        <f t="shared" si="7"/>
        <v>-0.6624942631314128</v>
      </c>
      <c r="AO39" s="44">
        <f t="shared" si="8"/>
        <v>4881164.320620466</v>
      </c>
      <c r="AP39" s="44">
        <f t="shared" si="8"/>
        <v>1647420.9608076676</v>
      </c>
    </row>
    <row r="40" spans="1:42" s="1" customFormat="1" ht="15.5">
      <c r="A40" s="26" t="s">
        <v>14</v>
      </c>
      <c r="B40" s="7">
        <f>'Bütçe aylık-Eur'!$B$31</f>
        <v>1305194.2756808002</v>
      </c>
      <c r="C40" s="7">
        <f>'gerç aylık-eur'!$B$31</f>
        <v>1207657.0429060124</v>
      </c>
      <c r="D40" s="8"/>
      <c r="E40" s="7">
        <f>'Bütçe aylık-Eur'!$C$31</f>
        <v>1333939.6386127116</v>
      </c>
      <c r="F40" s="7">
        <f>'gerç aylık-eur'!$C$31</f>
        <v>1325142.9001079244</v>
      </c>
      <c r="G40" s="8"/>
      <c r="H40" s="7">
        <f>'Bütçe aylık-Eur'!$D$31</f>
        <v>1286656.4590925432</v>
      </c>
      <c r="I40" s="7">
        <f>'gerç aylık-eur'!$D$31</f>
        <v>1186839.9873379804</v>
      </c>
      <c r="J40" s="8"/>
      <c r="K40" s="7">
        <f>'Bütçe aylık-Eur'!$E$31</f>
        <v>1166357.72571144</v>
      </c>
      <c r="L40" s="7">
        <f>'gerç aylık-eur'!$E$31</f>
        <v>963568.64746448467</v>
      </c>
      <c r="M40" s="8"/>
      <c r="N40" s="7">
        <f>'Bütçe aylık-Eur'!$F$31</f>
        <v>1233362.5309434191</v>
      </c>
      <c r="O40" s="7">
        <f>'gerç aylık-eur'!$F$31</f>
        <v>1246993.6553595588</v>
      </c>
      <c r="P40" s="8"/>
      <c r="Q40" s="7">
        <f>'Bütçe aylık-Eur'!$G$31</f>
        <v>1103088.8783325998</v>
      </c>
      <c r="R40" s="7">
        <f>'gerç aylık-eur'!$G$31</f>
        <v>954988.74816808267</v>
      </c>
      <c r="S40" s="8"/>
      <c r="T40" s="7">
        <f>'Bütçe aylık-Eur'!$H$31</f>
        <v>1240060.1061262186</v>
      </c>
      <c r="U40" s="7">
        <f>'gerç aylık-eur'!$H$31</f>
        <v>1096536.1058299313</v>
      </c>
      <c r="V40" s="8"/>
      <c r="W40" s="7">
        <f>'Bütçe aylık-Eur'!$I$31</f>
        <v>1264851.2497949463</v>
      </c>
      <c r="X40" s="7">
        <f>'gerç aylık-eur'!$I$31</f>
        <v>1108857.0077082985</v>
      </c>
      <c r="Y40" s="8"/>
      <c r="Z40" s="7">
        <f>'Bütçe aylık-Eur'!$J$31</f>
        <v>1236788.4449262815</v>
      </c>
      <c r="AA40" s="7">
        <f>'gerç aylık-eur'!$J$31</f>
        <v>1183021.3682704365</v>
      </c>
      <c r="AB40" s="8"/>
      <c r="AC40" s="7">
        <f>'Bütçe aylık-Eur'!$K$31</f>
        <v>1413059.4253598365</v>
      </c>
      <c r="AD40" s="7">
        <f>'gerç aylık-eur'!$K$31</f>
        <v>0</v>
      </c>
      <c r="AE40" s="8"/>
      <c r="AF40" s="7">
        <f>'Bütçe aylık-Eur'!$L$31</f>
        <v>1285663.6073767992</v>
      </c>
      <c r="AG40" s="7">
        <f>'gerç aylık-eur'!$L$31</f>
        <v>0</v>
      </c>
      <c r="AH40" s="8"/>
      <c r="AI40" s="7">
        <f>'Bütçe aylık-Eur'!$M$31</f>
        <v>1201417.800036652</v>
      </c>
      <c r="AJ40" s="7">
        <f>'gerç aylık-eur'!$M$31</f>
        <v>0</v>
      </c>
      <c r="AK40" s="8"/>
      <c r="AL40" s="21">
        <f t="shared" si="6"/>
        <v>-53767.076655844925</v>
      </c>
      <c r="AM40" s="22">
        <f t="shared" si="7"/>
        <v>-4.3473139546553297E-2</v>
      </c>
      <c r="AO40" s="44">
        <f t="shared" si="8"/>
        <v>1236788.4449262815</v>
      </c>
      <c r="AP40" s="44">
        <f t="shared" si="8"/>
        <v>1183021.3682704365</v>
      </c>
    </row>
    <row r="41" spans="1:42" ht="15.5">
      <c r="A41" s="26" t="s">
        <v>15</v>
      </c>
      <c r="B41" s="7">
        <f>'Bütçe aylık-Eur'!$B$32</f>
        <v>1290276.9061810011</v>
      </c>
      <c r="C41" s="7">
        <f>'gerç aylık-eur'!$B$32</f>
        <v>1395842.6800000004</v>
      </c>
      <c r="D41" s="7"/>
      <c r="E41" s="7">
        <f>'Bütçe aylık-Eur'!$C$32</f>
        <v>1749802.4127089966</v>
      </c>
      <c r="F41" s="7">
        <f>'gerç aylık-eur'!$C$32</f>
        <v>2070795.1399999997</v>
      </c>
      <c r="G41" s="7"/>
      <c r="H41" s="7">
        <f>'Bütçe aylık-Eur'!$D$32</f>
        <v>2786154.1334390058</v>
      </c>
      <c r="I41" s="7">
        <f>'gerç aylık-eur'!$D$32</f>
        <v>2402710.8900000015</v>
      </c>
      <c r="J41" s="7"/>
      <c r="K41" s="7">
        <f>'Bütçe aylık-Eur'!$E$32</f>
        <v>1379505.5658979935</v>
      </c>
      <c r="L41" s="7">
        <f>'gerç aylık-eur'!$E$32</f>
        <v>2262828.21</v>
      </c>
      <c r="M41" s="7"/>
      <c r="N41" s="7">
        <f>'Bütçe aylık-Eur'!$F$32</f>
        <v>1879167.8758760088</v>
      </c>
      <c r="O41" s="7">
        <f>'gerç aylık-eur'!$F$32</f>
        <v>2394840.1300000027</v>
      </c>
      <c r="P41" s="7"/>
      <c r="Q41" s="7">
        <f>'Bütçe aylık-Eur'!$G$32</f>
        <v>2130869.0421850001</v>
      </c>
      <c r="R41" s="7">
        <f>'gerç aylık-eur'!$G$32</f>
        <v>2237292.3999999976</v>
      </c>
      <c r="S41" s="7"/>
      <c r="T41" s="7">
        <f>'Bütçe aylık-Eur'!$H$32</f>
        <v>1168028.1256669911</v>
      </c>
      <c r="U41" s="7">
        <f>'gerç aylık-eur'!$H$32</f>
        <v>2041117.5099999912</v>
      </c>
      <c r="V41" s="7"/>
      <c r="W41" s="7">
        <f>'Bütçe aylık-Eur'!$I$32</f>
        <v>678577.91107200785</v>
      </c>
      <c r="X41" s="7">
        <f>'gerç aylık-eur'!$I$32</f>
        <v>1521176.4900000091</v>
      </c>
      <c r="Y41" s="7"/>
      <c r="Z41" s="7">
        <f>'Bütçe aylık-Eur'!$J$32</f>
        <v>3222554.4743689895</v>
      </c>
      <c r="AA41" s="7">
        <f>'gerç aylık-eur'!$J$32</f>
        <v>3027070.5699999933</v>
      </c>
      <c r="AB41" s="7"/>
      <c r="AC41" s="7">
        <f>'Bütçe aylık-Eur'!$K$32</f>
        <v>2145554.1580710104</v>
      </c>
      <c r="AD41" s="7">
        <f>'gerç aylık-eur'!$K$32</f>
        <v>0</v>
      </c>
      <c r="AE41" s="7"/>
      <c r="AF41" s="7">
        <f>'Bütçe aylık-Eur'!$L$32</f>
        <v>2136550.3058959832</v>
      </c>
      <c r="AG41" s="7">
        <f>'gerç aylık-eur'!$L$32</f>
        <v>0</v>
      </c>
      <c r="AH41" s="7"/>
      <c r="AI41" s="7">
        <f>'Bütçe aylık-Eur'!$M$32</f>
        <v>1671419.7438780067</v>
      </c>
      <c r="AJ41" s="7">
        <f>'gerç aylık-eur'!$M$32</f>
        <v>0</v>
      </c>
      <c r="AK41" s="7"/>
      <c r="AL41" s="21">
        <f t="shared" si="6"/>
        <v>-195483.90436899615</v>
      </c>
      <c r="AM41" s="22">
        <f t="shared" si="7"/>
        <v>-6.0661163658769168E-2</v>
      </c>
      <c r="AO41" s="44">
        <f t="shared" si="8"/>
        <v>3222554.4743689895</v>
      </c>
      <c r="AP41" s="44">
        <f t="shared" si="8"/>
        <v>3027070.5699999933</v>
      </c>
    </row>
    <row r="42" spans="1:42" ht="15.5">
      <c r="A42" s="26" t="s">
        <v>16</v>
      </c>
      <c r="B42" s="7">
        <f>'Bütçe aylık-Eur'!$B$33</f>
        <v>1688820.5658540002</v>
      </c>
      <c r="C42" s="7">
        <f>'gerç aylık-eur'!$B$33</f>
        <v>1769605.4200000002</v>
      </c>
      <c r="D42" s="7"/>
      <c r="E42" s="7">
        <f>'Bütçe aylık-Eur'!$C$33</f>
        <v>1490840.7389189994</v>
      </c>
      <c r="F42" s="7">
        <f>'gerç aylık-eur'!$C$33</f>
        <v>2436094.0699999998</v>
      </c>
      <c r="G42" s="7"/>
      <c r="H42" s="7">
        <f>'Bütçe aylık-Eur'!$D$33</f>
        <v>2112732.2132180026</v>
      </c>
      <c r="I42" s="7">
        <f>'gerç aylık-eur'!$D$33</f>
        <v>2280438.0099999998</v>
      </c>
      <c r="J42" s="7"/>
      <c r="K42" s="7">
        <f>'Bütçe aylık-Eur'!$E$33</f>
        <v>2087721.621930002</v>
      </c>
      <c r="L42" s="7">
        <f>'gerç aylık-eur'!$E$33</f>
        <v>2714399.8700000052</v>
      </c>
      <c r="M42" s="7"/>
      <c r="N42" s="7">
        <f>'Bütçe aylık-Eur'!$F$33</f>
        <v>2155001.7379749971</v>
      </c>
      <c r="O42" s="7">
        <f>'gerç aylık-eur'!$F$33</f>
        <v>2140261.6799999923</v>
      </c>
      <c r="P42" s="7"/>
      <c r="Q42" s="7">
        <f>'Bütçe aylık-Eur'!$G$33</f>
        <v>1757396.0369010007</v>
      </c>
      <c r="R42" s="7">
        <f>'gerç aylık-eur'!$G$33</f>
        <v>1984749.850000001</v>
      </c>
      <c r="S42" s="7"/>
      <c r="T42" s="7">
        <f>'Bütçe aylık-Eur'!$H$33</f>
        <v>1531936.3433149986</v>
      </c>
      <c r="U42" s="7">
        <f>'gerç aylık-eur'!$H$33</f>
        <v>2597414.8999999985</v>
      </c>
      <c r="V42" s="7"/>
      <c r="W42" s="7">
        <f>'Bütçe aylık-Eur'!$I$33</f>
        <v>1008112.4540249998</v>
      </c>
      <c r="X42" s="7">
        <f>'gerç aylık-eur'!$I$33</f>
        <v>1801656.5800000064</v>
      </c>
      <c r="Y42" s="7"/>
      <c r="Z42" s="7">
        <f>'Bütçe aylık-Eur'!$J$33</f>
        <v>2411227.3536989987</v>
      </c>
      <c r="AA42" s="7">
        <f>'gerç aylık-eur'!$J$33</f>
        <v>3399939.4099999974</v>
      </c>
      <c r="AB42" s="7"/>
      <c r="AC42" s="7">
        <f>'Bütçe aylık-Eur'!$K$33</f>
        <v>2192106.1524750069</v>
      </c>
      <c r="AD42" s="7">
        <f>'gerç aylık-eur'!$K$33</f>
        <v>0</v>
      </c>
      <c r="AE42" s="7"/>
      <c r="AF42" s="7">
        <f>'Bütçe aylık-Eur'!$L$33</f>
        <v>2046882.2977769892</v>
      </c>
      <c r="AG42" s="7">
        <f>'gerç aylık-eur'!$L$33</f>
        <v>0</v>
      </c>
      <c r="AH42" s="7"/>
      <c r="AI42" s="7">
        <f>'Bütçe aylık-Eur'!$M$33</f>
        <v>1279617.5637410057</v>
      </c>
      <c r="AJ42" s="7">
        <f>'gerç aylık-eur'!$M$33</f>
        <v>0</v>
      </c>
      <c r="AK42" s="7"/>
      <c r="AL42" s="21">
        <f t="shared" si="6"/>
        <v>988712.05630099867</v>
      </c>
      <c r="AM42" s="22">
        <f t="shared" si="7"/>
        <v>0.41004513937030551</v>
      </c>
      <c r="AO42" s="44">
        <f t="shared" si="8"/>
        <v>2411227.3536989987</v>
      </c>
      <c r="AP42" s="44">
        <f t="shared" si="8"/>
        <v>3399939.4099999974</v>
      </c>
    </row>
    <row r="43" spans="1:42" ht="15.5">
      <c r="A43" s="26" t="s">
        <v>17</v>
      </c>
      <c r="B43" s="7">
        <f>'Bütçe aylık-Eur'!$B$34</f>
        <v>2912907.5974380039</v>
      </c>
      <c r="C43" s="7">
        <f>'gerç aylık-eur'!$B$34</f>
        <v>2958769.2300000018</v>
      </c>
      <c r="D43" s="7"/>
      <c r="E43" s="7">
        <f>'Bütçe aylık-Eur'!$C$34</f>
        <v>3130983.094686002</v>
      </c>
      <c r="F43" s="7">
        <f>'gerç aylık-eur'!$C$34</f>
        <v>1709905.979999993</v>
      </c>
      <c r="G43" s="7"/>
      <c r="H43" s="7">
        <f>'Bütçe aylık-Eur'!$D$34</f>
        <v>2840112.9903609958</v>
      </c>
      <c r="I43" s="7">
        <f>'gerç aylık-eur'!$D$34</f>
        <v>2219388.0800000066</v>
      </c>
      <c r="J43" s="7"/>
      <c r="K43" s="7">
        <f>'Bütçe aylık-Eur'!$E$34</f>
        <v>2563624.8434159905</v>
      </c>
      <c r="L43" s="7">
        <f>'gerç aylık-eur'!$E$34</f>
        <v>2096472.5799999898</v>
      </c>
      <c r="M43" s="7"/>
      <c r="N43" s="7">
        <f>'Bütçe aylık-Eur'!$F$34</f>
        <v>3562485.0910950173</v>
      </c>
      <c r="O43" s="7">
        <f>'gerç aylık-eur'!$F$34</f>
        <v>3866133.3000000124</v>
      </c>
      <c r="P43" s="7"/>
      <c r="Q43" s="7">
        <f>'Bütçe aylık-Eur'!$G$34</f>
        <v>2538433.7241239985</v>
      </c>
      <c r="R43" s="7">
        <f>'gerç aylık-eur'!$G$34</f>
        <v>2358126.400000006</v>
      </c>
      <c r="S43" s="7"/>
      <c r="T43" s="7">
        <f>'Bütçe aylık-Eur'!$H$34</f>
        <v>3653394.4438450038</v>
      </c>
      <c r="U43" s="7">
        <f>'gerç aylık-eur'!$H$34</f>
        <v>2732471.7899999768</v>
      </c>
      <c r="V43" s="7"/>
      <c r="W43" s="7">
        <f>'Bütçe aylık-Eur'!$I$34</f>
        <v>1505799.6251640003</v>
      </c>
      <c r="X43" s="7">
        <f>'gerç aylık-eur'!$I$34</f>
        <v>1458544.8900000169</v>
      </c>
      <c r="Y43" s="7"/>
      <c r="Z43" s="7">
        <f>'Bütçe aylık-Eur'!$J$34</f>
        <v>4517385.5401830096</v>
      </c>
      <c r="AA43" s="7">
        <f>'gerç aylık-eur'!$J$34</f>
        <v>3963373.7100000097</v>
      </c>
      <c r="AB43" s="7"/>
      <c r="AC43" s="7">
        <f>'Bütçe aylık-Eur'!$K$34</f>
        <v>3774362.5237679784</v>
      </c>
      <c r="AD43" s="7">
        <f>'gerç aylık-eur'!$K$34</f>
        <v>0</v>
      </c>
      <c r="AE43" s="7"/>
      <c r="AF43" s="7">
        <f>'Bütçe aylık-Eur'!$L$34</f>
        <v>3696244.2928960035</v>
      </c>
      <c r="AG43" s="7">
        <f>'gerç aylık-eur'!$L$34</f>
        <v>0</v>
      </c>
      <c r="AH43" s="7"/>
      <c r="AI43" s="7">
        <f>'Bütçe aylık-Eur'!$M$34</f>
        <v>2748973.5916799912</v>
      </c>
      <c r="AJ43" s="7">
        <f>'gerç aylık-eur'!$M$34</f>
        <v>0</v>
      </c>
      <c r="AK43" s="7"/>
      <c r="AL43" s="21">
        <f t="shared" si="6"/>
        <v>-554011.83018299984</v>
      </c>
      <c r="AM43" s="22">
        <f t="shared" si="7"/>
        <v>-0.12263992640321675</v>
      </c>
      <c r="AO43" s="44">
        <f t="shared" si="8"/>
        <v>4517385.5401830096</v>
      </c>
      <c r="AP43" s="44">
        <f t="shared" si="8"/>
        <v>3963373.7100000097</v>
      </c>
    </row>
    <row r="44" spans="1:42" ht="15.5">
      <c r="A44" s="26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21"/>
      <c r="AM44" s="22"/>
      <c r="AO44" s="44">
        <f t="shared" si="8"/>
        <v>0</v>
      </c>
      <c r="AP44" s="44">
        <f t="shared" si="8"/>
        <v>0</v>
      </c>
    </row>
    <row r="45" spans="1:42" ht="15.75" hidden="1" customHeight="1">
      <c r="A45" s="26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21">
        <f t="shared" si="6"/>
        <v>0</v>
      </c>
      <c r="AM45" s="22" t="e">
        <f t="shared" si="7"/>
        <v>#DIV/0!</v>
      </c>
      <c r="AO45" s="44">
        <f t="shared" si="8"/>
        <v>0</v>
      </c>
      <c r="AP45" s="44">
        <f t="shared" si="8"/>
        <v>0</v>
      </c>
    </row>
    <row r="46" spans="1:42" s="1" customFormat="1" ht="15.75" hidden="1" customHeight="1">
      <c r="A46" s="27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15">
        <f t="shared" si="6"/>
        <v>0</v>
      </c>
      <c r="AM46" s="16" t="e">
        <f t="shared" si="7"/>
        <v>#DIV/0!</v>
      </c>
      <c r="AO46" s="44">
        <f t="shared" si="8"/>
        <v>0</v>
      </c>
      <c r="AP46" s="44">
        <f t="shared" si="8"/>
        <v>0</v>
      </c>
    </row>
    <row r="47" spans="1:42" ht="15.75" hidden="1" customHeight="1">
      <c r="A47" s="26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21">
        <f t="shared" si="6"/>
        <v>0</v>
      </c>
      <c r="AM47" s="22" t="e">
        <f t="shared" si="7"/>
        <v>#DIV/0!</v>
      </c>
      <c r="AO47" s="44">
        <f t="shared" si="8"/>
        <v>0</v>
      </c>
      <c r="AP47" s="44">
        <f t="shared" si="8"/>
        <v>0</v>
      </c>
    </row>
    <row r="48" spans="1:42" s="1" customFormat="1" ht="15.75" hidden="1" customHeight="1">
      <c r="A48" s="27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15">
        <f t="shared" si="6"/>
        <v>0</v>
      </c>
      <c r="AM48" s="16" t="e">
        <f t="shared" si="7"/>
        <v>#DIV/0!</v>
      </c>
      <c r="AO48" s="44">
        <f t="shared" si="8"/>
        <v>0</v>
      </c>
      <c r="AP48" s="44">
        <f t="shared" si="8"/>
        <v>0</v>
      </c>
    </row>
    <row r="49" spans="1:42" ht="15.75" hidden="1" customHeight="1">
      <c r="A49" s="26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21"/>
      <c r="AM49" s="22"/>
      <c r="AO49" s="44">
        <f t="shared" si="8"/>
        <v>0</v>
      </c>
      <c r="AP49" s="44">
        <f t="shared" si="8"/>
        <v>0</v>
      </c>
    </row>
    <row r="50" spans="1:42" ht="15.75" hidden="1" customHeight="1">
      <c r="A50" s="26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21">
        <f t="shared" si="6"/>
        <v>0</v>
      </c>
      <c r="AM50" s="22" t="e">
        <f t="shared" si="7"/>
        <v>#DIV/0!</v>
      </c>
      <c r="AO50" s="44">
        <f t="shared" si="8"/>
        <v>0</v>
      </c>
      <c r="AP50" s="44">
        <f t="shared" si="8"/>
        <v>0</v>
      </c>
    </row>
    <row r="51" spans="1:42" ht="15.75" hidden="1" customHeight="1">
      <c r="A51" s="26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21">
        <f t="shared" si="6"/>
        <v>0</v>
      </c>
      <c r="AM51" s="22" t="e">
        <f t="shared" si="7"/>
        <v>#DIV/0!</v>
      </c>
      <c r="AO51" s="44">
        <f t="shared" si="8"/>
        <v>0</v>
      </c>
      <c r="AP51" s="44">
        <f t="shared" si="8"/>
        <v>0</v>
      </c>
    </row>
    <row r="52" spans="1:42" ht="15.75" hidden="1" customHeight="1">
      <c r="A52" s="26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21">
        <f t="shared" si="6"/>
        <v>0</v>
      </c>
      <c r="AM52" s="22" t="e">
        <f t="shared" si="7"/>
        <v>#DIV/0!</v>
      </c>
      <c r="AO52" s="44">
        <f t="shared" si="8"/>
        <v>0</v>
      </c>
      <c r="AP52" s="44">
        <f t="shared" si="8"/>
        <v>0</v>
      </c>
    </row>
    <row r="53" spans="1:42" ht="15.75" hidden="1" customHeight="1">
      <c r="A53" s="26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21">
        <f t="shared" si="6"/>
        <v>0</v>
      </c>
      <c r="AM53" s="22" t="e">
        <f t="shared" si="7"/>
        <v>#DIV/0!</v>
      </c>
      <c r="AO53" s="44">
        <f t="shared" si="8"/>
        <v>0</v>
      </c>
      <c r="AP53" s="44">
        <f t="shared" si="8"/>
        <v>0</v>
      </c>
    </row>
    <row r="54" spans="1:42" s="1" customFormat="1" ht="15.75" hidden="1" customHeight="1">
      <c r="A54" s="27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15">
        <f t="shared" si="6"/>
        <v>0</v>
      </c>
      <c r="AM54" s="16" t="e">
        <f t="shared" si="7"/>
        <v>#DIV/0!</v>
      </c>
      <c r="AO54" s="44">
        <f t="shared" si="8"/>
        <v>0</v>
      </c>
      <c r="AP54" s="44">
        <f t="shared" si="8"/>
        <v>0</v>
      </c>
    </row>
    <row r="55" spans="1:42" ht="15.75" hidden="1" customHeight="1">
      <c r="A55" s="26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21">
        <f t="shared" si="6"/>
        <v>0</v>
      </c>
      <c r="AM55" s="22" t="e">
        <f t="shared" si="7"/>
        <v>#DIV/0!</v>
      </c>
      <c r="AO55" s="44">
        <f t="shared" si="8"/>
        <v>0</v>
      </c>
      <c r="AP55" s="44">
        <f t="shared" si="8"/>
        <v>0</v>
      </c>
    </row>
    <row r="56" spans="1:42" ht="15.75" hidden="1" customHeight="1">
      <c r="A56" s="26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21">
        <f t="shared" si="6"/>
        <v>0</v>
      </c>
      <c r="AM56" s="22" t="e">
        <f t="shared" si="7"/>
        <v>#DIV/0!</v>
      </c>
      <c r="AO56" s="44">
        <f t="shared" si="8"/>
        <v>0</v>
      </c>
      <c r="AP56" s="44">
        <f t="shared" si="8"/>
        <v>0</v>
      </c>
    </row>
    <row r="57" spans="1:42" ht="15.75" hidden="1" customHeight="1">
      <c r="A57" s="26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21">
        <f t="shared" si="6"/>
        <v>0</v>
      </c>
      <c r="AM57" s="22" t="e">
        <f t="shared" si="7"/>
        <v>#DIV/0!</v>
      </c>
      <c r="AO57" s="44">
        <f t="shared" si="8"/>
        <v>0</v>
      </c>
      <c r="AP57" s="44">
        <f t="shared" si="8"/>
        <v>0</v>
      </c>
    </row>
    <row r="58" spans="1:42" ht="15.75" hidden="1" customHeight="1">
      <c r="A58" s="26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21">
        <f t="shared" si="6"/>
        <v>0</v>
      </c>
      <c r="AM58" s="22" t="e">
        <f t="shared" si="7"/>
        <v>#DIV/0!</v>
      </c>
      <c r="AO58" s="44">
        <f t="shared" si="8"/>
        <v>0</v>
      </c>
      <c r="AP58" s="44">
        <f t="shared" si="8"/>
        <v>0</v>
      </c>
    </row>
    <row r="59" spans="1:42" ht="15.75" hidden="1" customHeight="1">
      <c r="A59" s="26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21">
        <f t="shared" si="6"/>
        <v>0</v>
      </c>
      <c r="AM59" s="22" t="e">
        <f t="shared" si="7"/>
        <v>#DIV/0!</v>
      </c>
      <c r="AO59" s="44">
        <f t="shared" si="8"/>
        <v>0</v>
      </c>
      <c r="AP59" s="44">
        <f t="shared" si="8"/>
        <v>0</v>
      </c>
    </row>
    <row r="60" spans="1:42" s="1" customFormat="1" ht="15.75" hidden="1" customHeight="1">
      <c r="A60" s="27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15">
        <f t="shared" si="6"/>
        <v>0</v>
      </c>
      <c r="AM60" s="16" t="e">
        <f t="shared" si="7"/>
        <v>#DIV/0!</v>
      </c>
      <c r="AO60" s="44">
        <f t="shared" si="8"/>
        <v>0</v>
      </c>
      <c r="AP60" s="44">
        <f t="shared" si="8"/>
        <v>0</v>
      </c>
    </row>
    <row r="61" spans="1:42" ht="15.75" hidden="1" customHeight="1">
      <c r="A61" s="26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21">
        <f t="shared" si="6"/>
        <v>0</v>
      </c>
      <c r="AM61" s="22" t="e">
        <f t="shared" si="7"/>
        <v>#DIV/0!</v>
      </c>
      <c r="AO61" s="44">
        <f t="shared" si="8"/>
        <v>0</v>
      </c>
      <c r="AP61" s="44">
        <f t="shared" si="8"/>
        <v>0</v>
      </c>
    </row>
    <row r="62" spans="1:42" s="1" customFormat="1" ht="15.75" hidden="1" customHeight="1">
      <c r="A62" s="27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15">
        <f t="shared" si="6"/>
        <v>0</v>
      </c>
      <c r="AM62" s="16" t="e">
        <f t="shared" si="7"/>
        <v>#DIV/0!</v>
      </c>
      <c r="AO62" s="44">
        <f t="shared" si="8"/>
        <v>0</v>
      </c>
      <c r="AP62" s="44">
        <f t="shared" si="8"/>
        <v>0</v>
      </c>
    </row>
    <row r="63" spans="1:42" ht="15.75" hidden="1" customHeight="1">
      <c r="A63" s="26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21">
        <f t="shared" si="6"/>
        <v>0</v>
      </c>
      <c r="AM63" s="22" t="e">
        <f t="shared" si="7"/>
        <v>#DIV/0!</v>
      </c>
      <c r="AO63" s="44">
        <f t="shared" si="8"/>
        <v>0</v>
      </c>
      <c r="AP63" s="44">
        <f t="shared" si="8"/>
        <v>0</v>
      </c>
    </row>
    <row r="64" spans="1:42" ht="15.75" hidden="1" customHeight="1">
      <c r="A64" s="26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21">
        <f t="shared" si="6"/>
        <v>0</v>
      </c>
      <c r="AM64" s="22" t="e">
        <f t="shared" si="7"/>
        <v>#DIV/0!</v>
      </c>
      <c r="AO64" s="44">
        <f t="shared" si="8"/>
        <v>0</v>
      </c>
      <c r="AP64" s="44">
        <f t="shared" si="8"/>
        <v>0</v>
      </c>
    </row>
    <row r="65" spans="1:43" ht="15.75" hidden="1" customHeight="1">
      <c r="A65" s="26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21">
        <f t="shared" si="6"/>
        <v>0</v>
      </c>
      <c r="AM65" s="22" t="e">
        <f t="shared" si="7"/>
        <v>#DIV/0!</v>
      </c>
      <c r="AO65" s="44">
        <f t="shared" si="8"/>
        <v>0</v>
      </c>
      <c r="AP65" s="44">
        <f t="shared" si="8"/>
        <v>0</v>
      </c>
    </row>
    <row r="66" spans="1:43" ht="15.75" hidden="1" customHeight="1">
      <c r="A66" s="26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21">
        <f t="shared" si="6"/>
        <v>0</v>
      </c>
      <c r="AM66" s="22" t="e">
        <f t="shared" si="7"/>
        <v>#DIV/0!</v>
      </c>
      <c r="AO66" s="44">
        <f t="shared" si="8"/>
        <v>0</v>
      </c>
      <c r="AP66" s="44">
        <f t="shared" si="8"/>
        <v>0</v>
      </c>
    </row>
    <row r="67" spans="1:43" ht="15.75" hidden="1" customHeight="1">
      <c r="A67" s="26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21">
        <f t="shared" si="6"/>
        <v>0</v>
      </c>
      <c r="AM67" s="22" t="e">
        <f t="shared" si="7"/>
        <v>#DIV/0!</v>
      </c>
      <c r="AO67" s="44">
        <f t="shared" si="8"/>
        <v>0</v>
      </c>
      <c r="AP67" s="44">
        <f t="shared" si="8"/>
        <v>0</v>
      </c>
    </row>
    <row r="68" spans="1:43" s="1" customFormat="1" ht="15.75" hidden="1" customHeight="1">
      <c r="A68" s="27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15">
        <f t="shared" si="6"/>
        <v>0</v>
      </c>
      <c r="AM68" s="16" t="e">
        <f t="shared" si="7"/>
        <v>#DIV/0!</v>
      </c>
      <c r="AO68" s="44">
        <f t="shared" si="8"/>
        <v>0</v>
      </c>
      <c r="AP68" s="44">
        <f t="shared" si="8"/>
        <v>0</v>
      </c>
    </row>
    <row r="69" spans="1:43" ht="15.75" hidden="1" customHeight="1">
      <c r="A69" s="26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21">
        <f t="shared" si="6"/>
        <v>0</v>
      </c>
      <c r="AM69" s="22" t="e">
        <f t="shared" si="7"/>
        <v>#DIV/0!</v>
      </c>
      <c r="AO69" s="44">
        <f t="shared" si="8"/>
        <v>0</v>
      </c>
      <c r="AP69" s="44">
        <f t="shared" si="8"/>
        <v>0</v>
      </c>
    </row>
    <row r="70" spans="1:43" ht="15.75" hidden="1" customHeight="1">
      <c r="A70" s="26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21">
        <f t="shared" si="6"/>
        <v>0</v>
      </c>
      <c r="AM70" s="22" t="e">
        <f t="shared" si="7"/>
        <v>#DIV/0!</v>
      </c>
      <c r="AO70" s="44">
        <f t="shared" si="8"/>
        <v>0</v>
      </c>
      <c r="AP70" s="44">
        <f t="shared" si="8"/>
        <v>0</v>
      </c>
    </row>
    <row r="71" spans="1:43" ht="15.75" hidden="1" customHeight="1">
      <c r="A71" s="26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21"/>
      <c r="AM71" s="22"/>
      <c r="AO71" s="44"/>
      <c r="AP71" s="44"/>
    </row>
    <row r="72" spans="1:43" ht="15.75" hidden="1" customHeight="1">
      <c r="A72" s="26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21"/>
      <c r="AM72" s="22"/>
      <c r="AO72" s="44"/>
      <c r="AP72" s="44"/>
    </row>
    <row r="73" spans="1:43" s="1" customFormat="1" ht="15.75" hidden="1" customHeight="1">
      <c r="A73" s="27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21">
        <f>AP73-AO73</f>
        <v>0</v>
      </c>
      <c r="AM73" s="22" t="e">
        <f>AP73/AO73-1</f>
        <v>#DIV/0!</v>
      </c>
      <c r="AN73"/>
      <c r="AO73" s="44">
        <f t="shared" ref="AO73:AP75" si="9">IF($A$1=$B$1,B73,IF($A$1=$E$1,E73,IF($A$1=$H$1,H73,IF($A$1=$K$1,K73,IF($A$1=$N$1,N73,IF($A$1=$Q$1,Q73,IF($A$1=$T$1,T73,IF($A$1=$W$1,W73,IF($A$1=$Z$1,Z73,IF($A$1=$AC$1,AC73,IF($A$1=$AF$1,AF73,IF($A$1=$AI$1,AI73))))))))))))</f>
        <v>0</v>
      </c>
      <c r="AP73" s="44">
        <f t="shared" si="9"/>
        <v>0</v>
      </c>
      <c r="AQ73"/>
    </row>
    <row r="74" spans="1:43" ht="15.75" hidden="1" customHeight="1">
      <c r="A74" s="26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21">
        <f>AP74-AO74</f>
        <v>0</v>
      </c>
      <c r="AM74" s="22" t="e">
        <f>AP74/AO74-1</f>
        <v>#DIV/0!</v>
      </c>
      <c r="AO74" s="44">
        <f t="shared" si="9"/>
        <v>0</v>
      </c>
      <c r="AP74" s="44">
        <f t="shared" si="9"/>
        <v>0</v>
      </c>
    </row>
    <row r="75" spans="1:43" s="1" customFormat="1" ht="15.75" hidden="1" customHeight="1">
      <c r="A75" s="27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21">
        <f>AP75-AO75</f>
        <v>0</v>
      </c>
      <c r="AM75" s="22" t="e">
        <f>AP75/AO75-1</f>
        <v>#DIV/0!</v>
      </c>
      <c r="AN75"/>
      <c r="AO75" s="44">
        <f t="shared" si="9"/>
        <v>0</v>
      </c>
      <c r="AP75" s="44">
        <f t="shared" si="9"/>
        <v>0</v>
      </c>
      <c r="AQ75"/>
    </row>
    <row r="76" spans="1:43" ht="15.75" hidden="1" customHeight="1">
      <c r="A76" s="2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15"/>
      <c r="AM76" s="16"/>
    </row>
    <row r="77" spans="1:43">
      <c r="A77" s="2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5"/>
    </row>
    <row r="78" spans="1:43" s="49" customFormat="1" ht="17">
      <c r="A78" s="47" t="s">
        <v>66</v>
      </c>
      <c r="B78" s="413"/>
      <c r="C78" s="413"/>
      <c r="D78" s="413"/>
      <c r="E78" s="413"/>
      <c r="F78" s="413"/>
      <c r="G78" s="413"/>
      <c r="H78" s="413"/>
      <c r="I78" s="413"/>
      <c r="J78" s="413"/>
      <c r="K78" s="413"/>
      <c r="L78" s="413"/>
      <c r="M78" s="413"/>
      <c r="N78" s="413"/>
      <c r="O78" s="413"/>
      <c r="P78" s="413"/>
      <c r="Q78" s="413"/>
      <c r="R78" s="413"/>
      <c r="S78" s="413"/>
      <c r="T78" s="413"/>
      <c r="U78" s="413"/>
      <c r="V78" s="413"/>
      <c r="W78" s="413"/>
      <c r="X78" s="413"/>
      <c r="Y78" s="413"/>
      <c r="Z78" s="413"/>
      <c r="AA78" s="413"/>
      <c r="AB78" s="413"/>
      <c r="AC78" s="413"/>
      <c r="AD78" s="413"/>
      <c r="AE78" s="413"/>
      <c r="AF78" s="413"/>
      <c r="AG78" s="413"/>
      <c r="AH78" s="413"/>
      <c r="AI78" s="413"/>
      <c r="AJ78" s="413"/>
      <c r="AK78" s="413"/>
      <c r="AL78" s="413"/>
      <c r="AM78" s="48"/>
    </row>
    <row r="79" spans="1:43" s="13" customFormat="1" ht="15.5">
      <c r="A79" s="26" t="s">
        <v>10</v>
      </c>
      <c r="B79" s="12">
        <f t="shared" ref="B79:B86" si="10">B36/B9</f>
        <v>1</v>
      </c>
      <c r="C79" s="12">
        <f t="shared" ref="C79:C87" si="11">IFERROR((C36/C9),"")</f>
        <v>1</v>
      </c>
      <c r="D79" s="41"/>
      <c r="E79" s="12">
        <f t="shared" ref="E79:E86" si="12">E36/E9</f>
        <v>1</v>
      </c>
      <c r="F79" s="12">
        <f t="shared" ref="F79:F87" si="13">IFERROR((F36/F9),"")</f>
        <v>1</v>
      </c>
      <c r="G79" s="41"/>
      <c r="H79" s="12">
        <f t="shared" ref="H79:H86" si="14">H36/H9</f>
        <v>1</v>
      </c>
      <c r="I79" s="12">
        <f t="shared" ref="I79:I87" si="15">IFERROR((I36/I9),"")</f>
        <v>1</v>
      </c>
      <c r="J79" s="41"/>
      <c r="K79" s="12">
        <f t="shared" ref="K79:K86" si="16">K36/K9</f>
        <v>1</v>
      </c>
      <c r="L79" s="12">
        <f t="shared" ref="L79:L87" si="17">IFERROR((L36/L9),"")</f>
        <v>1</v>
      </c>
      <c r="M79" s="41"/>
      <c r="N79" s="12">
        <f t="shared" ref="N79:N86" si="18">N36/N9</f>
        <v>1</v>
      </c>
      <c r="O79" s="12">
        <f t="shared" ref="O79:O87" si="19">IFERROR((O36/O9),"")</f>
        <v>1</v>
      </c>
      <c r="P79" s="41"/>
      <c r="Q79" s="12">
        <f t="shared" ref="Q79:Q86" si="20">Q36/Q9</f>
        <v>1</v>
      </c>
      <c r="R79" s="12">
        <f t="shared" ref="R79:R87" si="21">IFERROR((R36/R9),"")</f>
        <v>1</v>
      </c>
      <c r="S79" s="41"/>
      <c r="T79" s="12">
        <f t="shared" ref="T79:T86" si="22">T36/T9</f>
        <v>1</v>
      </c>
      <c r="U79" s="12">
        <f t="shared" ref="U79:U87" si="23">IFERROR((U36/U9),"")</f>
        <v>1</v>
      </c>
      <c r="V79" s="41"/>
      <c r="W79" s="12">
        <f t="shared" ref="W79:W86" si="24">W36/W9</f>
        <v>1</v>
      </c>
      <c r="X79" s="12">
        <f t="shared" ref="X79:X87" si="25">IFERROR((X36/X9),"")</f>
        <v>1</v>
      </c>
      <c r="Y79" s="41"/>
      <c r="Z79" s="12">
        <f t="shared" ref="Z79:Z86" si="26">Z36/Z9</f>
        <v>1</v>
      </c>
      <c r="AA79" s="12">
        <f t="shared" ref="AA79:AA87" si="27">IFERROR((AA36/AA9),"")</f>
        <v>1</v>
      </c>
      <c r="AB79" s="41"/>
      <c r="AC79" s="12">
        <f t="shared" ref="AC79:AC86" si="28">AC36/AC9</f>
        <v>1</v>
      </c>
      <c r="AD79" s="12" t="str">
        <f t="shared" ref="AD79:AD87" si="29">IFERROR((AD36/AD9),"")</f>
        <v/>
      </c>
      <c r="AE79" s="41"/>
      <c r="AF79" s="12">
        <f t="shared" ref="AF79:AF86" si="30">AF36/AF9</f>
        <v>1</v>
      </c>
      <c r="AG79" s="12" t="str">
        <f t="shared" ref="AG79:AG87" si="31">IFERROR((AG36/AG9),"")</f>
        <v/>
      </c>
      <c r="AH79" s="41"/>
      <c r="AI79" s="12">
        <f t="shared" ref="AI79:AI86" si="32">AI36/AI9</f>
        <v>1</v>
      </c>
      <c r="AJ79" s="12" t="str">
        <f t="shared" ref="AJ79:AJ87" si="33">IFERROR((AJ36/AJ9),"")</f>
        <v/>
      </c>
      <c r="AK79" s="41"/>
      <c r="AL79" s="15"/>
      <c r="AM79" s="401">
        <f>AP79-AO79</f>
        <v>0</v>
      </c>
      <c r="AO79" s="44">
        <f t="shared" ref="AO79:AP89" si="34">IF($A$1=$B$1,B79,IF($A$1=$E$1,E79,IF($A$1=$H$1,H79,IF($A$1=$K$1,K79,IF($A$1=$N$1,N79,IF($A$1=$Q$1,Q79,IF($A$1=$T$1,T79,IF($A$1=$W$1,W79,IF($A$1=$Z$1,Z79,IF($A$1=$AC$1,AC79,IF($A$1=$AF$1,AF79,IF($A$1=$AI$1,AI79))))))))))))</f>
        <v>1</v>
      </c>
      <c r="AP79" s="44">
        <f t="shared" si="34"/>
        <v>1</v>
      </c>
    </row>
    <row r="80" spans="1:43" s="13" customFormat="1" ht="15.5">
      <c r="A80" s="26" t="s">
        <v>11</v>
      </c>
      <c r="B80" s="111">
        <f t="shared" si="10"/>
        <v>0.17117635795345942</v>
      </c>
      <c r="C80" s="111">
        <f t="shared" si="11"/>
        <v>0.13017986024224829</v>
      </c>
      <c r="D80" s="41"/>
      <c r="E80" s="12">
        <f t="shared" si="12"/>
        <v>0.25628590605111673</v>
      </c>
      <c r="F80" s="12">
        <f t="shared" si="13"/>
        <v>0.21469702295362864</v>
      </c>
      <c r="G80" s="41"/>
      <c r="H80" s="12">
        <f t="shared" si="14"/>
        <v>0.27467208943904509</v>
      </c>
      <c r="I80" s="12">
        <f t="shared" si="15"/>
        <v>0.26441063691744604</v>
      </c>
      <c r="J80" s="41"/>
      <c r="K80" s="12">
        <f t="shared" si="16"/>
        <v>0.32359154847520233</v>
      </c>
      <c r="L80" s="12">
        <f t="shared" si="17"/>
        <v>0.25438555571798999</v>
      </c>
      <c r="M80" s="41"/>
      <c r="N80" s="12">
        <f t="shared" si="18"/>
        <v>0.37181167223404515</v>
      </c>
      <c r="O80" s="12">
        <f t="shared" si="19"/>
        <v>0.25073596708817553</v>
      </c>
      <c r="P80" s="41"/>
      <c r="Q80" s="12">
        <f t="shared" si="20"/>
        <v>0.34858217591343599</v>
      </c>
      <c r="R80" s="12">
        <f t="shared" si="21"/>
        <v>0.28635920030313411</v>
      </c>
      <c r="S80" s="41"/>
      <c r="T80" s="12">
        <f t="shared" si="22"/>
        <v>0.34444758902978273</v>
      </c>
      <c r="U80" s="12">
        <f t="shared" si="23"/>
        <v>0.277992193541101</v>
      </c>
      <c r="V80" s="41"/>
      <c r="W80" s="12">
        <f t="shared" si="24"/>
        <v>0.27931173747764593</v>
      </c>
      <c r="X80" s="12">
        <f t="shared" si="25"/>
        <v>0.25648207201277345</v>
      </c>
      <c r="Y80" s="41"/>
      <c r="Z80" s="12">
        <f t="shared" si="26"/>
        <v>0.32037415478904435</v>
      </c>
      <c r="AA80" s="12">
        <f t="shared" si="27"/>
        <v>0.22869640597477234</v>
      </c>
      <c r="AB80" s="41"/>
      <c r="AC80" s="12">
        <f t="shared" si="28"/>
        <v>0.27158734080521096</v>
      </c>
      <c r="AD80" s="12" t="str">
        <f t="shared" si="29"/>
        <v/>
      </c>
      <c r="AE80" s="41"/>
      <c r="AF80" s="12">
        <f t="shared" si="30"/>
        <v>0.24936213823558345</v>
      </c>
      <c r="AG80" s="12" t="str">
        <f t="shared" si="31"/>
        <v/>
      </c>
      <c r="AH80" s="41"/>
      <c r="AI80" s="12">
        <f t="shared" si="32"/>
        <v>0.18385928658630407</v>
      </c>
      <c r="AJ80" s="12" t="str">
        <f t="shared" si="33"/>
        <v/>
      </c>
      <c r="AK80" s="41"/>
      <c r="AL80" s="15"/>
      <c r="AM80" s="401">
        <f t="shared" ref="AM80:AM86" si="35">AP80-AO80</f>
        <v>-9.1677748814272014E-2</v>
      </c>
      <c r="AO80" s="44">
        <f t="shared" si="34"/>
        <v>0.32037415478904435</v>
      </c>
      <c r="AP80" s="44">
        <f t="shared" si="34"/>
        <v>0.22869640597477234</v>
      </c>
    </row>
    <row r="81" spans="1:42" s="13" customFormat="1" ht="15.5">
      <c r="A81" s="26" t="s">
        <v>12</v>
      </c>
      <c r="B81" s="111">
        <f t="shared" si="10"/>
        <v>0.16706084380098921</v>
      </c>
      <c r="C81" s="111">
        <f t="shared" si="11"/>
        <v>0.160907714399458</v>
      </c>
      <c r="D81" s="41"/>
      <c r="E81" s="12">
        <f t="shared" si="12"/>
        <v>0.16984972860954298</v>
      </c>
      <c r="F81" s="12">
        <f t="shared" si="13"/>
        <v>0.14556792742813407</v>
      </c>
      <c r="G81" s="41"/>
      <c r="H81" s="12">
        <f t="shared" si="14"/>
        <v>0.18934001565334155</v>
      </c>
      <c r="I81" s="12">
        <f t="shared" si="15"/>
        <v>0.1223710297129115</v>
      </c>
      <c r="J81" s="41"/>
      <c r="K81" s="12">
        <f t="shared" si="16"/>
        <v>0.19463363441990811</v>
      </c>
      <c r="L81" s="12">
        <f t="shared" si="17"/>
        <v>0.12947594964613091</v>
      </c>
      <c r="M81" s="41"/>
      <c r="N81" s="12">
        <f t="shared" si="18"/>
        <v>0.19747120095856013</v>
      </c>
      <c r="O81" s="12">
        <f t="shared" si="19"/>
        <v>0.20790253705372019</v>
      </c>
      <c r="P81" s="41"/>
      <c r="Q81" s="12">
        <f t="shared" si="20"/>
        <v>0.20095969642994438</v>
      </c>
      <c r="R81" s="12">
        <f t="shared" si="21"/>
        <v>0.15845896686715596</v>
      </c>
      <c r="S81" s="41"/>
      <c r="T81" s="12">
        <f t="shared" si="22"/>
        <v>0.18175889585146818</v>
      </c>
      <c r="U81" s="12">
        <f t="shared" si="23"/>
        <v>0.18602862812615914</v>
      </c>
      <c r="V81" s="41"/>
      <c r="W81" s="12">
        <f t="shared" si="24"/>
        <v>0.20255856460978813</v>
      </c>
      <c r="X81" s="12">
        <f t="shared" si="25"/>
        <v>0.15677114995971678</v>
      </c>
      <c r="Y81" s="41"/>
      <c r="Z81" s="12">
        <f t="shared" si="26"/>
        <v>0.20365020050528709</v>
      </c>
      <c r="AA81" s="12">
        <f t="shared" si="27"/>
        <v>0.19124358145811152</v>
      </c>
      <c r="AB81" s="41"/>
      <c r="AC81" s="12">
        <f t="shared" si="28"/>
        <v>0.19354999132952136</v>
      </c>
      <c r="AD81" s="12" t="str">
        <f t="shared" si="29"/>
        <v/>
      </c>
      <c r="AE81" s="41"/>
      <c r="AF81" s="12">
        <f t="shared" si="30"/>
        <v>0.17084677694290204</v>
      </c>
      <c r="AG81" s="12" t="str">
        <f t="shared" si="31"/>
        <v/>
      </c>
      <c r="AH81" s="41"/>
      <c r="AI81" s="12">
        <f t="shared" si="32"/>
        <v>0.18401379128284612</v>
      </c>
      <c r="AJ81" s="12" t="str">
        <f t="shared" si="33"/>
        <v/>
      </c>
      <c r="AK81" s="41"/>
      <c r="AL81" s="15"/>
      <c r="AM81" s="401">
        <f t="shared" si="35"/>
        <v>-1.2406619047175577E-2</v>
      </c>
      <c r="AO81" s="44">
        <f t="shared" si="34"/>
        <v>0.20365020050528709</v>
      </c>
      <c r="AP81" s="44">
        <f t="shared" si="34"/>
        <v>0.19124358145811152</v>
      </c>
    </row>
    <row r="82" spans="1:42" s="13" customFormat="1" ht="15.5">
      <c r="A82" s="26" t="s">
        <v>13</v>
      </c>
      <c r="B82" s="111">
        <f t="shared" si="10"/>
        <v>0.18185808810369974</v>
      </c>
      <c r="C82" s="111">
        <f t="shared" si="11"/>
        <v>0.14911530528964592</v>
      </c>
      <c r="D82" s="41"/>
      <c r="E82" s="12">
        <f t="shared" si="12"/>
        <v>0.17613583244045841</v>
      </c>
      <c r="F82" s="12">
        <f t="shared" si="13"/>
        <v>0.19140307371003457</v>
      </c>
      <c r="G82" s="41"/>
      <c r="H82" s="12">
        <f t="shared" si="14"/>
        <v>0.18085379050054159</v>
      </c>
      <c r="I82" s="12">
        <f t="shared" si="15"/>
        <v>0.13764229112849399</v>
      </c>
      <c r="J82" s="41"/>
      <c r="K82" s="12">
        <f t="shared" si="16"/>
        <v>0.17362886379761217</v>
      </c>
      <c r="L82" s="12">
        <f t="shared" si="17"/>
        <v>0.10948640496110117</v>
      </c>
      <c r="M82" s="41"/>
      <c r="N82" s="12">
        <f t="shared" si="18"/>
        <v>0.1817196627450256</v>
      </c>
      <c r="O82" s="12">
        <f t="shared" si="19"/>
        <v>0.12261687500358816</v>
      </c>
      <c r="P82" s="41"/>
      <c r="Q82" s="12">
        <f t="shared" si="20"/>
        <v>0.1971938455245055</v>
      </c>
      <c r="R82" s="12">
        <f t="shared" si="21"/>
        <v>0.10149459482317956</v>
      </c>
      <c r="S82" s="41"/>
      <c r="T82" s="12">
        <f t="shared" si="22"/>
        <v>0.1915962906119234</v>
      </c>
      <c r="U82" s="12">
        <f t="shared" si="23"/>
        <v>7.5311961427934157E-2</v>
      </c>
      <c r="V82" s="41"/>
      <c r="W82" s="12">
        <f t="shared" si="24"/>
        <v>0.20758776523029837</v>
      </c>
      <c r="X82" s="12">
        <f t="shared" si="25"/>
        <v>0.16584313482515897</v>
      </c>
      <c r="Y82" s="41"/>
      <c r="Z82" s="12">
        <f t="shared" si="26"/>
        <v>0.21652696664896864</v>
      </c>
      <c r="AA82" s="12">
        <f t="shared" si="27"/>
        <v>0.15310162244056874</v>
      </c>
      <c r="AB82" s="41"/>
      <c r="AC82" s="12">
        <f t="shared" si="28"/>
        <v>0.2181030232934901</v>
      </c>
      <c r="AD82" s="12" t="str">
        <f t="shared" si="29"/>
        <v/>
      </c>
      <c r="AE82" s="41"/>
      <c r="AF82" s="12">
        <f t="shared" si="30"/>
        <v>0.222322824844495</v>
      </c>
      <c r="AG82" s="12" t="str">
        <f t="shared" si="31"/>
        <v/>
      </c>
      <c r="AH82" s="41"/>
      <c r="AI82" s="12">
        <f t="shared" si="32"/>
        <v>0.24976672172636041</v>
      </c>
      <c r="AJ82" s="12" t="str">
        <f t="shared" si="33"/>
        <v/>
      </c>
      <c r="AK82" s="41"/>
      <c r="AL82" s="15"/>
      <c r="AM82" s="401">
        <f t="shared" si="35"/>
        <v>-6.3425344208399903E-2</v>
      </c>
      <c r="AO82" s="44">
        <f t="shared" si="34"/>
        <v>0.21652696664896864</v>
      </c>
      <c r="AP82" s="44">
        <f t="shared" si="34"/>
        <v>0.15310162244056874</v>
      </c>
    </row>
    <row r="83" spans="1:42" s="13" customFormat="1" ht="15.5">
      <c r="A83" s="26" t="s">
        <v>14</v>
      </c>
      <c r="B83" s="111">
        <f t="shared" si="10"/>
        <v>0.19744746282273906</v>
      </c>
      <c r="C83" s="108">
        <f t="shared" si="11"/>
        <v>0.20078813483233199</v>
      </c>
      <c r="D83" s="41"/>
      <c r="E83" s="12">
        <f t="shared" si="12"/>
        <v>0.19527301223644891</v>
      </c>
      <c r="F83" s="30">
        <f t="shared" si="13"/>
        <v>0.23289259938457108</v>
      </c>
      <c r="G83" s="41"/>
      <c r="H83" s="12">
        <f t="shared" si="14"/>
        <v>0.19021729833117418</v>
      </c>
      <c r="I83" s="30">
        <f t="shared" si="15"/>
        <v>0.1847191995710932</v>
      </c>
      <c r="J83" s="41"/>
      <c r="K83" s="12">
        <f t="shared" si="16"/>
        <v>0.17342923960644591</v>
      </c>
      <c r="L83" s="30">
        <f t="shared" si="17"/>
        <v>0.18932003952668186</v>
      </c>
      <c r="M83" s="41"/>
      <c r="N83" s="12">
        <f t="shared" si="18"/>
        <v>0.17874994701871014</v>
      </c>
      <c r="O83" s="30">
        <f t="shared" si="19"/>
        <v>0.22179556862438249</v>
      </c>
      <c r="P83" s="41"/>
      <c r="Q83" s="12">
        <f t="shared" si="20"/>
        <v>0.19522345928486848</v>
      </c>
      <c r="R83" s="30">
        <f t="shared" si="21"/>
        <v>0.21830322970932808</v>
      </c>
      <c r="S83" s="41"/>
      <c r="T83" s="12">
        <f t="shared" si="22"/>
        <v>0.18011851121027156</v>
      </c>
      <c r="U83" s="30">
        <f t="shared" si="23"/>
        <v>0.20703625930586961</v>
      </c>
      <c r="V83" s="41"/>
      <c r="W83" s="12">
        <f t="shared" si="24"/>
        <v>0.20895427866682947</v>
      </c>
      <c r="X83" s="30">
        <f t="shared" si="25"/>
        <v>0.24254040846282574</v>
      </c>
      <c r="Y83" s="41"/>
      <c r="Z83" s="12">
        <f t="shared" si="26"/>
        <v>0.20757660446009404</v>
      </c>
      <c r="AA83" s="30">
        <f t="shared" si="27"/>
        <v>0.21893022947632787</v>
      </c>
      <c r="AB83" s="41"/>
      <c r="AC83" s="12">
        <f t="shared" si="28"/>
        <v>0.18552908553874922</v>
      </c>
      <c r="AD83" s="30" t="str">
        <f t="shared" si="29"/>
        <v/>
      </c>
      <c r="AE83" s="41"/>
      <c r="AF83" s="12">
        <f t="shared" si="30"/>
        <v>0.20156192079548302</v>
      </c>
      <c r="AG83" s="30" t="str">
        <f t="shared" si="31"/>
        <v/>
      </c>
      <c r="AH83" s="41"/>
      <c r="AI83" s="12">
        <f t="shared" si="32"/>
        <v>0.19085549164138441</v>
      </c>
      <c r="AJ83" s="30" t="str">
        <f t="shared" si="33"/>
        <v/>
      </c>
      <c r="AK83" s="41"/>
      <c r="AL83" s="15"/>
      <c r="AM83" s="401">
        <f t="shared" si="35"/>
        <v>1.1353625016233826E-2</v>
      </c>
      <c r="AO83" s="44">
        <f t="shared" si="34"/>
        <v>0.20757660446009404</v>
      </c>
      <c r="AP83" s="44">
        <f t="shared" si="34"/>
        <v>0.21893022947632787</v>
      </c>
    </row>
    <row r="84" spans="1:42" s="13" customFormat="1" ht="15.5">
      <c r="A84" s="26" t="s">
        <v>15</v>
      </c>
      <c r="B84" s="111">
        <f t="shared" si="10"/>
        <v>0.12840117851533356</v>
      </c>
      <c r="C84" s="111">
        <f t="shared" si="11"/>
        <v>0.12027403073497246</v>
      </c>
      <c r="D84" s="41"/>
      <c r="E84" s="12">
        <f t="shared" si="12"/>
        <v>0.16161053241366985</v>
      </c>
      <c r="F84" s="12">
        <f t="shared" si="13"/>
        <v>0.17939628595087631</v>
      </c>
      <c r="G84" s="41"/>
      <c r="H84" s="12">
        <f t="shared" si="14"/>
        <v>0.22128033515101875</v>
      </c>
      <c r="I84" s="12">
        <f t="shared" si="15"/>
        <v>0.19340641238818951</v>
      </c>
      <c r="J84" s="41"/>
      <c r="K84" s="12">
        <f t="shared" si="16"/>
        <v>0.12618442435787319</v>
      </c>
      <c r="L84" s="12">
        <f t="shared" si="17"/>
        <v>0.18711583321447448</v>
      </c>
      <c r="M84" s="41"/>
      <c r="N84" s="12">
        <f t="shared" si="18"/>
        <v>0.16092947940590258</v>
      </c>
      <c r="O84" s="12">
        <f t="shared" si="19"/>
        <v>0.18919436602839301</v>
      </c>
      <c r="P84" s="41"/>
      <c r="Q84" s="12">
        <f t="shared" si="20"/>
        <v>0.18000096693290585</v>
      </c>
      <c r="R84" s="12">
        <f t="shared" si="21"/>
        <v>0.17931198522952141</v>
      </c>
      <c r="S84" s="41"/>
      <c r="T84" s="12">
        <f t="shared" si="22"/>
        <v>0.12409604762279894</v>
      </c>
      <c r="U84" s="12">
        <f t="shared" si="23"/>
        <v>0.18950511726274696</v>
      </c>
      <c r="V84" s="41"/>
      <c r="W84" s="12">
        <f t="shared" si="24"/>
        <v>7.2151928667683107E-2</v>
      </c>
      <c r="X84" s="12">
        <f t="shared" si="25"/>
        <v>0.15904239977721524</v>
      </c>
      <c r="Y84" s="41"/>
      <c r="Z84" s="12">
        <f t="shared" si="26"/>
        <v>0.23257783414493308</v>
      </c>
      <c r="AA84" s="12">
        <f t="shared" si="27"/>
        <v>0.25621268998149072</v>
      </c>
      <c r="AB84" s="41"/>
      <c r="AC84" s="12">
        <f t="shared" si="28"/>
        <v>0.17883047273152206</v>
      </c>
      <c r="AD84" s="12" t="str">
        <f t="shared" si="29"/>
        <v/>
      </c>
      <c r="AE84" s="41"/>
      <c r="AF84" s="12">
        <f t="shared" si="30"/>
        <v>0.18695414740755073</v>
      </c>
      <c r="AG84" s="12" t="str">
        <f t="shared" si="31"/>
        <v/>
      </c>
      <c r="AH84" s="41"/>
      <c r="AI84" s="12">
        <f t="shared" si="32"/>
        <v>0.16737242357885218</v>
      </c>
      <c r="AJ84" s="12" t="str">
        <f t="shared" si="33"/>
        <v/>
      </c>
      <c r="AK84" s="41"/>
      <c r="AL84" s="15"/>
      <c r="AM84" s="401">
        <f t="shared" si="35"/>
        <v>2.3634855836557639E-2</v>
      </c>
      <c r="AO84" s="44">
        <f t="shared" si="34"/>
        <v>0.23257783414493308</v>
      </c>
      <c r="AP84" s="44">
        <f t="shared" si="34"/>
        <v>0.25621268998149072</v>
      </c>
    </row>
    <row r="85" spans="1:42" s="13" customFormat="1" ht="15.5">
      <c r="A85" s="26" t="s">
        <v>16</v>
      </c>
      <c r="B85" s="111">
        <f t="shared" si="10"/>
        <v>0.22286986930705016</v>
      </c>
      <c r="C85" s="111">
        <f t="shared" si="11"/>
        <v>0.22598724757203748</v>
      </c>
      <c r="D85" s="41"/>
      <c r="E85" s="12">
        <f t="shared" si="12"/>
        <v>0.24427730411528104</v>
      </c>
      <c r="F85" s="12">
        <f t="shared" si="13"/>
        <v>0.2789581755114825</v>
      </c>
      <c r="G85" s="41"/>
      <c r="H85" s="12">
        <f t="shared" si="14"/>
        <v>0.2646515444548122</v>
      </c>
      <c r="I85" s="12">
        <f t="shared" si="15"/>
        <v>0.2548137357890759</v>
      </c>
      <c r="J85" s="41"/>
      <c r="K85" s="12">
        <f t="shared" si="16"/>
        <v>0.26113632928694486</v>
      </c>
      <c r="L85" s="12">
        <f t="shared" si="17"/>
        <v>0.30928254965582103</v>
      </c>
      <c r="M85" s="41"/>
      <c r="N85" s="12">
        <f t="shared" si="18"/>
        <v>0.27363276605525627</v>
      </c>
      <c r="O85" s="12">
        <f t="shared" si="19"/>
        <v>0.26443664248824661</v>
      </c>
      <c r="P85" s="41"/>
      <c r="Q85" s="12">
        <f t="shared" si="20"/>
        <v>0.25323098147472778</v>
      </c>
      <c r="R85" s="12">
        <f t="shared" si="21"/>
        <v>0.27401603712199341</v>
      </c>
      <c r="S85" s="41"/>
      <c r="T85" s="12">
        <f t="shared" si="22"/>
        <v>0.2339687064360384</v>
      </c>
      <c r="U85" s="12">
        <f t="shared" si="23"/>
        <v>0.32276113957693214</v>
      </c>
      <c r="V85" s="41"/>
      <c r="W85" s="12">
        <f t="shared" si="24"/>
        <v>0.17171764105946735</v>
      </c>
      <c r="X85" s="12">
        <f t="shared" si="25"/>
        <v>0.27834397869058336</v>
      </c>
      <c r="Y85" s="41"/>
      <c r="Z85" s="12">
        <f t="shared" si="26"/>
        <v>0.2907240612643871</v>
      </c>
      <c r="AA85" s="12">
        <f t="shared" si="27"/>
        <v>0.35455308442679945</v>
      </c>
      <c r="AB85" s="41"/>
      <c r="AC85" s="12">
        <f t="shared" si="28"/>
        <v>0.27898708226777785</v>
      </c>
      <c r="AD85" s="12" t="str">
        <f t="shared" si="29"/>
        <v/>
      </c>
      <c r="AE85" s="41"/>
      <c r="AF85" s="12">
        <f t="shared" si="30"/>
        <v>0.2808541501688725</v>
      </c>
      <c r="AG85" s="12" t="str">
        <f t="shared" si="31"/>
        <v/>
      </c>
      <c r="AH85" s="41"/>
      <c r="AI85" s="12">
        <f t="shared" si="32"/>
        <v>0.23197177611833769</v>
      </c>
      <c r="AJ85" s="12" t="str">
        <f t="shared" si="33"/>
        <v/>
      </c>
      <c r="AK85" s="41"/>
      <c r="AL85" s="15"/>
      <c r="AM85" s="401">
        <f t="shared" si="35"/>
        <v>6.3829023162412346E-2</v>
      </c>
      <c r="AO85" s="44">
        <f t="shared" si="34"/>
        <v>0.2907240612643871</v>
      </c>
      <c r="AP85" s="44">
        <f t="shared" si="34"/>
        <v>0.35455308442679945</v>
      </c>
    </row>
    <row r="86" spans="1:42" s="13" customFormat="1" ht="15.5">
      <c r="A86" s="26" t="s">
        <v>17</v>
      </c>
      <c r="B86" s="111">
        <f t="shared" si="10"/>
        <v>0.15089381136549465</v>
      </c>
      <c r="C86" s="111">
        <f t="shared" si="11"/>
        <v>0.13316144218245424</v>
      </c>
      <c r="D86" s="41"/>
      <c r="E86" s="12">
        <f t="shared" si="12"/>
        <v>0.15387084674397256</v>
      </c>
      <c r="F86" s="12">
        <f t="shared" si="13"/>
        <v>8.6001293631169193E-2</v>
      </c>
      <c r="G86" s="41"/>
      <c r="H86" s="12">
        <f t="shared" si="14"/>
        <v>0.12709776653880922</v>
      </c>
      <c r="I86" s="12">
        <f t="shared" si="15"/>
        <v>0.10092280637370343</v>
      </c>
      <c r="J86" s="41"/>
      <c r="K86" s="12">
        <f t="shared" si="16"/>
        <v>0.1325087039949919</v>
      </c>
      <c r="L86" s="12">
        <f t="shared" si="17"/>
        <v>9.5039701408615493E-2</v>
      </c>
      <c r="M86" s="41"/>
      <c r="N86" s="12">
        <f t="shared" si="18"/>
        <v>0.16317829953757104</v>
      </c>
      <c r="O86" s="12">
        <f t="shared" si="19"/>
        <v>0.15755895453918609</v>
      </c>
      <c r="P86" s="41"/>
      <c r="Q86" s="12">
        <f t="shared" si="20"/>
        <v>0.11781860793805014</v>
      </c>
      <c r="R86" s="12">
        <f t="shared" si="21"/>
        <v>0.11219514698889879</v>
      </c>
      <c r="S86" s="41"/>
      <c r="T86" s="12">
        <f t="shared" si="22"/>
        <v>0.17062024961018468</v>
      </c>
      <c r="U86" s="12">
        <f t="shared" si="23"/>
        <v>0.12633111727865051</v>
      </c>
      <c r="V86" s="41"/>
      <c r="W86" s="12">
        <f t="shared" si="24"/>
        <v>9.0497144863731047E-2</v>
      </c>
      <c r="X86" s="12">
        <f t="shared" si="25"/>
        <v>9.6834456613978923E-2</v>
      </c>
      <c r="Y86" s="41"/>
      <c r="Z86" s="12">
        <f t="shared" si="26"/>
        <v>0.18643077833107352</v>
      </c>
      <c r="AA86" s="12">
        <f t="shared" si="27"/>
        <v>0.17628590469847691</v>
      </c>
      <c r="AB86" s="41"/>
      <c r="AC86" s="12">
        <f t="shared" si="28"/>
        <v>0.16940690619141843</v>
      </c>
      <c r="AD86" s="12" t="str">
        <f t="shared" si="29"/>
        <v/>
      </c>
      <c r="AE86" s="41"/>
      <c r="AF86" s="12">
        <f t="shared" si="30"/>
        <v>0.17595147978042441</v>
      </c>
      <c r="AG86" s="12" t="str">
        <f t="shared" si="31"/>
        <v/>
      </c>
      <c r="AH86" s="41"/>
      <c r="AI86" s="12">
        <f t="shared" si="32"/>
        <v>0.15806810460577303</v>
      </c>
      <c r="AJ86" s="12" t="str">
        <f t="shared" si="33"/>
        <v/>
      </c>
      <c r="AK86" s="41"/>
      <c r="AL86" s="15"/>
      <c r="AM86" s="401">
        <f t="shared" si="35"/>
        <v>-1.0144873632596613E-2</v>
      </c>
      <c r="AO86" s="44">
        <f t="shared" si="34"/>
        <v>0.18643077833107352</v>
      </c>
      <c r="AP86" s="44">
        <f t="shared" si="34"/>
        <v>0.17628590469847691</v>
      </c>
    </row>
    <row r="87" spans="1:42" s="13" customFormat="1" ht="15.5">
      <c r="A87" s="26"/>
      <c r="B87" s="12"/>
      <c r="C87" s="12" t="str">
        <f t="shared" si="11"/>
        <v/>
      </c>
      <c r="D87" s="41"/>
      <c r="E87" s="12"/>
      <c r="F87" s="12" t="str">
        <f t="shared" si="13"/>
        <v/>
      </c>
      <c r="G87" s="41"/>
      <c r="H87" s="12"/>
      <c r="I87" s="12" t="str">
        <f t="shared" si="15"/>
        <v/>
      </c>
      <c r="J87" s="41"/>
      <c r="K87" s="12"/>
      <c r="L87" s="12" t="str">
        <f t="shared" si="17"/>
        <v/>
      </c>
      <c r="M87" s="41"/>
      <c r="N87" s="12"/>
      <c r="O87" s="12" t="str">
        <f t="shared" si="19"/>
        <v/>
      </c>
      <c r="P87" s="41"/>
      <c r="Q87" s="12"/>
      <c r="R87" s="12" t="str">
        <f t="shared" si="21"/>
        <v/>
      </c>
      <c r="S87" s="41"/>
      <c r="T87" s="12"/>
      <c r="U87" s="12" t="str">
        <f t="shared" si="23"/>
        <v/>
      </c>
      <c r="V87" s="41"/>
      <c r="W87" s="12"/>
      <c r="X87" s="12" t="str">
        <f t="shared" si="25"/>
        <v/>
      </c>
      <c r="Y87" s="41"/>
      <c r="Z87" s="12"/>
      <c r="AA87" s="12" t="str">
        <f t="shared" si="27"/>
        <v/>
      </c>
      <c r="AB87" s="41"/>
      <c r="AC87" s="12"/>
      <c r="AD87" s="12" t="str">
        <f t="shared" si="29"/>
        <v/>
      </c>
      <c r="AE87" s="41"/>
      <c r="AF87" s="12"/>
      <c r="AG87" s="12" t="str">
        <f t="shared" si="31"/>
        <v/>
      </c>
      <c r="AH87" s="41"/>
      <c r="AI87" s="12"/>
      <c r="AJ87" s="12" t="str">
        <f t="shared" si="33"/>
        <v/>
      </c>
      <c r="AK87" s="41"/>
      <c r="AL87" s="15"/>
      <c r="AM87" s="22"/>
      <c r="AO87" s="44">
        <f t="shared" si="34"/>
        <v>0</v>
      </c>
      <c r="AP87" s="44" t="str">
        <f t="shared" si="34"/>
        <v/>
      </c>
    </row>
    <row r="88" spans="1:42" s="44" customFormat="1" ht="15.5">
      <c r="A88" s="31" t="s">
        <v>67</v>
      </c>
      <c r="B88" s="32">
        <f>-'Bütçe aylık-Eur'!$B$37</f>
        <v>-2743941.9655314544</v>
      </c>
      <c r="C88" s="32">
        <f>'gerç aylık-eur'!$B$37</f>
        <v>-2658838.1060562544</v>
      </c>
      <c r="D88" s="18"/>
      <c r="E88" s="32">
        <f>-'Bütçe aylık-Eur'!$C$37</f>
        <v>-2777685.1727726073</v>
      </c>
      <c r="F88" s="32">
        <f>'gerç aylık-eur'!$C$37</f>
        <v>-2885711.5793888923</v>
      </c>
      <c r="G88" s="18"/>
      <c r="H88" s="32">
        <f>-'Bütçe aylık-Eur'!$D$37</f>
        <v>-3010674.9802891742</v>
      </c>
      <c r="I88" s="32">
        <f>'gerç aylık-eur'!$D$37</f>
        <v>-2803281.9552966934</v>
      </c>
      <c r="J88" s="18"/>
      <c r="K88" s="32">
        <f>-'Bütçe aylık-Eur'!$E$37</f>
        <v>-3109450.2640651367</v>
      </c>
      <c r="L88" s="32">
        <f>'gerç aylık-eur'!$E$37</f>
        <v>-3149506.9434047658</v>
      </c>
      <c r="M88" s="18"/>
      <c r="N88" s="32">
        <f>-'Bütçe aylık-Eur'!$F$37</f>
        <v>-2917139.4084021118</v>
      </c>
      <c r="O88" s="32">
        <f>'gerç aylık-eur'!$F$37</f>
        <v>-2853856.8870052318</v>
      </c>
      <c r="P88" s="18"/>
      <c r="Q88" s="32">
        <f>-'Bütçe aylık-Eur'!$G$37</f>
        <v>-2870837.4197553508</v>
      </c>
      <c r="R88" s="32">
        <f>'gerç aylık-eur'!$G$37</f>
        <v>-2483556.9177298727</v>
      </c>
      <c r="S88" s="18"/>
      <c r="T88" s="32">
        <f>-'Bütçe aylık-Eur'!$H$37</f>
        <v>-2814206.999786471</v>
      </c>
      <c r="U88" s="32">
        <f>'gerç aylık-eur'!$H$37</f>
        <v>-2479988.8084937511</v>
      </c>
      <c r="V88" s="18"/>
      <c r="W88" s="32">
        <f>-'Bütçe aylık-Eur'!$I$37</f>
        <v>-2652098.339360564</v>
      </c>
      <c r="X88" s="32">
        <f>'gerç aylık-eur'!$I$37</f>
        <v>-2225152.4344236511</v>
      </c>
      <c r="Y88" s="18"/>
      <c r="Z88" s="32">
        <f>-'Bütçe aylık-Eur'!$J$37</f>
        <v>-2933205.0481408336</v>
      </c>
      <c r="AA88" s="32">
        <f>'gerç aylık-eur'!$J$37</f>
        <v>-2359437.9460122124</v>
      </c>
      <c r="AB88" s="18"/>
      <c r="AC88" s="32">
        <f>-'Bütçe aylık-Eur'!$K$37</f>
        <v>-2879324.5836681253</v>
      </c>
      <c r="AD88" s="32">
        <f>'gerç aylık-eur'!$K$37</f>
        <v>0</v>
      </c>
      <c r="AE88" s="18"/>
      <c r="AF88" s="32">
        <f>-'Bütçe aylık-Eur'!$L$37</f>
        <v>-2820513.8501969092</v>
      </c>
      <c r="AG88" s="32">
        <f>'gerç aylık-eur'!$L$37</f>
        <v>0</v>
      </c>
      <c r="AH88" s="18"/>
      <c r="AI88" s="32">
        <f>-'Bütçe aylık-Eur'!$M$37</f>
        <v>-3332477.8388971463</v>
      </c>
      <c r="AJ88" s="32">
        <f>'gerç aylık-eur'!$M$37</f>
        <v>0</v>
      </c>
      <c r="AK88" s="18"/>
      <c r="AL88" s="33">
        <f>AP88-AO88</f>
        <v>573767.10212862119</v>
      </c>
      <c r="AM88" s="34">
        <f>AP88/AO88-1</f>
        <v>-0.19561097595011112</v>
      </c>
      <c r="AO88" s="44">
        <f t="shared" si="34"/>
        <v>-2933205.0481408336</v>
      </c>
      <c r="AP88" s="44">
        <f t="shared" si="34"/>
        <v>-2359437.9460122124</v>
      </c>
    </row>
    <row r="89" spans="1:42" s="13" customFormat="1" ht="15.5">
      <c r="A89" s="27"/>
      <c r="B89" s="30">
        <f>B88/-B30</f>
        <v>9.9414490467053362E-2</v>
      </c>
      <c r="C89" s="30">
        <f>C88/-C30</f>
        <v>8.8016513906165939E-2</v>
      </c>
      <c r="D89" s="41"/>
      <c r="E89" s="30"/>
      <c r="F89" s="30"/>
      <c r="G89" s="41"/>
      <c r="H89" s="30"/>
      <c r="I89" s="30"/>
      <c r="J89" s="41"/>
      <c r="K89" s="30"/>
      <c r="L89" s="30"/>
      <c r="M89" s="41"/>
      <c r="N89" s="30"/>
      <c r="O89" s="30"/>
      <c r="P89" s="41"/>
      <c r="Q89" s="30"/>
      <c r="R89" s="30"/>
      <c r="S89" s="41"/>
      <c r="T89" s="30"/>
      <c r="U89" s="30"/>
      <c r="V89" s="41"/>
      <c r="W89" s="30"/>
      <c r="X89" s="30"/>
      <c r="Y89" s="41"/>
      <c r="Z89" s="30"/>
      <c r="AA89" s="30"/>
      <c r="AB89" s="41"/>
      <c r="AC89" s="30"/>
      <c r="AD89" s="30"/>
      <c r="AE89" s="41"/>
      <c r="AF89" s="30"/>
      <c r="AG89" s="30"/>
      <c r="AH89" s="41"/>
      <c r="AI89" s="30"/>
      <c r="AJ89" s="30"/>
      <c r="AK89" s="41"/>
      <c r="AL89" s="15"/>
      <c r="AM89" s="22"/>
      <c r="AO89" s="44">
        <f t="shared" si="34"/>
        <v>0</v>
      </c>
      <c r="AP89" s="44">
        <f t="shared" si="34"/>
        <v>0</v>
      </c>
    </row>
    <row r="90" spans="1:42" s="49" customFormat="1" ht="17">
      <c r="A90" s="47" t="s">
        <v>68</v>
      </c>
      <c r="B90" s="413"/>
      <c r="C90" s="413"/>
      <c r="D90" s="413"/>
      <c r="E90" s="413"/>
      <c r="F90" s="413"/>
      <c r="G90" s="413"/>
      <c r="H90" s="413"/>
      <c r="I90" s="413"/>
      <c r="J90" s="413"/>
      <c r="K90" s="413"/>
      <c r="L90" s="413"/>
      <c r="M90" s="413"/>
      <c r="N90" s="413"/>
      <c r="O90" s="413"/>
      <c r="P90" s="413"/>
      <c r="Q90" s="413"/>
      <c r="R90" s="413"/>
      <c r="S90" s="413"/>
      <c r="T90" s="413"/>
      <c r="U90" s="413"/>
      <c r="V90" s="413"/>
      <c r="W90" s="413"/>
      <c r="X90" s="413"/>
      <c r="Y90" s="413"/>
      <c r="Z90" s="413"/>
      <c r="AA90" s="413"/>
      <c r="AB90" s="413"/>
      <c r="AC90" s="413"/>
      <c r="AD90" s="413"/>
      <c r="AE90" s="413"/>
      <c r="AF90" s="413"/>
      <c r="AG90" s="413"/>
      <c r="AH90" s="413"/>
      <c r="AI90" s="413"/>
      <c r="AJ90" s="413"/>
      <c r="AK90" s="413"/>
      <c r="AL90" s="413"/>
      <c r="AM90" s="48"/>
    </row>
    <row r="91" spans="1:42" ht="15.5">
      <c r="A91" s="26" t="s">
        <v>10</v>
      </c>
      <c r="B91" s="7">
        <f>-'Bütçe aylık-Eur'!$B$38</f>
        <v>-378639.3301026047</v>
      </c>
      <c r="C91" s="7">
        <f>'gerç aylık-eur'!$B$38</f>
        <v>-379095.49200077966</v>
      </c>
      <c r="D91" s="7"/>
      <c r="E91" s="7">
        <f>-'Bütçe aylık-Eur'!$C$38</f>
        <v>-359570.5766503599</v>
      </c>
      <c r="F91" s="7">
        <f>'gerç aylık-eur'!$C$38</f>
        <v>-414616.15155946364</v>
      </c>
      <c r="G91" s="7"/>
      <c r="H91" s="7">
        <f>-'Bütçe aylık-Eur'!$D$38</f>
        <v>-474077.03766331048</v>
      </c>
      <c r="I91" s="7">
        <f>'gerç aylık-eur'!$D$38</f>
        <v>-452066.60680489504</v>
      </c>
      <c r="J91" s="7"/>
      <c r="K91" s="7">
        <f>-'Bütçe aylık-Eur'!$E$38</f>
        <v>-405575.78238348255</v>
      </c>
      <c r="L91" s="7">
        <f>'gerç aylık-eur'!$E$38</f>
        <v>-555022.29714481859</v>
      </c>
      <c r="M91" s="7"/>
      <c r="N91" s="7">
        <f>-'Bütçe aylık-Eur'!$F$38</f>
        <v>-428934.41633444704</v>
      </c>
      <c r="O91" s="7">
        <f>'gerç aylık-eur'!$F$38</f>
        <v>-354817.39101245906</v>
      </c>
      <c r="P91" s="7"/>
      <c r="Q91" s="7">
        <f>-'Bütçe aylık-Eur'!$G$38</f>
        <v>-404623.80857207725</v>
      </c>
      <c r="R91" s="7">
        <f>'gerç aylık-eur'!$G$38</f>
        <v>-370767.34381802456</v>
      </c>
      <c r="S91" s="7"/>
      <c r="T91" s="7">
        <f>-'Bütçe aylık-Eur'!$H$38</f>
        <v>-366093.52353170404</v>
      </c>
      <c r="U91" s="7">
        <f>'gerç aylık-eur'!$H$38</f>
        <v>-381941.33238683315</v>
      </c>
      <c r="V91" s="7"/>
      <c r="W91" s="7">
        <f>-'Bütçe aylık-Eur'!$I$38</f>
        <v>-347719.99498053762</v>
      </c>
      <c r="X91" s="7">
        <f>'gerç aylık-eur'!$I$38</f>
        <v>-312966.88295246154</v>
      </c>
      <c r="Y91" s="7"/>
      <c r="Z91" s="7">
        <f>-'Bütçe aylık-Eur'!$J$38</f>
        <v>-393617.69056909962</v>
      </c>
      <c r="AA91" s="7">
        <f>'gerç aylık-eur'!$J$38</f>
        <v>-311389.8959306301</v>
      </c>
      <c r="AB91" s="7"/>
      <c r="AC91" s="7">
        <f>-'Bütçe aylık-Eur'!$K$38</f>
        <v>-415050.07203598542</v>
      </c>
      <c r="AD91" s="7">
        <f>'gerç aylık-eur'!$K$38</f>
        <v>0</v>
      </c>
      <c r="AE91" s="7"/>
      <c r="AF91" s="7">
        <f>-'Bütçe aylık-Eur'!$L$38</f>
        <v>-430356.46974712599</v>
      </c>
      <c r="AG91" s="7">
        <f>'gerç aylık-eur'!$L$38</f>
        <v>0</v>
      </c>
      <c r="AH91" s="7"/>
      <c r="AI91" s="7">
        <f>-'Bütçe aylık-Eur'!$M$38</f>
        <v>-942526.17815571174</v>
      </c>
      <c r="AJ91" s="7">
        <f>'gerç aylık-eur'!$M$38</f>
        <v>0</v>
      </c>
      <c r="AK91" s="7"/>
      <c r="AL91" s="21">
        <f t="shared" ref="AL91:AL98" si="36">AP91-AO91</f>
        <v>82227.794638469524</v>
      </c>
      <c r="AM91" s="22">
        <f t="shared" ref="AM91:AM98" si="37">AP91/AO91-1</f>
        <v>-0.20890269062750477</v>
      </c>
      <c r="AO91" s="44">
        <f t="shared" ref="AO91:AP99" si="38">IF($A$1=$B$1,B91,IF($A$1=$E$1,E91,IF($A$1=$H$1,H91,IF($A$1=$K$1,K91,IF($A$1=$N$1,N91,IF($A$1=$Q$1,Q91,IF($A$1=$T$1,T91,IF($A$1=$W$1,W91,IF($A$1=$Z$1,Z91,IF($A$1=$AC$1,AC91,IF($A$1=$AF$1,AF91,IF($A$1=$AI$1,AI91))))))))))))</f>
        <v>-393617.69056909962</v>
      </c>
      <c r="AP91" s="44">
        <f t="shared" si="38"/>
        <v>-311389.8959306301</v>
      </c>
    </row>
    <row r="92" spans="1:42" ht="15.5">
      <c r="A92" s="26" t="s">
        <v>11</v>
      </c>
      <c r="B92" s="7">
        <f>-'Bütçe aylık-Eur'!$B$39</f>
        <v>-172335.83968486081</v>
      </c>
      <c r="C92" s="7">
        <f>'gerç aylık-eur'!$B$39</f>
        <v>-126365.65144000031</v>
      </c>
      <c r="D92" s="7"/>
      <c r="E92" s="7">
        <f>-'Bütçe aylık-Eur'!$C$39</f>
        <v>-164499.22299532432</v>
      </c>
      <c r="F92" s="7">
        <f>'gerç aylık-eur'!$C$39</f>
        <v>-162672.98985914708</v>
      </c>
      <c r="G92" s="7"/>
      <c r="H92" s="7">
        <f>-'Bütçe aylık-Eur'!$D$39</f>
        <v>-167922.40300834627</v>
      </c>
      <c r="I92" s="7">
        <f>'gerç aylık-eur'!$D$39</f>
        <v>-163546.88812861414</v>
      </c>
      <c r="J92" s="7"/>
      <c r="K92" s="7">
        <f>-'Bütçe aylık-Eur'!$E$39</f>
        <v>-172489.168439628</v>
      </c>
      <c r="L92" s="7">
        <f>'gerç aylık-eur'!$E$39</f>
        <v>-138314.23994203078</v>
      </c>
      <c r="M92" s="7"/>
      <c r="N92" s="7">
        <f>-'Bütçe aylık-Eur'!$F$39</f>
        <v>-158009.62974847804</v>
      </c>
      <c r="O92" s="7">
        <f>'gerç aylık-eur'!$F$39</f>
        <v>-148496.54414322527</v>
      </c>
      <c r="P92" s="7"/>
      <c r="Q92" s="7">
        <f>-'Bütçe aylık-Eur'!$G$39</f>
        <v>-161726.86068941353</v>
      </c>
      <c r="R92" s="7">
        <f>'gerç aylık-eur'!$G$39</f>
        <v>-160173.08359332799</v>
      </c>
      <c r="S92" s="7"/>
      <c r="T92" s="7">
        <f>-'Bütçe aylık-Eur'!$H$39</f>
        <v>-148516.65368393305</v>
      </c>
      <c r="U92" s="7">
        <f>'gerç aylık-eur'!$H$39</f>
        <v>-142821.57420504853</v>
      </c>
      <c r="V92" s="7"/>
      <c r="W92" s="7">
        <f>-'Bütçe aylık-Eur'!$I$39</f>
        <v>-132296.33810746446</v>
      </c>
      <c r="X92" s="7">
        <f>'gerç aylık-eur'!$I$39</f>
        <v>-113424.72696201185</v>
      </c>
      <c r="Y92" s="7"/>
      <c r="Z92" s="7">
        <f>-'Bütçe aylık-Eur'!$J$39</f>
        <v>-138705.32841383517</v>
      </c>
      <c r="AA92" s="7">
        <f>'gerç aylık-eur'!$J$39</f>
        <v>-138693.87107128045</v>
      </c>
      <c r="AB92" s="7"/>
      <c r="AC92" s="7">
        <f>-'Bütçe aylık-Eur'!$K$39</f>
        <v>-125051.44970193124</v>
      </c>
      <c r="AD92" s="7">
        <f>'gerç aylık-eur'!$K$39</f>
        <v>0</v>
      </c>
      <c r="AE92" s="7"/>
      <c r="AF92" s="7">
        <f>-'Bütçe aylık-Eur'!$L$39</f>
        <v>-127136.0292086914</v>
      </c>
      <c r="AG92" s="7">
        <f>'gerç aylık-eur'!$L$39</f>
        <v>0</v>
      </c>
      <c r="AH92" s="7"/>
      <c r="AI92" s="7">
        <f>-'Bütçe aylık-Eur'!$M$39</f>
        <v>-125114.23403266842</v>
      </c>
      <c r="AJ92" s="7">
        <f>'gerç aylık-eur'!$M$39</f>
        <v>0</v>
      </c>
      <c r="AK92" s="7"/>
      <c r="AL92" s="21">
        <f t="shared" si="36"/>
        <v>11.457342554727802</v>
      </c>
      <c r="AM92" s="22">
        <f t="shared" si="37"/>
        <v>-8.2602036170831283E-5</v>
      </c>
      <c r="AO92" s="44">
        <f t="shared" si="38"/>
        <v>-138705.32841383517</v>
      </c>
      <c r="AP92" s="44">
        <f t="shared" si="38"/>
        <v>-138693.87107128045</v>
      </c>
    </row>
    <row r="93" spans="1:42" ht="15.5">
      <c r="A93" s="26" t="s">
        <v>12</v>
      </c>
      <c r="B93" s="7">
        <f>-'Bütçe aylık-Eur'!$B$40</f>
        <v>-210929.61338291212</v>
      </c>
      <c r="C93" s="7">
        <f>'gerç aylık-eur'!$B$40</f>
        <v>-121903.78336071088</v>
      </c>
      <c r="D93" s="7"/>
      <c r="E93" s="7">
        <f>-'Bütçe aylık-Eur'!$C$40</f>
        <v>-165953.16664254956</v>
      </c>
      <c r="F93" s="7">
        <f>'gerç aylık-eur'!$C$40</f>
        <v>-119725.06599831699</v>
      </c>
      <c r="G93" s="7"/>
      <c r="H93" s="7">
        <f>-'Bütçe aylık-Eur'!$D$40</f>
        <v>-192322.07740759518</v>
      </c>
      <c r="I93" s="7">
        <f>'gerç aylık-eur'!$D$40</f>
        <v>-177243.87829806382</v>
      </c>
      <c r="J93" s="7"/>
      <c r="K93" s="7">
        <f>-'Bütçe aylık-Eur'!$E$40</f>
        <v>-212051.98472113663</v>
      </c>
      <c r="L93" s="7">
        <f>'gerç aylık-eur'!$E$40</f>
        <v>-141699.63587811176</v>
      </c>
      <c r="M93" s="7"/>
      <c r="N93" s="7">
        <f>-'Bütçe aylık-Eur'!$F$40</f>
        <v>-182815.61957947817</v>
      </c>
      <c r="O93" s="7">
        <f>'gerç aylık-eur'!$F$40</f>
        <v>-122616.7165061252</v>
      </c>
      <c r="P93" s="7"/>
      <c r="Q93" s="7">
        <f>-'Bütçe aylık-Eur'!$G$40</f>
        <v>-188693.79262230566</v>
      </c>
      <c r="R93" s="7">
        <f>'gerç aylık-eur'!$G$40</f>
        <v>-126790.70851374649</v>
      </c>
      <c r="S93" s="7"/>
      <c r="T93" s="7">
        <f>-'Bütçe aylık-Eur'!$H$40</f>
        <v>-198353.24833195133</v>
      </c>
      <c r="U93" s="7">
        <f>'gerç aylık-eur'!$H$40</f>
        <v>-143950.88782817553</v>
      </c>
      <c r="V93" s="7"/>
      <c r="W93" s="7">
        <f>-'Bütçe aylık-Eur'!$I$40</f>
        <v>-193303.51782456547</v>
      </c>
      <c r="X93" s="7">
        <f>'gerç aylık-eur'!$I$40</f>
        <v>-108305.29938542635</v>
      </c>
      <c r="Y93" s="7"/>
      <c r="Z93" s="7">
        <f>-'Bütçe aylık-Eur'!$J$40</f>
        <v>-213272.78802689919</v>
      </c>
      <c r="AA93" s="7">
        <f>'gerç aylık-eur'!$J$40</f>
        <v>-115524.06055637445</v>
      </c>
      <c r="AB93" s="7"/>
      <c r="AC93" s="7">
        <f>-'Bütçe aylık-Eur'!$K$40</f>
        <v>-187449.80645847434</v>
      </c>
      <c r="AD93" s="7">
        <f>'gerç aylık-eur'!$K$40</f>
        <v>0</v>
      </c>
      <c r="AE93" s="7"/>
      <c r="AF93" s="7">
        <f>-'Bütçe aylık-Eur'!$L$40</f>
        <v>-182925.4854775604</v>
      </c>
      <c r="AG93" s="7">
        <f>'gerç aylık-eur'!$L$40</f>
        <v>0</v>
      </c>
      <c r="AH93" s="7"/>
      <c r="AI93" s="7">
        <f>-'Bütçe aylık-Eur'!$M$40</f>
        <v>-225571.09192030682</v>
      </c>
      <c r="AJ93" s="7">
        <f>'gerç aylık-eur'!$M$40</f>
        <v>0</v>
      </c>
      <c r="AK93" s="7"/>
      <c r="AL93" s="21">
        <f t="shared" si="36"/>
        <v>97748.72747052474</v>
      </c>
      <c r="AM93" s="22">
        <f t="shared" si="37"/>
        <v>-0.45832723609444315</v>
      </c>
      <c r="AO93" s="44">
        <f t="shared" si="38"/>
        <v>-213272.78802689919</v>
      </c>
      <c r="AP93" s="44">
        <f t="shared" si="38"/>
        <v>-115524.06055637445</v>
      </c>
    </row>
    <row r="94" spans="1:42" ht="15.5">
      <c r="A94" s="26" t="s">
        <v>13</v>
      </c>
      <c r="B94" s="7">
        <f>-'Bütçe aylık-Eur'!$B$41</f>
        <v>-2063199.3176160427</v>
      </c>
      <c r="C94" s="7">
        <f>'gerç aylık-eur'!$B$41</f>
        <v>-2081641.7654548122</v>
      </c>
      <c r="D94" s="7"/>
      <c r="E94" s="7">
        <f>-'Bütçe aylık-Eur'!$C$41</f>
        <v>-2274407.7519225087</v>
      </c>
      <c r="F94" s="7">
        <f>'gerç aylık-eur'!$C$41</f>
        <v>-2272721.0307976096</v>
      </c>
      <c r="G94" s="7"/>
      <c r="H94" s="7">
        <f>-'Bütçe aylık-Eur'!$D$41</f>
        <v>-2391404.8742837934</v>
      </c>
      <c r="I94" s="7">
        <f>'gerç aylık-eur'!$D$41</f>
        <v>-2300144.3896901496</v>
      </c>
      <c r="J94" s="7"/>
      <c r="K94" s="7">
        <f>-'Bütçe aylık-Eur'!$E$41</f>
        <v>-2255190.9152141912</v>
      </c>
      <c r="L94" s="7">
        <f>'gerç aylık-eur'!$E$41</f>
        <v>-2068806.5128187945</v>
      </c>
      <c r="M94" s="7"/>
      <c r="N94" s="7">
        <f>-'Bütçe aylık-Eur'!$F$41</f>
        <v>-2096565.5574581604</v>
      </c>
      <c r="O94" s="7">
        <f>'gerç aylık-eur'!$F$41</f>
        <v>-1942443.3664733067</v>
      </c>
      <c r="P94" s="7"/>
      <c r="Q94" s="7">
        <f>-'Bütçe aylık-Eur'!$G$41</f>
        <v>-2141279.5542347212</v>
      </c>
      <c r="R94" s="7">
        <f>'gerç aylık-eur'!$G$41</f>
        <v>-1761143.502068423</v>
      </c>
      <c r="S94" s="7"/>
      <c r="T94" s="7">
        <f>-'Bütçe aylık-Eur'!$H$41</f>
        <v>-2192367.8844483853</v>
      </c>
      <c r="U94" s="7">
        <f>'gerç aylık-eur'!$H$41</f>
        <v>-1677881.0900276823</v>
      </c>
      <c r="V94" s="7"/>
      <c r="W94" s="7">
        <f>-'Bütçe aylık-Eur'!$I$41</f>
        <v>-2195837.6933976826</v>
      </c>
      <c r="X94" s="7">
        <f>'gerç aylık-eur'!$I$41</f>
        <v>-1685794.1352079648</v>
      </c>
      <c r="Y94" s="7"/>
      <c r="Z94" s="7">
        <f>-'Bütçe aylık-Eur'!$J$41</f>
        <v>-2191321.2196610784</v>
      </c>
      <c r="AA94" s="7">
        <f>'gerç aylık-eur'!$J$41</f>
        <v>-1591887.6338078466</v>
      </c>
      <c r="AB94" s="7"/>
      <c r="AC94" s="7">
        <f>-'Bütçe aylık-Eur'!$K$41</f>
        <v>-2273082.9568712092</v>
      </c>
      <c r="AD94" s="7">
        <f>'gerç aylık-eur'!$K$41</f>
        <v>0</v>
      </c>
      <c r="AE94" s="7"/>
      <c r="AF94" s="7">
        <f>-'Bütçe aylık-Eur'!$L$41</f>
        <v>-2210193.7872300851</v>
      </c>
      <c r="AG94" s="7">
        <f>'gerç aylık-eur'!$L$41</f>
        <v>0</v>
      </c>
      <c r="AH94" s="7"/>
      <c r="AI94" s="7">
        <f>-'Bütçe aylık-Eur'!$M$41</f>
        <v>-2337449.5522208908</v>
      </c>
      <c r="AJ94" s="7">
        <f>'gerç aylık-eur'!$M$41</f>
        <v>0</v>
      </c>
      <c r="AK94" s="7"/>
      <c r="AL94" s="21">
        <f t="shared" si="36"/>
        <v>599433.58585323184</v>
      </c>
      <c r="AM94" s="22">
        <f t="shared" si="37"/>
        <v>-0.27354893498724187</v>
      </c>
      <c r="AO94" s="44">
        <f t="shared" si="38"/>
        <v>-2191321.2196610784</v>
      </c>
      <c r="AP94" s="44">
        <f t="shared" si="38"/>
        <v>-1591887.6338078466</v>
      </c>
    </row>
    <row r="95" spans="1:42" s="1" customFormat="1" ht="15.5">
      <c r="A95" s="26" t="s">
        <v>14</v>
      </c>
      <c r="B95" s="7">
        <f>-'Bütçe aylık-Eur'!$B$42</f>
        <v>-871043.92881764914</v>
      </c>
      <c r="C95" s="7">
        <f>'gerç aylık-eur'!$B$42</f>
        <v>-958807.09268209711</v>
      </c>
      <c r="D95" s="8"/>
      <c r="E95" s="7">
        <f>-'Bütçe aylık-Eur'!$C$42</f>
        <v>-858268.89789542556</v>
      </c>
      <c r="F95" s="7">
        <f>'gerç aylık-eur'!$C$42</f>
        <v>-880426.68913230253</v>
      </c>
      <c r="G95" s="8"/>
      <c r="H95" s="7">
        <f>-'Bütçe aylık-Eur'!$D$42</f>
        <v>-844035.06094801123</v>
      </c>
      <c r="I95" s="7">
        <f>'gerç aylık-eur'!$D$42</f>
        <v>-742575.84547265049</v>
      </c>
      <c r="J95" s="8"/>
      <c r="K95" s="7">
        <f>-'Bütçe aylık-Eur'!$E$42</f>
        <v>-1166019.917145032</v>
      </c>
      <c r="L95" s="7">
        <f>'gerç aylık-eur'!$E$42</f>
        <v>-1078954.013280716</v>
      </c>
      <c r="M95" s="8"/>
      <c r="N95" s="7">
        <f>-'Bütçe aylık-Eur'!$F$42</f>
        <v>-1054675.1368071104</v>
      </c>
      <c r="O95" s="7">
        <f>'gerç aylık-eur'!$F$42</f>
        <v>-1220908.2518852497</v>
      </c>
      <c r="P95" s="8"/>
      <c r="Q95" s="7">
        <f>-'Bütçe aylık-Eur'!$G$42</f>
        <v>-1010623.5496601645</v>
      </c>
      <c r="R95" s="7">
        <f>'gerç aylık-eur'!$G$42</f>
        <v>-889329.38244351139</v>
      </c>
      <c r="S95" s="8"/>
      <c r="T95" s="7">
        <f>-'Bütçe aylık-Eur'!$H$42</f>
        <v>-997842.38974182156</v>
      </c>
      <c r="U95" s="7">
        <f>'gerç aylık-eur'!$H$42</f>
        <v>-798607.81515655189</v>
      </c>
      <c r="V95" s="8"/>
      <c r="W95" s="7">
        <f>-'Bütçe aylık-Eur'!$I$42</f>
        <v>-981339.41453730885</v>
      </c>
      <c r="X95" s="7">
        <f>'gerç aylık-eur'!$I$42</f>
        <v>-796253.15760141297</v>
      </c>
      <c r="Y95" s="8"/>
      <c r="Z95" s="7">
        <f>-'Bütçe aylık-Eur'!$J$42</f>
        <v>-963750.10611242056</v>
      </c>
      <c r="AA95" s="7">
        <f>'gerç aylık-eur'!$J$42</f>
        <v>-786328.44232697075</v>
      </c>
      <c r="AB95" s="8"/>
      <c r="AC95" s="7">
        <f>-'Bütçe aylık-Eur'!$K$42</f>
        <v>-967838.17666712659</v>
      </c>
      <c r="AD95" s="7">
        <f>'gerç aylık-eur'!$K$42</f>
        <v>0</v>
      </c>
      <c r="AE95" s="8"/>
      <c r="AF95" s="7">
        <f>-'Bütçe aylık-Eur'!$L$42</f>
        <v>-950497.67069874192</v>
      </c>
      <c r="AG95" s="7">
        <f>'gerç aylık-eur'!$L$42</f>
        <v>0</v>
      </c>
      <c r="AH95" s="8"/>
      <c r="AI95" s="7">
        <f>-'Bütçe aylık-Eur'!$M$42</f>
        <v>-973653.49088625773</v>
      </c>
      <c r="AJ95" s="7">
        <f>'gerç aylık-eur'!$M$42</f>
        <v>0</v>
      </c>
      <c r="AK95" s="8"/>
      <c r="AL95" s="21">
        <f t="shared" si="36"/>
        <v>177421.66378544981</v>
      </c>
      <c r="AM95" s="22">
        <f t="shared" si="37"/>
        <v>-0.18409509131068647</v>
      </c>
      <c r="AO95" s="44">
        <f t="shared" si="38"/>
        <v>-963750.10611242056</v>
      </c>
      <c r="AP95" s="44">
        <f t="shared" si="38"/>
        <v>-786328.44232697075</v>
      </c>
    </row>
    <row r="96" spans="1:42" ht="15.5">
      <c r="A96" s="26" t="s">
        <v>15</v>
      </c>
      <c r="B96" s="7">
        <f>-'Bütçe aylık-Eur'!$B$43</f>
        <v>-706181.53968199994</v>
      </c>
      <c r="C96" s="7">
        <f>'gerç aylık-eur'!$B$43</f>
        <v>-671544.15</v>
      </c>
      <c r="D96" s="7"/>
      <c r="E96" s="7">
        <f>-'Bütçe aylık-Eur'!$C$43</f>
        <v>-676130.12513400009</v>
      </c>
      <c r="F96" s="7">
        <f>'gerç aylık-eur'!$C$43</f>
        <v>-817810.98999999987</v>
      </c>
      <c r="G96" s="7"/>
      <c r="H96" s="7">
        <f>-'Bütçe aylık-Eur'!$D$43</f>
        <v>-721036.064915</v>
      </c>
      <c r="I96" s="7">
        <f>'gerç aylık-eur'!$D$43</f>
        <v>-707904.8</v>
      </c>
      <c r="J96" s="7"/>
      <c r="K96" s="7">
        <f>-'Bütçe aylık-Eur'!$E$43</f>
        <v>-933968.81538699986</v>
      </c>
      <c r="L96" s="7">
        <f>'gerç aylık-eur'!$E$43</f>
        <v>-952352.62999999989</v>
      </c>
      <c r="M96" s="7"/>
      <c r="N96" s="7">
        <f>-'Bütçe aylık-Eur'!$F$43</f>
        <v>-739044.16327999998</v>
      </c>
      <c r="O96" s="7">
        <f>'gerç aylık-eur'!$F$43</f>
        <v>-828014.35000000009</v>
      </c>
      <c r="P96" s="7"/>
      <c r="Q96" s="7">
        <f>-'Bütçe aylık-Eur'!$G$43</f>
        <v>-706378.91852400033</v>
      </c>
      <c r="R96" s="7">
        <f>'gerç aylık-eur'!$G$43</f>
        <v>-648135.79999999981</v>
      </c>
      <c r="S96" s="7"/>
      <c r="T96" s="7">
        <f>-'Bütçe aylık-Eur'!$H$43</f>
        <v>-673702.82962599955</v>
      </c>
      <c r="U96" s="7">
        <f>'gerç aylık-eur'!$H$43</f>
        <v>-607325.29</v>
      </c>
      <c r="V96" s="7"/>
      <c r="W96" s="7">
        <f>-'Bütçe aylık-Eur'!$I$43</f>
        <v>-571597.64296200033</v>
      </c>
      <c r="X96" s="7">
        <f>'gerç aylık-eur'!$I$43</f>
        <v>-450295.95999999996</v>
      </c>
      <c r="Y96" s="7"/>
      <c r="Z96" s="7">
        <f>-'Bütçe aylık-Eur'!$J$43</f>
        <v>-767792.36953099992</v>
      </c>
      <c r="AA96" s="7">
        <f>'gerç aylık-eur'!$J$43</f>
        <v>-594990.36000000034</v>
      </c>
      <c r="AB96" s="7"/>
      <c r="AC96" s="7">
        <f>-'Bütçe aylık-Eur'!$K$43</f>
        <v>-700722.58690899971</v>
      </c>
      <c r="AD96" s="7">
        <f>'gerç aylık-eur'!$K$43</f>
        <v>0</v>
      </c>
      <c r="AE96" s="7"/>
      <c r="AF96" s="7">
        <f>-'Bütçe aylık-Eur'!$L$43</f>
        <v>-675360.39894399967</v>
      </c>
      <c r="AG96" s="7">
        <f>'gerç aylık-eur'!$L$43</f>
        <v>0</v>
      </c>
      <c r="AH96" s="7"/>
      <c r="AI96" s="7">
        <f>-'Bütçe aylık-Eur'!$M$43</f>
        <v>-586387.73753099982</v>
      </c>
      <c r="AJ96" s="7">
        <f>'gerç aylık-eur'!$M$43</f>
        <v>0</v>
      </c>
      <c r="AK96" s="7"/>
      <c r="AL96" s="21">
        <f t="shared" si="36"/>
        <v>172802.00953099958</v>
      </c>
      <c r="AM96" s="22">
        <f t="shared" si="37"/>
        <v>-0.22506346297313995</v>
      </c>
      <c r="AO96" s="44">
        <f t="shared" si="38"/>
        <v>-767792.36953099992</v>
      </c>
      <c r="AP96" s="44">
        <f t="shared" si="38"/>
        <v>-594990.36000000034</v>
      </c>
    </row>
    <row r="97" spans="1:42" ht="15.5">
      <c r="A97" s="26" t="s">
        <v>16</v>
      </c>
      <c r="B97" s="7">
        <f>-'Bütçe aylık-Eur'!$B$44</f>
        <v>-400769.22487699997</v>
      </c>
      <c r="C97" s="7">
        <f>'gerç aylık-eur'!$B$44</f>
        <v>-411416.13</v>
      </c>
      <c r="D97" s="7"/>
      <c r="E97" s="7">
        <f>-'Bütçe aylık-Eur'!$C$44</f>
        <v>-366134.15535800002</v>
      </c>
      <c r="F97" s="7">
        <f>'gerç aylık-eur'!$C$44</f>
        <v>-487724.54000000004</v>
      </c>
      <c r="G97" s="7"/>
      <c r="H97" s="7">
        <f>-'Bütçe aylık-Eur'!$D$44</f>
        <v>-438537.89482999989</v>
      </c>
      <c r="I97" s="7">
        <f>'gerç aylık-eur'!$D$44</f>
        <v>-279388.90000000002</v>
      </c>
      <c r="J97" s="7"/>
      <c r="K97" s="7">
        <f>-'Bütçe aylık-Eur'!$E$44</f>
        <v>-457953.46436500014</v>
      </c>
      <c r="L97" s="7">
        <f>'gerç aylık-eur'!$E$44</f>
        <v>-687637.28</v>
      </c>
      <c r="M97" s="7"/>
      <c r="N97" s="7">
        <f>-'Bütçe aylık-Eur'!$F$44</f>
        <v>-430483.74404799985</v>
      </c>
      <c r="O97" s="7">
        <f>'gerç aylık-eur'!$F$44</f>
        <v>-491309.33000000007</v>
      </c>
      <c r="P97" s="7"/>
      <c r="Q97" s="7">
        <f>-'Bütçe aylık-Eur'!$G$44</f>
        <v>-393969.19894600008</v>
      </c>
      <c r="R97" s="7">
        <f>'gerç aylık-eur'!$G$44</f>
        <v>-384841.34999999963</v>
      </c>
      <c r="S97" s="7"/>
      <c r="T97" s="7">
        <f>-'Bütçe aylık-Eur'!$H$44</f>
        <v>-369606.68395800004</v>
      </c>
      <c r="U97" s="7">
        <f>'gerç aylık-eur'!$H$44</f>
        <v>-453411.52</v>
      </c>
      <c r="V97" s="7"/>
      <c r="W97" s="7">
        <f>-'Bütçe aylık-Eur'!$I$44</f>
        <v>-351328.89413899975</v>
      </c>
      <c r="X97" s="7">
        <f>'gerç aylık-eur'!$I$44</f>
        <v>-345208.70000000013</v>
      </c>
      <c r="Y97" s="7"/>
      <c r="Z97" s="7">
        <f>-'Bütçe aylık-Eur'!$J$44</f>
        <v>-433904.45034400007</v>
      </c>
      <c r="AA97" s="7">
        <f>'gerç aylık-eur'!$J$44</f>
        <v>-521905.66000000021</v>
      </c>
      <c r="AB97" s="7"/>
      <c r="AC97" s="7">
        <f>-'Bütçe aylık-Eur'!$K$44</f>
        <v>-411866.13605900016</v>
      </c>
      <c r="AD97" s="7">
        <f>'gerç aylık-eur'!$K$44</f>
        <v>0</v>
      </c>
      <c r="AE97" s="7"/>
      <c r="AF97" s="7">
        <f>-'Bütçe aylık-Eur'!$L$44</f>
        <v>-385059.25217300048</v>
      </c>
      <c r="AG97" s="7">
        <f>'gerç aylık-eur'!$L$44</f>
        <v>0</v>
      </c>
      <c r="AH97" s="7"/>
      <c r="AI97" s="7">
        <f>-'Bütçe aylık-Eur'!$M$44</f>
        <v>-334862.36761099938</v>
      </c>
      <c r="AJ97" s="7">
        <f>'gerç aylık-eur'!$M$44</f>
        <v>0</v>
      </c>
      <c r="AK97" s="7"/>
      <c r="AL97" s="21">
        <f t="shared" si="36"/>
        <v>-88001.209656000137</v>
      </c>
      <c r="AM97" s="22">
        <f t="shared" si="37"/>
        <v>0.20281241546666018</v>
      </c>
      <c r="AO97" s="44">
        <f t="shared" si="38"/>
        <v>-433904.45034400007</v>
      </c>
      <c r="AP97" s="44">
        <f t="shared" si="38"/>
        <v>-521905.66000000021</v>
      </c>
    </row>
    <row r="98" spans="1:42" ht="15.5">
      <c r="A98" s="26" t="s">
        <v>17</v>
      </c>
      <c r="B98" s="7">
        <f>-'Bütçe aylık-Eur'!$B$45</f>
        <v>-913898.94490999996</v>
      </c>
      <c r="C98" s="7">
        <f>'gerç aylık-eur'!$B$45</f>
        <v>-955273.81</v>
      </c>
      <c r="D98" s="7"/>
      <c r="E98" s="7">
        <f>-'Bütçe aylık-Eur'!$C$45</f>
        <v>-1044214.585901</v>
      </c>
      <c r="F98" s="7">
        <f>'gerç aylık-eur'!$C$45</f>
        <v>-1013060.1799999999</v>
      </c>
      <c r="G98" s="7"/>
      <c r="H98" s="7">
        <f>-'Bütçe aylık-Eur'!$D$45</f>
        <v>-1045869.760548</v>
      </c>
      <c r="I98" s="7">
        <f>'gerç aylık-eur'!$D$45</f>
        <v>-996047.51999999979</v>
      </c>
      <c r="J98" s="7"/>
      <c r="K98" s="7">
        <f>-'Bütçe aylık-Eur'!$E$45</f>
        <v>-985200.20919100009</v>
      </c>
      <c r="L98" s="7">
        <f>'gerç aylık-eur'!$E$45</f>
        <v>-998426.49000000034</v>
      </c>
      <c r="M98" s="7"/>
      <c r="N98" s="7">
        <f>-'Bütçe aylık-Eur'!$F$45</f>
        <v>-1047680.755256</v>
      </c>
      <c r="O98" s="7">
        <f>'gerç aylık-eur'!$F$45</f>
        <v>-1087140.29</v>
      </c>
      <c r="P98" s="7"/>
      <c r="Q98" s="7">
        <f>-'Bütçe aylık-Eur'!$G$45</f>
        <v>-1037231.1733140005</v>
      </c>
      <c r="R98" s="7">
        <f>'gerç aylık-eur'!$G$45</f>
        <v>-881114.41999999993</v>
      </c>
      <c r="S98" s="7"/>
      <c r="T98" s="7">
        <f>-'Bütçe aylık-Eur'!$H$45</f>
        <v>-1019589.1478229995</v>
      </c>
      <c r="U98" s="7">
        <f>'gerç aylık-eur'!$H$45</f>
        <v>-990961.8200000003</v>
      </c>
      <c r="V98" s="7"/>
      <c r="W98" s="7">
        <f>-'Bütçe aylık-Eur'!$I$45</f>
        <v>-846842.57608400017</v>
      </c>
      <c r="X98" s="7">
        <f>'gerç aylık-eur'!$I$45</f>
        <v>-948586.8599999994</v>
      </c>
      <c r="Y98" s="7"/>
      <c r="Z98" s="7">
        <f>-'Bütçe aylık-Eur'!$J$45</f>
        <v>-1112254.9571790006</v>
      </c>
      <c r="AA98" s="7">
        <f>'gerç aylık-eur'!$J$45</f>
        <v>-989463.20000000019</v>
      </c>
      <c r="AB98" s="7"/>
      <c r="AC98" s="7">
        <f>-'Bütçe aylık-Eur'!$K$45</f>
        <v>-1025923.2821730003</v>
      </c>
      <c r="AD98" s="7">
        <f>'gerç aylık-eur'!$K$45</f>
        <v>0</v>
      </c>
      <c r="AE98" s="7"/>
      <c r="AF98" s="7">
        <f>-'Bütçe aylık-Eur'!$L$45</f>
        <v>-979128.55536299944</v>
      </c>
      <c r="AG98" s="7">
        <f>'gerç aylık-eur'!$L$45</f>
        <v>0</v>
      </c>
      <c r="AH98" s="7"/>
      <c r="AI98" s="7">
        <f>'Bütçe aylık-Eur'!$M$45</f>
        <v>865812.68872199953</v>
      </c>
      <c r="AJ98" s="7">
        <f>'gerç aylık-eur'!$M$45</f>
        <v>0</v>
      </c>
      <c r="AK98" s="7"/>
      <c r="AL98" s="21">
        <f t="shared" si="36"/>
        <v>122791.75717900041</v>
      </c>
      <c r="AM98" s="22">
        <f t="shared" si="37"/>
        <v>-0.11039893001730083</v>
      </c>
      <c r="AO98" s="44">
        <f t="shared" si="38"/>
        <v>-1112254.9571790006</v>
      </c>
      <c r="AP98" s="44">
        <f t="shared" si="38"/>
        <v>-989463.20000000019</v>
      </c>
    </row>
    <row r="99" spans="1:42" ht="15.5">
      <c r="A99" s="26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21"/>
      <c r="AM99" s="22"/>
      <c r="AO99" s="44">
        <f t="shared" si="38"/>
        <v>0</v>
      </c>
      <c r="AP99" s="44">
        <f t="shared" si="38"/>
        <v>0</v>
      </c>
    </row>
    <row r="100" spans="1:42">
      <c r="A100" s="2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5"/>
    </row>
    <row r="101" spans="1:42" s="49" customFormat="1" ht="17">
      <c r="A101" s="47" t="s">
        <v>69</v>
      </c>
      <c r="B101" s="413"/>
      <c r="C101" s="413"/>
      <c r="D101" s="413"/>
      <c r="E101" s="413"/>
      <c r="F101" s="413"/>
      <c r="G101" s="413"/>
      <c r="H101" s="413"/>
      <c r="I101" s="413"/>
      <c r="J101" s="413"/>
      <c r="K101" s="413"/>
      <c r="L101" s="413"/>
      <c r="M101" s="413"/>
      <c r="N101" s="413"/>
      <c r="O101" s="413"/>
      <c r="P101" s="413"/>
      <c r="Q101" s="413"/>
      <c r="R101" s="413"/>
      <c r="S101" s="413"/>
      <c r="T101" s="413"/>
      <c r="U101" s="413"/>
      <c r="V101" s="413"/>
      <c r="W101" s="413"/>
      <c r="X101" s="413"/>
      <c r="Y101" s="413"/>
      <c r="Z101" s="413"/>
      <c r="AA101" s="413"/>
      <c r="AB101" s="413"/>
      <c r="AC101" s="413"/>
      <c r="AD101" s="413"/>
      <c r="AE101" s="413"/>
      <c r="AF101" s="413"/>
      <c r="AG101" s="413"/>
      <c r="AH101" s="413"/>
      <c r="AI101" s="413"/>
      <c r="AJ101" s="413"/>
      <c r="AK101" s="413"/>
      <c r="AL101" s="413"/>
      <c r="AM101" s="48"/>
    </row>
    <row r="102" spans="1:42" s="13" customFormat="1" ht="15.5">
      <c r="A102" s="26" t="s">
        <v>10</v>
      </c>
      <c r="B102" s="12">
        <f>B91*-1/B9</f>
        <v>0.52965374990487502</v>
      </c>
      <c r="C102" s="12">
        <f>C91*-1/C9</f>
        <v>0.50238117054819975</v>
      </c>
      <c r="D102" s="41"/>
      <c r="E102" s="12">
        <f t="shared" ref="E102:F109" si="39">E91*-1/E9</f>
        <v>0.49698834698357491</v>
      </c>
      <c r="F102" s="12">
        <f t="shared" si="39"/>
        <v>0.57194523353082716</v>
      </c>
      <c r="G102" s="41"/>
      <c r="H102" s="12">
        <f t="shared" ref="H102:I109" si="40">H91*-1/H9</f>
        <v>0.58506943895933461</v>
      </c>
      <c r="I102" s="12">
        <f t="shared" si="40"/>
        <v>0.5712589131974819</v>
      </c>
      <c r="J102" s="41"/>
      <c r="K102" s="12">
        <f t="shared" ref="K102:L109" si="41">K91*-1/K9</f>
        <v>0.54613589842218779</v>
      </c>
      <c r="L102" s="12">
        <f t="shared" si="41"/>
        <v>0.80552748340898994</v>
      </c>
      <c r="M102" s="41"/>
      <c r="N102" s="12">
        <f t="shared" ref="N102:O109" si="42">N91*-1/N9</f>
        <v>0.55008503721311253</v>
      </c>
      <c r="O102" s="12">
        <f t="shared" si="42"/>
        <v>0.45584033847517802</v>
      </c>
      <c r="P102" s="41"/>
      <c r="Q102" s="12">
        <f t="shared" ref="Q102:R109" si="43">Q91*-1/Q9</f>
        <v>0.5306322658999264</v>
      </c>
      <c r="R102" s="12">
        <f t="shared" si="43"/>
        <v>0.5547357558749787</v>
      </c>
      <c r="S102" s="41"/>
      <c r="T102" s="12">
        <f t="shared" ref="T102:U109" si="44">T91*-1/T9</f>
        <v>0.4838237995345997</v>
      </c>
      <c r="U102" s="12">
        <f t="shared" si="44"/>
        <v>0.52325721116225621</v>
      </c>
      <c r="V102" s="41"/>
      <c r="W102" s="12">
        <f t="shared" ref="W102:X109" si="45">W91*-1/W9</f>
        <v>0.5180646859796062</v>
      </c>
      <c r="X102" s="12">
        <f t="shared" si="45"/>
        <v>0.51833925458792474</v>
      </c>
      <c r="Y102" s="41"/>
      <c r="Z102" s="12">
        <f t="shared" ref="Z102:AA109" si="46">Z91*-1/Z9</f>
        <v>0.44935623658711366</v>
      </c>
      <c r="AA102" s="12">
        <f t="shared" si="46"/>
        <v>0.39418629578184639</v>
      </c>
      <c r="AB102" s="41"/>
      <c r="AC102" s="12">
        <f t="shared" ref="AC102:AD109" si="47">AC91*-1/AC9</f>
        <v>0.48718164824543764</v>
      </c>
      <c r="AD102" s="12" t="e">
        <f t="shared" si="47"/>
        <v>#DIV/0!</v>
      </c>
      <c r="AE102" s="41"/>
      <c r="AF102" s="12">
        <f t="shared" ref="AF102:AG109" si="48">AF91*-1/AF9</f>
        <v>0.52697168230567015</v>
      </c>
      <c r="AG102" s="12" t="e">
        <f t="shared" si="48"/>
        <v>#DIV/0!</v>
      </c>
      <c r="AH102" s="41"/>
      <c r="AI102" s="12">
        <f t="shared" ref="AI102:AJ109" si="49">AI91*-1/AI9</f>
        <v>1.2960276740224927</v>
      </c>
      <c r="AJ102" s="12" t="e">
        <f t="shared" si="49"/>
        <v>#DIV/0!</v>
      </c>
      <c r="AK102" s="41"/>
      <c r="AL102" s="15"/>
      <c r="AM102" s="22">
        <f>AP102-AO102</f>
        <v>-5.516994080526727E-2</v>
      </c>
      <c r="AO102" s="44">
        <f t="shared" ref="AO102:AP109" si="50">IF($A$1=$B$1,B102,IF($A$1=$E$1,E102,IF($A$1=$H$1,H102,IF($A$1=$K$1,K102,IF($A$1=$N$1,N102,IF($A$1=$Q$1,Q102,IF($A$1=$T$1,T102,IF($A$1=$W$1,W102,IF($A$1=$Z$1,Z102,IF($A$1=$AC$1,AC102,IF($A$1=$AF$1,AF102,IF($A$1=$AI$1,AI102))))))))))))</f>
        <v>0.44935623658711366</v>
      </c>
      <c r="AP102" s="44">
        <f t="shared" si="50"/>
        <v>0.39418629578184639</v>
      </c>
    </row>
    <row r="103" spans="1:42" s="13" customFormat="1" ht="15.5">
      <c r="A103" s="26" t="s">
        <v>11</v>
      </c>
      <c r="B103" s="12">
        <f t="shared" ref="B103:C109" si="51">B92*-1/B10</f>
        <v>0.20659051288776206</v>
      </c>
      <c r="C103" s="12">
        <f t="shared" si="51"/>
        <v>0.14328133365901763</v>
      </c>
      <c r="D103" s="41"/>
      <c r="E103" s="12">
        <f t="shared" si="39"/>
        <v>0.17002481703342553</v>
      </c>
      <c r="F103" s="12">
        <f t="shared" si="39"/>
        <v>0.17369262825933796</v>
      </c>
      <c r="G103" s="41"/>
      <c r="H103" s="12">
        <f t="shared" si="40"/>
        <v>0.17020037669327728</v>
      </c>
      <c r="I103" s="12">
        <f t="shared" si="40"/>
        <v>0.23493641267452053</v>
      </c>
      <c r="J103" s="41"/>
      <c r="K103" s="12">
        <f t="shared" si="41"/>
        <v>0.16260044668723114</v>
      </c>
      <c r="L103" s="12">
        <f t="shared" si="41"/>
        <v>0.29616583117271394</v>
      </c>
      <c r="M103" s="41"/>
      <c r="N103" s="12">
        <f t="shared" si="42"/>
        <v>0.15853110587533606</v>
      </c>
      <c r="O103" s="12">
        <f t="shared" si="42"/>
        <v>0.21061193269258016</v>
      </c>
      <c r="P103" s="41"/>
      <c r="Q103" s="12">
        <f t="shared" si="43"/>
        <v>0.15901157943446209</v>
      </c>
      <c r="R103" s="12">
        <f t="shared" si="43"/>
        <v>0.25278309581524955</v>
      </c>
      <c r="S103" s="41"/>
      <c r="T103" s="12">
        <f t="shared" si="44"/>
        <v>0.1738617208292072</v>
      </c>
      <c r="U103" s="12">
        <f t="shared" si="44"/>
        <v>0.20589678753604168</v>
      </c>
      <c r="V103" s="41"/>
      <c r="W103" s="12">
        <f t="shared" si="45"/>
        <v>0.22178792820950335</v>
      </c>
      <c r="X103" s="12">
        <f t="shared" si="45"/>
        <v>0.22663586627759844</v>
      </c>
      <c r="Y103" s="41"/>
      <c r="Z103" s="12">
        <f t="shared" si="46"/>
        <v>0.21995627444265656</v>
      </c>
      <c r="AA103" s="12">
        <f t="shared" si="46"/>
        <v>0.3058629760140068</v>
      </c>
      <c r="AB103" s="41"/>
      <c r="AC103" s="12">
        <f t="shared" si="47"/>
        <v>0.23225290451280814</v>
      </c>
      <c r="AD103" s="12" t="e">
        <f t="shared" si="47"/>
        <v>#DIV/0!</v>
      </c>
      <c r="AE103" s="41"/>
      <c r="AF103" s="12">
        <f t="shared" si="48"/>
        <v>0.26231685306716296</v>
      </c>
      <c r="AG103" s="12" t="e">
        <f t="shared" si="48"/>
        <v>#DIV/0!</v>
      </c>
      <c r="AH103" s="41"/>
      <c r="AI103" s="12">
        <f t="shared" si="49"/>
        <v>0.28937654081299224</v>
      </c>
      <c r="AJ103" s="12" t="e">
        <f t="shared" si="49"/>
        <v>#DIV/0!</v>
      </c>
      <c r="AK103" s="41"/>
      <c r="AL103" s="15"/>
      <c r="AM103" s="22">
        <f t="shared" ref="AM103:AM109" si="52">AP103-AO103</f>
        <v>8.5906701571350247E-2</v>
      </c>
      <c r="AO103" s="44">
        <f t="shared" si="50"/>
        <v>0.21995627444265656</v>
      </c>
      <c r="AP103" s="44">
        <f t="shared" si="50"/>
        <v>0.3058629760140068</v>
      </c>
    </row>
    <row r="104" spans="1:42" s="13" customFormat="1" ht="15.5">
      <c r="A104" s="26" t="s">
        <v>12</v>
      </c>
      <c r="B104" s="12">
        <f t="shared" si="51"/>
        <v>0.2121834864853428</v>
      </c>
      <c r="C104" s="12">
        <f t="shared" si="51"/>
        <v>0.12594003965713679</v>
      </c>
      <c r="D104" s="41"/>
      <c r="E104" s="12">
        <f t="shared" si="39"/>
        <v>0.16806946966729713</v>
      </c>
      <c r="F104" s="12">
        <f t="shared" si="39"/>
        <v>0.11524531847640959</v>
      </c>
      <c r="G104" s="41"/>
      <c r="H104" s="12">
        <f t="shared" si="40"/>
        <v>0.14881155685169872</v>
      </c>
      <c r="I104" s="12">
        <f t="shared" si="40"/>
        <v>0.1166810914703761</v>
      </c>
      <c r="J104" s="41"/>
      <c r="K104" s="12">
        <f t="shared" si="41"/>
        <v>0.15814183146860411</v>
      </c>
      <c r="L104" s="12">
        <f t="shared" si="41"/>
        <v>0.11199310868116</v>
      </c>
      <c r="M104" s="41"/>
      <c r="N104" s="12">
        <f t="shared" si="42"/>
        <v>0.12598396706091572</v>
      </c>
      <c r="O104" s="12">
        <f t="shared" si="42"/>
        <v>0.16403092539499006</v>
      </c>
      <c r="P104" s="41"/>
      <c r="Q104" s="12">
        <f t="shared" si="43"/>
        <v>0.12983350945440905</v>
      </c>
      <c r="R104" s="12">
        <f t="shared" si="43"/>
        <v>0.14093870492676799</v>
      </c>
      <c r="S104" s="41"/>
      <c r="T104" s="12">
        <f t="shared" si="44"/>
        <v>0.11122030360381117</v>
      </c>
      <c r="U104" s="12">
        <f t="shared" si="44"/>
        <v>0.15525371266637558</v>
      </c>
      <c r="V104" s="41"/>
      <c r="W104" s="12">
        <f t="shared" si="45"/>
        <v>0.1345074655314257</v>
      </c>
      <c r="X104" s="12">
        <f t="shared" si="45"/>
        <v>0.13022858460848702</v>
      </c>
      <c r="Y104" s="41"/>
      <c r="Z104" s="12">
        <f t="shared" si="46"/>
        <v>0.15074612288906777</v>
      </c>
      <c r="AA104" s="12">
        <f t="shared" si="46"/>
        <v>0.12970397925838223</v>
      </c>
      <c r="AB104" s="41"/>
      <c r="AC104" s="12">
        <f t="shared" si="47"/>
        <v>0.12879619171678383</v>
      </c>
      <c r="AD104" s="12" t="e">
        <f t="shared" si="47"/>
        <v>#DIV/0!</v>
      </c>
      <c r="AE104" s="41"/>
      <c r="AF104" s="12">
        <f t="shared" si="48"/>
        <v>0.10573273626595739</v>
      </c>
      <c r="AG104" s="12" t="e">
        <f t="shared" si="48"/>
        <v>#DIV/0!</v>
      </c>
      <c r="AH104" s="41"/>
      <c r="AI104" s="12">
        <f t="shared" si="49"/>
        <v>0.15220687318822884</v>
      </c>
      <c r="AJ104" s="12" t="e">
        <f t="shared" si="49"/>
        <v>#DIV/0!</v>
      </c>
      <c r="AK104" s="41"/>
      <c r="AL104" s="15"/>
      <c r="AM104" s="22">
        <f t="shared" si="52"/>
        <v>-2.1042143630685545E-2</v>
      </c>
      <c r="AO104" s="44">
        <f t="shared" si="50"/>
        <v>0.15074612288906777</v>
      </c>
      <c r="AP104" s="44">
        <f t="shared" si="50"/>
        <v>0.12970397925838223</v>
      </c>
    </row>
    <row r="105" spans="1:42" s="13" customFormat="1" ht="15.5">
      <c r="A105" s="26" t="s">
        <v>13</v>
      </c>
      <c r="B105" s="12">
        <f t="shared" si="51"/>
        <v>0.10800073214357817</v>
      </c>
      <c r="C105" s="12">
        <f t="shared" si="51"/>
        <v>9.7547816636564311E-2</v>
      </c>
      <c r="D105" s="41"/>
      <c r="E105" s="12">
        <f t="shared" si="39"/>
        <v>0.11696912024267068</v>
      </c>
      <c r="F105" s="12">
        <f t="shared" si="39"/>
        <v>0.15021617619637095</v>
      </c>
      <c r="G105" s="41"/>
      <c r="H105" s="12">
        <f t="shared" si="40"/>
        <v>0.11750846920471618</v>
      </c>
      <c r="I105" s="12">
        <f t="shared" si="40"/>
        <v>0.18039572103820972</v>
      </c>
      <c r="J105" s="41"/>
      <c r="K105" s="12">
        <f t="shared" si="41"/>
        <v>0.11628009593283263</v>
      </c>
      <c r="L105" s="12">
        <f t="shared" si="41"/>
        <v>0.16636941663642257</v>
      </c>
      <c r="M105" s="41"/>
      <c r="N105" s="12">
        <f t="shared" si="42"/>
        <v>0.11246021277251646</v>
      </c>
      <c r="O105" s="12">
        <f t="shared" si="42"/>
        <v>0.13622122251707583</v>
      </c>
      <c r="P105" s="41"/>
      <c r="Q105" s="12">
        <f t="shared" si="43"/>
        <v>0.11423772415900318</v>
      </c>
      <c r="R105" s="12">
        <f t="shared" si="43"/>
        <v>0.20291445470279609</v>
      </c>
      <c r="S105" s="41"/>
      <c r="T105" s="12">
        <f t="shared" si="44"/>
        <v>0.10015840063717105</v>
      </c>
      <c r="U105" s="12">
        <f t="shared" si="44"/>
        <v>0.10242962014276953</v>
      </c>
      <c r="V105" s="41"/>
      <c r="W105" s="12">
        <f t="shared" si="45"/>
        <v>0.10409886274223173</v>
      </c>
      <c r="X105" s="12">
        <f t="shared" si="45"/>
        <v>0.11792635899204842</v>
      </c>
      <c r="Y105" s="41"/>
      <c r="Z105" s="12">
        <f t="shared" si="46"/>
        <v>9.7206343708260645E-2</v>
      </c>
      <c r="AA105" s="12">
        <f t="shared" si="46"/>
        <v>0.1479406813906097</v>
      </c>
      <c r="AB105" s="41"/>
      <c r="AC105" s="12">
        <f t="shared" si="47"/>
        <v>8.8429862005887733E-2</v>
      </c>
      <c r="AD105" s="12" t="e">
        <f t="shared" si="47"/>
        <v>#DIV/0!</v>
      </c>
      <c r="AE105" s="41"/>
      <c r="AF105" s="12">
        <f t="shared" si="48"/>
        <v>8.6507532950247726E-2</v>
      </c>
      <c r="AG105" s="12" t="e">
        <f t="shared" si="48"/>
        <v>#DIV/0!</v>
      </c>
      <c r="AH105" s="41"/>
      <c r="AI105" s="12">
        <f t="shared" si="49"/>
        <v>8.9791790291956636E-2</v>
      </c>
      <c r="AJ105" s="12" t="e">
        <f t="shared" si="49"/>
        <v>#DIV/0!</v>
      </c>
      <c r="AK105" s="41"/>
      <c r="AL105" s="15"/>
      <c r="AM105" s="22">
        <f t="shared" si="52"/>
        <v>5.0734337682349057E-2</v>
      </c>
      <c r="AO105" s="44">
        <f t="shared" si="50"/>
        <v>9.7206343708260645E-2</v>
      </c>
      <c r="AP105" s="44">
        <f t="shared" si="50"/>
        <v>0.1479406813906097</v>
      </c>
    </row>
    <row r="106" spans="1:42" s="13" customFormat="1" ht="15.5">
      <c r="A106" s="26" t="s">
        <v>14</v>
      </c>
      <c r="B106" s="12">
        <f t="shared" si="51"/>
        <v>0.13176997245294103</v>
      </c>
      <c r="C106" s="12">
        <f t="shared" si="51"/>
        <v>0.15941370849822639</v>
      </c>
      <c r="D106" s="41"/>
      <c r="E106" s="12">
        <f t="shared" si="39"/>
        <v>0.12564043240756867</v>
      </c>
      <c r="F106" s="12">
        <f t="shared" si="39"/>
        <v>0.15473414994177159</v>
      </c>
      <c r="G106" s="41"/>
      <c r="H106" s="12">
        <f t="shared" si="40"/>
        <v>0.12478083629530128</v>
      </c>
      <c r="I106" s="12">
        <f t="shared" si="40"/>
        <v>0.1155741441642832</v>
      </c>
      <c r="J106" s="41"/>
      <c r="K106" s="12">
        <f t="shared" si="41"/>
        <v>0.17337900983429866</v>
      </c>
      <c r="L106" s="12">
        <f t="shared" si="41"/>
        <v>0.21199072528904184</v>
      </c>
      <c r="M106" s="41"/>
      <c r="N106" s="12">
        <f t="shared" si="42"/>
        <v>0.15285296909580789</v>
      </c>
      <c r="O106" s="12">
        <f t="shared" si="42"/>
        <v>0.2171559083730939</v>
      </c>
      <c r="P106" s="41"/>
      <c r="Q106" s="12">
        <f t="shared" si="43"/>
        <v>0.17885904687720178</v>
      </c>
      <c r="R106" s="12">
        <f t="shared" si="43"/>
        <v>0.20329399360488648</v>
      </c>
      <c r="S106" s="41"/>
      <c r="T106" s="12">
        <f t="shared" si="44"/>
        <v>0.144936430722095</v>
      </c>
      <c r="U106" s="12">
        <f t="shared" si="44"/>
        <v>0.15078461513796207</v>
      </c>
      <c r="V106" s="41"/>
      <c r="W106" s="12">
        <f t="shared" si="45"/>
        <v>0.16211793246456055</v>
      </c>
      <c r="X106" s="12">
        <f t="shared" si="45"/>
        <v>0.17416453586165684</v>
      </c>
      <c r="Y106" s="41"/>
      <c r="Z106" s="12">
        <f t="shared" si="46"/>
        <v>0.16175116722310229</v>
      </c>
      <c r="AA106" s="12">
        <f t="shared" si="46"/>
        <v>0.14551813765975335</v>
      </c>
      <c r="AB106" s="41"/>
      <c r="AC106" s="12">
        <f t="shared" si="47"/>
        <v>0.12707330537129874</v>
      </c>
      <c r="AD106" s="12" t="e">
        <f t="shared" si="47"/>
        <v>#DIV/0!</v>
      </c>
      <c r="AE106" s="41"/>
      <c r="AF106" s="12">
        <f t="shared" si="48"/>
        <v>0.14901575740217862</v>
      </c>
      <c r="AG106" s="12" t="e">
        <f t="shared" si="48"/>
        <v>#DIV/0!</v>
      </c>
      <c r="AH106" s="41"/>
      <c r="AI106" s="12">
        <f t="shared" si="49"/>
        <v>0.15467318337199418</v>
      </c>
      <c r="AJ106" s="12" t="e">
        <f t="shared" si="49"/>
        <v>#DIV/0!</v>
      </c>
      <c r="AK106" s="41"/>
      <c r="AL106" s="15"/>
      <c r="AM106" s="22">
        <f t="shared" si="52"/>
        <v>-1.6233029563348933E-2</v>
      </c>
      <c r="AO106" s="44">
        <f t="shared" si="50"/>
        <v>0.16175116722310229</v>
      </c>
      <c r="AP106" s="44">
        <f t="shared" si="50"/>
        <v>0.14551813765975335</v>
      </c>
    </row>
    <row r="107" spans="1:42" s="13" customFormat="1" ht="15.5">
      <c r="A107" s="26" t="s">
        <v>15</v>
      </c>
      <c r="B107" s="12">
        <f t="shared" si="51"/>
        <v>7.0275257587398596E-2</v>
      </c>
      <c r="C107" s="12">
        <f t="shared" si="51"/>
        <v>5.7864201241497312E-2</v>
      </c>
      <c r="D107" s="41"/>
      <c r="E107" s="12">
        <f t="shared" si="39"/>
        <v>6.2446907553784042E-2</v>
      </c>
      <c r="F107" s="12">
        <f t="shared" si="39"/>
        <v>7.0848270493724094E-2</v>
      </c>
      <c r="G107" s="41"/>
      <c r="H107" s="12">
        <f t="shared" si="40"/>
        <v>5.7265712684540462E-2</v>
      </c>
      <c r="I107" s="12">
        <f t="shared" si="40"/>
        <v>5.698285559457332E-2</v>
      </c>
      <c r="J107" s="41"/>
      <c r="K107" s="12">
        <f t="shared" si="41"/>
        <v>8.5430838592591665E-2</v>
      </c>
      <c r="L107" s="12">
        <f t="shared" si="41"/>
        <v>7.8751119987339246E-2</v>
      </c>
      <c r="M107" s="41"/>
      <c r="N107" s="12">
        <f t="shared" si="42"/>
        <v>6.3290775657378659E-2</v>
      </c>
      <c r="O107" s="12">
        <f t="shared" si="42"/>
        <v>6.5413823682110156E-2</v>
      </c>
      <c r="P107" s="41"/>
      <c r="Q107" s="12">
        <f t="shared" si="43"/>
        <v>5.9669968373542791E-2</v>
      </c>
      <c r="R107" s="12">
        <f t="shared" si="43"/>
        <v>5.1946056311783E-2</v>
      </c>
      <c r="S107" s="41"/>
      <c r="T107" s="12">
        <f t="shared" si="44"/>
        <v>7.1576922328939016E-2</v>
      </c>
      <c r="U107" s="12">
        <f t="shared" si="44"/>
        <v>5.6386391148093337E-2</v>
      </c>
      <c r="V107" s="41"/>
      <c r="W107" s="12">
        <f t="shared" si="45"/>
        <v>6.0776915500324366E-2</v>
      </c>
      <c r="X107" s="12">
        <f t="shared" si="45"/>
        <v>4.7079448413237364E-2</v>
      </c>
      <c r="Y107" s="41"/>
      <c r="Z107" s="12">
        <f t="shared" si="46"/>
        <v>5.5413023363551452E-2</v>
      </c>
      <c r="AA107" s="12">
        <f t="shared" si="46"/>
        <v>5.0360266509629471E-2</v>
      </c>
      <c r="AB107" s="41"/>
      <c r="AC107" s="12">
        <f t="shared" si="47"/>
        <v>5.8404748721539439E-2</v>
      </c>
      <c r="AD107" s="12" t="e">
        <f t="shared" si="47"/>
        <v>#DIV/0!</v>
      </c>
      <c r="AE107" s="41"/>
      <c r="AF107" s="12">
        <f t="shared" si="48"/>
        <v>5.9095930121078902E-2</v>
      </c>
      <c r="AG107" s="12" t="e">
        <f t="shared" si="48"/>
        <v>#DIV/0!</v>
      </c>
      <c r="AH107" s="41"/>
      <c r="AI107" s="12">
        <f t="shared" si="49"/>
        <v>5.8719622732090151E-2</v>
      </c>
      <c r="AJ107" s="12" t="e">
        <f t="shared" si="49"/>
        <v>#DIV/0!</v>
      </c>
      <c r="AK107" s="41"/>
      <c r="AL107" s="15"/>
      <c r="AM107" s="22">
        <f t="shared" si="52"/>
        <v>-5.0527568539219803E-3</v>
      </c>
      <c r="AO107" s="44">
        <f t="shared" si="50"/>
        <v>5.5413023363551452E-2</v>
      </c>
      <c r="AP107" s="44">
        <f t="shared" si="50"/>
        <v>5.0360266509629471E-2</v>
      </c>
    </row>
    <row r="108" spans="1:42" s="13" customFormat="1" ht="15.5">
      <c r="A108" s="26" t="s">
        <v>16</v>
      </c>
      <c r="B108" s="12">
        <f t="shared" si="51"/>
        <v>5.2888617403506033E-2</v>
      </c>
      <c r="C108" s="12">
        <f t="shared" si="51"/>
        <v>5.2539847456750867E-2</v>
      </c>
      <c r="D108" s="41"/>
      <c r="E108" s="12">
        <f t="shared" si="39"/>
        <v>5.9991830167069972E-2</v>
      </c>
      <c r="F108" s="12">
        <f t="shared" si="39"/>
        <v>5.5849546003195631E-2</v>
      </c>
      <c r="G108" s="41"/>
      <c r="H108" s="12">
        <f t="shared" si="40"/>
        <v>5.4933479237269447E-2</v>
      </c>
      <c r="I108" s="12">
        <f t="shared" si="40"/>
        <v>3.1218620736373607E-2</v>
      </c>
      <c r="J108" s="41"/>
      <c r="K108" s="12">
        <f t="shared" si="41"/>
        <v>5.7281720614629647E-2</v>
      </c>
      <c r="L108" s="12">
        <f t="shared" si="41"/>
        <v>7.8350361546691824E-2</v>
      </c>
      <c r="M108" s="41"/>
      <c r="N108" s="12">
        <f t="shared" si="42"/>
        <v>5.4660957135174174E-2</v>
      </c>
      <c r="O108" s="12">
        <f t="shared" si="42"/>
        <v>6.0702946215600358E-2</v>
      </c>
      <c r="P108" s="41"/>
      <c r="Q108" s="12">
        <f t="shared" si="43"/>
        <v>5.676876744062441E-2</v>
      </c>
      <c r="R108" s="12">
        <f t="shared" si="43"/>
        <v>5.3131482361708157E-2</v>
      </c>
      <c r="S108" s="41"/>
      <c r="T108" s="12">
        <f t="shared" si="44"/>
        <v>5.6449080350583186E-2</v>
      </c>
      <c r="U108" s="12">
        <f t="shared" si="44"/>
        <v>5.6342026409607893E-2</v>
      </c>
      <c r="V108" s="41"/>
      <c r="W108" s="12">
        <f t="shared" si="45"/>
        <v>5.9843888146316138E-2</v>
      </c>
      <c r="X108" s="12">
        <f t="shared" si="45"/>
        <v>5.3332451979612942E-2</v>
      </c>
      <c r="Y108" s="41"/>
      <c r="Z108" s="12">
        <f t="shared" si="46"/>
        <v>5.2316287724250225E-2</v>
      </c>
      <c r="AA108" s="12">
        <f t="shared" si="46"/>
        <v>5.4425458579805901E-2</v>
      </c>
      <c r="AB108" s="41"/>
      <c r="AC108" s="12">
        <f t="shared" si="47"/>
        <v>5.2417777056220437E-2</v>
      </c>
      <c r="AD108" s="12" t="e">
        <f t="shared" si="47"/>
        <v>#DIV/0!</v>
      </c>
      <c r="AE108" s="41"/>
      <c r="AF108" s="12">
        <f t="shared" si="48"/>
        <v>5.2834249019184314E-2</v>
      </c>
      <c r="AG108" s="12" t="e">
        <f t="shared" si="48"/>
        <v>#DIV/0!</v>
      </c>
      <c r="AH108" s="41"/>
      <c r="AI108" s="12">
        <f t="shared" si="49"/>
        <v>6.0704557651443253E-2</v>
      </c>
      <c r="AJ108" s="12" t="e">
        <f t="shared" si="49"/>
        <v>#DIV/0!</v>
      </c>
      <c r="AK108" s="41"/>
      <c r="AL108" s="15"/>
      <c r="AM108" s="22">
        <f t="shared" si="52"/>
        <v>2.1091708555556754E-3</v>
      </c>
      <c r="AO108" s="44">
        <f t="shared" si="50"/>
        <v>5.2316287724250225E-2</v>
      </c>
      <c r="AP108" s="44">
        <f t="shared" si="50"/>
        <v>5.4425458579805901E-2</v>
      </c>
    </row>
    <row r="109" spans="1:42" s="13" customFormat="1" ht="15.5">
      <c r="A109" s="26" t="s">
        <v>17</v>
      </c>
      <c r="B109" s="12">
        <f t="shared" si="51"/>
        <v>4.7341596115737801E-2</v>
      </c>
      <c r="C109" s="12">
        <f t="shared" si="51"/>
        <v>4.2992754192839738E-2</v>
      </c>
      <c r="D109" s="41"/>
      <c r="E109" s="12">
        <f t="shared" si="39"/>
        <v>5.1317486443058266E-2</v>
      </c>
      <c r="F109" s="12">
        <f t="shared" si="39"/>
        <v>5.0952793326230414E-2</v>
      </c>
      <c r="G109" s="41"/>
      <c r="H109" s="12">
        <f t="shared" si="40"/>
        <v>4.6803669821331328E-2</v>
      </c>
      <c r="I109" s="12">
        <f t="shared" si="40"/>
        <v>4.5293525682073225E-2</v>
      </c>
      <c r="J109" s="41"/>
      <c r="K109" s="12">
        <f t="shared" si="41"/>
        <v>5.0923052657557207E-2</v>
      </c>
      <c r="L109" s="12">
        <f t="shared" si="41"/>
        <v>4.5261815677099151E-2</v>
      </c>
      <c r="M109" s="41"/>
      <c r="N109" s="12">
        <f t="shared" si="42"/>
        <v>4.7988625841059687E-2</v>
      </c>
      <c r="O109" s="12">
        <f t="shared" si="42"/>
        <v>4.4304909903087678E-2</v>
      </c>
      <c r="P109" s="41"/>
      <c r="Q109" s="12">
        <f t="shared" si="43"/>
        <v>4.8141943509664949E-2</v>
      </c>
      <c r="R109" s="12">
        <f t="shared" si="43"/>
        <v>4.1921740016115358E-2</v>
      </c>
      <c r="S109" s="41"/>
      <c r="T109" s="12">
        <f t="shared" si="44"/>
        <v>4.7616691155392819E-2</v>
      </c>
      <c r="U109" s="12">
        <f t="shared" si="44"/>
        <v>4.581540946158718E-2</v>
      </c>
      <c r="V109" s="41"/>
      <c r="W109" s="12">
        <f t="shared" si="45"/>
        <v>5.0894444389506494E-2</v>
      </c>
      <c r="X109" s="12">
        <f t="shared" si="45"/>
        <v>6.2977762130625517E-2</v>
      </c>
      <c r="Y109" s="41"/>
      <c r="Z109" s="12">
        <f t="shared" si="46"/>
        <v>4.5902337873307886E-2</v>
      </c>
      <c r="AA109" s="12">
        <f t="shared" si="46"/>
        <v>4.4010085381993816E-2</v>
      </c>
      <c r="AB109" s="41"/>
      <c r="AC109" s="12">
        <f t="shared" si="47"/>
        <v>4.6047110771216815E-2</v>
      </c>
      <c r="AD109" s="12" t="e">
        <f t="shared" si="47"/>
        <v>#DIV/0!</v>
      </c>
      <c r="AE109" s="41"/>
      <c r="AF109" s="12">
        <f t="shared" si="48"/>
        <v>4.6609234823169234E-2</v>
      </c>
      <c r="AG109" s="12" t="e">
        <f t="shared" si="48"/>
        <v>#DIV/0!</v>
      </c>
      <c r="AH109" s="41"/>
      <c r="AI109" s="12">
        <f t="shared" si="49"/>
        <v>-4.9784898284990955E-2</v>
      </c>
      <c r="AJ109" s="12" t="e">
        <f t="shared" si="49"/>
        <v>#DIV/0!</v>
      </c>
      <c r="AK109" s="41"/>
      <c r="AL109" s="15"/>
      <c r="AM109" s="22">
        <f t="shared" si="52"/>
        <v>-1.8922524913140698E-3</v>
      </c>
      <c r="AO109" s="44">
        <f t="shared" si="50"/>
        <v>4.5902337873307886E-2</v>
      </c>
      <c r="AP109" s="44">
        <f t="shared" si="50"/>
        <v>4.4010085381993816E-2</v>
      </c>
    </row>
    <row r="110" spans="1:42" s="13" customFormat="1" ht="15.5">
      <c r="A110" s="26"/>
      <c r="B110" s="12"/>
      <c r="C110" s="30"/>
      <c r="D110" s="41"/>
      <c r="E110" s="12"/>
      <c r="F110" s="30"/>
      <c r="G110" s="41"/>
      <c r="H110" s="12"/>
      <c r="I110" s="30"/>
      <c r="J110" s="41"/>
      <c r="K110" s="12"/>
      <c r="L110" s="30"/>
      <c r="M110" s="41"/>
      <c r="N110" s="12"/>
      <c r="O110" s="30"/>
      <c r="P110" s="41"/>
      <c r="Q110" s="12"/>
      <c r="R110" s="30"/>
      <c r="S110" s="41"/>
      <c r="T110" s="12"/>
      <c r="U110" s="30"/>
      <c r="V110" s="41"/>
      <c r="W110" s="12"/>
      <c r="X110" s="30"/>
      <c r="Y110" s="41"/>
      <c r="Z110" s="12"/>
      <c r="AA110" s="30"/>
      <c r="AB110" s="41"/>
      <c r="AC110" s="12"/>
      <c r="AD110" s="30"/>
      <c r="AE110" s="41"/>
      <c r="AF110" s="12"/>
      <c r="AG110" s="30"/>
      <c r="AH110" s="41"/>
      <c r="AI110" s="12"/>
      <c r="AJ110" s="30"/>
      <c r="AK110" s="41"/>
      <c r="AL110" s="15"/>
      <c r="AM110" s="22"/>
      <c r="AO110" s="44"/>
      <c r="AP110" s="44"/>
    </row>
    <row r="111" spans="1:42" s="13" customFormat="1" ht="15.5">
      <c r="A111" s="26"/>
      <c r="B111" s="12"/>
      <c r="C111" s="30"/>
      <c r="D111" s="41"/>
      <c r="E111" s="12"/>
      <c r="F111" s="30"/>
      <c r="G111" s="41"/>
      <c r="H111" s="12"/>
      <c r="I111" s="30"/>
      <c r="J111" s="41"/>
      <c r="K111" s="12"/>
      <c r="L111" s="30"/>
      <c r="M111" s="41"/>
      <c r="N111" s="12"/>
      <c r="O111" s="30"/>
      <c r="P111" s="41"/>
      <c r="Q111" s="12"/>
      <c r="R111" s="30"/>
      <c r="S111" s="41"/>
      <c r="T111" s="12"/>
      <c r="U111" s="30"/>
      <c r="V111" s="41"/>
      <c r="W111" s="12"/>
      <c r="X111" s="30"/>
      <c r="Y111" s="41"/>
      <c r="Z111" s="12"/>
      <c r="AA111" s="30"/>
      <c r="AB111" s="41"/>
      <c r="AC111" s="12"/>
      <c r="AD111" s="30"/>
      <c r="AE111" s="41"/>
      <c r="AF111" s="12"/>
      <c r="AG111" s="30"/>
      <c r="AH111" s="41"/>
      <c r="AI111" s="12"/>
      <c r="AJ111" s="30"/>
      <c r="AK111" s="41"/>
      <c r="AL111" s="15"/>
      <c r="AM111" s="22"/>
      <c r="AO111" s="44"/>
      <c r="AP111" s="44"/>
    </row>
    <row r="112" spans="1:42" s="44" customFormat="1" ht="15.5">
      <c r="A112" s="31" t="s">
        <v>70</v>
      </c>
      <c r="B112" s="32">
        <f>'Bütçe aylık-Eur'!$B$59</f>
        <v>2548341.2745954632</v>
      </c>
      <c r="C112" s="32">
        <f>'gerç aylık-eur'!$B$59</f>
        <v>2571901.4158522584</v>
      </c>
      <c r="D112" s="18"/>
      <c r="E112" s="32">
        <f>'Bütçe aylık-Eur'!$C$59</f>
        <v>2813658.4312663809</v>
      </c>
      <c r="F112" s="32">
        <f>'gerç aylık-eur'!$C$59</f>
        <v>2366634.8269340703</v>
      </c>
      <c r="G112" s="18"/>
      <c r="H112" s="32">
        <f>'Bütçe aylık-Eur'!$D$59</f>
        <v>3397791.6842640084</v>
      </c>
      <c r="I112" s="32">
        <f>'gerç aylık-eur'!$D$59</f>
        <v>2295778.2390922569</v>
      </c>
      <c r="J112" s="18"/>
      <c r="K112" s="32">
        <f>'Bütçe aylık-Eur'!$E$59</f>
        <v>2463292.423423294</v>
      </c>
      <c r="L112" s="32">
        <f>'gerç aylık-eur'!$E$59</f>
        <v>1581626.1372990161</v>
      </c>
      <c r="M112" s="18"/>
      <c r="N112" s="32">
        <f>'Bütçe aylık-Eur'!$F$59</f>
        <v>3406867.5703288093</v>
      </c>
      <c r="O112" s="32">
        <f>'gerç aylık-eur'!$F$59</f>
        <v>2815395.0465514925</v>
      </c>
      <c r="P112" s="18"/>
      <c r="Q112" s="32">
        <f>'Bütçe aylık-Eur'!$G$59</f>
        <v>3028694.7397208293</v>
      </c>
      <c r="R112" s="32">
        <f>'gerç aylık-eur'!$G$59</f>
        <v>1875232.3682388898</v>
      </c>
      <c r="S112" s="18"/>
      <c r="T112" s="32">
        <f>'Bütçe aylık-Eur'!$H$59</f>
        <v>3275757.281614434</v>
      </c>
      <c r="U112" s="32">
        <f>'gerç aylık-eur'!$H$59</f>
        <v>2495742.6544635314</v>
      </c>
      <c r="V112" s="18"/>
      <c r="W112" s="32">
        <f>'Bütçe aylık-Eur'!$I$59</f>
        <v>2011262.5093324555</v>
      </c>
      <c r="X112" s="32">
        <f>'gerç aylık-eur'!$I$59</f>
        <v>1941782.5092458127</v>
      </c>
      <c r="Y112" s="18"/>
      <c r="Z112" s="32">
        <f>'Bütçe aylık-Eur'!$J$59</f>
        <v>4940551.859183114</v>
      </c>
      <c r="AA112" s="32">
        <f>'gerç aylık-eur'!$J$59</f>
        <v>3992887.0742159444</v>
      </c>
      <c r="AB112" s="18"/>
      <c r="AC112" s="32">
        <f>'Bütçe aylık-Eur'!$K$59</f>
        <v>4453100.7637709202</v>
      </c>
      <c r="AD112" s="32">
        <f>'gerç aylık-eur'!$K$59</f>
        <v>0</v>
      </c>
      <c r="AE112" s="18"/>
      <c r="AF112" s="32">
        <f>'Bütçe aylık-Eur'!$L$59</f>
        <v>4350780.3855884606</v>
      </c>
      <c r="AG112" s="32">
        <f>'gerç aylık-eur'!$L$59</f>
        <v>0</v>
      </c>
      <c r="AH112" s="18"/>
      <c r="AI112" s="32">
        <f>'Bütçe aylık-Eur'!$M$59</f>
        <v>3108297.4542533732</v>
      </c>
      <c r="AJ112" s="32">
        <f>'gerç aylık-eur'!$M$59</f>
        <v>0</v>
      </c>
      <c r="AK112" s="18"/>
      <c r="AL112" s="33">
        <f>AP112-AO112</f>
        <v>-947664.78496716963</v>
      </c>
      <c r="AM112" s="34">
        <f>AP112/AO112-1</f>
        <v>-0.19181354876494694</v>
      </c>
      <c r="AO112" s="44">
        <f>IF($A$1=$B$1,B112,IF($A$1=$E$1,E112,IF($A$1=$H$1,H112,IF($A$1=$K$1,K112,IF($A$1=$N$1,N112,IF($A$1=$Q$1,Q112,IF($A$1=$T$1,T112,IF($A$1=$W$1,W112,IF($A$1=$Z$1,Z112,IF($A$1=$AC$1,AC112,IF($A$1=$AF$1,AF112,IF($A$1=$AI$1,AI112))))))))))))</f>
        <v>4940551.859183114</v>
      </c>
      <c r="AP112" s="44">
        <f>IF($A$1=$B$1,C112,IF($A$1=$E$1,F112,IF($A$1=$H$1,I112,IF($A$1=$K$1,L112,IF($A$1=$N$1,O112,IF($A$1=$Q$1,R112,IF($A$1=$T$1,U112,IF($A$1=$W$1,X112,IF($A$1=$Z$1,AA112,IF($A$1=$AC$1,AD112,IF($A$1=$AF$1,AG112,IF($A$1=$AI$1,AJ112))))))))))))</f>
        <v>3992887.0742159444</v>
      </c>
    </row>
    <row r="113" spans="1:42" s="13" customFormat="1" ht="15.5">
      <c r="A113" s="27"/>
      <c r="B113" s="30"/>
      <c r="C113" s="30"/>
      <c r="D113" s="41"/>
      <c r="E113" s="30"/>
      <c r="F113" s="30"/>
      <c r="G113" s="41"/>
      <c r="H113" s="30"/>
      <c r="I113" s="30"/>
      <c r="J113" s="41"/>
      <c r="K113" s="30"/>
      <c r="L113" s="30"/>
      <c r="M113" s="41"/>
      <c r="N113" s="30"/>
      <c r="O113" s="30"/>
      <c r="P113" s="41"/>
      <c r="Q113" s="30"/>
      <c r="R113" s="30"/>
      <c r="S113" s="41"/>
      <c r="T113" s="30"/>
      <c r="U113" s="30"/>
      <c r="V113" s="41"/>
      <c r="W113" s="30"/>
      <c r="X113" s="30"/>
      <c r="Y113" s="41"/>
      <c r="Z113" s="30"/>
      <c r="AA113" s="30"/>
      <c r="AB113" s="41"/>
      <c r="AC113" s="30"/>
      <c r="AD113" s="30"/>
      <c r="AE113" s="41"/>
      <c r="AF113" s="30"/>
      <c r="AG113" s="30"/>
      <c r="AH113" s="41"/>
      <c r="AI113" s="30"/>
      <c r="AJ113" s="30"/>
      <c r="AK113" s="41"/>
      <c r="AL113" s="15"/>
      <c r="AM113" s="22"/>
      <c r="AO113" s="44">
        <f>IF($A$1=$B$1,B113,IF($A$1=$E$1,E113,IF($A$1=$H$1,H113,IF($A$1=$K$1,K113,IF($A$1=$N$1,N113,IF($A$1=$Q$1,Q113,IF($A$1=$T$1,T113,IF($A$1=$W$1,W113,IF($A$1=$Z$1,Z113,IF($A$1=$AC$1,AC113,IF($A$1=$AF$1,AF113,IF($A$1=$AI$1,AI113))))))))))))</f>
        <v>0</v>
      </c>
      <c r="AP113" s="44">
        <f>IF($A$1=$B$1,C113,IF($A$1=$E$1,F113,IF($A$1=$H$1,I113,IF($A$1=$K$1,L113,IF($A$1=$N$1,O113,IF($A$1=$Q$1,R113,IF($A$1=$T$1,U113,IF($A$1=$W$1,X113,IF($A$1=$Z$1,AA113,IF($A$1=$AC$1,AD113,IF($A$1=$AF$1,AG113,IF($A$1=$AI$1,AJ113))))))))))))</f>
        <v>0</v>
      </c>
    </row>
    <row r="114" spans="1:42" s="49" customFormat="1" ht="17">
      <c r="A114" s="47" t="s">
        <v>71</v>
      </c>
      <c r="B114" s="413"/>
      <c r="C114" s="413"/>
      <c r="D114" s="413"/>
      <c r="E114" s="413"/>
      <c r="F114" s="413"/>
      <c r="G114" s="413"/>
      <c r="H114" s="413"/>
      <c r="I114" s="413"/>
      <c r="J114" s="413"/>
      <c r="K114" s="413"/>
      <c r="L114" s="413"/>
      <c r="M114" s="413"/>
      <c r="N114" s="413"/>
      <c r="O114" s="413"/>
      <c r="P114" s="413"/>
      <c r="Q114" s="413"/>
      <c r="R114" s="413"/>
      <c r="S114" s="413"/>
      <c r="T114" s="413"/>
      <c r="U114" s="413"/>
      <c r="V114" s="413"/>
      <c r="W114" s="413"/>
      <c r="X114" s="413"/>
      <c r="Y114" s="413"/>
      <c r="Z114" s="413"/>
      <c r="AA114" s="413"/>
      <c r="AB114" s="413"/>
      <c r="AC114" s="413"/>
      <c r="AD114" s="413"/>
      <c r="AE114" s="413"/>
      <c r="AF114" s="413"/>
      <c r="AG114" s="413"/>
      <c r="AH114" s="413"/>
      <c r="AI114" s="413"/>
      <c r="AJ114" s="413"/>
      <c r="AK114" s="413"/>
      <c r="AL114" s="413"/>
      <c r="AM114" s="48"/>
    </row>
    <row r="115" spans="1:42" ht="15.5">
      <c r="A115" s="26" t="s">
        <v>10</v>
      </c>
      <c r="B115" s="7">
        <f>'Bütçe aylık-Eur'!$B$60</f>
        <v>336241.53342495038</v>
      </c>
      <c r="C115" s="7">
        <f>'gerç aylık-eur'!$B$60</f>
        <v>375501.84210533259</v>
      </c>
      <c r="D115" s="7"/>
      <c r="E115" s="7">
        <f>'Bütçe aylık-Eur'!$C$60</f>
        <v>363928.4325975239</v>
      </c>
      <c r="F115" s="7">
        <f>'gerç aylık-eur'!$C$60</f>
        <v>310306.66841035493</v>
      </c>
      <c r="G115" s="7"/>
      <c r="H115" s="7">
        <f>'Bütçe aylık-Eur'!$D$60</f>
        <v>336214.88000470726</v>
      </c>
      <c r="I115" s="7">
        <f>'gerç aylık-eur'!$D$60</f>
        <v>339284.90887573193</v>
      </c>
      <c r="J115" s="7"/>
      <c r="K115" s="7">
        <f>'Bütçe aylık-Eur'!$E$60</f>
        <v>337052.16709797439</v>
      </c>
      <c r="L115" s="7">
        <f>'gerç aylık-eur'!$E$60</f>
        <v>133994.91030782578</v>
      </c>
      <c r="M115" s="7"/>
      <c r="N115" s="7">
        <f>'Bütçe aylık-Eur'!$F$60</f>
        <v>350825.77948461636</v>
      </c>
      <c r="O115" s="7">
        <f>'gerç aylık-eur'!$F$60</f>
        <v>423563.46093090181</v>
      </c>
      <c r="P115" s="7"/>
      <c r="Q115" s="7">
        <f>'Bütçe aylık-Eur'!$G$60</f>
        <v>357907.67429177579</v>
      </c>
      <c r="R115" s="7">
        <f>'gerç aylık-eur'!$G$60</f>
        <v>297600.14447055216</v>
      </c>
      <c r="S115" s="7"/>
      <c r="T115" s="7">
        <f>'Bütçe aylık-Eur'!$H$60</f>
        <v>390573.51906491304</v>
      </c>
      <c r="U115" s="7">
        <f>'gerç aylık-eur'!$H$60</f>
        <v>347989.04265466321</v>
      </c>
      <c r="V115" s="7"/>
      <c r="W115" s="7">
        <f>'Bütçe aylık-Eur'!$I$60</f>
        <v>323470.31076872937</v>
      </c>
      <c r="X115" s="7">
        <f>'gerç aylık-eur'!$I$60</f>
        <v>290820.84908274299</v>
      </c>
      <c r="Y115" s="7"/>
      <c r="Z115" s="7">
        <f>'Bütçe aylık-Eur'!$J$60</f>
        <v>482341.42275855452</v>
      </c>
      <c r="AA115" s="7">
        <f>'gerç aylık-eur'!$J$60</f>
        <v>478566.27266981738</v>
      </c>
      <c r="AB115" s="7"/>
      <c r="AC115" s="7">
        <f>'Bütçe aylık-Eur'!$K$60</f>
        <v>436891.03356757999</v>
      </c>
      <c r="AD115" s="7">
        <f>'gerç aylık-eur'!$K$60</f>
        <v>0</v>
      </c>
      <c r="AE115" s="7"/>
      <c r="AF115" s="7">
        <f>'Bütçe aylık-Eur'!$L$60</f>
        <v>386303.10456657986</v>
      </c>
      <c r="AG115" s="7">
        <f>'gerç aylık-eur'!$L$60</f>
        <v>0</v>
      </c>
      <c r="AH115" s="7"/>
      <c r="AI115" s="7">
        <f>'Bütçe aylık-Eur'!$M$60</f>
        <v>-215283.85374578254</v>
      </c>
      <c r="AJ115" s="7">
        <f>'gerç aylık-eur'!$M$60</f>
        <v>0</v>
      </c>
      <c r="AK115" s="7"/>
      <c r="AL115" s="21">
        <f t="shared" ref="AL115:AL122" si="53">AP115-AO115</f>
        <v>-3775.1500887371367</v>
      </c>
      <c r="AM115" s="22">
        <f t="shared" ref="AM115:AM122" si="54">AP115/AO115-1</f>
        <v>-7.8267175710240444E-3</v>
      </c>
      <c r="AO115" s="44">
        <f t="shared" ref="AO115:AP123" si="55">IF($A$1=$B$1,B115,IF($A$1=$E$1,E115,IF($A$1=$H$1,H115,IF($A$1=$K$1,K115,IF($A$1=$N$1,N115,IF($A$1=$Q$1,Q115,IF($A$1=$T$1,T115,IF($A$1=$W$1,W115,IF($A$1=$Z$1,Z115,IF($A$1=$AC$1,AC115,IF($A$1=$AF$1,AF115,IF($A$1=$AI$1,AI115))))))))))))</f>
        <v>482341.42275855452</v>
      </c>
      <c r="AP115" s="44">
        <f t="shared" si="55"/>
        <v>478566.27266981738</v>
      </c>
    </row>
    <row r="116" spans="1:42" ht="15.5">
      <c r="A116" s="26" t="s">
        <v>11</v>
      </c>
      <c r="B116" s="7">
        <f>'Bütçe aylık-Eur'!$B$61</f>
        <v>-29542.151002105951</v>
      </c>
      <c r="C116" s="7">
        <f>'gerç aylık-eur'!$B$61</f>
        <v>-11554.723709327431</v>
      </c>
      <c r="D116" s="7"/>
      <c r="E116" s="7">
        <f>'Bütçe aylık-Eur'!$C$61</f>
        <v>83457.711443121603</v>
      </c>
      <c r="F116" s="7">
        <f>'gerç aylık-eur'!$C$61</f>
        <v>38402.939428871294</v>
      </c>
      <c r="G116" s="7"/>
      <c r="H116" s="7">
        <f>'Bütçe aylık-Eur'!$D$61</f>
        <v>103073.45607276518</v>
      </c>
      <c r="I116" s="7">
        <f>'gerç aylık-eur'!$D$61</f>
        <v>20517.967394069332</v>
      </c>
      <c r="J116" s="7"/>
      <c r="K116" s="7">
        <f>'Bütçe aylık-Eur'!$E$61</f>
        <v>170781.94949243843</v>
      </c>
      <c r="L116" s="7">
        <f>'gerç aylık-eur'!$E$61</f>
        <v>-19512.065322345792</v>
      </c>
      <c r="M116" s="7"/>
      <c r="N116" s="7">
        <f>'Bütçe aylık-Eur'!$F$61</f>
        <v>212578.99600714509</v>
      </c>
      <c r="O116" s="7">
        <f>'gerç aylık-eur'!$F$61</f>
        <v>28290.326994562201</v>
      </c>
      <c r="P116" s="7"/>
      <c r="Q116" s="7">
        <f>'Bütçe aylık-Eur'!$G$61</f>
        <v>192807.70341760069</v>
      </c>
      <c r="R116" s="7">
        <f>'gerç aylık-eur'!$G$61</f>
        <v>21275.110084128537</v>
      </c>
      <c r="S116" s="7"/>
      <c r="T116" s="7">
        <f>'Bütçe aylık-Eur'!$H$61</f>
        <v>145718.34553392799</v>
      </c>
      <c r="U116" s="7">
        <f>'gerç aylık-eur'!$H$61</f>
        <v>50009.422205250565</v>
      </c>
      <c r="V116" s="7"/>
      <c r="W116" s="7">
        <f>'Bütçe aylık-Eur'!$I$61</f>
        <v>34312.910452836055</v>
      </c>
      <c r="X116" s="7">
        <f>'gerç aylık-eur'!$I$61</f>
        <v>14937.166795204961</v>
      </c>
      <c r="Y116" s="7"/>
      <c r="Z116" s="7">
        <f>'Bütçe aylık-Eur'!$J$61</f>
        <v>63323.927027588092</v>
      </c>
      <c r="AA116" s="7">
        <f>'gerç aylık-eur'!$J$61</f>
        <v>-34991.258031650097</v>
      </c>
      <c r="AB116" s="7"/>
      <c r="AC116" s="7">
        <f>'Bütçe aylık-Eur'!$K$61</f>
        <v>21178.758956305053</v>
      </c>
      <c r="AD116" s="7">
        <f>'gerç aylık-eur'!$K$61</f>
        <v>0</v>
      </c>
      <c r="AE116" s="7"/>
      <c r="AF116" s="7">
        <f>'Bütçe aylık-Eur'!$L$61</f>
        <v>-6278.7083024217945</v>
      </c>
      <c r="AG116" s="7">
        <f>'gerç aylık-eur'!$L$61</f>
        <v>0</v>
      </c>
      <c r="AH116" s="7"/>
      <c r="AI116" s="7">
        <f>'Bütçe aylık-Eur'!$M$61</f>
        <v>-45621.218647208741</v>
      </c>
      <c r="AJ116" s="7">
        <f>'gerç aylık-eur'!$M$61</f>
        <v>0</v>
      </c>
      <c r="AK116" s="7"/>
      <c r="AL116" s="21">
        <f t="shared" si="53"/>
        <v>-98315.185059238196</v>
      </c>
      <c r="AM116" s="22">
        <f t="shared" si="54"/>
        <v>-1.5525756167397136</v>
      </c>
      <c r="AO116" s="44">
        <f t="shared" si="55"/>
        <v>63323.927027588092</v>
      </c>
      <c r="AP116" s="44">
        <f t="shared" si="55"/>
        <v>-34991.258031650097</v>
      </c>
    </row>
    <row r="117" spans="1:42" ht="15.5">
      <c r="A117" s="26" t="s">
        <v>12</v>
      </c>
      <c r="B117" s="7">
        <f>'Bütçe aylık-Eur'!$B$62</f>
        <v>-44855.99578873664</v>
      </c>
      <c r="C117" s="7">
        <f>'gerç aylık-eur'!$B$62</f>
        <v>33846.994633482842</v>
      </c>
      <c r="D117" s="7"/>
      <c r="E117" s="7">
        <f>'Bütçe aylık-Eur'!$C$62</f>
        <v>1757.8422154761149</v>
      </c>
      <c r="F117" s="7">
        <f>'gerç aylık-eur'!$C$62</f>
        <v>31501.291384165859</v>
      </c>
      <c r="G117" s="7"/>
      <c r="H117" s="7">
        <f>'Bütçe aylık-Eur'!$D$62</f>
        <v>52378.441270041207</v>
      </c>
      <c r="I117" s="7">
        <f>'gerç aylık-eur'!$D$62</f>
        <v>8643.2746615118231</v>
      </c>
      <c r="J117" s="7"/>
      <c r="K117" s="7">
        <f>'Bütçe aylık-Eur'!$E$62</f>
        <v>48931.766946261319</v>
      </c>
      <c r="L117" s="7">
        <f>'gerç aylık-eur'!$E$62</f>
        <v>22120.219967320736</v>
      </c>
      <c r="M117" s="7"/>
      <c r="N117" s="7">
        <f>'Bütçe aylık-Eur'!$F$62</f>
        <v>103735.28681390609</v>
      </c>
      <c r="O117" s="7">
        <f>'gerç aylık-eur'!$F$62</f>
        <v>32794.992508099502</v>
      </c>
      <c r="P117" s="7"/>
      <c r="Q117" s="7">
        <f>'Bütçe aylık-Eur'!$G$62</f>
        <v>103371.38718331384</v>
      </c>
      <c r="R117" s="7">
        <f>'gerç aylık-eur'!$G$62</f>
        <v>15761.507287316621</v>
      </c>
      <c r="S117" s="7"/>
      <c r="T117" s="7">
        <f>'Bütçe aylık-Eur'!$H$62</f>
        <v>125800.40201046815</v>
      </c>
      <c r="U117" s="7">
        <f>'gerç aylık-eur'!$H$62</f>
        <v>28534.43133300569</v>
      </c>
      <c r="V117" s="7"/>
      <c r="W117" s="7">
        <f>'Bütçe aylık-Eur'!$I$62</f>
        <v>97797.67087055977</v>
      </c>
      <c r="X117" s="7">
        <f>'gerç aylık-eur'!$I$62</f>
        <v>22074.266532685942</v>
      </c>
      <c r="Y117" s="7"/>
      <c r="Z117" s="7">
        <f>'Bütçe aylık-Eur'!$J$62</f>
        <v>74847.697008470146</v>
      </c>
      <c r="AA117" s="7">
        <f>'gerç aylık-eur'!$J$62</f>
        <v>54811.770400461901</v>
      </c>
      <c r="AB117" s="7"/>
      <c r="AC117" s="7">
        <f>'Bütçe aylık-Eur'!$K$62</f>
        <v>94242.594001122125</v>
      </c>
      <c r="AD117" s="7">
        <f>'gerç aylık-eur'!$K$62</f>
        <v>0</v>
      </c>
      <c r="AE117" s="7"/>
      <c r="AF117" s="7">
        <f>'Bütçe aylık-Eur'!$L$62</f>
        <v>112652.12575481535</v>
      </c>
      <c r="AG117" s="7">
        <f>'gerç aylık-eur'!$L$62</f>
        <v>0</v>
      </c>
      <c r="AH117" s="7"/>
      <c r="AI117" s="7">
        <f>'Bütçe aylık-Eur'!$M$62</f>
        <v>47137.958325639294</v>
      </c>
      <c r="AJ117" s="7">
        <f>'gerç aylık-eur'!$M$62</f>
        <v>0</v>
      </c>
      <c r="AK117" s="7"/>
      <c r="AL117" s="21">
        <f t="shared" si="53"/>
        <v>-20035.926608008245</v>
      </c>
      <c r="AM117" s="22">
        <f t="shared" si="54"/>
        <v>-0.26768928649522616</v>
      </c>
      <c r="AO117" s="44">
        <f t="shared" si="55"/>
        <v>74847.697008470146</v>
      </c>
      <c r="AP117" s="44">
        <f t="shared" si="55"/>
        <v>54811.770400461901</v>
      </c>
    </row>
    <row r="118" spans="1:42" ht="15.5">
      <c r="A118" s="26" t="s">
        <v>13</v>
      </c>
      <c r="B118" s="7">
        <f>'Bütçe aylık-Eur'!$B$63</f>
        <v>1410939.0130362373</v>
      </c>
      <c r="C118" s="7">
        <f>'gerç aylık-eur'!$B$63</f>
        <v>1100435.066833009</v>
      </c>
      <c r="D118" s="7"/>
      <c r="E118" s="7">
        <f>'Bütçe aylık-Eur'!$C$63</f>
        <v>1150467.991887362</v>
      </c>
      <c r="F118" s="7">
        <f>'gerç aylık-eur'!$C$63</f>
        <v>623144.1283010802</v>
      </c>
      <c r="G118" s="7"/>
      <c r="H118" s="7">
        <f>'Bütçe aylık-Eur'!$D$63</f>
        <v>1289135.2524217039</v>
      </c>
      <c r="I118" s="7">
        <f>'gerç aylık-eur'!$D$63</f>
        <v>-545129.68146297906</v>
      </c>
      <c r="J118" s="7"/>
      <c r="K118" s="7">
        <f>'Bütçe aylık-Eur'!$E$63</f>
        <v>1112248.9988491416</v>
      </c>
      <c r="L118" s="7">
        <f>'gerç aylık-eur'!$E$63</f>
        <v>-707341.21331822535</v>
      </c>
      <c r="M118" s="7"/>
      <c r="N118" s="7">
        <f>'Bütçe aylık-Eur'!$F$63</f>
        <v>1291185.3335595455</v>
      </c>
      <c r="O118" s="7">
        <f>'gerç aylık-eur'!$F$63</f>
        <v>-193990.87817949359</v>
      </c>
      <c r="P118" s="7"/>
      <c r="Q118" s="7">
        <f>'Bütçe aylık-Eur'!$G$63</f>
        <v>1554935.0959699128</v>
      </c>
      <c r="R118" s="7">
        <f>'gerç aylık-eur'!$G$63</f>
        <v>-880247.42973234504</v>
      </c>
      <c r="S118" s="7"/>
      <c r="T118" s="7">
        <f>'Bütçe aylık-Eur'!$H$63</f>
        <v>2001484.5697124139</v>
      </c>
      <c r="U118" s="7">
        <f>'gerç aylık-eur'!$H$63</f>
        <v>-444209.46499681508</v>
      </c>
      <c r="V118" s="7"/>
      <c r="W118" s="7">
        <f>'Bütçe aylık-Eur'!$I$63</f>
        <v>2182971.330766188</v>
      </c>
      <c r="X118" s="7">
        <f>'gerç aylık-eur'!$I$63</f>
        <v>684985.27698102838</v>
      </c>
      <c r="Y118" s="7"/>
      <c r="Z118" s="7">
        <f>'Bütçe aylık-Eur'!$J$63</f>
        <v>2689843.1009593876</v>
      </c>
      <c r="AA118" s="7">
        <f>'gerç aylık-eur'!$J$63</f>
        <v>55533.326999821002</v>
      </c>
      <c r="AB118" s="7"/>
      <c r="AC118" s="7">
        <f>'Bütçe aylık-Eur'!$K$63</f>
        <v>3333238.8652470731</v>
      </c>
      <c r="AD118" s="7">
        <f>'gerç aylık-eur'!$K$63</f>
        <v>0</v>
      </c>
      <c r="AE118" s="7"/>
      <c r="AF118" s="7">
        <f>'Bütçe aylık-Eur'!$L$63</f>
        <v>3469965.032156663</v>
      </c>
      <c r="AG118" s="7">
        <f>'gerç aylık-eur'!$L$63</f>
        <v>0</v>
      </c>
      <c r="AH118" s="7"/>
      <c r="AI118" s="7">
        <f>'Bütçe aylık-Eur'!$M$63</f>
        <v>4164449.0062184143</v>
      </c>
      <c r="AJ118" s="7">
        <f>'gerç aylık-eur'!$M$63</f>
        <v>0</v>
      </c>
      <c r="AK118" s="7"/>
      <c r="AL118" s="21">
        <f t="shared" si="53"/>
        <v>-2634309.7739595668</v>
      </c>
      <c r="AM118" s="22">
        <f t="shared" si="54"/>
        <v>-0.97935443633124408</v>
      </c>
      <c r="AO118" s="44">
        <f t="shared" si="55"/>
        <v>2689843.1009593876</v>
      </c>
      <c r="AP118" s="44">
        <f t="shared" si="55"/>
        <v>55533.326999821002</v>
      </c>
    </row>
    <row r="119" spans="1:42" s="1" customFormat="1" ht="15.5">
      <c r="A119" s="26" t="s">
        <v>14</v>
      </c>
      <c r="B119" s="7">
        <f>'Bütçe aylık-Eur'!$B$64</f>
        <v>434150.3468631506</v>
      </c>
      <c r="C119" s="7">
        <f>'gerç aylık-eur'!$B$64</f>
        <v>248849.95022391537</v>
      </c>
      <c r="D119" s="8"/>
      <c r="E119" s="7">
        <f>'Bütçe aylık-Eur'!$C$64</f>
        <v>475670.74071728624</v>
      </c>
      <c r="F119" s="7">
        <f>'gerç aylık-eur'!$C$64</f>
        <v>444716.21097562177</v>
      </c>
      <c r="G119" s="8"/>
      <c r="H119" s="7">
        <f>'Bütçe aylık-Eur'!$D$64</f>
        <v>442621.39814453205</v>
      </c>
      <c r="I119" s="7">
        <f>'gerç aylık-eur'!$D$64</f>
        <v>444264.14186532988</v>
      </c>
      <c r="J119" s="8"/>
      <c r="K119" s="7">
        <f>'Bütçe aylık-Eur'!$E$64</f>
        <v>337.80856640806098</v>
      </c>
      <c r="L119" s="7">
        <f>'gerç aylık-eur'!$E$64</f>
        <v>-115385.36581623135</v>
      </c>
      <c r="M119" s="8"/>
      <c r="N119" s="7">
        <f>'Bütçe aylık-Eur'!$F$64</f>
        <v>178687.39413630872</v>
      </c>
      <c r="O119" s="7">
        <f>'gerç aylık-eur'!$F$64</f>
        <v>26085.403474308987</v>
      </c>
      <c r="P119" s="8"/>
      <c r="Q119" s="7">
        <f>'Bütçe aylık-Eur'!$G$64</f>
        <v>92465.328672435251</v>
      </c>
      <c r="R119" s="7">
        <f>'gerç aylık-eur'!$G$64</f>
        <v>65659.365724571253</v>
      </c>
      <c r="S119" s="8"/>
      <c r="T119" s="7">
        <f>'Bütçe aylık-Eur'!$H$64</f>
        <v>242217.71638439703</v>
      </c>
      <c r="U119" s="7">
        <f>'gerç aylık-eur'!$H$64</f>
        <v>297928.29067337938</v>
      </c>
      <c r="V119" s="8"/>
      <c r="W119" s="7">
        <f>'Bütçe aylık-Eur'!$I$64</f>
        <v>283511.83525763737</v>
      </c>
      <c r="X119" s="7">
        <f>'gerç aylık-eur'!$I$64</f>
        <v>312603.85010688566</v>
      </c>
      <c r="Y119" s="8"/>
      <c r="Z119" s="7">
        <f>'Bütçe aylık-Eur'!$J$64</f>
        <v>273038.33881386078</v>
      </c>
      <c r="AA119" s="7">
        <f>'gerç aylık-eur'!$J$64</f>
        <v>396692.92594346579</v>
      </c>
      <c r="AB119" s="8"/>
      <c r="AC119" s="7">
        <f>'Bütçe aylık-Eur'!$K$64</f>
        <v>445221.24869271001</v>
      </c>
      <c r="AD119" s="7">
        <f>'gerç aylık-eur'!$K$64</f>
        <v>0</v>
      </c>
      <c r="AE119" s="8"/>
      <c r="AF119" s="7">
        <f>'Bütçe aylık-Eur'!$L$64</f>
        <v>335165.93667805736</v>
      </c>
      <c r="AG119" s="7">
        <f>'gerç aylık-eur'!$L$64</f>
        <v>0</v>
      </c>
      <c r="AH119" s="8"/>
      <c r="AI119" s="7">
        <f>'Bütçe aylık-Eur'!$M$64</f>
        <v>227764.3091503942</v>
      </c>
      <c r="AJ119" s="7">
        <f>'gerç aylık-eur'!$M$64</f>
        <v>0</v>
      </c>
      <c r="AK119" s="8"/>
      <c r="AL119" s="21">
        <f t="shared" si="53"/>
        <v>123654.587129605</v>
      </c>
      <c r="AM119" s="22">
        <f t="shared" si="54"/>
        <v>0.45288360479626411</v>
      </c>
      <c r="AO119" s="44">
        <f t="shared" si="55"/>
        <v>273038.33881386078</v>
      </c>
      <c r="AP119" s="44">
        <f t="shared" si="55"/>
        <v>396692.92594346579</v>
      </c>
    </row>
    <row r="120" spans="1:42" ht="15.5">
      <c r="A120" s="26" t="s">
        <v>15</v>
      </c>
      <c r="B120" s="7">
        <f>'Bütçe aylık-Eur'!$B$65</f>
        <v>584095.366499</v>
      </c>
      <c r="C120" s="7">
        <f>'gerç aylık-eur'!$B$65</f>
        <v>724298.53000000026</v>
      </c>
      <c r="D120" s="7"/>
      <c r="E120" s="7">
        <f>'Bütçe aylık-Eur'!$C$65</f>
        <v>1073672.287575</v>
      </c>
      <c r="F120" s="7">
        <f>'gerç aylık-eur'!$C$65</f>
        <v>1252984.1499999997</v>
      </c>
      <c r="G120" s="7"/>
      <c r="H120" s="7">
        <f>'Bütçe aylık-Eur'!$D$65</f>
        <v>2065118.068524</v>
      </c>
      <c r="I120" s="7">
        <f>'gerç aylık-eur'!$D$65</f>
        <v>1694806.0900000012</v>
      </c>
      <c r="J120" s="7"/>
      <c r="K120" s="7">
        <f>'Bütçe aylık-Eur'!$E$65</f>
        <v>445536.75051099999</v>
      </c>
      <c r="L120" s="7">
        <f>'gerç aylık-eur'!$E$65</f>
        <v>1310475.58</v>
      </c>
      <c r="M120" s="7"/>
      <c r="N120" s="7">
        <f>'Bütçe aylık-Eur'!$F$65</f>
        <v>1140123.7125969999</v>
      </c>
      <c r="O120" s="7">
        <f>'gerç aylık-eur'!$F$65</f>
        <v>1566825.7800000026</v>
      </c>
      <c r="P120" s="7"/>
      <c r="Q120" s="7">
        <f>'Bütçe aylık-Eur'!$G$65</f>
        <v>1424490.12366</v>
      </c>
      <c r="R120" s="7">
        <f>'gerç aylık-eur'!$G$65</f>
        <v>1589156.5999999975</v>
      </c>
      <c r="S120" s="7"/>
      <c r="T120" s="7">
        <f>'Bütçe aylık-Eur'!$H$65</f>
        <v>494325.29604000039</v>
      </c>
      <c r="U120" s="7">
        <f>'gerç aylık-eur'!$H$65</f>
        <v>1433792.2199999909</v>
      </c>
      <c r="V120" s="7"/>
      <c r="W120" s="7">
        <f>'Bütçe aylık-Eur'!$I$65</f>
        <v>106980.26811099984</v>
      </c>
      <c r="X120" s="7">
        <f>'gerç aylık-eur'!$I$65</f>
        <v>1070880.5300000091</v>
      </c>
      <c r="Y120" s="7"/>
      <c r="Z120" s="7">
        <f>'Bütçe aylık-Eur'!$J$65</f>
        <v>2454762.1048379997</v>
      </c>
      <c r="AA120" s="7">
        <f>'gerç aylık-eur'!$J$65</f>
        <v>2432080.209999993</v>
      </c>
      <c r="AB120" s="7"/>
      <c r="AC120" s="7">
        <f>'Bütçe aylık-Eur'!$K$65</f>
        <v>1444831.5711630003</v>
      </c>
      <c r="AD120" s="7">
        <f>'gerç aylık-eur'!$K$65</f>
        <v>0</v>
      </c>
      <c r="AE120" s="7"/>
      <c r="AF120" s="7">
        <f>'Bütçe aylık-Eur'!$L$65</f>
        <v>1461189.9069519993</v>
      </c>
      <c r="AG120" s="7">
        <f>'gerç aylık-eur'!$L$65</f>
        <v>0</v>
      </c>
      <c r="AH120" s="7"/>
      <c r="AI120" s="7">
        <f>'Bütçe aylık-Eur'!$M$65</f>
        <v>1085032.0063470006</v>
      </c>
      <c r="AJ120" s="7">
        <f>'gerç aylık-eur'!$M$65</f>
        <v>0</v>
      </c>
      <c r="AK120" s="7"/>
      <c r="AL120" s="21">
        <f t="shared" si="53"/>
        <v>-22681.894838006701</v>
      </c>
      <c r="AM120" s="22">
        <f t="shared" si="54"/>
        <v>-9.2399564068973428E-3</v>
      </c>
      <c r="AO120" s="44">
        <f t="shared" si="55"/>
        <v>2454762.1048379997</v>
      </c>
      <c r="AP120" s="44">
        <f t="shared" si="55"/>
        <v>2432080.209999993</v>
      </c>
    </row>
    <row r="121" spans="1:42" ht="15.5">
      <c r="A121" s="26" t="s">
        <v>16</v>
      </c>
      <c r="B121" s="7">
        <f>'Bütçe aylık-Eur'!$B$66</f>
        <v>1288051.3409770001</v>
      </c>
      <c r="C121" s="7">
        <f>'gerç aylık-eur'!$B$66</f>
        <v>1358189.29</v>
      </c>
      <c r="D121" s="7"/>
      <c r="E121" s="7">
        <f>'Bütçe aylık-Eur'!$C$66</f>
        <v>1124706.5835609999</v>
      </c>
      <c r="F121" s="7">
        <f>'gerç aylık-eur'!$C$66</f>
        <v>1948369.53</v>
      </c>
      <c r="G121" s="7"/>
      <c r="H121" s="7">
        <f>'Bütçe aylık-Eur'!$D$66</f>
        <v>1674194.3183880001</v>
      </c>
      <c r="I121" s="7">
        <f>'gerç aylık-eur'!$D$66</f>
        <v>2001049.1099999996</v>
      </c>
      <c r="J121" s="7"/>
      <c r="K121" s="7">
        <f>'Bütçe aylık-Eur'!$E$66</f>
        <v>1629768.157565</v>
      </c>
      <c r="L121" s="7">
        <f>'gerç aylık-eur'!$E$66</f>
        <v>2026762.5900000054</v>
      </c>
      <c r="M121" s="7"/>
      <c r="N121" s="7">
        <f>'Bütçe aylık-Eur'!$F$66</f>
        <v>1724517.9939270001</v>
      </c>
      <c r="O121" s="7">
        <f>'gerç aylık-eur'!$F$66</f>
        <v>1648952.3499999922</v>
      </c>
      <c r="P121" s="7"/>
      <c r="Q121" s="7">
        <f>'Bütçe aylık-Eur'!$G$66</f>
        <v>1363426.8379559992</v>
      </c>
      <c r="R121" s="7">
        <f>'gerç aylık-eur'!$G$66</f>
        <v>1599908.5000000014</v>
      </c>
      <c r="S121" s="7"/>
      <c r="T121" s="7">
        <f>'Bütçe aylık-Eur'!$H$66</f>
        <v>1162329.6593559999</v>
      </c>
      <c r="U121" s="7">
        <f>'gerç aylık-eur'!$H$66</f>
        <v>2144003.3799999985</v>
      </c>
      <c r="V121" s="7"/>
      <c r="W121" s="7">
        <f>'Bütçe aylık-Eur'!$I$66</f>
        <v>656783.55988500081</v>
      </c>
      <c r="X121" s="7">
        <f>'gerç aylık-eur'!$I$66</f>
        <v>1456447.8800000059</v>
      </c>
      <c r="Y121" s="7"/>
      <c r="Z121" s="7">
        <f>'Bütçe aylık-Eur'!$J$66</f>
        <v>1977322.9033550005</v>
      </c>
      <c r="AA121" s="7">
        <f>'gerç aylık-eur'!$J$66</f>
        <v>2878033.7499999977</v>
      </c>
      <c r="AB121" s="7"/>
      <c r="AC121" s="7">
        <f>'Bütçe aylık-Eur'!$K$66</f>
        <v>1780240.0164169986</v>
      </c>
      <c r="AD121" s="7">
        <f>'gerç aylık-eur'!$K$66</f>
        <v>0</v>
      </c>
      <c r="AE121" s="7"/>
      <c r="AF121" s="7">
        <f>'Bütçe aylık-Eur'!$L$66</f>
        <v>1661823.0456050001</v>
      </c>
      <c r="AG121" s="7">
        <f>'gerç aylık-eur'!$L$66</f>
        <v>0</v>
      </c>
      <c r="AH121" s="7"/>
      <c r="AI121" s="7">
        <f>'Bütçe aylık-Eur'!$M$66</f>
        <v>944755.19612800155</v>
      </c>
      <c r="AJ121" s="7">
        <f>'gerç aylık-eur'!$M$66</f>
        <v>0</v>
      </c>
      <c r="AK121" s="7"/>
      <c r="AL121" s="21">
        <f t="shared" si="53"/>
        <v>900710.84664499713</v>
      </c>
      <c r="AM121" s="22">
        <f t="shared" si="54"/>
        <v>0.4555203629699156</v>
      </c>
      <c r="AO121" s="44">
        <f t="shared" si="55"/>
        <v>1977322.9033550005</v>
      </c>
      <c r="AP121" s="44">
        <f t="shared" si="55"/>
        <v>2878033.7499999977</v>
      </c>
    </row>
    <row r="122" spans="1:42" ht="15.5">
      <c r="A122" s="26" t="s">
        <v>17</v>
      </c>
      <c r="B122" s="7">
        <f>'Bütçe aylık-Eur'!$B$67</f>
        <v>1999008.6525280001</v>
      </c>
      <c r="C122" s="7">
        <f>'gerç aylık-eur'!$B$67</f>
        <v>2003495.4200000018</v>
      </c>
      <c r="D122" s="7"/>
      <c r="E122" s="7">
        <f>'Bütçe aylık-Eur'!$C$67</f>
        <v>2086768.5087850003</v>
      </c>
      <c r="F122" s="7">
        <f>'gerç aylık-eur'!$C$67</f>
        <v>696845.79999999295</v>
      </c>
      <c r="G122" s="7"/>
      <c r="H122" s="7">
        <f>'Bütçe aylık-Eur'!$D$67</f>
        <v>1794243.2298130002</v>
      </c>
      <c r="I122" s="7">
        <f>'gerç aylık-eur'!$D$67</f>
        <v>1223340.5600000068</v>
      </c>
      <c r="J122" s="7"/>
      <c r="K122" s="7">
        <f>'Bütçe aylık-Eur'!$E$67</f>
        <v>1578424.6342249997</v>
      </c>
      <c r="L122" s="7">
        <f>'gerç aylık-eur'!$E$67</f>
        <v>1098046.0899999894</v>
      </c>
      <c r="M122" s="7"/>
      <c r="N122" s="7">
        <f>'Bütçe aylık-Eur'!$F$67</f>
        <v>2514804.3358380003</v>
      </c>
      <c r="O122" s="7">
        <f>'gerç aylık-eur'!$F$67</f>
        <v>2778993.0100000123</v>
      </c>
      <c r="P122" s="7"/>
      <c r="Q122" s="7">
        <f>'Bütçe aylık-Eur'!$G$67</f>
        <v>1501202.5508120004</v>
      </c>
      <c r="R122" s="7">
        <f>'gerç aylık-eur'!$G$67</f>
        <v>1477011.980000006</v>
      </c>
      <c r="S122" s="7"/>
      <c r="T122" s="7">
        <f>'Bütçe aylık-Eur'!$H$67</f>
        <v>2633805.2960199993</v>
      </c>
      <c r="U122" s="7">
        <f>'gerç aylık-eur'!$H$67</f>
        <v>1741509.9699999765</v>
      </c>
      <c r="V122" s="7"/>
      <c r="W122" s="7">
        <f>'Bütçe aylık-Eur'!$I$67</f>
        <v>658957.04908099957</v>
      </c>
      <c r="X122" s="7">
        <f>'gerç aylık-eur'!$I$67</f>
        <v>509958.03000001743</v>
      </c>
      <c r="Y122" s="7"/>
      <c r="Z122" s="7">
        <f>'Bütçe aylık-Eur'!$J$67</f>
        <v>3405130.5830050018</v>
      </c>
      <c r="AA122" s="7">
        <f>'gerç aylık-eur'!$J$67</f>
        <v>2973910.5100000096</v>
      </c>
      <c r="AB122" s="7"/>
      <c r="AC122" s="7">
        <f>'Bütçe aylık-Eur'!$K$67</f>
        <v>2748439.2415949996</v>
      </c>
      <c r="AD122" s="7">
        <f>'gerç aylık-eur'!$K$67</f>
        <v>0</v>
      </c>
      <c r="AE122" s="7"/>
      <c r="AF122" s="7">
        <f>'Bütçe aylık-Eur'!$L$67</f>
        <v>2717115.7375319968</v>
      </c>
      <c r="AG122" s="7">
        <f>'gerç aylık-eur'!$L$67</f>
        <v>0</v>
      </c>
      <c r="AH122" s="7"/>
      <c r="AI122" s="7">
        <f>'Bütçe aylık-Eur'!$M$67</f>
        <v>1883160.9029580019</v>
      </c>
      <c r="AJ122" s="7">
        <f>'gerç aylık-eur'!$M$67</f>
        <v>0</v>
      </c>
      <c r="AK122" s="7"/>
      <c r="AL122" s="21">
        <f t="shared" si="53"/>
        <v>-431220.07300499221</v>
      </c>
      <c r="AM122" s="22">
        <f t="shared" si="54"/>
        <v>-0.1266383366198085</v>
      </c>
      <c r="AO122" s="44">
        <f t="shared" si="55"/>
        <v>3405130.5830050018</v>
      </c>
      <c r="AP122" s="44">
        <f t="shared" si="55"/>
        <v>2973910.5100000096</v>
      </c>
    </row>
    <row r="123" spans="1:42" ht="15.5">
      <c r="A123" s="26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21"/>
      <c r="AM123" s="22"/>
      <c r="AO123" s="44">
        <f t="shared" si="55"/>
        <v>0</v>
      </c>
      <c r="AP123" s="44">
        <f t="shared" si="55"/>
        <v>0</v>
      </c>
    </row>
    <row r="124" spans="1:42">
      <c r="A124" s="2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5"/>
    </row>
    <row r="125" spans="1:42" s="49" customFormat="1" ht="17">
      <c r="A125" s="47" t="s">
        <v>72</v>
      </c>
      <c r="B125" s="413"/>
      <c r="C125" s="413"/>
      <c r="D125" s="413"/>
      <c r="E125" s="413"/>
      <c r="F125" s="413"/>
      <c r="G125" s="413"/>
      <c r="H125" s="413"/>
      <c r="I125" s="413"/>
      <c r="J125" s="413"/>
      <c r="K125" s="413"/>
      <c r="L125" s="413"/>
      <c r="M125" s="413"/>
      <c r="N125" s="413"/>
      <c r="O125" s="413"/>
      <c r="P125" s="413"/>
      <c r="Q125" s="413"/>
      <c r="R125" s="413"/>
      <c r="S125" s="413"/>
      <c r="T125" s="413"/>
      <c r="U125" s="413"/>
      <c r="V125" s="413"/>
      <c r="W125" s="413"/>
      <c r="X125" s="413"/>
      <c r="Y125" s="413"/>
      <c r="Z125" s="413"/>
      <c r="AA125" s="413"/>
      <c r="AB125" s="413"/>
      <c r="AC125" s="413"/>
      <c r="AD125" s="413"/>
      <c r="AE125" s="413"/>
      <c r="AF125" s="413"/>
      <c r="AG125" s="413"/>
      <c r="AH125" s="413"/>
      <c r="AI125" s="413"/>
      <c r="AJ125" s="413"/>
      <c r="AK125" s="413"/>
      <c r="AL125" s="413"/>
      <c r="AM125" s="48"/>
    </row>
    <row r="126" spans="1:42" s="13" customFormat="1" ht="15.5">
      <c r="A126" s="26" t="s">
        <v>10</v>
      </c>
      <c r="B126" s="12">
        <f>B115/B9</f>
        <v>0.4703462500951251</v>
      </c>
      <c r="C126" s="12">
        <f>C115/C9</f>
        <v>0.49761882945180025</v>
      </c>
      <c r="D126" s="41"/>
      <c r="E126" s="12">
        <f t="shared" ref="E126:F133" si="56">E115/E9</f>
        <v>0.50301165301642525</v>
      </c>
      <c r="F126" s="12">
        <f t="shared" si="56"/>
        <v>0.42805476646917284</v>
      </c>
      <c r="G126" s="41"/>
      <c r="H126" s="12">
        <f t="shared" ref="H126:I133" si="57">H115/H9</f>
        <v>0.41493056104066545</v>
      </c>
      <c r="I126" s="12">
        <f t="shared" si="57"/>
        <v>0.42874108680251805</v>
      </c>
      <c r="J126" s="41"/>
      <c r="K126" s="12">
        <f t="shared" ref="K126:L133" si="58">K115/K9</f>
        <v>0.45386410157781226</v>
      </c>
      <c r="L126" s="12">
        <f t="shared" si="58"/>
        <v>0.19447251659101003</v>
      </c>
      <c r="M126" s="41"/>
      <c r="N126" s="12">
        <f t="shared" ref="N126:O133" si="59">N115/N9</f>
        <v>0.44991496278685567</v>
      </c>
      <c r="O126" s="12">
        <f t="shared" si="59"/>
        <v>0.54415966152482198</v>
      </c>
      <c r="P126" s="41"/>
      <c r="Q126" s="12">
        <f t="shared" ref="Q126:R133" si="60">Q115/Q9</f>
        <v>0.46936773410007354</v>
      </c>
      <c r="R126" s="12">
        <f t="shared" si="60"/>
        <v>0.44526424412502136</v>
      </c>
      <c r="S126" s="41"/>
      <c r="T126" s="12">
        <f t="shared" ref="T126:U133" si="61">T115/T9</f>
        <v>0.51617620046540036</v>
      </c>
      <c r="U126" s="12">
        <f t="shared" si="61"/>
        <v>0.47674278883774374</v>
      </c>
      <c r="V126" s="41"/>
      <c r="W126" s="12">
        <f t="shared" ref="W126:X133" si="62">W115/W9</f>
        <v>0.48193531402042905</v>
      </c>
      <c r="X126" s="12">
        <f t="shared" si="62"/>
        <v>0.48166074541207532</v>
      </c>
      <c r="Y126" s="41"/>
      <c r="Z126" s="12">
        <f t="shared" ref="Z126:AA133" si="63">Z115/Z9</f>
        <v>0.55064376341288646</v>
      </c>
      <c r="AA126" s="12">
        <f t="shared" si="63"/>
        <v>0.60581370421815361</v>
      </c>
      <c r="AB126" s="41"/>
      <c r="AC126" s="12">
        <f t="shared" ref="AC126:AD133" si="64">AC115/AC9</f>
        <v>0.51281835175456247</v>
      </c>
      <c r="AD126" s="12" t="e">
        <f t="shared" si="64"/>
        <v>#DIV/0!</v>
      </c>
      <c r="AE126" s="41"/>
      <c r="AF126" s="12">
        <f t="shared" ref="AF126:AG133" si="65">AF115/AF9</f>
        <v>0.4730283176943299</v>
      </c>
      <c r="AG126" s="12" t="e">
        <f t="shared" si="65"/>
        <v>#DIV/0!</v>
      </c>
      <c r="AH126" s="41"/>
      <c r="AI126" s="12">
        <f t="shared" ref="AI126:AJ133" si="66">AI115/AI9</f>
        <v>-0.29602767402249286</v>
      </c>
      <c r="AJ126" s="12" t="e">
        <f t="shared" si="66"/>
        <v>#DIV/0!</v>
      </c>
      <c r="AK126" s="41"/>
      <c r="AL126" s="15"/>
      <c r="AM126" s="22">
        <f>AP126-AO126</f>
        <v>5.5169940805267159E-2</v>
      </c>
      <c r="AO126" s="44">
        <f t="shared" ref="AO126:AP133" si="67">IF($A$1=$B$1,B126,IF($A$1=$E$1,E126,IF($A$1=$H$1,H126,IF($A$1=$K$1,K126,IF($A$1=$N$1,N126,IF($A$1=$Q$1,Q126,IF($A$1=$T$1,T126,IF($A$1=$W$1,W126,IF($A$1=$Z$1,Z126,IF($A$1=$AC$1,AC126,IF($A$1=$AF$1,AF126,IF($A$1=$AI$1,AI126))))))))))))</f>
        <v>0.55064376341288646</v>
      </c>
      <c r="AP126" s="44">
        <f t="shared" si="67"/>
        <v>0.60581370421815361</v>
      </c>
    </row>
    <row r="127" spans="1:42" s="13" customFormat="1" ht="15.5">
      <c r="A127" s="26" t="s">
        <v>11</v>
      </c>
      <c r="B127" s="12">
        <f t="shared" ref="B127:C133" si="68">B116/B10</f>
        <v>-3.5414154934302527E-2</v>
      </c>
      <c r="C127" s="12">
        <f t="shared" si="68"/>
        <v>-1.3101473416769349E-2</v>
      </c>
      <c r="D127" s="41"/>
      <c r="E127" s="12">
        <f t="shared" si="56"/>
        <v>8.6261089017718368E-2</v>
      </c>
      <c r="F127" s="12">
        <f t="shared" si="56"/>
        <v>4.1004394694290687E-2</v>
      </c>
      <c r="G127" s="41"/>
      <c r="H127" s="12">
        <f t="shared" si="57"/>
        <v>0.10447171274574159</v>
      </c>
      <c r="I127" s="12">
        <f t="shared" si="57"/>
        <v>2.9474224242925534E-2</v>
      </c>
      <c r="J127" s="41"/>
      <c r="K127" s="12">
        <f t="shared" si="58"/>
        <v>0.16099110178797105</v>
      </c>
      <c r="L127" s="12">
        <f t="shared" si="58"/>
        <v>-4.1780275454723965E-2</v>
      </c>
      <c r="M127" s="41"/>
      <c r="N127" s="12">
        <f t="shared" si="59"/>
        <v>0.213280566358684</v>
      </c>
      <c r="O127" s="12">
        <f t="shared" si="59"/>
        <v>4.0124034395595379E-2</v>
      </c>
      <c r="P127" s="41"/>
      <c r="Q127" s="12">
        <f t="shared" si="60"/>
        <v>0.18957059647897379</v>
      </c>
      <c r="R127" s="12">
        <f t="shared" si="60"/>
        <v>3.3576104487884541E-2</v>
      </c>
      <c r="S127" s="41"/>
      <c r="T127" s="12">
        <f t="shared" si="61"/>
        <v>0.17058586820054739</v>
      </c>
      <c r="U127" s="12">
        <f t="shared" si="61"/>
        <v>7.2095406005059315E-2</v>
      </c>
      <c r="V127" s="41"/>
      <c r="W127" s="12">
        <f t="shared" si="62"/>
        <v>5.7523809268182124E-2</v>
      </c>
      <c r="X127" s="12">
        <f t="shared" si="62"/>
        <v>2.9846205735174991E-2</v>
      </c>
      <c r="Y127" s="41"/>
      <c r="Z127" s="12">
        <f t="shared" si="63"/>
        <v>0.10041788034638779</v>
      </c>
      <c r="AA127" s="12">
        <f t="shared" si="63"/>
        <v>-7.7166570039234453E-2</v>
      </c>
      <c r="AB127" s="41"/>
      <c r="AC127" s="12">
        <f t="shared" si="64"/>
        <v>3.9334436292444944E-2</v>
      </c>
      <c r="AD127" s="12" t="e">
        <f t="shared" si="64"/>
        <v>#DIV/0!</v>
      </c>
      <c r="AE127" s="41"/>
      <c r="AF127" s="12">
        <f t="shared" si="65"/>
        <v>-1.2954714831579461E-2</v>
      </c>
      <c r="AG127" s="12" t="e">
        <f t="shared" si="65"/>
        <v>#DIV/0!</v>
      </c>
      <c r="AH127" s="41"/>
      <c r="AI127" s="12">
        <f t="shared" si="66"/>
        <v>-0.10551725422668824</v>
      </c>
      <c r="AJ127" s="12" t="e">
        <f t="shared" si="66"/>
        <v>#DIV/0!</v>
      </c>
      <c r="AK127" s="41"/>
      <c r="AL127" s="15"/>
      <c r="AM127" s="22">
        <f t="shared" ref="AM127:AM133" si="69">AP127-AO127</f>
        <v>-0.17758445038562226</v>
      </c>
      <c r="AO127" s="44">
        <f t="shared" si="67"/>
        <v>0.10041788034638779</v>
      </c>
      <c r="AP127" s="44">
        <f t="shared" si="67"/>
        <v>-7.7166570039234453E-2</v>
      </c>
    </row>
    <row r="128" spans="1:42" s="13" customFormat="1" ht="15.5">
      <c r="A128" s="26" t="s">
        <v>12</v>
      </c>
      <c r="B128" s="12">
        <f t="shared" si="68"/>
        <v>-4.5122642684353606E-2</v>
      </c>
      <c r="C128" s="12">
        <f t="shared" si="68"/>
        <v>3.4967674742321202E-2</v>
      </c>
      <c r="D128" s="41"/>
      <c r="E128" s="12">
        <f t="shared" si="56"/>
        <v>1.7802589422726211E-3</v>
      </c>
      <c r="F128" s="12">
        <f t="shared" si="56"/>
        <v>3.0322608951724488E-2</v>
      </c>
      <c r="G128" s="41"/>
      <c r="H128" s="12">
        <f t="shared" si="57"/>
        <v>4.0528458801642908E-2</v>
      </c>
      <c r="I128" s="12">
        <f t="shared" si="57"/>
        <v>5.6899382425354078E-3</v>
      </c>
      <c r="J128" s="41"/>
      <c r="K128" s="12">
        <f t="shared" si="58"/>
        <v>3.6491802951304123E-2</v>
      </c>
      <c r="L128" s="12">
        <f t="shared" si="58"/>
        <v>1.7482840964970929E-2</v>
      </c>
      <c r="M128" s="41"/>
      <c r="N128" s="12">
        <f t="shared" si="59"/>
        <v>7.1487233897627192E-2</v>
      </c>
      <c r="O128" s="12">
        <f t="shared" si="59"/>
        <v>4.3871611658730117E-2</v>
      </c>
      <c r="P128" s="41"/>
      <c r="Q128" s="12">
        <f t="shared" si="60"/>
        <v>7.112618697555205E-2</v>
      </c>
      <c r="R128" s="12">
        <f t="shared" si="60"/>
        <v>1.7520261940387992E-2</v>
      </c>
      <c r="S128" s="41"/>
      <c r="T128" s="12">
        <f t="shared" si="61"/>
        <v>7.0538592247657003E-2</v>
      </c>
      <c r="U128" s="12">
        <f t="shared" si="61"/>
        <v>3.0774915459783569E-2</v>
      </c>
      <c r="V128" s="41"/>
      <c r="W128" s="12">
        <f t="shared" si="62"/>
        <v>6.8051099078362584E-2</v>
      </c>
      <c r="X128" s="12">
        <f t="shared" si="62"/>
        <v>2.6542565351229772E-2</v>
      </c>
      <c r="Y128" s="41"/>
      <c r="Z128" s="12">
        <f t="shared" si="63"/>
        <v>5.2904077616219257E-2</v>
      </c>
      <c r="AA128" s="12">
        <f t="shared" si="63"/>
        <v>6.1539602199729287E-2</v>
      </c>
      <c r="AB128" s="41"/>
      <c r="AC128" s="12">
        <f t="shared" si="64"/>
        <v>6.4753799612721874E-2</v>
      </c>
      <c r="AD128" s="12" t="e">
        <f t="shared" si="64"/>
        <v>#DIV/0!</v>
      </c>
      <c r="AE128" s="41"/>
      <c r="AF128" s="12">
        <f t="shared" si="65"/>
        <v>6.5114040676931759E-2</v>
      </c>
      <c r="AG128" s="12" t="e">
        <f t="shared" si="65"/>
        <v>#DIV/0!</v>
      </c>
      <c r="AH128" s="41"/>
      <c r="AI128" s="12">
        <f t="shared" si="66"/>
        <v>3.1806918094617324E-2</v>
      </c>
      <c r="AJ128" s="12" t="e">
        <f t="shared" si="66"/>
        <v>#DIV/0!</v>
      </c>
      <c r="AK128" s="41"/>
      <c r="AL128" s="15"/>
      <c r="AM128" s="22">
        <f t="shared" si="69"/>
        <v>8.6355245835100305E-3</v>
      </c>
      <c r="AO128" s="44">
        <f t="shared" si="67"/>
        <v>5.2904077616219257E-2</v>
      </c>
      <c r="AP128" s="44">
        <f t="shared" si="67"/>
        <v>6.1539602199729287E-2</v>
      </c>
    </row>
    <row r="129" spans="1:42" s="13" customFormat="1" ht="15.5">
      <c r="A129" s="26" t="s">
        <v>13</v>
      </c>
      <c r="B129" s="12">
        <f t="shared" si="68"/>
        <v>7.3857355960123133E-2</v>
      </c>
      <c r="C129" s="12">
        <f t="shared" si="68"/>
        <v>5.156748865308159E-2</v>
      </c>
      <c r="D129" s="41"/>
      <c r="E129" s="12">
        <f t="shared" si="56"/>
        <v>5.9166712197787838E-2</v>
      </c>
      <c r="F129" s="12">
        <f t="shared" si="56"/>
        <v>4.1186897513663605E-2</v>
      </c>
      <c r="G129" s="41"/>
      <c r="H129" s="12">
        <f t="shared" si="57"/>
        <v>6.3345321295825388E-2</v>
      </c>
      <c r="I129" s="12">
        <f t="shared" si="57"/>
        <v>-4.2753429909715736E-2</v>
      </c>
      <c r="J129" s="41"/>
      <c r="K129" s="12">
        <f t="shared" si="58"/>
        <v>5.7348767864778154E-2</v>
      </c>
      <c r="L129" s="12">
        <f t="shared" si="58"/>
        <v>-5.6883011675321428E-2</v>
      </c>
      <c r="M129" s="41"/>
      <c r="N129" s="12">
        <f t="shared" si="59"/>
        <v>6.9259449972509102E-2</v>
      </c>
      <c r="O129" s="12">
        <f t="shared" si="59"/>
        <v>-1.3604347513487668E-2</v>
      </c>
      <c r="P129" s="41"/>
      <c r="Q129" s="12">
        <f t="shared" si="60"/>
        <v>8.2956121365502233E-2</v>
      </c>
      <c r="R129" s="12">
        <f t="shared" si="60"/>
        <v>-0.10141985987961655</v>
      </c>
      <c r="S129" s="41"/>
      <c r="T129" s="12">
        <f t="shared" si="61"/>
        <v>9.1437889974752273E-2</v>
      </c>
      <c r="U129" s="12">
        <f t="shared" si="61"/>
        <v>-2.7117658714835367E-2</v>
      </c>
      <c r="V129" s="41"/>
      <c r="W129" s="12">
        <f t="shared" si="62"/>
        <v>0.10348890248806773</v>
      </c>
      <c r="X129" s="12">
        <f t="shared" si="62"/>
        <v>4.7916775833110534E-2</v>
      </c>
      <c r="Y129" s="41"/>
      <c r="Z129" s="12">
        <f t="shared" si="63"/>
        <v>0.11932062294070798</v>
      </c>
      <c r="AA129" s="12">
        <f t="shared" si="63"/>
        <v>5.1609410499590296E-3</v>
      </c>
      <c r="AB129" s="41"/>
      <c r="AC129" s="12">
        <f t="shared" si="64"/>
        <v>0.12967316128760242</v>
      </c>
      <c r="AD129" s="12" t="e">
        <f t="shared" si="64"/>
        <v>#DIV/0!</v>
      </c>
      <c r="AE129" s="41"/>
      <c r="AF129" s="12">
        <f t="shared" si="65"/>
        <v>0.1358152918942446</v>
      </c>
      <c r="AG129" s="12" t="e">
        <f t="shared" si="65"/>
        <v>#DIV/0!</v>
      </c>
      <c r="AH129" s="41"/>
      <c r="AI129" s="12">
        <f t="shared" si="66"/>
        <v>0.15997493143440217</v>
      </c>
      <c r="AJ129" s="12" t="e">
        <f t="shared" si="66"/>
        <v>#DIV/0!</v>
      </c>
      <c r="AK129" s="41"/>
      <c r="AL129" s="15"/>
      <c r="AM129" s="22">
        <f t="shared" si="69"/>
        <v>-0.11415968189074896</v>
      </c>
      <c r="AO129" s="44">
        <f t="shared" si="67"/>
        <v>0.11932062294070798</v>
      </c>
      <c r="AP129" s="44">
        <f t="shared" si="67"/>
        <v>5.1609410499590296E-3</v>
      </c>
    </row>
    <row r="130" spans="1:42" s="13" customFormat="1" ht="15.5">
      <c r="A130" s="26" t="s">
        <v>14</v>
      </c>
      <c r="B130" s="12">
        <f t="shared" si="68"/>
        <v>6.5677490369797975E-2</v>
      </c>
      <c r="C130" s="12">
        <f t="shared" si="68"/>
        <v>4.137442633410561E-2</v>
      </c>
      <c r="D130" s="41"/>
      <c r="E130" s="12">
        <f t="shared" si="56"/>
        <v>6.9632579828880284E-2</v>
      </c>
      <c r="F130" s="12">
        <f t="shared" si="56"/>
        <v>7.8158449442799469E-2</v>
      </c>
      <c r="G130" s="41"/>
      <c r="H130" s="12">
        <f t="shared" si="57"/>
        <v>6.5436462035872917E-2</v>
      </c>
      <c r="I130" s="12">
        <f t="shared" si="57"/>
        <v>6.9145055406809999E-2</v>
      </c>
      <c r="J130" s="41"/>
      <c r="K130" s="12">
        <f t="shared" si="58"/>
        <v>5.0229772147269947E-5</v>
      </c>
      <c r="L130" s="12">
        <f t="shared" si="58"/>
        <v>-2.2670685762359991E-2</v>
      </c>
      <c r="M130" s="41"/>
      <c r="N130" s="12">
        <f t="shared" si="59"/>
        <v>2.5896977922902246E-2</v>
      </c>
      <c r="O130" s="12">
        <f t="shared" si="59"/>
        <v>4.6396602512885875E-3</v>
      </c>
      <c r="P130" s="41"/>
      <c r="Q130" s="12">
        <f t="shared" si="60"/>
        <v>1.6364412407666708E-2</v>
      </c>
      <c r="R130" s="12">
        <f t="shared" si="60"/>
        <v>1.5009236104441586E-2</v>
      </c>
      <c r="S130" s="41"/>
      <c r="T130" s="12">
        <f t="shared" si="61"/>
        <v>3.5182080488176566E-2</v>
      </c>
      <c r="U130" s="12">
        <f t="shared" si="61"/>
        <v>5.6251644167907504E-2</v>
      </c>
      <c r="V130" s="41"/>
      <c r="W130" s="12">
        <f t="shared" si="62"/>
        <v>4.6836346202268904E-2</v>
      </c>
      <c r="X130" s="12">
        <f t="shared" si="62"/>
        <v>6.8375872601168911E-2</v>
      </c>
      <c r="Y130" s="41"/>
      <c r="Z130" s="12">
        <f t="shared" si="63"/>
        <v>4.5825437236991735E-2</v>
      </c>
      <c r="AA130" s="12">
        <f t="shared" si="63"/>
        <v>7.3412091816574515E-2</v>
      </c>
      <c r="AB130" s="41"/>
      <c r="AC130" s="12">
        <f t="shared" si="64"/>
        <v>5.8455780167450504E-2</v>
      </c>
      <c r="AD130" s="12" t="e">
        <f t="shared" si="64"/>
        <v>#DIV/0!</v>
      </c>
      <c r="AE130" s="41"/>
      <c r="AF130" s="12">
        <f t="shared" si="65"/>
        <v>5.2546163393304424E-2</v>
      </c>
      <c r="AG130" s="12" t="e">
        <f t="shared" si="65"/>
        <v>#DIV/0!</v>
      </c>
      <c r="AH130" s="41"/>
      <c r="AI130" s="12">
        <f t="shared" si="66"/>
        <v>3.6182308269390215E-2</v>
      </c>
      <c r="AJ130" s="12" t="e">
        <f t="shared" si="66"/>
        <v>#DIV/0!</v>
      </c>
      <c r="AK130" s="41"/>
      <c r="AL130" s="15"/>
      <c r="AM130" s="22">
        <f t="shared" si="69"/>
        <v>2.758665457958278E-2</v>
      </c>
      <c r="AO130" s="44">
        <f t="shared" si="67"/>
        <v>4.5825437236991735E-2</v>
      </c>
      <c r="AP130" s="44">
        <f t="shared" si="67"/>
        <v>7.3412091816574515E-2</v>
      </c>
    </row>
    <row r="131" spans="1:42" s="13" customFormat="1" ht="15.5">
      <c r="A131" s="26" t="s">
        <v>15</v>
      </c>
      <c r="B131" s="12">
        <f t="shared" si="68"/>
        <v>5.8125920927934852E-2</v>
      </c>
      <c r="C131" s="12">
        <f t="shared" si="68"/>
        <v>6.2409829493475143E-2</v>
      </c>
      <c r="D131" s="41"/>
      <c r="E131" s="12">
        <f t="shared" si="56"/>
        <v>9.916362485988614E-2</v>
      </c>
      <c r="F131" s="12">
        <f t="shared" si="56"/>
        <v>0.10854801545715222</v>
      </c>
      <c r="G131" s="41"/>
      <c r="H131" s="12">
        <f t="shared" si="57"/>
        <v>0.16401462246647783</v>
      </c>
      <c r="I131" s="12">
        <f t="shared" si="57"/>
        <v>0.13642355679361617</v>
      </c>
      <c r="J131" s="41"/>
      <c r="K131" s="12">
        <f t="shared" si="58"/>
        <v>4.0753585765282103E-2</v>
      </c>
      <c r="L131" s="12">
        <f t="shared" si="58"/>
        <v>0.10836471322713521</v>
      </c>
      <c r="M131" s="41"/>
      <c r="N131" s="12">
        <f t="shared" si="59"/>
        <v>9.7638703748608807E-2</v>
      </c>
      <c r="O131" s="12">
        <f t="shared" si="59"/>
        <v>0.12378054234628286</v>
      </c>
      <c r="P131" s="41"/>
      <c r="Q131" s="12">
        <f t="shared" si="60"/>
        <v>0.1203309985592786</v>
      </c>
      <c r="R131" s="12">
        <f t="shared" si="60"/>
        <v>0.1273659289177384</v>
      </c>
      <c r="S131" s="41"/>
      <c r="T131" s="12">
        <f t="shared" si="61"/>
        <v>5.2519125293754618E-2</v>
      </c>
      <c r="U131" s="12">
        <f t="shared" si="61"/>
        <v>0.13311872611465361</v>
      </c>
      <c r="V131" s="41"/>
      <c r="W131" s="12">
        <f t="shared" si="62"/>
        <v>1.1375013167464249E-2</v>
      </c>
      <c r="X131" s="12">
        <f t="shared" si="62"/>
        <v>0.11196295136397787</v>
      </c>
      <c r="Y131" s="41"/>
      <c r="Z131" s="12">
        <f t="shared" si="63"/>
        <v>0.17716481078138235</v>
      </c>
      <c r="AA131" s="12">
        <f t="shared" si="63"/>
        <v>0.20585242347186128</v>
      </c>
      <c r="AB131" s="41"/>
      <c r="AC131" s="12">
        <f t="shared" si="64"/>
        <v>0.12042572401006511</v>
      </c>
      <c r="AD131" s="12" t="e">
        <f t="shared" si="64"/>
        <v>#DIV/0!</v>
      </c>
      <c r="AE131" s="41"/>
      <c r="AF131" s="12">
        <f t="shared" si="65"/>
        <v>0.1278582172864732</v>
      </c>
      <c r="AG131" s="12" t="e">
        <f t="shared" si="65"/>
        <v>#DIV/0!</v>
      </c>
      <c r="AH131" s="41"/>
      <c r="AI131" s="12">
        <f t="shared" si="66"/>
        <v>0.1086528008467614</v>
      </c>
      <c r="AJ131" s="12" t="e">
        <f t="shared" si="66"/>
        <v>#DIV/0!</v>
      </c>
      <c r="AK131" s="41"/>
      <c r="AL131" s="15"/>
      <c r="AM131" s="22">
        <f t="shared" si="69"/>
        <v>2.8687612690478925E-2</v>
      </c>
      <c r="AO131" s="44">
        <f t="shared" si="67"/>
        <v>0.17716481078138235</v>
      </c>
      <c r="AP131" s="44">
        <f t="shared" si="67"/>
        <v>0.20585242347186128</v>
      </c>
    </row>
    <row r="132" spans="1:42" s="13" customFormat="1" ht="15.5">
      <c r="A132" s="26" t="s">
        <v>16</v>
      </c>
      <c r="B132" s="12">
        <f t="shared" si="68"/>
        <v>0.1699812519035441</v>
      </c>
      <c r="C132" s="12">
        <f t="shared" si="68"/>
        <v>0.17344740011528662</v>
      </c>
      <c r="D132" s="41"/>
      <c r="E132" s="12">
        <f t="shared" si="56"/>
        <v>0.18428547394821113</v>
      </c>
      <c r="F132" s="12">
        <f t="shared" si="56"/>
        <v>0.22310862950828689</v>
      </c>
      <c r="G132" s="41"/>
      <c r="H132" s="12">
        <f t="shared" si="57"/>
        <v>0.20971806521754244</v>
      </c>
      <c r="I132" s="12">
        <f t="shared" si="57"/>
        <v>0.2235951150527023</v>
      </c>
      <c r="J132" s="41"/>
      <c r="K132" s="12">
        <f t="shared" si="58"/>
        <v>0.20385460867231497</v>
      </c>
      <c r="L132" s="12">
        <f t="shared" si="58"/>
        <v>0.23093218810912922</v>
      </c>
      <c r="M132" s="41"/>
      <c r="N132" s="12">
        <f t="shared" si="59"/>
        <v>0.21897180892008247</v>
      </c>
      <c r="O132" s="12">
        <f t="shared" si="59"/>
        <v>0.20373369627264623</v>
      </c>
      <c r="P132" s="41"/>
      <c r="Q132" s="12">
        <f t="shared" si="60"/>
        <v>0.1964622140342473</v>
      </c>
      <c r="R132" s="12">
        <f t="shared" si="60"/>
        <v>0.22088455476028526</v>
      </c>
      <c r="S132" s="41"/>
      <c r="T132" s="12">
        <f t="shared" si="61"/>
        <v>0.17751962608530272</v>
      </c>
      <c r="U132" s="12">
        <f t="shared" si="61"/>
        <v>0.26641911316732425</v>
      </c>
      <c r="V132" s="41"/>
      <c r="W132" s="12">
        <f t="shared" si="62"/>
        <v>0.111873752912981</v>
      </c>
      <c r="X132" s="12">
        <f t="shared" si="62"/>
        <v>0.22501152671097038</v>
      </c>
      <c r="Y132" s="41"/>
      <c r="Z132" s="12">
        <f t="shared" si="63"/>
        <v>0.23840777354013709</v>
      </c>
      <c r="AA132" s="12">
        <f t="shared" si="63"/>
        <v>0.3001276258469936</v>
      </c>
      <c r="AB132" s="41"/>
      <c r="AC132" s="12">
        <f t="shared" si="64"/>
        <v>0.22656930521168367</v>
      </c>
      <c r="AD132" s="12" t="e">
        <f t="shared" si="64"/>
        <v>#DIV/0!</v>
      </c>
      <c r="AE132" s="41"/>
      <c r="AF132" s="12">
        <f t="shared" si="65"/>
        <v>0.22801990114982695</v>
      </c>
      <c r="AG132" s="12" t="e">
        <f t="shared" si="65"/>
        <v>#DIV/0!</v>
      </c>
      <c r="AH132" s="41"/>
      <c r="AI132" s="12">
        <f t="shared" si="66"/>
        <v>0.17126721846653101</v>
      </c>
      <c r="AJ132" s="12" t="e">
        <f t="shared" si="66"/>
        <v>#DIV/0!</v>
      </c>
      <c r="AK132" s="41"/>
      <c r="AL132" s="15"/>
      <c r="AM132" s="22">
        <f t="shared" si="69"/>
        <v>6.1719852306856504E-2</v>
      </c>
      <c r="AO132" s="44">
        <f t="shared" si="67"/>
        <v>0.23840777354013709</v>
      </c>
      <c r="AP132" s="44">
        <f t="shared" si="67"/>
        <v>0.3001276258469936</v>
      </c>
    </row>
    <row r="133" spans="1:42" s="13" customFormat="1" ht="15.5">
      <c r="A133" s="26" t="s">
        <v>17</v>
      </c>
      <c r="B133" s="12">
        <f t="shared" si="68"/>
        <v>0.10355221524975666</v>
      </c>
      <c r="C133" s="12">
        <f t="shared" si="68"/>
        <v>9.0168687989614513E-2</v>
      </c>
      <c r="D133" s="41"/>
      <c r="E133" s="12">
        <f t="shared" si="56"/>
        <v>0.10255336030091421</v>
      </c>
      <c r="F133" s="12">
        <f t="shared" si="56"/>
        <v>3.5048500304938779E-2</v>
      </c>
      <c r="G133" s="41"/>
      <c r="H133" s="12">
        <f t="shared" si="57"/>
        <v>8.02940967174781E-2</v>
      </c>
      <c r="I133" s="12">
        <f t="shared" si="57"/>
        <v>5.5629280691630215E-2</v>
      </c>
      <c r="J133" s="41"/>
      <c r="K133" s="12">
        <f t="shared" si="58"/>
        <v>8.1585651337435172E-2</v>
      </c>
      <c r="L133" s="12">
        <f t="shared" si="58"/>
        <v>4.9777885731516328E-2</v>
      </c>
      <c r="M133" s="41"/>
      <c r="N133" s="12">
        <f t="shared" si="59"/>
        <v>0.11518967369646478</v>
      </c>
      <c r="O133" s="12">
        <f t="shared" si="59"/>
        <v>0.11325404463609842</v>
      </c>
      <c r="P133" s="41"/>
      <c r="Q133" s="12">
        <f t="shared" si="60"/>
        <v>6.9676664428478127E-2</v>
      </c>
      <c r="R133" s="12">
        <f t="shared" si="60"/>
        <v>7.0273406972783434E-2</v>
      </c>
      <c r="S133" s="41"/>
      <c r="T133" s="12">
        <f t="shared" si="61"/>
        <v>0.12300355845469821</v>
      </c>
      <c r="U133" s="12">
        <f t="shared" si="61"/>
        <v>8.0515707817063326E-2</v>
      </c>
      <c r="V133" s="41"/>
      <c r="W133" s="12">
        <f t="shared" si="62"/>
        <v>3.9602700474284609E-2</v>
      </c>
      <c r="X133" s="12">
        <f t="shared" si="62"/>
        <v>3.3856694483353385E-2</v>
      </c>
      <c r="Y133" s="41"/>
      <c r="Z133" s="12">
        <f t="shared" si="63"/>
        <v>0.14052844045780663</v>
      </c>
      <c r="AA133" s="12">
        <f t="shared" si="63"/>
        <v>0.13227581931648311</v>
      </c>
      <c r="AB133" s="41"/>
      <c r="AC133" s="12">
        <f t="shared" si="64"/>
        <v>0.12335979542020259</v>
      </c>
      <c r="AD133" s="12" t="e">
        <f t="shared" si="64"/>
        <v>#DIV/0!</v>
      </c>
      <c r="AE133" s="41"/>
      <c r="AF133" s="12">
        <f t="shared" si="65"/>
        <v>0.12934224495720723</v>
      </c>
      <c r="AG133" s="12" t="e">
        <f t="shared" si="65"/>
        <v>#DIV/0!</v>
      </c>
      <c r="AH133" s="41"/>
      <c r="AI133" s="12">
        <f t="shared" si="66"/>
        <v>0.10828320632078266</v>
      </c>
      <c r="AJ133" s="12" t="e">
        <f t="shared" si="66"/>
        <v>#DIV/0!</v>
      </c>
      <c r="AK133" s="41"/>
      <c r="AL133" s="15"/>
      <c r="AM133" s="22">
        <f t="shared" si="69"/>
        <v>-8.252621141323524E-3</v>
      </c>
      <c r="AO133" s="44">
        <f t="shared" si="67"/>
        <v>0.14052844045780663</v>
      </c>
      <c r="AP133" s="44">
        <f t="shared" si="67"/>
        <v>0.13227581931648311</v>
      </c>
    </row>
    <row r="134" spans="1:42" s="13" customFormat="1" ht="15.5">
      <c r="A134" s="26"/>
      <c r="B134" s="12"/>
      <c r="C134" s="30"/>
      <c r="D134" s="41"/>
      <c r="E134" s="12"/>
      <c r="F134" s="30"/>
      <c r="G134" s="41"/>
      <c r="H134" s="12"/>
      <c r="I134" s="30"/>
      <c r="J134" s="41"/>
      <c r="K134" s="12"/>
      <c r="L134" s="30"/>
      <c r="M134" s="41"/>
      <c r="N134" s="12"/>
      <c r="O134" s="30"/>
      <c r="P134" s="41"/>
      <c r="Q134" s="12"/>
      <c r="R134" s="30"/>
      <c r="S134" s="41"/>
      <c r="T134" s="12"/>
      <c r="U134" s="30"/>
      <c r="V134" s="41"/>
      <c r="W134" s="12"/>
      <c r="X134" s="30"/>
      <c r="Y134" s="41"/>
      <c r="Z134" s="12"/>
      <c r="AA134" s="30"/>
      <c r="AB134" s="41"/>
      <c r="AC134" s="12"/>
      <c r="AD134" s="30"/>
      <c r="AE134" s="41"/>
      <c r="AF134" s="12"/>
      <c r="AG134" s="30"/>
      <c r="AH134" s="41"/>
      <c r="AI134" s="12"/>
      <c r="AJ134" s="30"/>
      <c r="AK134" s="41"/>
      <c r="AL134" s="15"/>
      <c r="AM134" s="22"/>
      <c r="AO134" s="44"/>
      <c r="AP134" s="44"/>
    </row>
    <row r="135" spans="1:42" s="13" customFormat="1" ht="15.5">
      <c r="A135" s="26"/>
      <c r="B135" s="12"/>
      <c r="C135" s="30"/>
      <c r="D135" s="41"/>
      <c r="E135" s="12"/>
      <c r="F135" s="30"/>
      <c r="G135" s="41"/>
      <c r="H135" s="12"/>
      <c r="I135" s="30"/>
      <c r="J135" s="41"/>
      <c r="K135" s="12"/>
      <c r="L135" s="30"/>
      <c r="M135" s="41"/>
      <c r="N135" s="12"/>
      <c r="O135" s="30"/>
      <c r="P135" s="41"/>
      <c r="Q135" s="12"/>
      <c r="R135" s="30"/>
      <c r="S135" s="41"/>
      <c r="T135" s="12"/>
      <c r="U135" s="30"/>
      <c r="V135" s="41"/>
      <c r="W135" s="12"/>
      <c r="X135" s="30"/>
      <c r="Y135" s="41"/>
      <c r="Z135" s="12"/>
      <c r="AA135" s="30"/>
      <c r="AB135" s="41"/>
      <c r="AC135" s="12"/>
      <c r="AD135" s="30"/>
      <c r="AE135" s="41"/>
      <c r="AF135" s="12"/>
      <c r="AG135" s="30"/>
      <c r="AH135" s="41"/>
      <c r="AI135" s="12"/>
      <c r="AJ135" s="30"/>
      <c r="AK135" s="41"/>
      <c r="AL135" s="15"/>
      <c r="AM135" s="22"/>
      <c r="AO135" s="44"/>
      <c r="AP135" s="44"/>
    </row>
    <row r="136" spans="1:42" s="44" customFormat="1" ht="15.5">
      <c r="A136" s="31" t="s">
        <v>73</v>
      </c>
      <c r="B136" s="32">
        <f>'Bütçe aylık-Eur'!$B$81</f>
        <v>3205880.6433412479</v>
      </c>
      <c r="C136" s="32">
        <f>'gerç aylık-eur'!$B$80</f>
        <v>3309189.8557035588</v>
      </c>
      <c r="D136" s="18"/>
      <c r="E136" s="32">
        <f>'Bütçe aylık-Eur'!$C$81</f>
        <v>3449407.8672074927</v>
      </c>
      <c r="F136" s="32">
        <f>'gerç aylık-eur'!$C$80</f>
        <v>3062153.5744448905</v>
      </c>
      <c r="G136" s="18"/>
      <c r="H136" s="32">
        <f>'Bütçe aylık-Eur'!$D$81</f>
        <v>4266517.6462280517</v>
      </c>
      <c r="I136" s="32">
        <f>'gerç aylık-eur'!$D$80</f>
        <v>2972054.1182366908</v>
      </c>
      <c r="J136" s="18"/>
      <c r="K136" s="32">
        <f>'Bütçe aylık-Eur'!$E$81</f>
        <v>3165044.2775790938</v>
      </c>
      <c r="L136" s="32">
        <f>'gerç aylık-eur'!$E$80</f>
        <v>2416537.5790742347</v>
      </c>
      <c r="M136" s="18"/>
      <c r="N136" s="32">
        <f>'Bütçe aylık-Eur'!$F$81</f>
        <v>4098559.3789843377</v>
      </c>
      <c r="O136" s="32">
        <f>'gerç aylık-eur'!$F$80</f>
        <v>3529025.7142457194</v>
      </c>
      <c r="P136" s="18"/>
      <c r="Q136" s="32">
        <f>'Bütçe aylık-Eur'!$G$81</f>
        <v>3916178.0687885871</v>
      </c>
      <c r="R136" s="32">
        <f>'gerç aylık-eur'!$G$80</f>
        <v>2606457.8473023516</v>
      </c>
      <c r="S136" s="18"/>
      <c r="T136" s="32">
        <f>'Bütçe aylık-Eur'!$H$81</f>
        <v>3964743.6278682901</v>
      </c>
      <c r="U136" s="32">
        <f>'gerç aylık-eur'!$H$80</f>
        <v>3241295.939283777</v>
      </c>
      <c r="V136" s="18"/>
      <c r="W136" s="32">
        <f>'Bütçe aylık-Eur'!$I$81</f>
        <v>2686361.5195367858</v>
      </c>
      <c r="X136" s="32">
        <f>'gerç aylık-eur'!$I$80</f>
        <v>2697648.4852827629</v>
      </c>
      <c r="Y136" s="18"/>
      <c r="Z136" s="32">
        <f>'Bütçe aylık-Eur'!$J$81</f>
        <v>5815516.9012673702</v>
      </c>
      <c r="AA136" s="32">
        <f>'gerç aylık-eur'!$J$80</f>
        <v>4721462.6287739016</v>
      </c>
      <c r="AB136" s="18"/>
      <c r="AC136" s="32">
        <f>'Bütçe aylık-Eur'!$K$81</f>
        <v>5131508.766347222</v>
      </c>
      <c r="AD136" s="32">
        <f>'gerç aylık-eur'!$K$80</f>
        <v>0</v>
      </c>
      <c r="AE136" s="18"/>
      <c r="AF136" s="32">
        <f>'Bütçe aylık-Eur'!$L$81</f>
        <v>5009636.885367102</v>
      </c>
      <c r="AG136" s="32">
        <f>'gerç aylık-eur'!$L$80</f>
        <v>0</v>
      </c>
      <c r="AH136" s="18"/>
      <c r="AI136" s="32">
        <f>'Bütçe aylık-Eur'!$M$81</f>
        <v>3990814.4602693603</v>
      </c>
      <c r="AJ136" s="32">
        <f>'gerç aylık-eur'!$M$80</f>
        <v>0</v>
      </c>
      <c r="AK136" s="18"/>
      <c r="AL136" s="33">
        <f>AP136-AO136</f>
        <v>-1094054.2724934686</v>
      </c>
      <c r="AM136" s="34">
        <f>AP136/AO136-1</f>
        <v>-0.18812674626653436</v>
      </c>
      <c r="AO136" s="44">
        <f>IF($A$1=$B$1,B136,IF($A$1=$E$1,E136,IF($A$1=$H$1,H136,IF($A$1=$K$1,K136,IF($A$1=$N$1,N136,IF($A$1=$Q$1,Q136,IF($A$1=$T$1,T136,IF($A$1=$W$1,W136,IF($A$1=$Z$1,Z136,IF($A$1=$AC$1,AC136,IF($A$1=$AF$1,AF136,IF($A$1=$AI$1,AI136))))))))))))</f>
        <v>5815516.9012673702</v>
      </c>
      <c r="AP136" s="44">
        <f>IF($A$1=$B$1,C136,IF($A$1=$E$1,F136,IF($A$1=$H$1,I136,IF($A$1=$K$1,L136,IF($A$1=$N$1,O136,IF($A$1=$Q$1,R136,IF($A$1=$T$1,U136,IF($A$1=$W$1,X136,IF($A$1=$Z$1,AA136,IF($A$1=$AC$1,AD136,IF($A$1=$AF$1,AG136,IF($A$1=$AI$1,AJ136))))))))))))</f>
        <v>4721462.6287739016</v>
      </c>
    </row>
    <row r="137" spans="1:42" s="13" customFormat="1" ht="15.5">
      <c r="A137" s="27"/>
      <c r="B137" s="30"/>
      <c r="C137" s="30"/>
      <c r="D137" s="41"/>
      <c r="E137" s="30"/>
      <c r="F137" s="30"/>
      <c r="G137" s="41"/>
      <c r="H137" s="30"/>
      <c r="I137" s="30"/>
      <c r="J137" s="41"/>
      <c r="K137" s="30"/>
      <c r="L137" s="30"/>
      <c r="M137" s="41"/>
      <c r="N137" s="30"/>
      <c r="O137" s="30"/>
      <c r="P137" s="41"/>
      <c r="Q137" s="30"/>
      <c r="R137" s="30"/>
      <c r="S137" s="41"/>
      <c r="T137" s="30"/>
      <c r="U137" s="30"/>
      <c r="V137" s="41"/>
      <c r="W137" s="30"/>
      <c r="X137" s="30"/>
      <c r="Y137" s="41"/>
      <c r="Z137" s="30"/>
      <c r="AA137" s="30"/>
      <c r="AB137" s="41"/>
      <c r="AC137" s="30"/>
      <c r="AD137" s="30"/>
      <c r="AE137" s="41"/>
      <c r="AF137" s="30"/>
      <c r="AG137" s="30"/>
      <c r="AH137" s="41"/>
      <c r="AI137" s="30"/>
      <c r="AJ137" s="30"/>
      <c r="AK137" s="41"/>
      <c r="AL137" s="15"/>
      <c r="AM137" s="22"/>
      <c r="AO137" s="44">
        <f>IF($A$1=$B$1,B137,IF($A$1=$E$1,E137,IF($A$1=$H$1,H137,IF($A$1=$K$1,K137,IF($A$1=$N$1,N137,IF($A$1=$Q$1,Q137,IF($A$1=$T$1,T137,IF($A$1=$W$1,W137,IF($A$1=$Z$1,Z137,IF($A$1=$AC$1,AC137,IF($A$1=$AF$1,AF137,IF($A$1=$AI$1,AI137))))))))))))</f>
        <v>0</v>
      </c>
      <c r="AP137" s="44">
        <f>IF($A$1=$B$1,C137,IF($A$1=$E$1,F137,IF($A$1=$H$1,I137,IF($A$1=$K$1,L137,IF($A$1=$N$1,O137,IF($A$1=$Q$1,R137,IF($A$1=$T$1,U137,IF($A$1=$W$1,X137,IF($A$1=$Z$1,AA137,IF($A$1=$AC$1,AD137,IF($A$1=$AF$1,AG137,IF($A$1=$AI$1,AJ137))))))))))))</f>
        <v>0</v>
      </c>
    </row>
    <row r="138" spans="1:42" s="49" customFormat="1" ht="17">
      <c r="A138" s="47" t="s">
        <v>74</v>
      </c>
      <c r="B138" s="413"/>
      <c r="C138" s="413"/>
      <c r="D138" s="413"/>
      <c r="E138" s="413"/>
      <c r="F138" s="413"/>
      <c r="G138" s="413"/>
      <c r="H138" s="413"/>
      <c r="I138" s="413"/>
      <c r="J138" s="413"/>
      <c r="K138" s="413"/>
      <c r="L138" s="413"/>
      <c r="M138" s="413"/>
      <c r="N138" s="413"/>
      <c r="O138" s="413"/>
      <c r="P138" s="413"/>
      <c r="Q138" s="413"/>
      <c r="R138" s="413"/>
      <c r="S138" s="413"/>
      <c r="T138" s="413"/>
      <c r="U138" s="413"/>
      <c r="V138" s="413"/>
      <c r="W138" s="413"/>
      <c r="X138" s="413"/>
      <c r="Y138" s="413"/>
      <c r="Z138" s="413"/>
      <c r="AA138" s="413"/>
      <c r="AB138" s="413"/>
      <c r="AC138" s="413"/>
      <c r="AD138" s="413"/>
      <c r="AE138" s="413"/>
      <c r="AF138" s="413"/>
      <c r="AG138" s="413"/>
      <c r="AH138" s="413"/>
      <c r="AI138" s="413"/>
      <c r="AJ138" s="413"/>
      <c r="AK138" s="413"/>
      <c r="AL138" s="413"/>
      <c r="AM138" s="48"/>
    </row>
    <row r="139" spans="1:42" ht="15.5">
      <c r="A139" s="26" t="s">
        <v>10</v>
      </c>
      <c r="B139" s="7">
        <f>'Bütçe aylık-Eur'!$B$82</f>
        <v>341165.36249954213</v>
      </c>
      <c r="C139" s="7">
        <f>'gerç aylık-eur'!$B$81</f>
        <v>380407.00055417459</v>
      </c>
      <c r="D139" s="7"/>
      <c r="E139" s="7">
        <f>'Bütçe aylık-Eur'!$C$82</f>
        <v>368752.79352729931</v>
      </c>
      <c r="F139" s="7">
        <f>'gerç aylık-eur'!$C$81</f>
        <v>315095.84964793903</v>
      </c>
      <c r="G139" s="7"/>
      <c r="H139" s="7">
        <f>'Bütçe aylık-Eur'!$D$82</f>
        <v>340943.6997693209</v>
      </c>
      <c r="I139" s="7">
        <f>'gerç aylık-eur'!$D$81</f>
        <v>343820.37249483133</v>
      </c>
      <c r="J139" s="7"/>
      <c r="K139" s="7">
        <f>'Bütçe aylık-Eur'!$E$82</f>
        <v>341689.16814695526</v>
      </c>
      <c r="L139" s="7">
        <f>'gerç aylık-eur'!$E$81</f>
        <v>138200.96183761963</v>
      </c>
      <c r="M139" s="7"/>
      <c r="N139" s="7">
        <f>'Bütçe aylık-Eur'!$F$82</f>
        <v>355374.45956069487</v>
      </c>
      <c r="O139" s="7">
        <f>'gerç aylık-eur'!$F$81</f>
        <v>427680.06974587479</v>
      </c>
      <c r="P139" s="7"/>
      <c r="Q139" s="7">
        <f>'Bütçe aylık-Eur'!$G$82</f>
        <v>362371.33500872779</v>
      </c>
      <c r="R139" s="7">
        <f>'gerç aylık-eur'!$G$81</f>
        <v>303732.97910704644</v>
      </c>
      <c r="S139" s="7"/>
      <c r="T139" s="7">
        <f>'Bütçe aylık-Eur'!$H$82</f>
        <v>394955.26980091841</v>
      </c>
      <c r="U139" s="7">
        <f>'gerç aylık-eur'!$H$81</f>
        <v>351767.96195031086</v>
      </c>
      <c r="V139" s="7"/>
      <c r="W139" s="7">
        <f>'Bütçe aylık-Eur'!$I$82</f>
        <v>327773.11364222143</v>
      </c>
      <c r="X139" s="7">
        <f>'gerç aylık-eur'!$I$81</f>
        <v>295817.19510600832</v>
      </c>
      <c r="Y139" s="7"/>
      <c r="Z139" s="7">
        <f>'Bütçe aylık-Eur'!$J$82</f>
        <v>486568.07229369035</v>
      </c>
      <c r="AA139" s="7">
        <f>'gerç aylık-eur'!$J$81</f>
        <v>482566.44230878633</v>
      </c>
      <c r="AB139" s="7"/>
      <c r="AC139" s="7">
        <f>'Bütçe aylık-Eur'!$K$82</f>
        <v>441044.17849189293</v>
      </c>
      <c r="AD139" s="7">
        <f>'gerç aylık-eur'!$K$81</f>
        <v>0</v>
      </c>
      <c r="AE139" s="7"/>
      <c r="AF139" s="7">
        <f>'Bütçe aylık-Eur'!$L$82</f>
        <v>390385.24866550125</v>
      </c>
      <c r="AG139" s="7">
        <f>'gerç aylık-eur'!$L$81</f>
        <v>0</v>
      </c>
      <c r="AH139" s="7"/>
      <c r="AI139" s="7">
        <f>'Bütçe aylık-Eur'!$M$82</f>
        <v>-211270.31485161794</v>
      </c>
      <c r="AJ139" s="7">
        <f>'gerç aylık-eur'!$M$81</f>
        <v>0</v>
      </c>
      <c r="AK139" s="7"/>
      <c r="AL139" s="21">
        <f t="shared" ref="AL139:AL146" si="70">AP139-AO139</f>
        <v>-4001.6299849040224</v>
      </c>
      <c r="AM139" s="22">
        <f t="shared" ref="AM139:AM146" si="71">AP139/AO139-1</f>
        <v>-8.2241935152881362E-3</v>
      </c>
      <c r="AO139" s="44">
        <f t="shared" ref="AO139:AP147" si="72">IF($A$1=$B$1,B139,IF($A$1=$E$1,E139,IF($A$1=$H$1,H139,IF($A$1=$K$1,K139,IF($A$1=$N$1,N139,IF($A$1=$Q$1,Q139,IF($A$1=$T$1,T139,IF($A$1=$W$1,W139,IF($A$1=$Z$1,Z139,IF($A$1=$AC$1,AC139,IF($A$1=$AF$1,AF139,IF($A$1=$AI$1,AI139))))))))))))</f>
        <v>486568.07229369035</v>
      </c>
      <c r="AP139" s="44">
        <f t="shared" si="72"/>
        <v>482566.44230878633</v>
      </c>
    </row>
    <row r="140" spans="1:42" ht="15.5">
      <c r="A140" s="26" t="s">
        <v>11</v>
      </c>
      <c r="B140" s="7">
        <f>'Bütçe aylık-Eur'!$B$83</f>
        <v>-18617.17053831114</v>
      </c>
      <c r="C140" s="7">
        <f>'gerç aylık-eur'!$B$82</f>
        <v>-2368.1966064800008</v>
      </c>
      <c r="D140" s="7"/>
      <c r="E140" s="7">
        <f>'Bütçe aylık-Eur'!$C$83</f>
        <v>97964.850241091961</v>
      </c>
      <c r="F140" s="7">
        <f>'gerç aylık-eur'!$C$82</f>
        <v>51857.818718628572</v>
      </c>
      <c r="G140" s="7"/>
      <c r="H140" s="7">
        <f>'Bütçe aylık-Eur'!$D$83</f>
        <v>116118.11783377863</v>
      </c>
      <c r="I140" s="7">
        <f>'gerç aylık-eur'!$D$82</f>
        <v>30755.079571828453</v>
      </c>
      <c r="J140" s="7"/>
      <c r="K140" s="7">
        <f>'Bütçe aylık-Eur'!$E$83</f>
        <v>196284.05692290331</v>
      </c>
      <c r="L140" s="7">
        <f>'gerç aylık-eur'!$E$82</f>
        <v>1214.5942908320319</v>
      </c>
      <c r="M140" s="7"/>
      <c r="N140" s="7">
        <f>'Bütçe aylık-Eur'!$F$83</f>
        <v>231649.37030369221</v>
      </c>
      <c r="O140" s="7">
        <f>'gerç aylık-eur'!$F$82</f>
        <v>41123.511662190183</v>
      </c>
      <c r="P140" s="7"/>
      <c r="Q140" s="7">
        <f>'Bütçe aylık-Eur'!$G$83</f>
        <v>209532.79122804917</v>
      </c>
      <c r="R140" s="7">
        <f>'gerç aylık-eur'!$G$82</f>
        <v>33544.485576978994</v>
      </c>
      <c r="S140" s="7"/>
      <c r="T140" s="7">
        <f>'Bütçe aylık-Eur'!$H$83</f>
        <v>166234.51186336775</v>
      </c>
      <c r="U140" s="7">
        <f>'gerç aylık-eur'!$H$82</f>
        <v>61800.675683459653</v>
      </c>
      <c r="V140" s="7"/>
      <c r="W140" s="7">
        <f>'Bütçe aylık-Eur'!$I$83</f>
        <v>51306.146057511738</v>
      </c>
      <c r="X140" s="7">
        <f>'gerç aylık-eur'!$I$82</f>
        <v>27167.629690269419</v>
      </c>
      <c r="Y140" s="7"/>
      <c r="Z140" s="7">
        <f>'Bütçe aylık-Eur'!$J$83</f>
        <v>83232.73575019995</v>
      </c>
      <c r="AA140" s="7">
        <f>'gerç aylık-eur'!$J$82</f>
        <v>-23409.094708546807</v>
      </c>
      <c r="AB140" s="7"/>
      <c r="AC140" s="7">
        <f>'Bütçe aylık-Eur'!$K$83</f>
        <v>37311.762449015747</v>
      </c>
      <c r="AD140" s="7">
        <f>'gerç aylık-eur'!$K$82</f>
        <v>0</v>
      </c>
      <c r="AE140" s="7"/>
      <c r="AF140" s="7">
        <f>'Bütçe aylık-Eur'!$L$83</f>
        <v>9578.4905687767787</v>
      </c>
      <c r="AG140" s="7">
        <f>'gerç aylık-eur'!$L$82</f>
        <v>0</v>
      </c>
      <c r="AH140" s="7"/>
      <c r="AI140" s="7">
        <f>'Bütçe aylık-Eur'!$M$83</f>
        <v>-29534.41714126095</v>
      </c>
      <c r="AJ140" s="7">
        <f>'gerç aylık-eur'!$M$82</f>
        <v>0</v>
      </c>
      <c r="AK140" s="7"/>
      <c r="AL140" s="21">
        <f t="shared" si="70"/>
        <v>-106641.83045874676</v>
      </c>
      <c r="AM140" s="22">
        <f t="shared" si="71"/>
        <v>-1.2812486517180299</v>
      </c>
      <c r="AO140" s="44">
        <f t="shared" si="72"/>
        <v>83232.73575019995</v>
      </c>
      <c r="AP140" s="44">
        <f t="shared" si="72"/>
        <v>-23409.094708546807</v>
      </c>
    </row>
    <row r="141" spans="1:42" ht="15.5">
      <c r="A141" s="26" t="s">
        <v>12</v>
      </c>
      <c r="B141" s="7">
        <f>'Bütçe aylık-Eur'!$B$84</f>
        <v>-43556.491670813943</v>
      </c>
      <c r="C141" s="7">
        <f>'gerç aylık-eur'!$B$83</f>
        <v>34113.973260348394</v>
      </c>
      <c r="D141" s="7"/>
      <c r="E141" s="7">
        <f>'Bütçe aylık-Eur'!$C$84</f>
        <v>3031.0945562081774</v>
      </c>
      <c r="F141" s="7">
        <f>'gerç aylık-eur'!$C$83</f>
        <v>31761.941116273527</v>
      </c>
      <c r="G141" s="7"/>
      <c r="H141" s="7">
        <f>'Bütçe aylık-Eur'!$D$84</f>
        <v>53626.478247780244</v>
      </c>
      <c r="I141" s="7">
        <f>'gerç aylık-eur'!$D$83</f>
        <v>10233.464001178614</v>
      </c>
      <c r="J141" s="7"/>
      <c r="K141" s="7">
        <f>'Bütçe aylık-Eur'!$E$84</f>
        <v>50155.570995239636</v>
      </c>
      <c r="L141" s="7">
        <f>'gerç aylık-eur'!$E$83</f>
        <v>22768.706959891206</v>
      </c>
      <c r="M141" s="7"/>
      <c r="N141" s="7">
        <f>'Bütçe aylık-Eur'!$F$84</f>
        <v>104935.78106350743</v>
      </c>
      <c r="O141" s="7">
        <f>'gerç aylık-eur'!$F$83</f>
        <v>33560.148645639696</v>
      </c>
      <c r="P141" s="7"/>
      <c r="Q141" s="7">
        <f>'Bütçe aylık-Eur'!$G$84</f>
        <v>104549.44300020263</v>
      </c>
      <c r="R141" s="7">
        <f>'gerç aylık-eur'!$G$83</f>
        <v>16419.009706767232</v>
      </c>
      <c r="S141" s="7"/>
      <c r="T141" s="7">
        <f>'Bütçe aylık-Eur'!$H$84</f>
        <v>126956.84002626622</v>
      </c>
      <c r="U141" s="7">
        <f>'gerç aylık-eur'!$H$83</f>
        <v>28967.088413562593</v>
      </c>
      <c r="V141" s="7"/>
      <c r="W141" s="7">
        <f>'Bütçe aylık-Eur'!$I$84</f>
        <v>98933.272851864574</v>
      </c>
      <c r="X141" s="7">
        <f>'gerç aylık-eur'!$I$83</f>
        <v>22503.383377070575</v>
      </c>
      <c r="Y141" s="7"/>
      <c r="Z141" s="7">
        <f>'Bütçe aylık-Eur'!$J$84</f>
        <v>75963.200490177493</v>
      </c>
      <c r="AA141" s="7">
        <f>'gerç aylık-eur'!$J$83</f>
        <v>55231.727363882826</v>
      </c>
      <c r="AB141" s="7"/>
      <c r="AC141" s="7">
        <f>'Bütçe aylık-Eur'!$K$84</f>
        <v>95338.698039224575</v>
      </c>
      <c r="AD141" s="7">
        <f>'gerç aylık-eur'!$K$83</f>
        <v>0</v>
      </c>
      <c r="AE141" s="7"/>
      <c r="AF141" s="7">
        <f>'Bütçe aylık-Eur'!$L$84</f>
        <v>113729.49115199906</v>
      </c>
      <c r="AG141" s="7">
        <f>'gerç aylık-eur'!$L$83</f>
        <v>0</v>
      </c>
      <c r="AH141" s="7"/>
      <c r="AI141" s="7">
        <f>'Bütçe aylık-Eur'!$M$84</f>
        <v>48197.217337552443</v>
      </c>
      <c r="AJ141" s="7">
        <f>'gerç aylık-eur'!$M$83</f>
        <v>0</v>
      </c>
      <c r="AK141" s="7"/>
      <c r="AL141" s="21">
        <f t="shared" si="70"/>
        <v>-20731.473126294666</v>
      </c>
      <c r="AM141" s="22">
        <f t="shared" si="71"/>
        <v>-0.27291468753973014</v>
      </c>
      <c r="AO141" s="44">
        <f t="shared" si="72"/>
        <v>75963.200490177493</v>
      </c>
      <c r="AP141" s="44">
        <f t="shared" si="72"/>
        <v>55231.727363882826</v>
      </c>
    </row>
    <row r="142" spans="1:42" ht="15.5">
      <c r="A142" s="26" t="s">
        <v>13</v>
      </c>
      <c r="B142" s="7">
        <f>'Bütçe aylık-Eur'!$B$85</f>
        <v>1646454.613105664</v>
      </c>
      <c r="C142" s="7">
        <f>'gerç aylık-eur'!$B$84</f>
        <v>1298860.0260257791</v>
      </c>
      <c r="D142" s="7"/>
      <c r="E142" s="7">
        <f>'Bütçe aylık-Eur'!$C$85</f>
        <v>1387142.9405262491</v>
      </c>
      <c r="F142" s="7">
        <f>'gerç aylık-eur'!$C$84</f>
        <v>843773.64176496724</v>
      </c>
      <c r="G142" s="7"/>
      <c r="H142" s="7">
        <f>'Bütçe aylık-Eur'!$D$85</f>
        <v>1534134.5423019805</v>
      </c>
      <c r="I142" s="7">
        <f>'gerç aylık-eur'!$D$84</f>
        <v>-336611.62923283834</v>
      </c>
      <c r="J142" s="7"/>
      <c r="K142" s="7">
        <f>'Bütçe aylık-Eur'!$E$85</f>
        <v>1351187.9027454939</v>
      </c>
      <c r="L142" s="7">
        <f>'gerç aylık-eur'!$E$84</f>
        <v>-455070.53527475073</v>
      </c>
      <c r="M142" s="7"/>
      <c r="N142" s="7">
        <f>'Bütçe aylık-Eur'!$F$85</f>
        <v>1502659.2001843494</v>
      </c>
      <c r="O142" s="7">
        <f>'gerç aylık-eur'!$F$84</f>
        <v>-79296.600061203993</v>
      </c>
      <c r="P142" s="7"/>
      <c r="Q142" s="7">
        <f>'Bütçe aylık-Eur'!$G$85</f>
        <v>1777133.7361007934</v>
      </c>
      <c r="R142" s="7">
        <f>'gerç aylık-eur'!$G$84</f>
        <v>-695278.37053483957</v>
      </c>
      <c r="S142" s="7"/>
      <c r="T142" s="7">
        <f>'Bütçe aylık-Eur'!$H$85</f>
        <v>2240286.4476228352</v>
      </c>
      <c r="U142" s="7">
        <f>'gerç aylık-eur'!$H$84</f>
        <v>-238088.77160613221</v>
      </c>
      <c r="V142" s="7"/>
      <c r="W142" s="7">
        <f>'Bütçe aylık-Eur'!$I$85</f>
        <v>2392093.1134787095</v>
      </c>
      <c r="X142" s="7">
        <f>'gerç aylık-eur'!$I$84</f>
        <v>877144.54956139496</v>
      </c>
      <c r="Y142" s="7"/>
      <c r="Z142" s="7">
        <f>'Bütçe aylık-Eur'!$J$85</f>
        <v>2901139.0103370487</v>
      </c>
      <c r="AA142" s="7">
        <f>'gerç aylık-eur'!$J$84</f>
        <v>274349.45967932028</v>
      </c>
      <c r="AB142" s="7"/>
      <c r="AC142" s="7">
        <f>'Bütçe aylık-Eur'!$K$85</f>
        <v>3566463.0040080496</v>
      </c>
      <c r="AD142" s="7">
        <f>'gerç aylık-eur'!$K$84</f>
        <v>0</v>
      </c>
      <c r="AE142" s="7"/>
      <c r="AF142" s="7">
        <f>'Bütçe aylık-Eur'!$L$85</f>
        <v>3693515.7208973388</v>
      </c>
      <c r="AG142" s="7">
        <f>'gerç aylık-eur'!$L$84</f>
        <v>0</v>
      </c>
      <c r="AH142" s="7"/>
      <c r="AI142" s="7">
        <f>'Bütçe aylık-Eur'!$M$85</f>
        <v>4381790.584888475</v>
      </c>
      <c r="AJ142" s="7">
        <f>'gerç aylık-eur'!$M$84</f>
        <v>0</v>
      </c>
      <c r="AK142" s="7"/>
      <c r="AL142" s="21">
        <f t="shared" si="70"/>
        <v>-2626789.5506577282</v>
      </c>
      <c r="AM142" s="22">
        <f t="shared" si="71"/>
        <v>-0.905433880037535</v>
      </c>
      <c r="AO142" s="44">
        <f t="shared" si="72"/>
        <v>2901139.0103370487</v>
      </c>
      <c r="AP142" s="44">
        <f t="shared" si="72"/>
        <v>274349.45967932028</v>
      </c>
    </row>
    <row r="143" spans="1:42" s="1" customFormat="1" ht="15.5">
      <c r="A143" s="26" t="s">
        <v>14</v>
      </c>
      <c r="B143" s="7">
        <f>'Bütçe aylık-Eur'!$B$86</f>
        <v>534180.88590141328</v>
      </c>
      <c r="C143" s="7">
        <f>'gerç aylık-eur'!$B$85</f>
        <v>415753.69021301129</v>
      </c>
      <c r="D143" s="8"/>
      <c r="E143" s="7">
        <f>'Bütçe aylık-Eur'!$C$86</f>
        <v>573746.5270409832</v>
      </c>
      <c r="F143" s="7">
        <f>'gerç aylık-eur'!$C$85</f>
        <v>605906.90064015531</v>
      </c>
      <c r="G143" s="8"/>
      <c r="H143" s="7">
        <f>'Bütçe aylık-Eur'!$D$86</f>
        <v>538819.18885995017</v>
      </c>
      <c r="I143" s="7">
        <f>'gerç aylık-eur'!$D$85</f>
        <v>618184.43465496867</v>
      </c>
      <c r="J143" s="8"/>
      <c r="K143" s="7">
        <f>'Bütçe aylık-Eur'!$E$86</f>
        <v>188871.55142249414</v>
      </c>
      <c r="L143" s="7">
        <f>'gerç aylık-eur'!$E$85</f>
        <v>59823.315239479489</v>
      </c>
      <c r="M143" s="8"/>
      <c r="N143" s="7">
        <f>'Bütçe aylık-Eur'!$F$86</f>
        <v>364937.90590576065</v>
      </c>
      <c r="O143" s="7">
        <f>'gerç aylık-eur'!$F$85</f>
        <v>215972.66054124109</v>
      </c>
      <c r="P143" s="8"/>
      <c r="Q143" s="7">
        <f>'Bütçe aylık-Eur'!$G$86</f>
        <v>273973.37724022462</v>
      </c>
      <c r="R143" s="7">
        <f>'gerç aylık-eur'!$G$85</f>
        <v>270391.06281373539</v>
      </c>
      <c r="S143" s="8"/>
      <c r="T143" s="7">
        <f>'Bütçe aylık-Eur'!$H$86</f>
        <v>420395.34036950755</v>
      </c>
      <c r="U143" s="7">
        <f>'gerç aylık-eur'!$H$85</f>
        <v>500254.52469724411</v>
      </c>
      <c r="V143" s="8"/>
      <c r="W143" s="7">
        <f>'Bütçe aylık-Eur'!$I$86</f>
        <v>461067.74903326074</v>
      </c>
      <c r="X143" s="7">
        <f>'gerç aylık-eur'!$I$85</f>
        <v>533685.57321214012</v>
      </c>
      <c r="Y143" s="8"/>
      <c r="Z143" s="7">
        <f>'Bütçe aylık-Eur'!$J$86</f>
        <v>452601.1332382033</v>
      </c>
      <c r="AA143" s="7">
        <f>'gerç aylık-eur'!$J$85</f>
        <v>606400.71484512684</v>
      </c>
      <c r="AB143" s="8"/>
      <c r="AC143" s="7">
        <f>'Bütçe aylık-Eur'!$K$86</f>
        <v>621661.21190967259</v>
      </c>
      <c r="AD143" s="7">
        <f>'gerç aylık-eur'!$K$85</f>
        <v>0</v>
      </c>
      <c r="AE143" s="8"/>
      <c r="AF143" s="7">
        <f>'Bütçe aylık-Eur'!$L$86</f>
        <v>508589.83214772143</v>
      </c>
      <c r="AG143" s="7">
        <f>'gerç aylık-eur'!$L$85</f>
        <v>0</v>
      </c>
      <c r="AH143" s="8"/>
      <c r="AI143" s="7">
        <f>'Bütçe aylık-Eur'!$M$86</f>
        <v>398273.51730124035</v>
      </c>
      <c r="AJ143" s="7">
        <f>'gerç aylık-eur'!$M$85</f>
        <v>0</v>
      </c>
      <c r="AK143" s="8"/>
      <c r="AL143" s="21">
        <f t="shared" si="70"/>
        <v>153799.58160692354</v>
      </c>
      <c r="AM143" s="22">
        <f t="shared" si="71"/>
        <v>0.33981263039829601</v>
      </c>
      <c r="AO143" s="44">
        <f t="shared" si="72"/>
        <v>452601.1332382033</v>
      </c>
      <c r="AP143" s="44">
        <f t="shared" si="72"/>
        <v>606400.71484512684</v>
      </c>
    </row>
    <row r="144" spans="1:42" ht="15.5">
      <c r="A144" s="26" t="s">
        <v>15</v>
      </c>
      <c r="B144" s="7">
        <f>'Bütçe aylık-Eur'!$B$87</f>
        <v>1012467.2781730001</v>
      </c>
      <c r="C144" s="7">
        <f>'gerç aylık-eur'!$B$86</f>
        <v>1167511.44</v>
      </c>
      <c r="D144" s="7"/>
      <c r="E144" s="7">
        <f>'Bütçe aylık-Eur'!$C$87</f>
        <v>1467648.6538410001</v>
      </c>
      <c r="F144" s="7">
        <f>'gerç aylık-eur'!$C$86</f>
        <v>1650340.06</v>
      </c>
      <c r="G144" s="7"/>
      <c r="H144" s="7">
        <f>'Bütçe aylık-Eur'!$D$87</f>
        <v>3024901.4933499997</v>
      </c>
      <c r="I144" s="7">
        <f>'gerç aylık-eur'!$D$86</f>
        <v>2143811.7000000002</v>
      </c>
      <c r="J144" s="7"/>
      <c r="K144" s="7">
        <f>'Bütçe aylık-Eur'!$E$87</f>
        <v>885044.63279800024</v>
      </c>
      <c r="L144" s="7">
        <f>'gerç aylık-eur'!$E$86</f>
        <v>1748151.0899999999</v>
      </c>
      <c r="M144" s="7"/>
      <c r="N144" s="7">
        <f>'Bütçe aylık-Eur'!$F$87</f>
        <v>1593694.0084239999</v>
      </c>
      <c r="O144" s="7">
        <f>'gerç aylık-eur'!$F$86</f>
        <v>2007727.87</v>
      </c>
      <c r="P144" s="7"/>
      <c r="Q144" s="7">
        <f>'Bütçe aylık-Eur'!$G$87</f>
        <v>2387687.9588659992</v>
      </c>
      <c r="R144" s="7">
        <f>'gerç aylık-eur'!$G$86</f>
        <v>2032759.0700000003</v>
      </c>
      <c r="S144" s="7"/>
      <c r="T144" s="7">
        <f>'Bütçe aylık-Eur'!$H$87</f>
        <v>938704.74252400175</v>
      </c>
      <c r="U144" s="7">
        <f>'gerç aylık-eur'!$H$86</f>
        <v>1876362.18</v>
      </c>
      <c r="V144" s="7"/>
      <c r="W144" s="7">
        <f>'Bütçe aylık-Eur'!$I$87</f>
        <v>558804.25722699985</v>
      </c>
      <c r="X144" s="7">
        <f>'gerç aylık-eur'!$I$86</f>
        <v>1515795.7699999996</v>
      </c>
      <c r="Y144" s="7"/>
      <c r="Z144" s="7">
        <f>'Bütçe aylık-Eur'!$J$87</f>
        <v>3422154.6769899991</v>
      </c>
      <c r="AA144" s="7">
        <f>'gerç aylık-eur'!$J$86</f>
        <v>2866032.6400000006</v>
      </c>
      <c r="AB144" s="7"/>
      <c r="AC144" s="7">
        <f>'Bütçe aylık-Eur'!$K$87</f>
        <v>1907648.2743740007</v>
      </c>
      <c r="AD144" s="7">
        <f>'gerç aylık-eur'!$K$86</f>
        <v>0</v>
      </c>
      <c r="AE144" s="7"/>
      <c r="AF144" s="7">
        <f>'Bütçe aylık-Eur'!$L$87</f>
        <v>1897892.122373</v>
      </c>
      <c r="AG144" s="7">
        <f>'gerç aylık-eur'!$L$86</f>
        <v>0</v>
      </c>
      <c r="AH144" s="7"/>
      <c r="AI144" s="7">
        <f>'Bütçe aylık-Eur'!$M$87</f>
        <v>2065770.0140880013</v>
      </c>
      <c r="AJ144" s="7">
        <f>'gerç aylık-eur'!$M$86</f>
        <v>0</v>
      </c>
      <c r="AK144" s="7"/>
      <c r="AL144" s="21">
        <f t="shared" si="70"/>
        <v>-556122.03698999854</v>
      </c>
      <c r="AM144" s="22">
        <f t="shared" si="71"/>
        <v>-0.16250640005528416</v>
      </c>
      <c r="AO144" s="44">
        <f t="shared" si="72"/>
        <v>3422154.6769899991</v>
      </c>
      <c r="AP144" s="44">
        <f t="shared" si="72"/>
        <v>2866032.6400000006</v>
      </c>
    </row>
    <row r="145" spans="1:42" ht="15.5">
      <c r="A145" s="26" t="s">
        <v>16</v>
      </c>
      <c r="B145" s="7">
        <f>'Bütçe aylık-Eur'!$B$88</f>
        <v>1547501.2063069998</v>
      </c>
      <c r="C145" s="7">
        <f>'gerç aylık-eur'!$B$87</f>
        <v>1609449.64</v>
      </c>
      <c r="D145" s="7"/>
      <c r="E145" s="7">
        <f>'Bütçe aylık-Eur'!$C$88</f>
        <v>1363446.5006800001</v>
      </c>
      <c r="F145" s="7">
        <f>'gerç aylık-eur'!$C$87</f>
        <v>2175288.5200000005</v>
      </c>
      <c r="G145" s="7"/>
      <c r="H145" s="7">
        <f>'Bütçe aylık-Eur'!$D$88</f>
        <v>1939848.0076940004</v>
      </c>
      <c r="I145" s="7">
        <f>'gerç aylık-eur'!$D$87</f>
        <v>2056165.3399999999</v>
      </c>
      <c r="J145" s="7"/>
      <c r="K145" s="7">
        <f>'Bütçe aylık-Eur'!$E$88</f>
        <v>1888239.6357149994</v>
      </c>
      <c r="L145" s="7">
        <f>'gerç aylık-eur'!$E$87</f>
        <v>2469112.79</v>
      </c>
      <c r="M145" s="7"/>
      <c r="N145" s="7">
        <f>'Bütçe aylık-Eur'!$F$88</f>
        <v>1989346.7921070009</v>
      </c>
      <c r="O145" s="7">
        <f>'gerç aylık-eur'!$F$87</f>
        <v>1901468.8199999994</v>
      </c>
      <c r="P145" s="7"/>
      <c r="Q145" s="7">
        <f>'Bütçe aylık-Eur'!$G$88</f>
        <v>1625433.0654879997</v>
      </c>
      <c r="R145" s="7">
        <f>'gerç aylık-eur'!$G$87</f>
        <v>1841284.6500000004</v>
      </c>
      <c r="S145" s="7"/>
      <c r="T145" s="7">
        <f>'Bütçe aylık-Eur'!$H$88</f>
        <v>1431272.5608350001</v>
      </c>
      <c r="U145" s="7">
        <f>'gerç aylık-eur'!$H$87</f>
        <v>2395170.7699999996</v>
      </c>
      <c r="V145" s="7"/>
      <c r="W145" s="7">
        <f>'Bütçe aylık-Eur'!$I$88</f>
        <v>925450.61057099898</v>
      </c>
      <c r="X145" s="7">
        <f>'gerç aylık-eur'!$I$87</f>
        <v>1707572.620000001</v>
      </c>
      <c r="Y145" s="7"/>
      <c r="Z145" s="7">
        <f>'Bütçe aylık-Eur'!$J$88</f>
        <v>2241091.888642</v>
      </c>
      <c r="AA145" s="7">
        <f>'gerç aylık-eur'!$J$87</f>
        <v>3117004.5600000005</v>
      </c>
      <c r="AB145" s="7"/>
      <c r="AC145" s="7">
        <f>'Bütçe aylık-Eur'!$K$88</f>
        <v>2047772.0803010017</v>
      </c>
      <c r="AD145" s="7">
        <f>'gerç aylık-eur'!$K$87</f>
        <v>0</v>
      </c>
      <c r="AE145" s="7"/>
      <c r="AF145" s="7">
        <f>'Bütçe aylık-Eur'!$L$88</f>
        <v>1922869.7145939991</v>
      </c>
      <c r="AG145" s="7">
        <f>'gerç aylık-eur'!$L$87</f>
        <v>0</v>
      </c>
      <c r="AH145" s="7"/>
      <c r="AI145" s="7">
        <f>'Bütçe aylık-Eur'!$M$88</f>
        <v>1217979.2206769995</v>
      </c>
      <c r="AJ145" s="7">
        <f>'gerç aylık-eur'!$M$87</f>
        <v>0</v>
      </c>
      <c r="AK145" s="7"/>
      <c r="AL145" s="21">
        <f t="shared" si="70"/>
        <v>875912.67135800049</v>
      </c>
      <c r="AM145" s="22">
        <f t="shared" si="71"/>
        <v>0.39084192656141559</v>
      </c>
      <c r="AO145" s="44">
        <f t="shared" si="72"/>
        <v>2241091.888642</v>
      </c>
      <c r="AP145" s="44">
        <f t="shared" si="72"/>
        <v>3117004.5600000005</v>
      </c>
    </row>
    <row r="146" spans="1:42" ht="15.5">
      <c r="A146" s="26" t="s">
        <v>17</v>
      </c>
      <c r="B146" s="7">
        <f>'Bütçe aylık-Eur'!$B$89</f>
        <v>2576618.37414</v>
      </c>
      <c r="C146" s="7">
        <f>'gerç aylık-eur'!$B$88</f>
        <v>2751017.8999999994</v>
      </c>
      <c r="D146" s="7"/>
      <c r="E146" s="7">
        <f>'Bütçe aylık-Eur'!$C$89</f>
        <v>2657163.2001189995</v>
      </c>
      <c r="F146" s="7">
        <f>'gerç aylık-eur'!$C$88</f>
        <v>1383285.7899999998</v>
      </c>
      <c r="G146" s="7"/>
      <c r="H146" s="7">
        <f>'Bütçe aylık-Eur'!$D$89</f>
        <v>2351870.1437370004</v>
      </c>
      <c r="I146" s="7">
        <f>'gerç aylık-eur'!$D$88</f>
        <v>1986563.16</v>
      </c>
      <c r="J146" s="7"/>
      <c r="K146" s="7">
        <f>'Bütçe aylık-Eur'!$E$89</f>
        <v>2128944.9811040005</v>
      </c>
      <c r="L146" s="7">
        <f>'gerç aylık-eur'!$E$88</f>
        <v>1813866.6300000008</v>
      </c>
      <c r="M146" s="7"/>
      <c r="N146" s="7">
        <f>'Bütçe aylık-Eur'!$F$89</f>
        <v>3065861.5135199986</v>
      </c>
      <c r="O146" s="7">
        <f>'gerç aylık-eur'!$F$88</f>
        <v>3520782.209999999</v>
      </c>
      <c r="P146" s="7"/>
      <c r="Q146" s="7">
        <f>'Bütçe aylık-Eur'!$G$89</f>
        <v>2035083.111184001</v>
      </c>
      <c r="R146" s="7">
        <f>'gerç aylık-eur'!$G$88</f>
        <v>2182747.0200000014</v>
      </c>
      <c r="S146" s="7"/>
      <c r="T146" s="7">
        <f>'Bütçe aylık-Eur'!$H$89</f>
        <v>3160833.4240929992</v>
      </c>
      <c r="U146" s="7">
        <f>'gerç aylık-eur'!$H$88</f>
        <v>2463201.8299999982</v>
      </c>
      <c r="V146" s="7"/>
      <c r="W146" s="7">
        <f>'Bütçe aylık-Eur'!$I$89</f>
        <v>1183456.7371530011</v>
      </c>
      <c r="X146" s="7">
        <f>'gerç aylık-eur'!$I$88</f>
        <v>1246202.1799999997</v>
      </c>
      <c r="Y146" s="7"/>
      <c r="Z146" s="7">
        <f>'Bütçe aylık-Eur'!$J$89</f>
        <v>3907395.5226260014</v>
      </c>
      <c r="AA146" s="7">
        <f>'gerç aylık-eur'!$J$88</f>
        <v>3653896.5100000016</v>
      </c>
      <c r="AB146" s="7"/>
      <c r="AC146" s="7">
        <f>'Bütçe aylık-Eur'!$K$89</f>
        <v>3250990.7478249967</v>
      </c>
      <c r="AD146" s="7">
        <f>'gerç aylık-eur'!$K$88</f>
        <v>0</v>
      </c>
      <c r="AE146" s="7"/>
      <c r="AF146" s="7">
        <f>'Bütçe aylık-Eur'!$L$89</f>
        <v>3216991.7474400029</v>
      </c>
      <c r="AG146" s="7">
        <f>'gerç aylık-eur'!$L$88</f>
        <v>0</v>
      </c>
      <c r="AH146" s="7"/>
      <c r="AI146" s="7">
        <f>'Bütçe aylık-Eur'!$M$89</f>
        <v>2394741.6003569998</v>
      </c>
      <c r="AJ146" s="7">
        <f>'gerç aylık-eur'!$M$88</f>
        <v>0</v>
      </c>
      <c r="AK146" s="7"/>
      <c r="AL146" s="21">
        <f t="shared" si="70"/>
        <v>-253499.01262599975</v>
      </c>
      <c r="AM146" s="22">
        <f t="shared" si="71"/>
        <v>-6.487672188753324E-2</v>
      </c>
      <c r="AO146" s="44">
        <f t="shared" si="72"/>
        <v>3907395.5226260014</v>
      </c>
      <c r="AP146" s="44">
        <f t="shared" si="72"/>
        <v>3653896.5100000016</v>
      </c>
    </row>
    <row r="147" spans="1:42" ht="15.5">
      <c r="A147" s="26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21"/>
      <c r="AM147" s="22"/>
      <c r="AO147" s="44">
        <f t="shared" si="72"/>
        <v>0</v>
      </c>
      <c r="AP147" s="44">
        <f t="shared" si="72"/>
        <v>0</v>
      </c>
    </row>
    <row r="148" spans="1:42">
      <c r="A148" s="2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5"/>
    </row>
    <row r="149" spans="1:42" s="49" customFormat="1" ht="17">
      <c r="A149" s="47" t="s">
        <v>75</v>
      </c>
      <c r="B149" s="413"/>
      <c r="C149" s="413"/>
      <c r="D149" s="413"/>
      <c r="E149" s="413"/>
      <c r="F149" s="413"/>
      <c r="G149" s="413"/>
      <c r="H149" s="413"/>
      <c r="I149" s="413"/>
      <c r="J149" s="413"/>
      <c r="K149" s="413"/>
      <c r="L149" s="413"/>
      <c r="M149" s="413"/>
      <c r="N149" s="413"/>
      <c r="O149" s="413"/>
      <c r="P149" s="413"/>
      <c r="Q149" s="413"/>
      <c r="R149" s="413"/>
      <c r="S149" s="413"/>
      <c r="T149" s="413"/>
      <c r="U149" s="413"/>
      <c r="V149" s="413"/>
      <c r="W149" s="413"/>
      <c r="X149" s="413"/>
      <c r="Y149" s="413"/>
      <c r="Z149" s="413"/>
      <c r="AA149" s="413"/>
      <c r="AB149" s="413"/>
      <c r="AC149" s="413"/>
      <c r="AD149" s="413"/>
      <c r="AE149" s="413"/>
      <c r="AF149" s="413"/>
      <c r="AG149" s="413"/>
      <c r="AH149" s="413"/>
      <c r="AI149" s="413"/>
      <c r="AJ149" s="413"/>
      <c r="AK149" s="413"/>
      <c r="AL149" s="413"/>
      <c r="AM149" s="48"/>
    </row>
    <row r="150" spans="1:42" s="13" customFormat="1" ht="15.5">
      <c r="A150" s="26" t="s">
        <v>10</v>
      </c>
      <c r="B150" s="111">
        <f>B139/B9</f>
        <v>0.47723387197144063</v>
      </c>
      <c r="C150" s="111">
        <f>C139/C9</f>
        <v>0.50411919491446466</v>
      </c>
      <c r="D150" s="41"/>
      <c r="E150" s="12">
        <f t="shared" ref="E150:F157" si="73">E139/E9</f>
        <v>0.5096797491272832</v>
      </c>
      <c r="F150" s="12">
        <f t="shared" si="73"/>
        <v>0.43466123698665982</v>
      </c>
      <c r="G150" s="41"/>
      <c r="H150" s="12">
        <f t="shared" ref="H150:I157" si="74">H139/H9</f>
        <v>0.42076650690351319</v>
      </c>
      <c r="I150" s="12">
        <f t="shared" si="74"/>
        <v>0.43447237502175973</v>
      </c>
      <c r="J150" s="41"/>
      <c r="K150" s="12">
        <f t="shared" ref="K150:L157" si="75">K139/K9</f>
        <v>0.46010814484634083</v>
      </c>
      <c r="L150" s="12">
        <f t="shared" si="75"/>
        <v>0.20057693819949785</v>
      </c>
      <c r="M150" s="41"/>
      <c r="N150" s="12">
        <f t="shared" ref="N150:O157" si="76">N139/N9</f>
        <v>0.45574839734849087</v>
      </c>
      <c r="O150" s="12">
        <f t="shared" si="76"/>
        <v>0.54944834354300776</v>
      </c>
      <c r="P150" s="41"/>
      <c r="Q150" s="12">
        <f t="shared" ref="Q150:R157" si="77">Q139/Q9</f>
        <v>0.47522147367314371</v>
      </c>
      <c r="R150" s="12">
        <f t="shared" si="77"/>
        <v>0.45444008637341982</v>
      </c>
      <c r="S150" s="41"/>
      <c r="T150" s="12">
        <f t="shared" ref="T150:U157" si="78">T139/T9</f>
        <v>0.52196705759189654</v>
      </c>
      <c r="U150" s="12">
        <f t="shared" si="78"/>
        <v>0.48191988438666211</v>
      </c>
      <c r="V150" s="41"/>
      <c r="W150" s="12">
        <f t="shared" ref="W150:X157" si="79">W139/W9</f>
        <v>0.48834601875891431</v>
      </c>
      <c r="X150" s="12">
        <f t="shared" si="79"/>
        <v>0.48993574961996805</v>
      </c>
      <c r="Y150" s="41"/>
      <c r="Z150" s="12">
        <f t="shared" ref="Z150:AA157" si="80">Z139/Z9</f>
        <v>0.55546893101583461</v>
      </c>
      <c r="AA150" s="12">
        <f t="shared" si="80"/>
        <v>0.61087749104325806</v>
      </c>
      <c r="AB150" s="41"/>
      <c r="AC150" s="12">
        <f t="shared" ref="AC150:AD157" si="81">AC139/AC9</f>
        <v>0.51769327197732906</v>
      </c>
      <c r="AD150" s="12" t="e">
        <f t="shared" si="81"/>
        <v>#DIV/0!</v>
      </c>
      <c r="AE150" s="41"/>
      <c r="AF150" s="12">
        <f t="shared" ref="AF150:AG157" si="82">AF139/AF9</f>
        <v>0.47802690489922728</v>
      </c>
      <c r="AG150" s="12" t="e">
        <f t="shared" si="82"/>
        <v>#DIV/0!</v>
      </c>
      <c r="AH150" s="41"/>
      <c r="AI150" s="12">
        <f t="shared" ref="AI150:AJ157" si="83">AI139/AI9</f>
        <v>-0.29050882733350086</v>
      </c>
      <c r="AJ150" s="12" t="e">
        <f t="shared" si="83"/>
        <v>#DIV/0!</v>
      </c>
      <c r="AK150" s="41"/>
      <c r="AL150" s="15"/>
      <c r="AM150" s="22">
        <f>AP150-AO150</f>
        <v>5.5408560027423448E-2</v>
      </c>
      <c r="AO150" s="44">
        <f t="shared" ref="AO150:AP157" si="84">IF($A$1=$B$1,B150,IF($A$1=$E$1,E150,IF($A$1=$H$1,H150,IF($A$1=$K$1,K150,IF($A$1=$N$1,N150,IF($A$1=$Q$1,Q150,IF($A$1=$T$1,T150,IF($A$1=$W$1,W150,IF($A$1=$Z$1,Z150,IF($A$1=$AC$1,AC150,IF($A$1=$AF$1,AF150,IF($A$1=$AI$1,AI150))))))))))))</f>
        <v>0.55546893101583461</v>
      </c>
      <c r="AP150" s="44">
        <f t="shared" si="84"/>
        <v>0.61087749104325806</v>
      </c>
    </row>
    <row r="151" spans="1:42" s="13" customFormat="1" ht="15.5">
      <c r="A151" s="26" t="s">
        <v>11</v>
      </c>
      <c r="B151" s="111">
        <f t="shared" ref="B151:C157" si="85">B140/B10</f>
        <v>-2.2317649173043737E-2</v>
      </c>
      <c r="C151" s="111">
        <f t="shared" si="85"/>
        <v>-2.6852104529712815E-3</v>
      </c>
      <c r="D151" s="41"/>
      <c r="E151" s="12">
        <f t="shared" si="73"/>
        <v>0.1012555283523864</v>
      </c>
      <c r="F151" s="12">
        <f t="shared" si="73"/>
        <v>5.5370721573593858E-2</v>
      </c>
      <c r="G151" s="41"/>
      <c r="H151" s="12">
        <f t="shared" si="74"/>
        <v>0.11769333360028907</v>
      </c>
      <c r="I151" s="12">
        <f t="shared" si="74"/>
        <v>4.4179917752043336E-2</v>
      </c>
      <c r="J151" s="41"/>
      <c r="K151" s="12">
        <f t="shared" si="75"/>
        <v>0.18503118556349632</v>
      </c>
      <c r="L151" s="12">
        <f t="shared" si="75"/>
        <v>2.6007541076946629E-3</v>
      </c>
      <c r="M151" s="41"/>
      <c r="N151" s="12">
        <f t="shared" si="76"/>
        <v>0.2324138782429068</v>
      </c>
      <c r="O151" s="12">
        <f t="shared" si="76"/>
        <v>5.832527834402719E-2</v>
      </c>
      <c r="P151" s="41"/>
      <c r="Q151" s="12">
        <f t="shared" si="77"/>
        <v>0.2060148817237536</v>
      </c>
      <c r="R151" s="12">
        <f t="shared" si="77"/>
        <v>5.2939474732269877E-2</v>
      </c>
      <c r="S151" s="41"/>
      <c r="T151" s="12">
        <f t="shared" si="78"/>
        <v>0.19460321503927783</v>
      </c>
      <c r="U151" s="12">
        <f t="shared" si="78"/>
        <v>8.9094106836495823E-2</v>
      </c>
      <c r="V151" s="41"/>
      <c r="W151" s="12">
        <f t="shared" si="79"/>
        <v>8.6012084697812768E-2</v>
      </c>
      <c r="X151" s="12">
        <f t="shared" si="79"/>
        <v>5.4284100605552846E-2</v>
      </c>
      <c r="Y151" s="41"/>
      <c r="Z151" s="12">
        <f t="shared" si="80"/>
        <v>0.13198889095783289</v>
      </c>
      <c r="AA151" s="12">
        <f t="shared" si="80"/>
        <v>-5.1624309841853511E-2</v>
      </c>
      <c r="AB151" s="41"/>
      <c r="AC151" s="12">
        <f t="shared" si="81"/>
        <v>6.9297598883749728E-2</v>
      </c>
      <c r="AD151" s="12" t="e">
        <f t="shared" si="81"/>
        <v>#DIV/0!</v>
      </c>
      <c r="AE151" s="41"/>
      <c r="AF151" s="12">
        <f t="shared" si="82"/>
        <v>1.9763079897757697E-2</v>
      </c>
      <c r="AG151" s="12" t="e">
        <f t="shared" si="82"/>
        <v>#DIV/0!</v>
      </c>
      <c r="AH151" s="41"/>
      <c r="AI151" s="12">
        <f t="shared" si="83"/>
        <v>-6.8310113020669208E-2</v>
      </c>
      <c r="AJ151" s="12" t="e">
        <f t="shared" si="83"/>
        <v>#DIV/0!</v>
      </c>
      <c r="AK151" s="41"/>
      <c r="AL151" s="15"/>
      <c r="AM151" s="22">
        <f t="shared" ref="AM151:AM157" si="86">AP151-AO151</f>
        <v>-0.1836132007996864</v>
      </c>
      <c r="AO151" s="44">
        <f t="shared" si="84"/>
        <v>0.13198889095783289</v>
      </c>
      <c r="AP151" s="44">
        <f t="shared" si="84"/>
        <v>-5.1624309841853511E-2</v>
      </c>
    </row>
    <row r="152" spans="1:42" s="13" customFormat="1" ht="15.5">
      <c r="A152" s="26" t="s">
        <v>12</v>
      </c>
      <c r="B152" s="111">
        <f t="shared" si="85"/>
        <v>-4.3815413651783652E-2</v>
      </c>
      <c r="C152" s="111">
        <f t="shared" si="85"/>
        <v>3.5243493079768241E-2</v>
      </c>
      <c r="D152" s="41"/>
      <c r="E152" s="12">
        <f t="shared" si="73"/>
        <v>3.0697483204440604E-3</v>
      </c>
      <c r="F152" s="12">
        <f t="shared" si="73"/>
        <v>3.057350596428459E-2</v>
      </c>
      <c r="G152" s="41"/>
      <c r="H152" s="12">
        <f t="shared" si="74"/>
        <v>4.1494142659519645E-2</v>
      </c>
      <c r="I152" s="12">
        <f t="shared" si="74"/>
        <v>6.7367728614713259E-3</v>
      </c>
      <c r="J152" s="41"/>
      <c r="K152" s="12">
        <f t="shared" si="75"/>
        <v>3.7404478274379434E-2</v>
      </c>
      <c r="L152" s="12">
        <f t="shared" si="75"/>
        <v>1.7995376327445221E-2</v>
      </c>
      <c r="M152" s="41"/>
      <c r="N152" s="12">
        <f t="shared" si="76"/>
        <v>7.2314532070214918E-2</v>
      </c>
      <c r="O152" s="12">
        <f t="shared" si="76"/>
        <v>4.4895201858245075E-2</v>
      </c>
      <c r="P152" s="41"/>
      <c r="Q152" s="12">
        <f t="shared" si="77"/>
        <v>7.193676542073707E-2</v>
      </c>
      <c r="R152" s="12">
        <f t="shared" si="77"/>
        <v>1.8251132053583544E-2</v>
      </c>
      <c r="S152" s="41"/>
      <c r="T152" s="12">
        <f t="shared" si="78"/>
        <v>7.1187028249072012E-2</v>
      </c>
      <c r="U152" s="12">
        <f t="shared" si="78"/>
        <v>3.124154417657226E-2</v>
      </c>
      <c r="V152" s="41"/>
      <c r="W152" s="12">
        <f t="shared" si="79"/>
        <v>6.8841291342201266E-2</v>
      </c>
      <c r="X152" s="12">
        <f t="shared" si="79"/>
        <v>2.7058544528545916E-2</v>
      </c>
      <c r="Y152" s="41"/>
      <c r="Z152" s="12">
        <f t="shared" si="80"/>
        <v>5.3692541191400871E-2</v>
      </c>
      <c r="AA152" s="12">
        <f t="shared" si="80"/>
        <v>6.2011106482132691E-2</v>
      </c>
      <c r="AB152" s="41"/>
      <c r="AC152" s="12">
        <f t="shared" si="81"/>
        <v>6.5506929362494429E-2</v>
      </c>
      <c r="AD152" s="12" t="e">
        <f t="shared" si="81"/>
        <v>#DIV/0!</v>
      </c>
      <c r="AE152" s="41"/>
      <c r="AF152" s="12">
        <f t="shared" si="82"/>
        <v>6.573676851119227E-2</v>
      </c>
      <c r="AG152" s="12" t="e">
        <f t="shared" si="82"/>
        <v>#DIV/0!</v>
      </c>
      <c r="AH152" s="41"/>
      <c r="AI152" s="12">
        <f t="shared" si="83"/>
        <v>3.252166616240925E-2</v>
      </c>
      <c r="AJ152" s="12" t="e">
        <f t="shared" si="83"/>
        <v>#DIV/0!</v>
      </c>
      <c r="AK152" s="41"/>
      <c r="AL152" s="15"/>
      <c r="AM152" s="22">
        <f t="shared" si="86"/>
        <v>8.3185652907318205E-3</v>
      </c>
      <c r="AO152" s="44">
        <f t="shared" si="84"/>
        <v>5.3692541191400871E-2</v>
      </c>
      <c r="AP152" s="44">
        <f t="shared" si="84"/>
        <v>6.2011106482132691E-2</v>
      </c>
    </row>
    <row r="153" spans="1:42" s="13" customFormat="1" ht="15.5">
      <c r="A153" s="26" t="s">
        <v>13</v>
      </c>
      <c r="B153" s="111">
        <f t="shared" si="85"/>
        <v>8.6185712712452081E-2</v>
      </c>
      <c r="C153" s="111">
        <f t="shared" si="85"/>
        <v>6.0865880843644249E-2</v>
      </c>
      <c r="D153" s="41"/>
      <c r="E153" s="12">
        <f t="shared" si="73"/>
        <v>7.1338522860308437E-2</v>
      </c>
      <c r="F153" s="12">
        <f t="shared" si="73"/>
        <v>5.5769471186148015E-2</v>
      </c>
      <c r="G153" s="41"/>
      <c r="H153" s="12">
        <f t="shared" si="74"/>
        <v>7.5384057111606492E-2</v>
      </c>
      <c r="I153" s="12">
        <f t="shared" si="74"/>
        <v>-2.6399776395552441E-2</v>
      </c>
      <c r="J153" s="41"/>
      <c r="K153" s="12">
        <f t="shared" si="75"/>
        <v>6.9668717577113209E-2</v>
      </c>
      <c r="L153" s="12">
        <f t="shared" si="75"/>
        <v>-3.6595891888859408E-2</v>
      </c>
      <c r="M153" s="41"/>
      <c r="N153" s="12">
        <f t="shared" si="76"/>
        <v>8.0602952183470536E-2</v>
      </c>
      <c r="O153" s="12">
        <f t="shared" si="76"/>
        <v>-5.560975412836202E-3</v>
      </c>
      <c r="P153" s="41"/>
      <c r="Q153" s="12">
        <f t="shared" si="77"/>
        <v>9.4810466544102245E-2</v>
      </c>
      <c r="R153" s="12">
        <f t="shared" si="77"/>
        <v>-8.0108197462630357E-2</v>
      </c>
      <c r="S153" s="41"/>
      <c r="T153" s="12">
        <f t="shared" si="78"/>
        <v>0.10234756180963171</v>
      </c>
      <c r="U153" s="12">
        <f t="shared" si="78"/>
        <v>-1.4534607118954051E-2</v>
      </c>
      <c r="V153" s="41"/>
      <c r="W153" s="12">
        <f t="shared" si="79"/>
        <v>0.11340281362114299</v>
      </c>
      <c r="X153" s="12">
        <f t="shared" si="79"/>
        <v>6.1358893639011973E-2</v>
      </c>
      <c r="Y153" s="41"/>
      <c r="Z153" s="12">
        <f t="shared" si="80"/>
        <v>0.12869364530129607</v>
      </c>
      <c r="AA153" s="12">
        <f t="shared" si="80"/>
        <v>2.5496426470138327E-2</v>
      </c>
      <c r="AB153" s="41"/>
      <c r="AC153" s="12">
        <f t="shared" si="81"/>
        <v>0.1387462918325004</v>
      </c>
      <c r="AD153" s="12" t="e">
        <f t="shared" si="81"/>
        <v>#DIV/0!</v>
      </c>
      <c r="AE153" s="41"/>
      <c r="AF153" s="12">
        <f t="shared" si="82"/>
        <v>0.14456512129111429</v>
      </c>
      <c r="AG153" s="12" t="e">
        <f t="shared" si="82"/>
        <v>#DIV/0!</v>
      </c>
      <c r="AH153" s="41"/>
      <c r="AI153" s="12">
        <f t="shared" si="83"/>
        <v>0.16832398411668253</v>
      </c>
      <c r="AJ153" s="12" t="e">
        <f t="shared" si="83"/>
        <v>#DIV/0!</v>
      </c>
      <c r="AK153" s="41"/>
      <c r="AL153" s="15"/>
      <c r="AM153" s="22">
        <f t="shared" si="86"/>
        <v>-0.10319721883115773</v>
      </c>
      <c r="AO153" s="44">
        <f t="shared" si="84"/>
        <v>0.12869364530129607</v>
      </c>
      <c r="AP153" s="44">
        <f t="shared" si="84"/>
        <v>2.5496426470138327E-2</v>
      </c>
    </row>
    <row r="154" spans="1:42" s="13" customFormat="1" ht="15.5">
      <c r="A154" s="26" t="s">
        <v>14</v>
      </c>
      <c r="B154" s="111">
        <f t="shared" si="85"/>
        <v>8.0809931957923811E-2</v>
      </c>
      <c r="C154" s="111">
        <f t="shared" si="85"/>
        <v>6.9124267107037049E-2</v>
      </c>
      <c r="D154" s="41"/>
      <c r="E154" s="12">
        <f t="shared" si="73"/>
        <v>8.3989716890047542E-2</v>
      </c>
      <c r="F154" s="12">
        <f t="shared" si="73"/>
        <v>0.10648755923881281</v>
      </c>
      <c r="G154" s="41"/>
      <c r="H154" s="12">
        <f t="shared" si="74"/>
        <v>7.9658194438491217E-2</v>
      </c>
      <c r="I154" s="12">
        <f t="shared" si="74"/>
        <v>9.6213925360652819E-2</v>
      </c>
      <c r="J154" s="41"/>
      <c r="K154" s="12">
        <f t="shared" si="75"/>
        <v>2.8083879263124795E-2</v>
      </c>
      <c r="L154" s="12">
        <f t="shared" si="75"/>
        <v>1.1753965257750722E-2</v>
      </c>
      <c r="M154" s="41"/>
      <c r="N154" s="12">
        <f t="shared" si="76"/>
        <v>5.2890070607120067E-2</v>
      </c>
      <c r="O154" s="12">
        <f t="shared" si="76"/>
        <v>3.8413811366388453E-2</v>
      </c>
      <c r="P154" s="41"/>
      <c r="Q154" s="12">
        <f t="shared" si="77"/>
        <v>4.8487507677208191E-2</v>
      </c>
      <c r="R154" s="12">
        <f t="shared" si="77"/>
        <v>6.1809358916537882E-2</v>
      </c>
      <c r="S154" s="41"/>
      <c r="T154" s="12">
        <f t="shared" si="78"/>
        <v>6.1062348875679316E-2</v>
      </c>
      <c r="U154" s="12">
        <f t="shared" si="78"/>
        <v>9.4452727040633011E-2</v>
      </c>
      <c r="V154" s="41"/>
      <c r="W154" s="12">
        <f t="shared" si="79"/>
        <v>7.6168702787305961E-2</v>
      </c>
      <c r="X154" s="12">
        <f t="shared" si="79"/>
        <v>0.11673310085770858</v>
      </c>
      <c r="Y154" s="41"/>
      <c r="Z154" s="12">
        <f t="shared" si="80"/>
        <v>7.5962390170921018E-2</v>
      </c>
      <c r="AA154" s="12">
        <f t="shared" si="80"/>
        <v>0.11222066753514828</v>
      </c>
      <c r="AB154" s="41"/>
      <c r="AC154" s="12">
        <f t="shared" si="81"/>
        <v>8.1621645976524812E-2</v>
      </c>
      <c r="AD154" s="12" t="e">
        <f t="shared" si="81"/>
        <v>#DIV/0!</v>
      </c>
      <c r="AE154" s="41"/>
      <c r="AF154" s="12">
        <f t="shared" si="82"/>
        <v>7.9734965566854513E-2</v>
      </c>
      <c r="AG154" s="12" t="e">
        <f t="shared" si="82"/>
        <v>#DIV/0!</v>
      </c>
      <c r="AH154" s="41"/>
      <c r="AI154" s="12">
        <f t="shared" si="83"/>
        <v>6.3269154119368551E-2</v>
      </c>
      <c r="AJ154" s="12" t="e">
        <f t="shared" si="83"/>
        <v>#DIV/0!</v>
      </c>
      <c r="AK154" s="41"/>
      <c r="AL154" s="15"/>
      <c r="AM154" s="22">
        <f t="shared" si="86"/>
        <v>3.6258277364227265E-2</v>
      </c>
      <c r="AO154" s="44">
        <f t="shared" si="84"/>
        <v>7.5962390170921018E-2</v>
      </c>
      <c r="AP154" s="44">
        <f t="shared" si="84"/>
        <v>0.11222066753514828</v>
      </c>
    </row>
    <row r="155" spans="1:42" s="13" customFormat="1" ht="15.5">
      <c r="A155" s="26" t="s">
        <v>15</v>
      </c>
      <c r="B155" s="111">
        <f t="shared" si="85"/>
        <v>0.10075511008749968</v>
      </c>
      <c r="C155" s="111">
        <f t="shared" si="85"/>
        <v>0.10059966558551707</v>
      </c>
      <c r="D155" s="41"/>
      <c r="E155" s="12">
        <f t="shared" si="73"/>
        <v>0.13555100771420395</v>
      </c>
      <c r="F155" s="12">
        <f t="shared" si="73"/>
        <v>0.14297159173357266</v>
      </c>
      <c r="G155" s="41"/>
      <c r="H155" s="12">
        <f t="shared" si="74"/>
        <v>0.24024199099893712</v>
      </c>
      <c r="I155" s="12">
        <f t="shared" si="74"/>
        <v>0.17256630061423053</v>
      </c>
      <c r="J155" s="41"/>
      <c r="K155" s="12">
        <f t="shared" si="75"/>
        <v>8.0955706364216964E-2</v>
      </c>
      <c r="L155" s="12">
        <f t="shared" si="75"/>
        <v>0.14455659795320552</v>
      </c>
      <c r="M155" s="41"/>
      <c r="N155" s="12">
        <f t="shared" si="76"/>
        <v>0.13648187072611653</v>
      </c>
      <c r="O155" s="12">
        <f t="shared" si="76"/>
        <v>0.15861217488542145</v>
      </c>
      <c r="P155" s="41"/>
      <c r="Q155" s="12">
        <f t="shared" si="77"/>
        <v>0.20169523927628705</v>
      </c>
      <c r="R155" s="12">
        <f t="shared" si="77"/>
        <v>0.16291927882784393</v>
      </c>
      <c r="S155" s="41"/>
      <c r="T155" s="12">
        <f t="shared" si="78"/>
        <v>9.9731800863515602E-2</v>
      </c>
      <c r="U155" s="12">
        <f t="shared" si="78"/>
        <v>0.17420860543609026</v>
      </c>
      <c r="V155" s="41"/>
      <c r="W155" s="12">
        <f t="shared" si="79"/>
        <v>5.9416618561817097E-2</v>
      </c>
      <c r="X155" s="12">
        <f t="shared" si="79"/>
        <v>0.15847983348266859</v>
      </c>
      <c r="Y155" s="41"/>
      <c r="Z155" s="12">
        <f t="shared" si="80"/>
        <v>0.24698335721357703</v>
      </c>
      <c r="AA155" s="12">
        <f t="shared" si="80"/>
        <v>0.24258236314231527</v>
      </c>
      <c r="AB155" s="41"/>
      <c r="AC155" s="12">
        <f t="shared" si="81"/>
        <v>0.15900117991823914</v>
      </c>
      <c r="AD155" s="12" t="e">
        <f t="shared" si="81"/>
        <v>#DIV/0!</v>
      </c>
      <c r="AE155" s="41"/>
      <c r="AF155" s="12">
        <f t="shared" si="82"/>
        <v>0.16607088662064262</v>
      </c>
      <c r="AG155" s="12" t="e">
        <f t="shared" si="82"/>
        <v>#DIV/0!</v>
      </c>
      <c r="AH155" s="41"/>
      <c r="AI155" s="12">
        <f t="shared" si="83"/>
        <v>0.20686182216097129</v>
      </c>
      <c r="AJ155" s="12" t="e">
        <f t="shared" si="83"/>
        <v>#DIV/0!</v>
      </c>
      <c r="AK155" s="41"/>
      <c r="AL155" s="15"/>
      <c r="AM155" s="22">
        <f t="shared" si="86"/>
        <v>-4.4009940712617657E-3</v>
      </c>
      <c r="AO155" s="44">
        <f t="shared" si="84"/>
        <v>0.24698335721357703</v>
      </c>
      <c r="AP155" s="44">
        <f t="shared" si="84"/>
        <v>0.24258236314231527</v>
      </c>
    </row>
    <row r="156" spans="1:42" s="13" customFormat="1" ht="15.5">
      <c r="A156" s="26" t="s">
        <v>16</v>
      </c>
      <c r="B156" s="111">
        <f t="shared" si="85"/>
        <v>0.2042202697997933</v>
      </c>
      <c r="C156" s="111">
        <f t="shared" si="85"/>
        <v>0.20553457292722721</v>
      </c>
      <c r="D156" s="41"/>
      <c r="E156" s="12">
        <f t="shared" si="73"/>
        <v>0.22340349763518227</v>
      </c>
      <c r="F156" s="12">
        <f t="shared" si="73"/>
        <v>0.24909322025904901</v>
      </c>
      <c r="G156" s="41"/>
      <c r="H156" s="12">
        <f t="shared" si="74"/>
        <v>0.24299519268551714</v>
      </c>
      <c r="I156" s="12">
        <f t="shared" si="74"/>
        <v>0.22975374440694199</v>
      </c>
      <c r="J156" s="41"/>
      <c r="K156" s="12">
        <f t="shared" si="75"/>
        <v>0.23618472985344466</v>
      </c>
      <c r="L156" s="12">
        <f t="shared" si="75"/>
        <v>0.28133419380063424</v>
      </c>
      <c r="M156" s="41"/>
      <c r="N156" s="12">
        <f t="shared" si="76"/>
        <v>0.25259862011939838</v>
      </c>
      <c r="O156" s="12">
        <f t="shared" si="76"/>
        <v>0.23493296883065709</v>
      </c>
      <c r="P156" s="41"/>
      <c r="Q156" s="12">
        <f t="shared" si="77"/>
        <v>0.23421585223376085</v>
      </c>
      <c r="R156" s="12">
        <f t="shared" si="77"/>
        <v>0.25420912514821781</v>
      </c>
      <c r="S156" s="41"/>
      <c r="T156" s="12">
        <f t="shared" si="78"/>
        <v>0.21859458526280559</v>
      </c>
      <c r="U156" s="12">
        <f t="shared" si="78"/>
        <v>0.29762978845103194</v>
      </c>
      <c r="V156" s="41"/>
      <c r="W156" s="12">
        <f t="shared" si="79"/>
        <v>0.15763736984877563</v>
      </c>
      <c r="X156" s="12">
        <f t="shared" si="79"/>
        <v>0.26380863158388501</v>
      </c>
      <c r="Y156" s="41"/>
      <c r="Z156" s="12">
        <f t="shared" si="80"/>
        <v>0.2702106603648009</v>
      </c>
      <c r="AA156" s="12">
        <f t="shared" si="80"/>
        <v>0.32504802222943141</v>
      </c>
      <c r="AB156" s="41"/>
      <c r="AC156" s="12">
        <f t="shared" si="81"/>
        <v>0.26061783421736362</v>
      </c>
      <c r="AD156" s="12" t="e">
        <f t="shared" si="81"/>
        <v>#DIV/0!</v>
      </c>
      <c r="AE156" s="41"/>
      <c r="AF156" s="12">
        <f t="shared" si="82"/>
        <v>0.26383829698672728</v>
      </c>
      <c r="AG156" s="12" t="e">
        <f t="shared" si="82"/>
        <v>#DIV/0!</v>
      </c>
      <c r="AH156" s="41"/>
      <c r="AI156" s="12">
        <f t="shared" si="83"/>
        <v>0.22079784702990973</v>
      </c>
      <c r="AJ156" s="12" t="e">
        <f t="shared" si="83"/>
        <v>#DIV/0!</v>
      </c>
      <c r="AK156" s="41"/>
      <c r="AL156" s="15"/>
      <c r="AM156" s="22">
        <f t="shared" si="86"/>
        <v>5.4837361864630507E-2</v>
      </c>
      <c r="AO156" s="44">
        <f t="shared" si="84"/>
        <v>0.2702106603648009</v>
      </c>
      <c r="AP156" s="44">
        <f t="shared" si="84"/>
        <v>0.32504802222943141</v>
      </c>
    </row>
    <row r="157" spans="1:42" s="13" customFormat="1" ht="15.5">
      <c r="A157" s="26" t="s">
        <v>17</v>
      </c>
      <c r="B157" s="111">
        <f t="shared" si="85"/>
        <v>0.13347342952117916</v>
      </c>
      <c r="C157" s="111">
        <f t="shared" si="85"/>
        <v>0.12381145082874422</v>
      </c>
      <c r="D157" s="41"/>
      <c r="E157" s="12">
        <f t="shared" si="73"/>
        <v>0.13058516739779386</v>
      </c>
      <c r="F157" s="12">
        <f t="shared" si="73"/>
        <v>6.9573630827125546E-2</v>
      </c>
      <c r="G157" s="41"/>
      <c r="H157" s="12">
        <f t="shared" si="74"/>
        <v>0.10524843323937148</v>
      </c>
      <c r="I157" s="12">
        <f t="shared" si="74"/>
        <v>9.0335498758654154E-2</v>
      </c>
      <c r="J157" s="41"/>
      <c r="K157" s="12">
        <f t="shared" si="75"/>
        <v>0.11004096057472854</v>
      </c>
      <c r="L157" s="12">
        <f t="shared" si="75"/>
        <v>8.2228284097210821E-2</v>
      </c>
      <c r="M157" s="41"/>
      <c r="N157" s="12">
        <f t="shared" si="76"/>
        <v>0.14043064198202815</v>
      </c>
      <c r="O157" s="12">
        <f t="shared" si="76"/>
        <v>0.14348464502446495</v>
      </c>
      <c r="P157" s="41"/>
      <c r="Q157" s="12">
        <f t="shared" si="77"/>
        <v>9.4456143140266083E-2</v>
      </c>
      <c r="R157" s="12">
        <f t="shared" si="77"/>
        <v>0.10385093129379339</v>
      </c>
      <c r="S157" s="41"/>
      <c r="T157" s="12">
        <f t="shared" si="78"/>
        <v>0.14761674275372666</v>
      </c>
      <c r="U157" s="12">
        <f t="shared" si="78"/>
        <v>0.11388188540702884</v>
      </c>
      <c r="V157" s="41"/>
      <c r="W157" s="12">
        <f t="shared" si="79"/>
        <v>7.1124639687985811E-2</v>
      </c>
      <c r="X157" s="12">
        <f t="shared" si="79"/>
        <v>8.2736782226465799E-2</v>
      </c>
      <c r="Y157" s="41"/>
      <c r="Z157" s="12">
        <f t="shared" si="80"/>
        <v>0.16125672295418153</v>
      </c>
      <c r="AA157" s="12">
        <f t="shared" si="80"/>
        <v>0.16252074597829336</v>
      </c>
      <c r="AB157" s="41"/>
      <c r="AC157" s="12">
        <f t="shared" si="81"/>
        <v>0.14591610667439273</v>
      </c>
      <c r="AD157" s="12" t="e">
        <f t="shared" si="81"/>
        <v>#DIV/0!</v>
      </c>
      <c r="AE157" s="41"/>
      <c r="AF157" s="12">
        <f t="shared" si="82"/>
        <v>0.15313772942209791</v>
      </c>
      <c r="AG157" s="12" t="e">
        <f t="shared" si="82"/>
        <v>#DIV/0!</v>
      </c>
      <c r="AH157" s="41"/>
      <c r="AI157" s="12">
        <f t="shared" si="83"/>
        <v>0.13769949152465033</v>
      </c>
      <c r="AJ157" s="12" t="e">
        <f t="shared" si="83"/>
        <v>#DIV/0!</v>
      </c>
      <c r="AK157" s="41"/>
      <c r="AL157" s="15"/>
      <c r="AM157" s="22">
        <f t="shared" si="86"/>
        <v>1.2640230241118267E-3</v>
      </c>
      <c r="AO157" s="44">
        <f t="shared" si="84"/>
        <v>0.16125672295418153</v>
      </c>
      <c r="AP157" s="44">
        <f t="shared" si="84"/>
        <v>0.16252074597829336</v>
      </c>
    </row>
    <row r="158" spans="1:42" s="13" customFormat="1" ht="15.5">
      <c r="A158" s="26"/>
      <c r="B158" s="12"/>
      <c r="C158" s="30"/>
      <c r="D158" s="41"/>
      <c r="E158" s="12"/>
      <c r="F158" s="30"/>
      <c r="G158" s="41"/>
      <c r="H158" s="12"/>
      <c r="I158" s="30"/>
      <c r="J158" s="41"/>
      <c r="K158" s="12"/>
      <c r="L158" s="30"/>
      <c r="M158" s="41"/>
      <c r="N158" s="12"/>
      <c r="O158" s="30"/>
      <c r="P158" s="41"/>
      <c r="Q158" s="12"/>
      <c r="R158" s="30"/>
      <c r="S158" s="41"/>
      <c r="T158" s="12"/>
      <c r="U158" s="30"/>
      <c r="V158" s="41"/>
      <c r="W158" s="12"/>
      <c r="X158" s="30"/>
      <c r="Y158" s="41"/>
      <c r="Z158" s="12"/>
      <c r="AA158" s="30"/>
      <c r="AB158" s="41"/>
      <c r="AC158" s="12"/>
      <c r="AD158" s="30"/>
      <c r="AE158" s="41"/>
      <c r="AF158" s="12"/>
      <c r="AG158" s="30"/>
      <c r="AH158" s="41"/>
      <c r="AI158" s="12"/>
      <c r="AJ158" s="30"/>
      <c r="AK158" s="41"/>
      <c r="AL158" s="15"/>
      <c r="AM158" s="22"/>
      <c r="AO158" s="44"/>
      <c r="AP158" s="44"/>
    </row>
    <row r="159" spans="1:42" s="13" customFormat="1" ht="15.5">
      <c r="A159" s="26"/>
      <c r="B159" s="12"/>
      <c r="C159" s="30"/>
      <c r="D159" s="41"/>
      <c r="E159" s="12"/>
      <c r="F159" s="30"/>
      <c r="G159" s="41"/>
      <c r="H159" s="12"/>
      <c r="I159" s="30"/>
      <c r="J159" s="41"/>
      <c r="K159" s="12"/>
      <c r="L159" s="30"/>
      <c r="M159" s="41"/>
      <c r="N159" s="12"/>
      <c r="O159" s="30"/>
      <c r="P159" s="41"/>
      <c r="Q159" s="12"/>
      <c r="R159" s="30"/>
      <c r="S159" s="41"/>
      <c r="T159" s="12"/>
      <c r="U159" s="30"/>
      <c r="V159" s="41"/>
      <c r="W159" s="12"/>
      <c r="X159" s="30"/>
      <c r="Y159" s="41"/>
      <c r="Z159" s="12"/>
      <c r="AA159" s="30"/>
      <c r="AB159" s="41"/>
      <c r="AC159" s="12"/>
      <c r="AD159" s="30"/>
      <c r="AE159" s="41"/>
      <c r="AF159" s="12"/>
      <c r="AG159" s="30"/>
      <c r="AH159" s="41"/>
      <c r="AI159" s="12"/>
      <c r="AJ159" s="30"/>
      <c r="AK159" s="41"/>
      <c r="AL159" s="15"/>
      <c r="AM159" s="22"/>
      <c r="AO159" s="44"/>
      <c r="AP159" s="44"/>
    </row>
    <row r="160" spans="1:42" s="44" customFormat="1" ht="15.5">
      <c r="A160" s="31" t="s">
        <v>76</v>
      </c>
      <c r="B160" s="32">
        <f>'Bütçe aylık-Eur'!$B$92</f>
        <v>-1175683.3613508504</v>
      </c>
      <c r="C160" s="32">
        <f>'gerç aylık-eur'!$B$91</f>
        <v>-1087414.7266704452</v>
      </c>
      <c r="D160" s="18"/>
      <c r="E160" s="32">
        <f>'Bütçe aylık-Eur'!$C$92</f>
        <v>-1170127.4456437621</v>
      </c>
      <c r="F160" s="32">
        <f>'gerç aylık-eur'!$C$91</f>
        <v>-1000321.9514231656</v>
      </c>
      <c r="G160" s="18"/>
      <c r="H160" s="32">
        <f>'Bütçe aylık-Eur'!$D$92</f>
        <v>-1055838.6097499726</v>
      </c>
      <c r="I160" s="32">
        <f>'gerç aylık-eur'!$D$91</f>
        <v>-973204.05419299658</v>
      </c>
      <c r="J160" s="18"/>
      <c r="K160" s="32">
        <f>'Bütçe aylık-Eur'!$E$92</f>
        <v>-1043343.5275080511</v>
      </c>
      <c r="L160" s="32">
        <f>'gerç aylık-eur'!$E$91</f>
        <v>-891635.26988308935</v>
      </c>
      <c r="M160" s="18"/>
      <c r="N160" s="32">
        <f>'Bütçe aylık-Eur'!$F$92</f>
        <v>-883729.51918519195</v>
      </c>
      <c r="O160" s="32">
        <f>'gerç aylık-eur'!$F$91</f>
        <v>-927114.74727259332</v>
      </c>
      <c r="P160" s="18"/>
      <c r="Q160" s="32">
        <f>'Bütçe aylık-Eur'!$G$92</f>
        <v>-879285.27236717031</v>
      </c>
      <c r="R160" s="32">
        <f>'gerç aylık-eur'!$G$91</f>
        <v>-1211044.1168135607</v>
      </c>
      <c r="S160" s="18"/>
      <c r="T160" s="32">
        <f>'Bütçe aylık-Eur'!$H$92</f>
        <v>-1009175.9276723077</v>
      </c>
      <c r="U160" s="32">
        <f>'gerç aylık-eur'!$H$91</f>
        <v>-1103956.6226471099</v>
      </c>
      <c r="V160" s="18"/>
      <c r="W160" s="32">
        <f>'Bütçe aylık-Eur'!$I$92</f>
        <v>-1031586.1570151161</v>
      </c>
      <c r="X160" s="32">
        <f>'gerç aylık-eur'!$I$91</f>
        <v>-1138841.1344412561</v>
      </c>
      <c r="Y160" s="18"/>
      <c r="Z160" s="32">
        <f>'Bütçe aylık-Eur'!$J$92</f>
        <v>-1050085.1122318094</v>
      </c>
      <c r="AA160" s="32">
        <f>'gerç aylık-eur'!$J$91</f>
        <v>-969469.45801187702</v>
      </c>
      <c r="AB160" s="18"/>
      <c r="AC160" s="32">
        <f>'Bütçe aylık-Eur'!$K$92</f>
        <v>-975576.93255317176</v>
      </c>
      <c r="AD160" s="32">
        <f>'gerç aylık-eur'!$K$91</f>
        <v>0</v>
      </c>
      <c r="AE160" s="18"/>
      <c r="AF160" s="32">
        <f>'Bütçe aylık-Eur'!$L$92</f>
        <v>-944984.06999090547</v>
      </c>
      <c r="AG160" s="32">
        <f>'gerç aylık-eur'!$L$91</f>
        <v>0</v>
      </c>
      <c r="AH160" s="18"/>
      <c r="AI160" s="32">
        <f>'Bütçe aylık-Eur'!$M$92</f>
        <v>-905117.52247172559</v>
      </c>
      <c r="AJ160" s="32">
        <f>'gerç aylık-eur'!$M$91</f>
        <v>0</v>
      </c>
      <c r="AK160" s="18"/>
      <c r="AL160" s="33">
        <f>AP160-AO160</f>
        <v>80615.654219932389</v>
      </c>
      <c r="AM160" s="34">
        <f>AP160/AO160-1</f>
        <v>-7.6770590574886888E-2</v>
      </c>
      <c r="AO160" s="44">
        <f>IF($A$1=$B$1,B160,IF($A$1=$E$1,E160,IF($A$1=$H$1,H160,IF($A$1=$K$1,K160,IF($A$1=$N$1,N160,IF($A$1=$Q$1,Q160,IF($A$1=$T$1,T160,IF($A$1=$W$1,W160,IF($A$1=$Z$1,Z160,IF($A$1=$AC$1,AC160,IF($A$1=$AF$1,AF160,IF($A$1=$AI$1,AI160))))))))))))</f>
        <v>-1050085.1122318094</v>
      </c>
      <c r="AP160" s="44">
        <f>IF($A$1=$B$1,C160,IF($A$1=$E$1,F160,IF($A$1=$H$1,I160,IF($A$1=$K$1,L160,IF($A$1=$N$1,O160,IF($A$1=$Q$1,R160,IF($A$1=$T$1,U160,IF($A$1=$W$1,X160,IF($A$1=$Z$1,AA160,IF($A$1=$AC$1,AD160,IF($A$1=$AF$1,AG160,IF($A$1=$AI$1,AJ160))))))))))))</f>
        <v>-969469.45801187702</v>
      </c>
    </row>
    <row r="161" spans="1:43" s="13" customFormat="1" ht="15.5">
      <c r="A161" s="27"/>
      <c r="B161" s="30"/>
      <c r="C161" s="30"/>
      <c r="D161" s="41"/>
      <c r="E161" s="30"/>
      <c r="F161" s="30"/>
      <c r="G161" s="41"/>
      <c r="H161" s="30"/>
      <c r="I161" s="30"/>
      <c r="J161" s="41"/>
      <c r="K161" s="30"/>
      <c r="L161" s="30"/>
      <c r="M161" s="41"/>
      <c r="N161" s="30"/>
      <c r="O161" s="30"/>
      <c r="P161" s="41"/>
      <c r="Q161" s="30"/>
      <c r="R161" s="30"/>
      <c r="S161" s="41"/>
      <c r="T161" s="30"/>
      <c r="U161" s="30"/>
      <c r="V161" s="41"/>
      <c r="W161" s="30"/>
      <c r="X161" s="30"/>
      <c r="Y161" s="41"/>
      <c r="Z161" s="30"/>
      <c r="AA161" s="30"/>
      <c r="AB161" s="41"/>
      <c r="AC161" s="30"/>
      <c r="AD161" s="30"/>
      <c r="AE161" s="41"/>
      <c r="AF161" s="30"/>
      <c r="AG161" s="30"/>
      <c r="AH161" s="41"/>
      <c r="AI161" s="30"/>
      <c r="AJ161" s="30"/>
      <c r="AK161" s="41"/>
      <c r="AL161" s="15"/>
      <c r="AM161" s="22"/>
      <c r="AO161" s="44">
        <f>IF($A$1=$B$1,B161,IF($A$1=$E$1,E161,IF($A$1=$H$1,H161,IF($A$1=$K$1,K161,IF($A$1=$N$1,N161,IF($A$1=$Q$1,Q161,IF($A$1=$T$1,T161,IF($A$1=$W$1,W161,IF($A$1=$Z$1,Z161,IF($A$1=$AC$1,AC161,IF($A$1=$AF$1,AF161,IF($A$1=$AI$1,AI161))))))))))))</f>
        <v>0</v>
      </c>
      <c r="AP161" s="44">
        <f>IF($A$1=$B$1,C161,IF($A$1=$E$1,F161,IF($A$1=$H$1,I161,IF($A$1=$K$1,L161,IF($A$1=$N$1,O161,IF($A$1=$Q$1,R161,IF($A$1=$T$1,U161,IF($A$1=$W$1,X161,IF($A$1=$Z$1,AA161,IF($A$1=$AC$1,AD161,IF($A$1=$AF$1,AG161,IF($A$1=$AI$1,AJ161))))))))))))</f>
        <v>0</v>
      </c>
    </row>
    <row r="162" spans="1:43" s="49" customFormat="1" ht="17">
      <c r="A162" s="47" t="s">
        <v>77</v>
      </c>
      <c r="B162" s="413"/>
      <c r="C162" s="413"/>
      <c r="D162" s="413"/>
      <c r="E162" s="413"/>
      <c r="F162" s="413"/>
      <c r="G162" s="413"/>
      <c r="H162" s="413"/>
      <c r="I162" s="413"/>
      <c r="J162" s="413"/>
      <c r="K162" s="413"/>
      <c r="L162" s="413"/>
      <c r="M162" s="413"/>
      <c r="N162" s="413"/>
      <c r="O162" s="413"/>
      <c r="P162" s="413"/>
      <c r="Q162" s="413"/>
      <c r="R162" s="413"/>
      <c r="S162" s="413"/>
      <c r="T162" s="413"/>
      <c r="U162" s="413"/>
      <c r="V162" s="413"/>
      <c r="W162" s="413"/>
      <c r="X162" s="413"/>
      <c r="Y162" s="413"/>
      <c r="Z162" s="413"/>
      <c r="AA162" s="413"/>
      <c r="AB162" s="413"/>
      <c r="AC162" s="413"/>
      <c r="AD162" s="413"/>
      <c r="AE162" s="413"/>
      <c r="AF162" s="413"/>
      <c r="AG162" s="413"/>
      <c r="AH162" s="413"/>
      <c r="AI162" s="413"/>
      <c r="AJ162" s="413"/>
      <c r="AK162" s="413"/>
      <c r="AL162" s="413"/>
      <c r="AM162" s="48"/>
    </row>
    <row r="163" spans="1:43" ht="15.5">
      <c r="A163" s="26" t="s">
        <v>10</v>
      </c>
      <c r="B163" s="7">
        <f>'Bütçe aylık-Eur'!$B$93</f>
        <v>-192358.10779165587</v>
      </c>
      <c r="C163" s="7">
        <f>'gerç aylık-eur'!$B$92</f>
        <v>-242607.01270504482</v>
      </c>
      <c r="D163" s="7"/>
      <c r="E163" s="7">
        <f>'Bütçe aylık-Eur'!$C$93</f>
        <v>-185585.34375770477</v>
      </c>
      <c r="F163" s="7">
        <f>'gerç aylık-eur'!$C$92</f>
        <v>-209891.94231610344</v>
      </c>
      <c r="G163" s="7"/>
      <c r="H163" s="7">
        <f>'Bütçe aylık-Eur'!$D$93</f>
        <v>-81187.137917396249</v>
      </c>
      <c r="I163" s="7">
        <f>'gerç aylık-eur'!$D$92</f>
        <v>-96128.318284917739</v>
      </c>
      <c r="J163" s="7"/>
      <c r="K163" s="7">
        <f>'Bütçe aylık-Eur'!$E$93</f>
        <v>-83076.086376335603</v>
      </c>
      <c r="L163" s="7">
        <f>'gerç aylık-eur'!$E$92</f>
        <v>-111180.44801445532</v>
      </c>
      <c r="M163" s="7"/>
      <c r="N163" s="7">
        <f>'Bütçe aylık-Eur'!$F$93</f>
        <v>-73601.792767686769</v>
      </c>
      <c r="O163" s="7">
        <f>'gerç aylık-eur'!$F$92</f>
        <v>-108833.31088618121</v>
      </c>
      <c r="P163" s="7"/>
      <c r="Q163" s="7">
        <f>'Bütçe aylık-Eur'!$G$93</f>
        <v>-69886.46713871033</v>
      </c>
      <c r="R163" s="7">
        <f>'gerç aylık-eur'!$G$92</f>
        <v>-93232.047477613582</v>
      </c>
      <c r="S163" s="7"/>
      <c r="T163" s="7">
        <f>'Bütçe aylık-Eur'!$H$93</f>
        <v>-73063.406190942958</v>
      </c>
      <c r="U163" s="7">
        <f>'gerç aylık-eur'!$H$92</f>
        <v>-91465.132090121391</v>
      </c>
      <c r="V163" s="7"/>
      <c r="W163" s="7">
        <f>'Bütçe aylık-Eur'!$I$93</f>
        <v>-70035.853902551535</v>
      </c>
      <c r="X163" s="7">
        <f>'gerç aylık-eur'!$I$92</f>
        <v>-88802.64715564069</v>
      </c>
      <c r="Y163" s="7"/>
      <c r="Z163" s="7">
        <f>'Bütçe aylık-Eur'!$J$93</f>
        <v>-62777.077523452419</v>
      </c>
      <c r="AA163" s="7">
        <f>'gerç aylık-eur'!$J$92</f>
        <v>-6642.4978717550075</v>
      </c>
      <c r="AB163" s="7"/>
      <c r="AC163" s="7">
        <f>'Bütçe aylık-Eur'!$K$93</f>
        <v>-64273.65583510133</v>
      </c>
      <c r="AD163" s="7">
        <f>'gerç aylık-eur'!$K$92</f>
        <v>0</v>
      </c>
      <c r="AE163" s="7"/>
      <c r="AF163" s="7">
        <f>'Bütçe aylık-Eur'!$L$93</f>
        <v>-59199.284846938215</v>
      </c>
      <c r="AG163" s="7">
        <f>'gerç aylık-eur'!$L$92</f>
        <v>0</v>
      </c>
      <c r="AH163" s="7"/>
      <c r="AI163" s="7">
        <f>'Bütçe aylık-Eur'!$M$93</f>
        <v>4174.941253460127</v>
      </c>
      <c r="AJ163" s="7">
        <f>'gerç aylık-eur'!$M$92</f>
        <v>0</v>
      </c>
      <c r="AK163" s="7"/>
      <c r="AL163" s="21">
        <f t="shared" ref="AL163:AL170" si="87">AP163-AO163</f>
        <v>56134.579651697408</v>
      </c>
      <c r="AM163" s="22">
        <f t="shared" ref="AM163:AM170" si="88">AP163/AO163-1</f>
        <v>-0.89418911912117149</v>
      </c>
      <c r="AO163" s="44">
        <f t="shared" ref="AO163:AP170" si="89">IF($A$1=$B$1,B163,IF($A$1=$E$1,E163,IF($A$1=$H$1,H163,IF($A$1=$K$1,K163,IF($A$1=$N$1,N163,IF($A$1=$Q$1,Q163,IF($A$1=$T$1,T163,IF($A$1=$W$1,W163,IF($A$1=$Z$1,Z163,IF($A$1=$AC$1,AC163,IF($A$1=$AF$1,AF163,IF($A$1=$AI$1,AI163))))))))))))</f>
        <v>-62777.077523452419</v>
      </c>
      <c r="AP163" s="44">
        <f t="shared" si="89"/>
        <v>-6642.4978717550075</v>
      </c>
    </row>
    <row r="164" spans="1:43" ht="15.5">
      <c r="A164" s="26" t="s">
        <v>11</v>
      </c>
      <c r="B164" s="7">
        <f>'Bütçe aylık-Eur'!$B$94</f>
        <v>-8742.9981041020328</v>
      </c>
      <c r="C164" s="7">
        <f>'gerç aylık-eur'!$B$93</f>
        <v>-57620.057316542741</v>
      </c>
      <c r="D164" s="7"/>
      <c r="E164" s="7">
        <f>'Bütçe aylık-Eur'!$C$94</f>
        <v>-6783.9011673316018</v>
      </c>
      <c r="F164" s="7">
        <f>'gerç aylık-eur'!$C$93</f>
        <v>-56389.640153225329</v>
      </c>
      <c r="G164" s="7"/>
      <c r="H164" s="7">
        <f>'Bütçe aylık-Eur'!$D$94</f>
        <v>-6733.4555828274815</v>
      </c>
      <c r="I164" s="7">
        <f>'gerç aylık-eur'!$D$93</f>
        <v>-87998.114493686779</v>
      </c>
      <c r="J164" s="7"/>
      <c r="K164" s="7">
        <f>'Bütçe aylık-Eur'!$E$94</f>
        <v>-6679.7870640659203</v>
      </c>
      <c r="L164" s="7">
        <f>'gerç aylık-eur'!$E$93</f>
        <v>-89946.155391993729</v>
      </c>
      <c r="M164" s="7"/>
      <c r="N164" s="7">
        <f>'Bütçe aylık-Eur'!$F$94</f>
        <v>-6911.380186240679</v>
      </c>
      <c r="O164" s="7">
        <f>'gerç aylık-eur'!$F$93</f>
        <v>-71650.780615299678</v>
      </c>
      <c r="P164" s="7"/>
      <c r="Q164" s="7">
        <f>'Bütçe aylık-Eur'!$G$94</f>
        <v>-6402.6669335878851</v>
      </c>
      <c r="R164" s="7">
        <f>'gerç aylık-eur'!$G$93</f>
        <v>-104009.58350037511</v>
      </c>
      <c r="S164" s="7"/>
      <c r="T164" s="7">
        <f>'Bütçe aylık-Eur'!$H$94</f>
        <v>-5192.0837067961447</v>
      </c>
      <c r="U164" s="7">
        <f>'gerç aylık-eur'!$H$93</f>
        <v>-65903.172853810553</v>
      </c>
      <c r="V164" s="7"/>
      <c r="W164" s="7">
        <f>'Bütçe aylık-Eur'!$I$94</f>
        <v>-6589.0445775930648</v>
      </c>
      <c r="X164" s="7">
        <f>'gerç aylık-eur'!$I$93</f>
        <v>-63711.52262476438</v>
      </c>
      <c r="Y164" s="7"/>
      <c r="Z164" s="7">
        <f>'Bütçe aylık-Eur'!$J$94</f>
        <v>-6661.4807040579963</v>
      </c>
      <c r="AA164" s="7">
        <f>'gerç aylık-eur'!$J$93</f>
        <v>-113476.72583340833</v>
      </c>
      <c r="AB164" s="7"/>
      <c r="AC164" s="7">
        <f>'Bütçe aylık-Eur'!$K$94</f>
        <v>-6805.1309076536563</v>
      </c>
      <c r="AD164" s="7">
        <f>'gerç aylık-eur'!$K$93</f>
        <v>0</v>
      </c>
      <c r="AE164" s="7"/>
      <c r="AF164" s="7">
        <f>'Bütçe aylık-Eur'!$L$94</f>
        <v>-6705.4037701137113</v>
      </c>
      <c r="AG164" s="7">
        <f>'gerç aylık-eur'!$L$93</f>
        <v>0</v>
      </c>
      <c r="AH164" s="7"/>
      <c r="AI164" s="7">
        <f>'Bütçe aylık-Eur'!$M$94</f>
        <v>-5781.6646800439912</v>
      </c>
      <c r="AJ164" s="7">
        <f>'gerç aylık-eur'!$M$93</f>
        <v>0</v>
      </c>
      <c r="AK164" s="7"/>
      <c r="AL164" s="21">
        <f t="shared" si="87"/>
        <v>-106815.24512935034</v>
      </c>
      <c r="AM164" s="22">
        <f t="shared" si="88"/>
        <v>16.034760119365256</v>
      </c>
      <c r="AO164" s="44">
        <f t="shared" si="89"/>
        <v>-6661.4807040579963</v>
      </c>
      <c r="AP164" s="44">
        <f t="shared" si="89"/>
        <v>-113476.72583340833</v>
      </c>
    </row>
    <row r="165" spans="1:43" ht="15.5">
      <c r="A165" s="26" t="s">
        <v>12</v>
      </c>
      <c r="B165" s="7">
        <f>'Bütçe aylık-Eur'!$B$95</f>
        <v>-54921.727124563724</v>
      </c>
      <c r="C165" s="7">
        <f>'gerç aylık-eur'!$B$94</f>
        <v>-40504.931081618233</v>
      </c>
      <c r="D165" s="7"/>
      <c r="E165" s="7">
        <f>'Bütçe aylık-Eur'!$C$95</f>
        <v>-61003.589016132602</v>
      </c>
      <c r="F165" s="7">
        <f>'gerç aylık-eur'!$C$94</f>
        <v>-32876.327320966702</v>
      </c>
      <c r="G165" s="7"/>
      <c r="H165" s="7">
        <f>'Bütçe aylık-Eur'!$D$95</f>
        <v>-55911.125924151856</v>
      </c>
      <c r="I165" s="7">
        <f>'gerç aylık-eur'!$D$94</f>
        <v>-49523.999753915086</v>
      </c>
      <c r="J165" s="7"/>
      <c r="K165" s="7">
        <f>'Bütçe aylık-Eur'!$E$95</f>
        <v>-57602.185796417427</v>
      </c>
      <c r="L165" s="7">
        <f>'gerç aylık-eur'!$E$94</f>
        <v>-44029.696094025661</v>
      </c>
      <c r="M165" s="7"/>
      <c r="N165" s="7">
        <f>'Bütçe aylık-Eur'!$F$95</f>
        <v>-52237.654122024214</v>
      </c>
      <c r="O165" s="7">
        <f>'gerç aylık-eur'!$F$94</f>
        <v>-32551.980203327141</v>
      </c>
      <c r="P165" s="7"/>
      <c r="Q165" s="7">
        <f>'Bütçe aylık-Eur'!$G$95</f>
        <v>-52262.768680961599</v>
      </c>
      <c r="R165" s="7">
        <f>'gerç aylık-eur'!$G$94</f>
        <v>-52124.594906473336</v>
      </c>
      <c r="S165" s="7"/>
      <c r="T165" s="7">
        <f>'Bütçe aylık-Eur'!$H$95</f>
        <v>-50360.825448227275</v>
      </c>
      <c r="U165" s="7">
        <f>'gerç aylık-eur'!$H$94</f>
        <v>-62430.769302702436</v>
      </c>
      <c r="V165" s="7"/>
      <c r="W165" s="7">
        <f>'Bütçe aylık-Eur'!$I$95</f>
        <v>-54827.160785485336</v>
      </c>
      <c r="X165" s="7">
        <f>'gerç aylık-eur'!$I$94</f>
        <v>-58507.703029035394</v>
      </c>
      <c r="Y165" s="7"/>
      <c r="Z165" s="7">
        <f>'Bütçe aylık-Eur'!$J$95</f>
        <v>-50311.905616721138</v>
      </c>
      <c r="AA165" s="7">
        <f>'gerç aylık-eur'!$J$94</f>
        <v>-35659.124973235317</v>
      </c>
      <c r="AB165" s="7"/>
      <c r="AC165" s="7">
        <f>'Bütçe aylık-Eur'!$K$95</f>
        <v>-49242.628902878918</v>
      </c>
      <c r="AD165" s="7">
        <f>'gerç aylık-eur'!$K$94</f>
        <v>0</v>
      </c>
      <c r="AE165" s="7"/>
      <c r="AF165" s="7">
        <f>'Bütçe aylık-Eur'!$L$95</f>
        <v>-48749.967140755231</v>
      </c>
      <c r="AG165" s="7">
        <f>'gerç aylık-eur'!$L$94</f>
        <v>0</v>
      </c>
      <c r="AH165" s="7"/>
      <c r="AI165" s="7">
        <f>'Bütçe aylık-Eur'!$M$95</f>
        <v>-51808.956432881794</v>
      </c>
      <c r="AJ165" s="7">
        <f>'gerç aylık-eur'!$M$94</f>
        <v>0</v>
      </c>
      <c r="AK165" s="7"/>
      <c r="AL165" s="21">
        <f t="shared" si="87"/>
        <v>14652.780643485821</v>
      </c>
      <c r="AM165" s="22">
        <f t="shared" si="88"/>
        <v>-0.2912388323175733</v>
      </c>
      <c r="AO165" s="44">
        <f t="shared" si="89"/>
        <v>-50311.905616721138</v>
      </c>
      <c r="AP165" s="44">
        <f t="shared" si="89"/>
        <v>-35659.124973235317</v>
      </c>
    </row>
    <row r="166" spans="1:43" ht="15.5">
      <c r="A166" s="26" t="s">
        <v>13</v>
      </c>
      <c r="B166" s="7">
        <f>'Bütçe aylık-Eur'!$B$96</f>
        <v>-2054274.6206661761</v>
      </c>
      <c r="C166" s="7">
        <f>'gerç aylık-eur'!$B$95</f>
        <v>-1710891.8970401026</v>
      </c>
      <c r="D166" s="7"/>
      <c r="E166" s="7">
        <f>'Bütçe aylık-Eur'!$C$96</f>
        <v>-2052908.7966260314</v>
      </c>
      <c r="F166" s="7">
        <f>'gerç aylık-eur'!$C$95</f>
        <v>-1524978.4150519331</v>
      </c>
      <c r="G166" s="7"/>
      <c r="H166" s="7">
        <f>'Bütçe aylık-Eur'!$D$96</f>
        <v>-2046784.5212525059</v>
      </c>
      <c r="I166" s="7">
        <f>'gerç aylık-eur'!$D$95</f>
        <v>-1581941.9455844758</v>
      </c>
      <c r="J166" s="7"/>
      <c r="K166" s="7">
        <f>'Bütçe aylık-Eur'!$E$96</f>
        <v>-1952563.1129899295</v>
      </c>
      <c r="L166" s="7">
        <f>'gerç aylık-eur'!$E$95</f>
        <v>-1540146.6383293241</v>
      </c>
      <c r="M166" s="7"/>
      <c r="N166" s="7">
        <f>'Bütçe aylık-Eur'!$F$96</f>
        <v>-1599132.074843775</v>
      </c>
      <c r="O166" s="7">
        <f>'gerç aylık-eur'!$F$95</f>
        <v>-1757779.0492950852</v>
      </c>
      <c r="P166" s="7"/>
      <c r="Q166" s="7">
        <f>'Bütçe aylık-Eur'!$G$96</f>
        <v>-1607288.8206945406</v>
      </c>
      <c r="R166" s="7">
        <f>'gerç aylık-eur'!$G$95</f>
        <v>-2130915.5236416305</v>
      </c>
      <c r="S166" s="7"/>
      <c r="T166" s="7">
        <f>'Bütçe aylık-Eur'!$H$96</f>
        <v>-1941631.1235385344</v>
      </c>
      <c r="U166" s="7">
        <f>'gerç aylık-eur'!$H$95</f>
        <v>-2048675.4605799299</v>
      </c>
      <c r="V166" s="7"/>
      <c r="W166" s="7">
        <f>'Bütçe aylık-Eur'!$I$96</f>
        <v>-2000167.2267086902</v>
      </c>
      <c r="X166" s="7">
        <f>'gerç aylık-eur'!$I$95</f>
        <v>-2188854.2347309282</v>
      </c>
      <c r="Y166" s="7"/>
      <c r="Z166" s="7">
        <f>'Bütçe aylık-Eur'!$J$96</f>
        <v>-2073998.5577645421</v>
      </c>
      <c r="AA166" s="7">
        <f>'gerç aylık-eur'!$J$95</f>
        <v>-1886416.8292201057</v>
      </c>
      <c r="AB166" s="7"/>
      <c r="AC166" s="7">
        <f>'Bütçe aylık-Eur'!$K$96</f>
        <v>-1895221.5777273902</v>
      </c>
      <c r="AD166" s="7">
        <f>'gerç aylık-eur'!$K$95</f>
        <v>0</v>
      </c>
      <c r="AE166" s="7"/>
      <c r="AF166" s="7">
        <f>'Bütçe aylık-Eur'!$L$96</f>
        <v>-1840380.0632778958</v>
      </c>
      <c r="AG166" s="7">
        <f>'gerç aylık-eur'!$L$95</f>
        <v>0</v>
      </c>
      <c r="AH166" s="7"/>
      <c r="AI166" s="7">
        <f>'Bütçe aylık-Eur'!$M$96</f>
        <v>-1902428.8648432547</v>
      </c>
      <c r="AJ166" s="7">
        <f>'gerç aylık-eur'!$M$95</f>
        <v>0</v>
      </c>
      <c r="AK166" s="7"/>
      <c r="AL166" s="21">
        <f t="shared" si="87"/>
        <v>187581.7285444364</v>
      </c>
      <c r="AM166" s="22">
        <f t="shared" si="88"/>
        <v>-9.0444483600133907E-2</v>
      </c>
      <c r="AO166" s="44">
        <f t="shared" si="89"/>
        <v>-2073998.5577645421</v>
      </c>
      <c r="AP166" s="44">
        <f t="shared" si="89"/>
        <v>-1886416.8292201057</v>
      </c>
    </row>
    <row r="167" spans="1:43" s="1" customFormat="1" ht="15.5">
      <c r="A167" s="26" t="s">
        <v>14</v>
      </c>
      <c r="B167" s="7">
        <f>'Bütçe aylık-Eur'!$B$97</f>
        <v>-128113.98547914512</v>
      </c>
      <c r="C167" s="7">
        <f>'gerç aylık-eur'!$B$96</f>
        <v>-131887.19687799565</v>
      </c>
      <c r="D167" s="8"/>
      <c r="E167" s="7">
        <f>'Bütçe aylık-Eur'!$C$97</f>
        <v>-124311.14768845124</v>
      </c>
      <c r="F167" s="7">
        <f>'gerç aylık-eur'!$C$96</f>
        <v>-129540.63903024189</v>
      </c>
      <c r="G167" s="8"/>
      <c r="H167" s="7">
        <f>'Bütçe aylık-Eur'!$D$97</f>
        <v>-120615.22187248636</v>
      </c>
      <c r="I167" s="7">
        <f>'gerç aylık-eur'!$D$96</f>
        <v>-121999.52856671652</v>
      </c>
      <c r="J167" s="8"/>
      <c r="K167" s="7">
        <f>'Bütçe aylık-Eur'!$E$97</f>
        <v>-180710.41401715062</v>
      </c>
      <c r="L167" s="7">
        <f>'gerç aylık-eur'!$E$96</f>
        <v>-110445.06762721285</v>
      </c>
      <c r="M167" s="8"/>
      <c r="N167" s="7">
        <f>'Bütçe aylık-Eur'!$F$97</f>
        <v>-175329.56735632566</v>
      </c>
      <c r="O167" s="7">
        <f>'gerç aylık-eur'!$F$96</f>
        <v>-107505.22962437769</v>
      </c>
      <c r="P167" s="8"/>
      <c r="Q167" s="7">
        <f>'Bütçe aylık-Eur'!$G$97</f>
        <v>-168268.07227723574</v>
      </c>
      <c r="R167" s="7">
        <f>'gerç aylık-eur'!$G$96</f>
        <v>-195252.74368111585</v>
      </c>
      <c r="S167" s="8"/>
      <c r="T167" s="7">
        <f>'Bütçe aylık-Eur'!$H$97</f>
        <v>-161337.34606031881</v>
      </c>
      <c r="U167" s="7">
        <f>'gerç aylık-eur'!$H$96</f>
        <v>-181010.54042125968</v>
      </c>
      <c r="V167" s="8"/>
      <c r="W167" s="7">
        <f>'Bütçe aylık-Eur'!$I$97</f>
        <v>-154517.93568002482</v>
      </c>
      <c r="X167" s="7">
        <f>'gerç aylık-eur'!$I$96</f>
        <v>-203438.01934861043</v>
      </c>
      <c r="Y167" s="8"/>
      <c r="Z167" s="7">
        <f>'Bütçe aylık-Eur'!$J$97</f>
        <v>-157834.81639640246</v>
      </c>
      <c r="AA167" s="7">
        <f>'gerç aylık-eur'!$J$96</f>
        <v>-194198.09411358985</v>
      </c>
      <c r="AB167" s="8"/>
      <c r="AC167" s="7">
        <f>'Bütçe aylık-Eur'!$K$97</f>
        <v>-151032.93484245395</v>
      </c>
      <c r="AD167" s="7">
        <f>'gerç aylık-eur'!$K$96</f>
        <v>0</v>
      </c>
      <c r="AE167" s="8"/>
      <c r="AF167" s="7">
        <f>'Bütçe aylık-Eur'!$L$97</f>
        <v>-144321.55501184962</v>
      </c>
      <c r="AG167" s="7">
        <f>'gerç aylık-eur'!$L$96</f>
        <v>0</v>
      </c>
      <c r="AH167" s="8"/>
      <c r="AI167" s="7">
        <f>'Bütçe aylık-Eur'!$M$97</f>
        <v>-137691.09002339459</v>
      </c>
      <c r="AJ167" s="7">
        <f>'gerç aylık-eur'!$M$96</f>
        <v>0</v>
      </c>
      <c r="AK167" s="8"/>
      <c r="AL167" s="21">
        <f t="shared" si="87"/>
        <v>-36363.277717187389</v>
      </c>
      <c r="AM167" s="22">
        <f t="shared" si="88"/>
        <v>0.23038819030815705</v>
      </c>
      <c r="AO167" s="44">
        <f t="shared" si="89"/>
        <v>-157834.81639640246</v>
      </c>
      <c r="AP167" s="44">
        <f t="shared" si="89"/>
        <v>-194198.09411358985</v>
      </c>
    </row>
    <row r="168" spans="1:43" ht="15.5">
      <c r="A168" s="26" t="s">
        <v>15</v>
      </c>
      <c r="B168" s="7">
        <f>'Bütçe aylık-Eur'!$B$98</f>
        <v>-39037.112421999998</v>
      </c>
      <c r="C168" s="7">
        <f>'gerç aylık-eur'!$B$97</f>
        <v>-43741.61</v>
      </c>
      <c r="D168" s="7"/>
      <c r="E168" s="7">
        <f>'Bütçe aylık-Eur'!$C$98</f>
        <v>-37883.306143999995</v>
      </c>
      <c r="F168" s="7">
        <f>'gerç aylık-eur'!$C$97</f>
        <v>-30844.819999999992</v>
      </c>
      <c r="G168" s="7"/>
      <c r="H168" s="7">
        <f>'Bütçe aylık-Eur'!$D$98</f>
        <v>-36755.076852000013</v>
      </c>
      <c r="I168" s="7">
        <f>'gerç aylık-eur'!$D$97</f>
        <v>-43626.55</v>
      </c>
      <c r="J168" s="7"/>
      <c r="K168" s="7">
        <f>'Bütçe aylık-Eur'!$E$98</f>
        <v>-33477.249459999992</v>
      </c>
      <c r="L168" s="7">
        <f>'gerç aylık-eur'!$E$97</f>
        <v>-35659.12999999999</v>
      </c>
      <c r="M168" s="7"/>
      <c r="N168" s="7">
        <f>'Bütçe aylık-Eur'!$F$98</f>
        <v>-31430.683372000003</v>
      </c>
      <c r="O168" s="7">
        <f>'gerç aylık-eur'!$F$97</f>
        <v>6277.4399999999741</v>
      </c>
      <c r="P168" s="7"/>
      <c r="Q168" s="7">
        <f>'Bütçe aylık-Eur'!$G$98</f>
        <v>-30489.853602999996</v>
      </c>
      <c r="R168" s="7">
        <f>'gerç aylık-eur'!$G$97</f>
        <v>-122724.26999999999</v>
      </c>
      <c r="S168" s="7"/>
      <c r="T168" s="7">
        <f>'Bütçe aylık-Eur'!$H$98</f>
        <v>-28896.307247999997</v>
      </c>
      <c r="U168" s="7">
        <f>'gerç aylık-eur'!$H$97</f>
        <v>-80714.919999999984</v>
      </c>
      <c r="V168" s="7"/>
      <c r="W168" s="7">
        <f>'Bütçe aylık-Eur'!$I$98</f>
        <v>-27362.356934999989</v>
      </c>
      <c r="X168" s="7">
        <f>'gerç aylık-eur'!$I$97</f>
        <v>11818.349999999977</v>
      </c>
      <c r="Y168" s="7"/>
      <c r="Z168" s="7">
        <f>'Bütçe aylık-Eur'!$J$98</f>
        <v>-26455.384649000014</v>
      </c>
      <c r="AA168" s="7">
        <f>'gerç aylık-eur'!$J$97</f>
        <v>-29009.289999999983</v>
      </c>
      <c r="AB168" s="7"/>
      <c r="AC168" s="7">
        <f>'Bütçe aylık-Eur'!$K$98</f>
        <v>-25286.649955999983</v>
      </c>
      <c r="AD168" s="7">
        <f>'gerç aylık-eur'!$K$97</f>
        <v>0</v>
      </c>
      <c r="AE168" s="7"/>
      <c r="AF168" s="7">
        <f>'Bütçe aylık-Eur'!$L$98</f>
        <v>-24868.547501000052</v>
      </c>
      <c r="AG168" s="7">
        <f>'gerç aylık-eur'!$L$97</f>
        <v>0</v>
      </c>
      <c r="AH168" s="7"/>
      <c r="AI168" s="7">
        <f>'Bütçe aylık-Eur'!$M$98</f>
        <v>-23771.405700000003</v>
      </c>
      <c r="AJ168" s="7">
        <f>'gerç aylık-eur'!$M$97</f>
        <v>0</v>
      </c>
      <c r="AK168" s="7"/>
      <c r="AL168" s="21">
        <f t="shared" si="87"/>
        <v>-2553.9053509999685</v>
      </c>
      <c r="AM168" s="22">
        <f t="shared" si="88"/>
        <v>9.6536315191943389E-2</v>
      </c>
      <c r="AO168" s="44">
        <f t="shared" si="89"/>
        <v>-26455.384649000014</v>
      </c>
      <c r="AP168" s="44">
        <f t="shared" si="89"/>
        <v>-29009.289999999983</v>
      </c>
    </row>
    <row r="169" spans="1:43" ht="15.5">
      <c r="A169" s="26" t="s">
        <v>16</v>
      </c>
      <c r="B169" s="7">
        <f>'Bütçe aylık-Eur'!$B$99</f>
        <v>-32514.232259</v>
      </c>
      <c r="C169" s="7">
        <f>'gerç aylık-eur'!$B$98</f>
        <v>86412.27</v>
      </c>
      <c r="D169" s="7"/>
      <c r="E169" s="7">
        <f>'Bütçe aylık-Eur'!$C$99</f>
        <v>-31571.908798000004</v>
      </c>
      <c r="F169" s="7">
        <f>'gerç aylık-eur'!$C$98</f>
        <v>21004.879999999986</v>
      </c>
      <c r="G169" s="7"/>
      <c r="H169" s="7">
        <f>'Bütçe aylık-Eur'!$D$99</f>
        <v>-30651.035837000003</v>
      </c>
      <c r="I169" s="7">
        <f>'gerç aylık-eur'!$D$98</f>
        <v>24203.059999999998</v>
      </c>
      <c r="J169" s="7"/>
      <c r="K169" s="7">
        <f>'Bütçe aylık-Eur'!$E$99</f>
        <v>-28001.524210999996</v>
      </c>
      <c r="L169" s="7">
        <f>'gerç aylık-eur'!$E$98</f>
        <v>82750.779999999984</v>
      </c>
      <c r="M169" s="7"/>
      <c r="N169" s="7">
        <f>'Bütçe aylık-Eur'!$F$99</f>
        <v>-26343.034701000015</v>
      </c>
      <c r="O169" s="7">
        <f>'gerç aylık-eur'!$F$98</f>
        <v>122414.72999999998</v>
      </c>
      <c r="P169" s="7"/>
      <c r="Q169" s="7">
        <f>'Bütçe aylık-Eur'!$G$99</f>
        <v>-25575.307459999985</v>
      </c>
      <c r="R169" s="7">
        <f>'gerç aylık-eur'!$G$98</f>
        <v>104329.21000000002</v>
      </c>
      <c r="S169" s="7"/>
      <c r="T169" s="7">
        <f>'Bütçe aylık-Eur'!$H$99</f>
        <v>-24322.883969000017</v>
      </c>
      <c r="U169" s="7">
        <f>'gerç aylık-eur'!$H$98</f>
        <v>124811.72000000003</v>
      </c>
      <c r="V169" s="7"/>
      <c r="W169" s="7">
        <f>'Bütçe aylık-Eur'!$I$99</f>
        <v>-23076.355049999984</v>
      </c>
      <c r="X169" s="7">
        <f>'gerç aylık-eur'!$I$98</f>
        <v>9584.7399999999907</v>
      </c>
      <c r="Y169" s="7"/>
      <c r="Z169" s="7">
        <f>'Bütçe aylık-Eur'!$J$99</f>
        <v>-22336.492159000016</v>
      </c>
      <c r="AA169" s="7">
        <f>'gerç aylık-eur'!$J$98</f>
        <v>61220.609999999986</v>
      </c>
      <c r="AB169" s="7"/>
      <c r="AC169" s="7">
        <f>'Bütçe aylık-Eur'!$K$99</f>
        <v>-21386.259743000002</v>
      </c>
      <c r="AD169" s="7">
        <f>'gerç aylık-eur'!$K$98</f>
        <v>0</v>
      </c>
      <c r="AE169" s="7"/>
      <c r="AF169" s="7">
        <f>'Bütçe aylık-Eur'!$L$99</f>
        <v>-21041.999791999988</v>
      </c>
      <c r="AG169" s="7">
        <f>'gerç aylık-eur'!$L$98</f>
        <v>0</v>
      </c>
      <c r="AH169" s="7"/>
      <c r="AI169" s="7">
        <f>'Bütçe aylık-Eur'!$M$99</f>
        <v>-20151.875964000006</v>
      </c>
      <c r="AJ169" s="7">
        <f>'gerç aylık-eur'!$M$98</f>
        <v>0</v>
      </c>
      <c r="AK169" s="7"/>
      <c r="AL169" s="21">
        <f t="shared" si="87"/>
        <v>83557.102159000002</v>
      </c>
      <c r="AM169" s="22">
        <f t="shared" si="88"/>
        <v>-3.7408336798906197</v>
      </c>
      <c r="AO169" s="44">
        <f t="shared" si="89"/>
        <v>-22336.492159000016</v>
      </c>
      <c r="AP169" s="44">
        <f t="shared" si="89"/>
        <v>61220.609999999986</v>
      </c>
    </row>
    <row r="170" spans="1:43" ht="15.5">
      <c r="A170" s="26" t="s">
        <v>17</v>
      </c>
      <c r="B170" s="7">
        <f>'Bütçe aylık-Eur'!$B$100</f>
        <v>-45211.37</v>
      </c>
      <c r="C170" s="7">
        <f>'gerç aylık-eur'!$B$99</f>
        <v>-66598.38</v>
      </c>
      <c r="D170" s="7"/>
      <c r="E170" s="7">
        <f>'Bütçe aylık-Eur'!$C$100</f>
        <v>-45211.37</v>
      </c>
      <c r="F170" s="7">
        <f>'gerç aylık-eur'!$C$99</f>
        <v>-88551.109999999986</v>
      </c>
      <c r="G170" s="7"/>
      <c r="H170" s="7">
        <f>'Bütçe aylık-Eur'!$D$100</f>
        <v>-45211.369999999974</v>
      </c>
      <c r="I170" s="7">
        <f>'gerç aylık-eur'!$D$99</f>
        <v>-125519.09000000003</v>
      </c>
      <c r="J170" s="7"/>
      <c r="K170" s="7">
        <f>'Bütçe aylık-Eur'!$E$100</f>
        <v>-45211.370000000024</v>
      </c>
      <c r="L170" s="7">
        <f>'gerç aylık-eur'!$E$99</f>
        <v>-12697.369999999995</v>
      </c>
      <c r="M170" s="7"/>
      <c r="N170" s="7">
        <f>'Bütçe aylık-Eur'!$F$100</f>
        <v>-45211.369999999995</v>
      </c>
      <c r="O170" s="7">
        <f>'gerç aylık-eur'!$F$99</f>
        <v>-48604.580000000009</v>
      </c>
      <c r="P170" s="7"/>
      <c r="Q170" s="7">
        <f>'Bütçe aylık-Eur'!$G$100</f>
        <v>-45211.369999999966</v>
      </c>
      <c r="R170" s="7">
        <f>'gerç aylık-eur'!$G$99</f>
        <v>-59631.399999999965</v>
      </c>
      <c r="S170" s="7"/>
      <c r="T170" s="7">
        <f>'Bütçe aylık-Eur'!$H$100</f>
        <v>-45211.370000000046</v>
      </c>
      <c r="U170" s="7">
        <f>'gerç aylık-eur'!$H$99</f>
        <v>-24804.669999999987</v>
      </c>
      <c r="V170" s="7"/>
      <c r="W170" s="7">
        <f>'Bütçe aylık-Eur'!$I$100</f>
        <v>-45211.369999999995</v>
      </c>
      <c r="X170" s="7">
        <f>'gerç aylık-eur'!$I$99</f>
        <v>51341.009999999951</v>
      </c>
      <c r="Y170" s="7"/>
      <c r="Z170" s="7">
        <f>'Bütçe aylık-Eur'!$J$100</f>
        <v>-45211.369999999995</v>
      </c>
      <c r="AA170" s="7">
        <f>'gerç aylık-eur'!$J$99</f>
        <v>14175.830000000016</v>
      </c>
      <c r="AB170" s="7"/>
      <c r="AC170" s="7">
        <f>'Bütçe aylık-Eur'!$K$100</f>
        <v>-45211.369999999995</v>
      </c>
      <c r="AD170" s="7">
        <f>'gerç aylık-eur'!$K$99</f>
        <v>0</v>
      </c>
      <c r="AE170" s="7"/>
      <c r="AF170" s="7">
        <f>'Bütçe aylık-Eur'!$L$100</f>
        <v>-45211.369999999995</v>
      </c>
      <c r="AG170" s="7">
        <f>'gerç aylık-eur'!$L$99</f>
        <v>0</v>
      </c>
      <c r="AH170" s="7"/>
      <c r="AI170" s="7">
        <f>'Bütçe aylık-Eur'!$M$100</f>
        <v>-45211.369999999937</v>
      </c>
      <c r="AJ170" s="7">
        <f>'gerç aylık-eur'!$M$99</f>
        <v>0</v>
      </c>
      <c r="AK170" s="7"/>
      <c r="AL170" s="21">
        <f t="shared" si="87"/>
        <v>59387.200000000012</v>
      </c>
      <c r="AM170" s="22">
        <f t="shared" si="88"/>
        <v>-1.3135456855211425</v>
      </c>
      <c r="AO170" s="44">
        <f t="shared" si="89"/>
        <v>-45211.369999999995</v>
      </c>
      <c r="AP170" s="44">
        <f t="shared" si="89"/>
        <v>14175.830000000016</v>
      </c>
    </row>
    <row r="171" spans="1:43" s="13" customFormat="1" ht="15.5">
      <c r="A171" s="26"/>
      <c r="B171" s="12"/>
      <c r="C171" s="30"/>
      <c r="D171" s="41"/>
      <c r="E171" s="12"/>
      <c r="F171" s="30"/>
      <c r="G171" s="41"/>
      <c r="H171" s="12"/>
      <c r="I171" s="30"/>
      <c r="J171" s="41"/>
      <c r="K171" s="12"/>
      <c r="L171" s="30"/>
      <c r="M171" s="41"/>
      <c r="N171" s="12"/>
      <c r="O171" s="30"/>
      <c r="P171" s="41"/>
      <c r="Q171" s="12"/>
      <c r="R171" s="30"/>
      <c r="S171" s="41"/>
      <c r="T171" s="12"/>
      <c r="U171" s="30"/>
      <c r="V171" s="41"/>
      <c r="W171" s="12"/>
      <c r="X171" s="30"/>
      <c r="Y171" s="41"/>
      <c r="Z171" s="12"/>
      <c r="AA171" s="30"/>
      <c r="AB171" s="41"/>
      <c r="AC171" s="12"/>
      <c r="AD171" s="30"/>
      <c r="AE171" s="41"/>
      <c r="AF171" s="12"/>
      <c r="AG171" s="30"/>
      <c r="AH171" s="41"/>
      <c r="AI171" s="12"/>
      <c r="AJ171" s="30"/>
      <c r="AK171" s="41"/>
      <c r="AL171" s="15"/>
      <c r="AM171" s="22"/>
      <c r="AO171" s="44"/>
      <c r="AP171" s="44"/>
    </row>
    <row r="172" spans="1:43" s="13" customFormat="1" ht="15.5">
      <c r="A172" s="26"/>
      <c r="B172" s="12"/>
      <c r="C172" s="30"/>
      <c r="D172" s="41"/>
      <c r="E172" s="12"/>
      <c r="F172" s="30"/>
      <c r="G172" s="41"/>
      <c r="H172" s="12"/>
      <c r="I172" s="30"/>
      <c r="J172" s="41"/>
      <c r="K172" s="12"/>
      <c r="L172" s="30"/>
      <c r="M172" s="41"/>
      <c r="N172" s="12"/>
      <c r="O172" s="30"/>
      <c r="P172" s="41"/>
      <c r="Q172" s="12"/>
      <c r="R172" s="30"/>
      <c r="S172" s="41"/>
      <c r="T172" s="12"/>
      <c r="U172" s="30"/>
      <c r="V172" s="41"/>
      <c r="W172" s="12"/>
      <c r="X172" s="30"/>
      <c r="Y172" s="41"/>
      <c r="Z172" s="12"/>
      <c r="AA172" s="30"/>
      <c r="AB172" s="41"/>
      <c r="AC172" s="12"/>
      <c r="AD172" s="30"/>
      <c r="AE172" s="41"/>
      <c r="AF172" s="12"/>
      <c r="AG172" s="30"/>
      <c r="AH172" s="41"/>
      <c r="AI172" s="12"/>
      <c r="AJ172" s="30"/>
      <c r="AK172" s="41"/>
      <c r="AL172" s="15"/>
      <c r="AM172" s="22"/>
      <c r="AO172" s="44"/>
      <c r="AP172" s="44"/>
    </row>
    <row r="173" spans="1:43" s="44" customFormat="1" ht="15.5">
      <c r="A173" s="31" t="s">
        <v>78</v>
      </c>
      <c r="B173" s="32">
        <f>'Bütçe aylık-Eur'!$B$103</f>
        <v>185134.514578559</v>
      </c>
      <c r="C173" s="32">
        <f>'gerç aylık-eur'!$B$102</f>
        <v>-628653.02296381816</v>
      </c>
      <c r="D173" s="18"/>
      <c r="E173" s="32">
        <f>'Bütçe aylık-Eur'!$C$103</f>
        <v>33757.583299649559</v>
      </c>
      <c r="F173" s="32">
        <f>'gerç aylık-eur'!$C$102</f>
        <v>167324.97788530236</v>
      </c>
      <c r="G173" s="18"/>
      <c r="H173" s="32">
        <f>'Bütçe aylık-Eur'!$D$103</f>
        <v>-38163.424705088968</v>
      </c>
      <c r="I173" s="32">
        <f>'gerç aylık-eur'!$D$102</f>
        <v>-427407.14422828937</v>
      </c>
      <c r="J173" s="18"/>
      <c r="K173" s="32">
        <f>'Bütçe aylık-Eur'!$E$103</f>
        <v>-195529.90837140498</v>
      </c>
      <c r="L173" s="32">
        <f>'gerç aylık-eur'!$E$102</f>
        <v>-1046337.8897489812</v>
      </c>
      <c r="M173" s="18"/>
      <c r="N173" s="32">
        <f>'Bütçe aylık-Eur'!$F$103</f>
        <v>-9987.6307658805345</v>
      </c>
      <c r="O173" s="32">
        <f>'gerç aylık-eur'!$F$102</f>
        <v>-621884.87871702248</v>
      </c>
      <c r="P173" s="18"/>
      <c r="Q173" s="32">
        <f>'Bütçe aylık-Eur'!$G$103</f>
        <v>59331.063033932216</v>
      </c>
      <c r="R173" s="32">
        <f>'gerç aylık-eur'!$G$102</f>
        <v>-780419.901400464</v>
      </c>
      <c r="S173" s="18"/>
      <c r="T173" s="32">
        <f>'Bütçe aylık-Eur'!$H$103</f>
        <v>-51540.90830033816</v>
      </c>
      <c r="U173" s="32">
        <f>'gerç aylık-eur'!$H$102</f>
        <v>-599853.48890101037</v>
      </c>
      <c r="V173" s="18"/>
      <c r="W173" s="32">
        <f>'Bütçe aylık-Eur'!$I$103</f>
        <v>-45388.954224530564</v>
      </c>
      <c r="X173" s="32">
        <f>'gerç aylık-eur'!$I$102</f>
        <v>-512158.96124450903</v>
      </c>
      <c r="Y173" s="18"/>
      <c r="Z173" s="32">
        <f>'Bütçe aylık-Eur'!$J$103</f>
        <v>-40929.098693830587</v>
      </c>
      <c r="AA173" s="32">
        <f>'gerç aylık-eur'!$J$102</f>
        <v>-289292.28920474293</v>
      </c>
      <c r="AB173" s="18"/>
      <c r="AC173" s="32">
        <f>'Bütçe aylık-Eur'!$K$103</f>
        <v>-41630.869956884424</v>
      </c>
      <c r="AD173" s="32">
        <f>'gerç aylık-eur'!$K$102</f>
        <v>0</v>
      </c>
      <c r="AE173" s="18"/>
      <c r="AF173" s="32">
        <f>'Bütçe aylık-Eur'!$L$103</f>
        <v>-33027.222382951673</v>
      </c>
      <c r="AG173" s="32">
        <f>'gerç aylık-eur'!$L$102</f>
        <v>0</v>
      </c>
      <c r="AH173" s="18"/>
      <c r="AI173" s="32">
        <f>'Bütçe aylık-Eur'!$M$103</f>
        <v>-31053.992729393995</v>
      </c>
      <c r="AJ173" s="32">
        <f>'gerç aylık-eur'!$M$102</f>
        <v>0</v>
      </c>
      <c r="AK173" s="18"/>
      <c r="AL173" s="33">
        <f>AP173-AO173</f>
        <v>-248363.19051091233</v>
      </c>
      <c r="AM173" s="34">
        <f>AP173/AO173-1</f>
        <v>6.0681324152478631</v>
      </c>
      <c r="AO173" s="44">
        <f>IF($A$1=$B$1,B173,IF($A$1=$E$1,E173,IF($A$1=$H$1,H173,IF($A$1=$K$1,K173,IF($A$1=$N$1,N173,IF($A$1=$Q$1,Q173,IF($A$1=$T$1,T173,IF($A$1=$W$1,W173,IF($A$1=$Z$1,Z173,IF($A$1=$AC$1,AC173,IF($A$1=$AF$1,AF173,IF($A$1=$AI$1,AI173))))))))))))</f>
        <v>-40929.098693830587</v>
      </c>
      <c r="AP173" s="44">
        <f>IF($A$1=$B$1,C173,IF($A$1=$E$1,F173,IF($A$1=$H$1,I173,IF($A$1=$K$1,L173,IF($A$1=$N$1,O173,IF($A$1=$Q$1,R173,IF($A$1=$T$1,U173,IF($A$1=$W$1,X173,IF($A$1=$Z$1,AA173,IF($A$1=$AC$1,AD173,IF($A$1=$AF$1,AG173,IF($A$1=$AI$1,AJ173))))))))))))</f>
        <v>-289292.28920474293</v>
      </c>
    </row>
    <row r="174" spans="1:43" s="13" customFormat="1" ht="15.5">
      <c r="A174" s="27"/>
      <c r="B174" s="30"/>
      <c r="C174" s="30"/>
      <c r="D174" s="41"/>
      <c r="E174" s="30"/>
      <c r="F174" s="30"/>
      <c r="G174" s="41"/>
      <c r="H174" s="30"/>
      <c r="I174" s="30"/>
      <c r="J174" s="41"/>
      <c r="K174" s="30"/>
      <c r="L174" s="30"/>
      <c r="M174" s="41"/>
      <c r="N174" s="30"/>
      <c r="O174" s="30"/>
      <c r="P174" s="41"/>
      <c r="Q174" s="30"/>
      <c r="R174" s="30"/>
      <c r="S174" s="41"/>
      <c r="T174" s="30"/>
      <c r="U174" s="30"/>
      <c r="V174" s="41"/>
      <c r="W174" s="30"/>
      <c r="X174" s="30"/>
      <c r="Y174" s="41"/>
      <c r="Z174" s="30"/>
      <c r="AA174" s="30"/>
      <c r="AB174" s="41"/>
      <c r="AC174" s="30"/>
      <c r="AD174" s="30"/>
      <c r="AE174" s="41"/>
      <c r="AF174" s="30"/>
      <c r="AG174" s="30"/>
      <c r="AH174" s="41"/>
      <c r="AI174" s="30"/>
      <c r="AJ174" s="30"/>
      <c r="AK174" s="41"/>
      <c r="AL174" s="15"/>
      <c r="AM174" s="22"/>
      <c r="AO174" s="44">
        <f>IF($A$1=$B$1,B174,IF($A$1=$E$1,E174,IF($A$1=$H$1,H174,IF($A$1=$K$1,K174,IF($A$1=$N$1,N174,IF($A$1=$Q$1,Q174,IF($A$1=$T$1,T174,IF($A$1=$W$1,W174,IF($A$1=$Z$1,Z174,IF($A$1=$AC$1,AC174,IF($A$1=$AF$1,AF174,IF($A$1=$AI$1,AI174))))))))))))</f>
        <v>0</v>
      </c>
      <c r="AP174" s="44">
        <f>IF($A$1=$B$1,C174,IF($A$1=$E$1,F174,IF($A$1=$H$1,I174,IF($A$1=$K$1,L174,IF($A$1=$N$1,O174,IF($A$1=$Q$1,R174,IF($A$1=$T$1,U174,IF($A$1=$W$1,X174,IF($A$1=$Z$1,AA174,IF($A$1=$AC$1,AD174,IF($A$1=$AF$1,AG174,IF($A$1=$AI$1,AJ174))))))))))))</f>
        <v>0</v>
      </c>
    </row>
    <row r="175" spans="1:43" s="49" customFormat="1" ht="17">
      <c r="A175" s="47" t="s">
        <v>79</v>
      </c>
      <c r="B175" s="413"/>
      <c r="C175" s="413"/>
      <c r="D175" s="413"/>
      <c r="E175" s="413"/>
      <c r="F175" s="413"/>
      <c r="G175" s="413"/>
      <c r="H175" s="413"/>
      <c r="I175" s="413"/>
      <c r="J175" s="413"/>
      <c r="K175" s="413"/>
      <c r="L175" s="413"/>
      <c r="M175" s="413"/>
      <c r="N175" s="413"/>
      <c r="O175" s="413"/>
      <c r="P175" s="413"/>
      <c r="Q175" s="413"/>
      <c r="R175" s="413"/>
      <c r="S175" s="413"/>
      <c r="T175" s="413"/>
      <c r="U175" s="413"/>
      <c r="V175" s="413"/>
      <c r="W175" s="413"/>
      <c r="X175" s="413"/>
      <c r="Y175" s="413"/>
      <c r="Z175" s="413"/>
      <c r="AA175" s="413"/>
      <c r="AB175" s="413"/>
      <c r="AC175" s="413"/>
      <c r="AD175" s="413"/>
      <c r="AE175" s="413"/>
      <c r="AF175" s="413"/>
      <c r="AG175" s="413"/>
      <c r="AH175" s="413"/>
      <c r="AI175" s="413"/>
      <c r="AJ175" s="413"/>
      <c r="AK175" s="413"/>
      <c r="AL175" s="413"/>
      <c r="AM175" s="48"/>
    </row>
    <row r="176" spans="1:43" ht="15.5">
      <c r="A176" s="26" t="s">
        <v>10</v>
      </c>
      <c r="B176" s="7">
        <f>'Bütçe aylık-Eur'!$B$104</f>
        <v>201940.42909662076</v>
      </c>
      <c r="C176" s="7">
        <f>'gerç aylık-eur'!$B$103</f>
        <v>49545.350766696167</v>
      </c>
      <c r="D176" s="7"/>
      <c r="E176" s="7">
        <f>'Bütçe aylık-Eur'!$C$104</f>
        <v>108675.41023676461</v>
      </c>
      <c r="F176" s="7">
        <f>'gerç aylık-eur'!$C$103</f>
        <v>360244.54894324683</v>
      </c>
      <c r="G176" s="7"/>
      <c r="H176" s="7">
        <f>'Bütçe aylık-Eur'!$D$104</f>
        <v>20098.56474913421</v>
      </c>
      <c r="I176" s="7">
        <f>'gerç aylık-eur'!$D$103</f>
        <v>583131.56820032606</v>
      </c>
      <c r="J176" s="7"/>
      <c r="K176" s="7">
        <f>'Bütçe aylık-Eur'!$E$104</f>
        <v>27324.991706302611</v>
      </c>
      <c r="L176" s="7">
        <f>'gerç aylık-eur'!$E$103</f>
        <v>479847.15925763058</v>
      </c>
      <c r="M176" s="7"/>
      <c r="N176" s="7">
        <f>'Bütçe aylık-Eur'!$F$104</f>
        <v>20056.081009297108</v>
      </c>
      <c r="O176" s="7">
        <f>'gerç aylık-eur'!$F$103</f>
        <v>-1005.3524036071913</v>
      </c>
      <c r="P176" s="7"/>
      <c r="Q176" s="7">
        <f>'Bütçe aylık-Eur'!$G$104</f>
        <v>32316.33862800866</v>
      </c>
      <c r="R176" s="7">
        <f>'gerç aylık-eur'!$G$103</f>
        <v>37540.419583653289</v>
      </c>
      <c r="S176" s="7"/>
      <c r="T176" s="7">
        <f>'Bütçe aylık-Eur'!$H$104</f>
        <v>15190.12155919725</v>
      </c>
      <c r="U176" s="7">
        <f>'gerç aylık-eur'!$H$103</f>
        <v>-23063.636195487656</v>
      </c>
      <c r="V176" s="7"/>
      <c r="W176" s="7">
        <f>'Bütçe aylık-Eur'!$I$104</f>
        <v>11343.177788794181</v>
      </c>
      <c r="X176" s="7">
        <f>'gerç aylık-eur'!$I$103</f>
        <v>89419.489733081005</v>
      </c>
      <c r="Y176" s="7"/>
      <c r="Z176" s="7">
        <f>'Bütçe aylık-Eur'!$J$104</f>
        <v>21187.664107004977</v>
      </c>
      <c r="AA176" s="7">
        <f>'gerç aylık-eur'!$J$103</f>
        <v>33711.395290884284</v>
      </c>
      <c r="AB176" s="7"/>
      <c r="AC176" s="7">
        <f>'Bütçe aylık-Eur'!$K$104</f>
        <v>20064.586880954219</v>
      </c>
      <c r="AD176" s="7">
        <f>'gerç aylık-eur'!$K$103</f>
        <v>0</v>
      </c>
      <c r="AE176" s="7"/>
      <c r="AF176" s="7">
        <f>'Bütçe aylık-Eur'!$L$104</f>
        <v>22775.666715004321</v>
      </c>
      <c r="AG176" s="7">
        <f>'gerç aylık-eur'!$L$103</f>
        <v>0</v>
      </c>
      <c r="AH176" s="7"/>
      <c r="AI176" s="7">
        <f>'Bütçe aylık-Eur'!$M$104</f>
        <v>18277.602869912436</v>
      </c>
      <c r="AJ176" s="7">
        <f>'gerç aylık-eur'!$M$103</f>
        <v>0</v>
      </c>
      <c r="AK176" s="7"/>
      <c r="AL176" s="21">
        <f t="shared" ref="AL176:AL183" si="90">AP176-AO176</f>
        <v>12523.731183879307</v>
      </c>
      <c r="AM176" s="22">
        <f t="shared" ref="AM176:AM183" si="91">AP176/AO176-1</f>
        <v>0.5910859791164409</v>
      </c>
      <c r="AO176" s="44">
        <f t="shared" ref="AO176:AP183" si="92">IF($A$1=$B$1,B176,IF($A$1=$E$1,E176,IF($A$1=$H$1,H176,IF($A$1=$K$1,K176,IF($A$1=$N$1,N176,IF($A$1=$Q$1,Q176,IF($A$1=$T$1,T176,IF($A$1=$W$1,W176,IF($A$1=$Z$1,Z176,IF($A$1=$AC$1,AC176,IF($A$1=$AF$1,AF176,IF($A$1=$AI$1,AI176))))))))))))</f>
        <v>21187.664107004977</v>
      </c>
      <c r="AP176" s="44">
        <f t="shared" si="92"/>
        <v>33711.395290884284</v>
      </c>
      <c r="AQ176" s="94">
        <f>C176</f>
        <v>49545.350766696167</v>
      </c>
    </row>
    <row r="177" spans="1:43" ht="15.5">
      <c r="A177" s="26" t="s">
        <v>11</v>
      </c>
      <c r="B177" s="7">
        <f>'Bütçe aylık-Eur'!$B$105</f>
        <v>1372.1022923129954</v>
      </c>
      <c r="C177" s="7">
        <f>'gerç aylık-eur'!$B$104</f>
        <v>-4925.4466741652714</v>
      </c>
      <c r="D177" s="7"/>
      <c r="E177" s="7">
        <f>'Bütçe aylık-Eur'!$C$105</f>
        <v>1344.3839317754839</v>
      </c>
      <c r="F177" s="7">
        <f>'gerç aylık-eur'!$C$104</f>
        <v>3305.1777088961744</v>
      </c>
      <c r="G177" s="7"/>
      <c r="H177" s="7">
        <f>'Bütçe aylık-Eur'!$D$105</f>
        <v>1317.7598857855221</v>
      </c>
      <c r="I177" s="7">
        <f>'gerç aylık-eur'!$D$104</f>
        <v>2694.9863924762776</v>
      </c>
      <c r="J177" s="7"/>
      <c r="K177" s="7">
        <f>'Bütçe aylık-Eur'!$E$105</f>
        <v>1292.1731588117586</v>
      </c>
      <c r="L177" s="7">
        <f>'gerç aylık-eur'!$E$104</f>
        <v>184030.01940407066</v>
      </c>
      <c r="M177" s="7"/>
      <c r="N177" s="7">
        <f>'Bütçe aylık-Eur'!$F$105</f>
        <v>1267.5611327692541</v>
      </c>
      <c r="O177" s="7">
        <f>'gerç aylık-eur'!$F$104</f>
        <v>-68199.518443522174</v>
      </c>
      <c r="P177" s="7"/>
      <c r="Q177" s="7">
        <f>'Bütçe aylık-Eur'!$G$105</f>
        <v>1243.8691532656753</v>
      </c>
      <c r="R177" s="7">
        <f>'gerç aylık-eur'!$G$104</f>
        <v>-308671.66800693655</v>
      </c>
      <c r="S177" s="7"/>
      <c r="T177" s="7">
        <f>'Bütçe aylık-Eur'!$H$105</f>
        <v>1221.0436508126711</v>
      </c>
      <c r="U177" s="7">
        <f>'gerç aylık-eur'!$H$104</f>
        <v>-28918.640697872379</v>
      </c>
      <c r="V177" s="7"/>
      <c r="W177" s="7">
        <f>'Bütçe aylık-Eur'!$I$105</f>
        <v>1199.0435891763666</v>
      </c>
      <c r="X177" s="7">
        <f>'gerç aylık-eur'!$I$104</f>
        <v>-121451.80691168443</v>
      </c>
      <c r="Y177" s="7"/>
      <c r="Z177" s="7">
        <f>'Bütçe aylık-Eur'!$J$105</f>
        <v>1177.822265579849</v>
      </c>
      <c r="AA177" s="7">
        <f>'gerç aylık-eur'!$J$104</f>
        <v>-35751.177490977585</v>
      </c>
      <c r="AB177" s="7"/>
      <c r="AC177" s="7">
        <f>'Bütçe aylık-Eur'!$K$105</f>
        <v>1157.3390515044271</v>
      </c>
      <c r="AD177" s="7">
        <f>'gerç aylık-eur'!$K$104</f>
        <v>0</v>
      </c>
      <c r="AE177" s="7"/>
      <c r="AF177" s="7">
        <f>'Bütçe aylık-Eur'!$L$105</f>
        <v>1137.5535565572875</v>
      </c>
      <c r="AG177" s="7">
        <f>'gerç aylık-eur'!$L$104</f>
        <v>0</v>
      </c>
      <c r="AH177" s="7"/>
      <c r="AI177" s="7">
        <f>'Bütçe aylık-Eur'!$M$105</f>
        <v>1118.4356389132188</v>
      </c>
      <c r="AJ177" s="7">
        <f>'gerç aylık-eur'!$M$104</f>
        <v>0</v>
      </c>
      <c r="AK177" s="7"/>
      <c r="AL177" s="21">
        <f t="shared" si="90"/>
        <v>-36928.99975655743</v>
      </c>
      <c r="AM177" s="22">
        <f t="shared" si="91"/>
        <v>-31.353626804106188</v>
      </c>
      <c r="AO177" s="44">
        <f t="shared" si="92"/>
        <v>1177.822265579849</v>
      </c>
      <c r="AP177" s="44">
        <f t="shared" si="92"/>
        <v>-35751.177490977585</v>
      </c>
      <c r="AQ177" s="94">
        <f>C177</f>
        <v>-4925.4466741652714</v>
      </c>
    </row>
    <row r="178" spans="1:43" ht="15.5">
      <c r="A178" s="26" t="s">
        <v>12</v>
      </c>
      <c r="B178" s="7">
        <f>'Bütçe aylık-Eur'!$B$106</f>
        <v>6150.1185335606251</v>
      </c>
      <c r="C178" s="7">
        <f>'gerç aylık-eur'!$B$105</f>
        <v>7862.573130522238</v>
      </c>
      <c r="D178" s="7"/>
      <c r="E178" s="7">
        <f>'Bütçe aylık-Eur'!$C$106</f>
        <v>6025.8775793701052</v>
      </c>
      <c r="F178" s="7">
        <f>'gerç aylık-eur'!$C$105</f>
        <v>3499.361988747507</v>
      </c>
      <c r="G178" s="7"/>
      <c r="H178" s="7">
        <f>'Bütçe aylık-Eur'!$D$106</f>
        <v>5906.541743167435</v>
      </c>
      <c r="I178" s="7">
        <f>'gerç aylık-eur'!$D$105</f>
        <v>12268.044742120828</v>
      </c>
      <c r="J178" s="7"/>
      <c r="K178" s="7">
        <f>'Bütçe aylık-Eur'!$E$106</f>
        <v>5791.855325858427</v>
      </c>
      <c r="L178" s="7">
        <f>'gerç aylık-eur'!$E$105</f>
        <v>5507.3237653661135</v>
      </c>
      <c r="M178" s="7"/>
      <c r="N178" s="7">
        <f>'Bütçe aylık-Eur'!$F$106</f>
        <v>5681.5378394488907</v>
      </c>
      <c r="O178" s="7">
        <f>'gerç aylık-eur'!$F$105</f>
        <v>10248.3456057001</v>
      </c>
      <c r="P178" s="7"/>
      <c r="Q178" s="7">
        <f>'Bütçe aylık-Eur'!$G$106</f>
        <v>5575.344261649524</v>
      </c>
      <c r="R178" s="7">
        <f>'gerç aylık-eur'!$G$105</f>
        <v>6960.7433224379747</v>
      </c>
      <c r="S178" s="7"/>
      <c r="T178" s="7">
        <f>'Bütçe aylık-Eur'!$H$106</f>
        <v>5473.0344147857732</v>
      </c>
      <c r="U178" s="7">
        <f>'gerç aylık-eur'!$H$105</f>
        <v>-2560.9939736254314</v>
      </c>
      <c r="V178" s="7"/>
      <c r="W178" s="7">
        <f>'Bütçe aylık-Eur'!$I$106</f>
        <v>8365.9193633184459</v>
      </c>
      <c r="X178" s="7">
        <f>'gerç aylık-eur'!$I$105</f>
        <v>7607.7786780309016</v>
      </c>
      <c r="Y178" s="7"/>
      <c r="Z178" s="7">
        <f>'Bütçe aylık-Eur'!$J$106</f>
        <v>8217.8547613609553</v>
      </c>
      <c r="AA178" s="7">
        <f>'gerç aylık-eur'!$J$105</f>
        <v>8030.0467851863805</v>
      </c>
      <c r="AB178" s="7"/>
      <c r="AC178" s="7">
        <f>'Bütçe aylık-Eur'!$K$106</f>
        <v>8074.9401000604212</v>
      </c>
      <c r="AD178" s="7">
        <f>'gerç aylık-eur'!$K$105</f>
        <v>0</v>
      </c>
      <c r="AE178" s="7"/>
      <c r="AF178" s="7">
        <f>'Bütçe aylık-Eur'!$L$106</f>
        <v>7936.893518891874</v>
      </c>
      <c r="AG178" s="7">
        <f>'gerç aylık-eur'!$L$105</f>
        <v>0</v>
      </c>
      <c r="AH178" s="7"/>
      <c r="AI178" s="7">
        <f>'Bütçe aylık-Eur'!$M$106</f>
        <v>7803.5047711432635</v>
      </c>
      <c r="AJ178" s="7">
        <f>'gerç aylık-eur'!$M$105</f>
        <v>0</v>
      </c>
      <c r="AK178" s="7"/>
      <c r="AL178" s="21">
        <f t="shared" si="90"/>
        <v>-187.80797617457483</v>
      </c>
      <c r="AM178" s="22">
        <f t="shared" si="91"/>
        <v>-2.2853649964418743E-2</v>
      </c>
      <c r="AO178" s="44">
        <f t="shared" si="92"/>
        <v>8217.8547613609553</v>
      </c>
      <c r="AP178" s="44">
        <f t="shared" si="92"/>
        <v>8030.0467851863805</v>
      </c>
      <c r="AQ178" s="94">
        <f>C178</f>
        <v>7862.573130522238</v>
      </c>
    </row>
    <row r="179" spans="1:43" ht="15.5">
      <c r="A179" s="26" t="s">
        <v>13</v>
      </c>
      <c r="B179" s="7">
        <f>'Bütçe aylık-Eur'!$B$107</f>
        <v>116253.90036916149</v>
      </c>
      <c r="C179" s="7">
        <f>'gerç aylık-eur'!$B$106</f>
        <v>-1010555.7127086548</v>
      </c>
      <c r="D179" s="7"/>
      <c r="E179" s="7">
        <f>'Bütçe aylık-Eur'!$C$107</f>
        <v>-228605.37106065161</v>
      </c>
      <c r="F179" s="7">
        <f>'gerç aylık-eur'!$C$106</f>
        <v>-890510.17292444839</v>
      </c>
      <c r="G179" s="7"/>
      <c r="H179" s="7">
        <f>'Bütçe aylık-Eur'!$D$107</f>
        <v>-185194.18572394032</v>
      </c>
      <c r="I179" s="7">
        <f>'gerç aylık-eur'!$D$106</f>
        <v>-2088729.1439721186</v>
      </c>
      <c r="J179" s="7"/>
      <c r="K179" s="7">
        <f>'Bütçe aylık-Eur'!$E$107</f>
        <v>-623773.10599294445</v>
      </c>
      <c r="L179" s="7">
        <f>'gerç aylık-eur'!$E$106</f>
        <v>-2603782.5832738574</v>
      </c>
      <c r="M179" s="7"/>
      <c r="N179" s="7">
        <f>'Bütçe aylık-Eur'!$F$107</f>
        <v>-138714.33333548947</v>
      </c>
      <c r="O179" s="7">
        <f>'gerç aylık-eur'!$F$106</f>
        <v>-912717.40522665996</v>
      </c>
      <c r="P179" s="7"/>
      <c r="Q179" s="7">
        <f>'Bütçe aylık-Eur'!$G$107</f>
        <v>14485.917093520893</v>
      </c>
      <c r="R179" s="7">
        <f>'gerç aylık-eur'!$G$106</f>
        <v>-61136.803945921056</v>
      </c>
      <c r="S179" s="7"/>
      <c r="T179" s="7">
        <f>'Bütçe aylık-Eur'!$H$107</f>
        <v>-218151.93568783463</v>
      </c>
      <c r="U179" s="7">
        <f>'gerç aylık-eur'!$H$106</f>
        <v>-806450.86421143683</v>
      </c>
      <c r="V179" s="7"/>
      <c r="W179" s="7">
        <f>'Bütçe aylık-Eur'!$I$107</f>
        <v>-199434.57972154889</v>
      </c>
      <c r="X179" s="7">
        <f>'gerç aylık-eur'!$I$106</f>
        <v>-437197.94211802981</v>
      </c>
      <c r="Y179" s="7"/>
      <c r="Z179" s="7">
        <f>'Bütçe aylık-Eur'!$J$107</f>
        <v>-209743.46136944092</v>
      </c>
      <c r="AA179" s="7">
        <f>'gerç aylık-eur'!$J$106</f>
        <v>-641928.83528178174</v>
      </c>
      <c r="AB179" s="7"/>
      <c r="AC179" s="7">
        <f>'Bütçe aylık-Eur'!$K$107</f>
        <v>-207041.19596650871</v>
      </c>
      <c r="AD179" s="7">
        <f>'gerç aylık-eur'!$K$106</f>
        <v>0</v>
      </c>
      <c r="AE179" s="7"/>
      <c r="AF179" s="7">
        <f>'Bütçe aylık-Eur'!$L$107</f>
        <v>-187736.68287851286</v>
      </c>
      <c r="AG179" s="7">
        <f>'gerç aylık-eur'!$L$106</f>
        <v>0</v>
      </c>
      <c r="AH179" s="7"/>
      <c r="AI179" s="7">
        <f>'Bütçe aylık-Eur'!$M$107</f>
        <v>-170607.81454240729</v>
      </c>
      <c r="AJ179" s="7">
        <f>'gerç aylık-eur'!$M$106</f>
        <v>0</v>
      </c>
      <c r="AK179" s="7"/>
      <c r="AL179" s="21">
        <f t="shared" si="90"/>
        <v>-432185.37391234084</v>
      </c>
      <c r="AM179" s="22">
        <f t="shared" si="91"/>
        <v>2.060542774923944</v>
      </c>
      <c r="AO179" s="44">
        <f t="shared" si="92"/>
        <v>-209743.46136944092</v>
      </c>
      <c r="AP179" s="44">
        <f t="shared" si="92"/>
        <v>-641928.83528178174</v>
      </c>
      <c r="AQ179" s="94">
        <f>C179*0.4</f>
        <v>-404222.28508346196</v>
      </c>
    </row>
    <row r="180" spans="1:43" s="1" customFormat="1" ht="15.5">
      <c r="A180" s="26" t="s">
        <v>14</v>
      </c>
      <c r="B180" s="7">
        <f>'Bütçe aylık-Eur'!$B$108</f>
        <v>0</v>
      </c>
      <c r="C180" s="7">
        <f>'gerç aylık-eur'!$B$107</f>
        <v>46095.972241476789</v>
      </c>
      <c r="D180" s="8"/>
      <c r="E180" s="7">
        <f>'Bütçe aylık-Eur'!$C$108</f>
        <v>0</v>
      </c>
      <c r="F180" s="7">
        <f>'gerç aylık-eur'!$C$107</f>
        <v>78329.52603547812</v>
      </c>
      <c r="G180" s="8"/>
      <c r="H180" s="7">
        <f>'Bütçe aylık-Eur'!$D$108</f>
        <v>0</v>
      </c>
      <c r="I180" s="7">
        <f>'gerç aylık-eur'!$D$107</f>
        <v>166270.85506408731</v>
      </c>
      <c r="J180" s="8"/>
      <c r="K180" s="7">
        <f>'Bütçe aylık-Eur'!$E$108</f>
        <v>0</v>
      </c>
      <c r="L180" s="7">
        <f>'gerç aylık-eur'!$E$107</f>
        <v>123468.88283373644</v>
      </c>
      <c r="M180" s="8"/>
      <c r="N180" s="7">
        <f>'Bütçe aylık-Eur'!$F$108</f>
        <v>0</v>
      </c>
      <c r="O180" s="7">
        <f>'gerç aylık-eur'!$F$107</f>
        <v>72175.771537676526</v>
      </c>
      <c r="P180" s="8"/>
      <c r="Q180" s="7">
        <f>'Bütçe aylık-Eur'!$G$108</f>
        <v>0</v>
      </c>
      <c r="R180" s="7">
        <f>'gerç aylık-eur'!$G$107</f>
        <v>98123.833196874184</v>
      </c>
      <c r="S180" s="8"/>
      <c r="T180" s="7">
        <f>'Bütçe aylık-Eur'!$H$108</f>
        <v>0</v>
      </c>
      <c r="U180" s="7">
        <f>'gerç aylık-eur'!$H$107</f>
        <v>39436.869126375124</v>
      </c>
      <c r="V180" s="8"/>
      <c r="W180" s="7">
        <f>'Bütçe aylık-Eur'!$I$108</f>
        <v>0</v>
      </c>
      <c r="X180" s="7">
        <f>'gerç aylık-eur'!$I$107</f>
        <v>45806.305258188244</v>
      </c>
      <c r="Y180" s="8"/>
      <c r="Z180" s="7">
        <f>'Bütçe aylık-Eur'!$J$108</f>
        <v>0</v>
      </c>
      <c r="AA180" s="7">
        <f>'gerç aylık-eur'!$J$107</f>
        <v>51909.960807191819</v>
      </c>
      <c r="AB180" s="8"/>
      <c r="AC180" s="7">
        <f>'Bütçe aylık-Eur'!$K$108</f>
        <v>0</v>
      </c>
      <c r="AD180" s="7">
        <f>'gerç aylık-eur'!$K$107</f>
        <v>0</v>
      </c>
      <c r="AE180" s="8"/>
      <c r="AF180" s="7">
        <f>'Bütçe aylık-Eur'!$L$108</f>
        <v>0</v>
      </c>
      <c r="AG180" s="7">
        <f>'gerç aylık-eur'!$L$107</f>
        <v>0</v>
      </c>
      <c r="AH180" s="8"/>
      <c r="AI180" s="7">
        <f>'Bütçe aylık-Eur'!$M$108</f>
        <v>0</v>
      </c>
      <c r="AJ180" s="7">
        <f>'gerç aylık-eur'!$M$107</f>
        <v>0</v>
      </c>
      <c r="AK180" s="8"/>
      <c r="AL180" s="21">
        <f t="shared" si="90"/>
        <v>51909.960807191819</v>
      </c>
      <c r="AM180" s="22" t="e">
        <f t="shared" si="91"/>
        <v>#DIV/0!</v>
      </c>
      <c r="AO180" s="44">
        <f t="shared" si="92"/>
        <v>0</v>
      </c>
      <c r="AP180" s="44">
        <f t="shared" si="92"/>
        <v>51909.960807191819</v>
      </c>
      <c r="AQ180" s="94">
        <f t="shared" ref="AQ180:AQ183" si="93">C180*0.4</f>
        <v>18438.388896590717</v>
      </c>
    </row>
    <row r="181" spans="1:43" ht="15.5">
      <c r="A181" s="26" t="s">
        <v>15</v>
      </c>
      <c r="B181" s="7">
        <f>'Bütçe aylık-Eur'!$B$109</f>
        <v>-149636.27596900001</v>
      </c>
      <c r="C181" s="7">
        <f>'gerç aylık-eur'!$B$108</f>
        <v>-253203.69</v>
      </c>
      <c r="D181" s="7"/>
      <c r="E181" s="7">
        <f>'Bütçe aylık-Eur'!$C$109</f>
        <v>19654.650043000016</v>
      </c>
      <c r="F181" s="7">
        <f>'gerç aylık-eur'!$C$108</f>
        <v>718767.83000000007</v>
      </c>
      <c r="G181" s="7"/>
      <c r="H181" s="7">
        <f>'Bütçe aylık-Eur'!$D$109</f>
        <v>18702.628254999989</v>
      </c>
      <c r="I181" s="7">
        <f>'gerç aylık-eur'!$D$108</f>
        <v>-75471.19</v>
      </c>
      <c r="J181" s="7"/>
      <c r="K181" s="7">
        <f>'Bütçe aylık-Eur'!$E$109</f>
        <v>46753.247644000003</v>
      </c>
      <c r="L181" s="7">
        <f>'gerç aylık-eur'!$E$108</f>
        <v>379643.49999999994</v>
      </c>
      <c r="M181" s="7"/>
      <c r="N181" s="7">
        <f>'Bütçe aylık-Eur'!$F$109</f>
        <v>44338.637235000002</v>
      </c>
      <c r="O181" s="7">
        <f>'gerç aylık-eur'!$F$108</f>
        <v>-40782.959999999963</v>
      </c>
      <c r="P181" s="7"/>
      <c r="Q181" s="7">
        <f>'Bütçe aylık-Eur'!$G$109</f>
        <v>34787.411583000001</v>
      </c>
      <c r="R181" s="7">
        <f>'gerç aylık-eur'!$G$108</f>
        <v>-70874.780000000028</v>
      </c>
      <c r="S181" s="7"/>
      <c r="T181" s="7">
        <f>'Bütçe aylık-Eur'!$H$109</f>
        <v>33635.872697999999</v>
      </c>
      <c r="U181" s="7">
        <f>'gerç aylık-eur'!$H$108</f>
        <v>-318564.02999999997</v>
      </c>
      <c r="V181" s="7"/>
      <c r="W181" s="7">
        <f>'Bütçe aylık-Eur'!$I$109</f>
        <v>32849.048731999996</v>
      </c>
      <c r="X181" s="7">
        <f>'gerç aylık-eur'!$I$108</f>
        <v>-468742.33999999997</v>
      </c>
      <c r="Y181" s="7"/>
      <c r="Z181" s="7">
        <f>'Bütçe aylık-Eur'!$J$109</f>
        <v>29248.266539000004</v>
      </c>
      <c r="AA181" s="7">
        <f>'gerç aylık-eur'!$J$108</f>
        <v>65943.839999999997</v>
      </c>
      <c r="AB181" s="7"/>
      <c r="AC181" s="7">
        <f>'Bütçe aylık-Eur'!$K$109</f>
        <v>27820.762236999988</v>
      </c>
      <c r="AD181" s="7">
        <f>'gerç aylık-eur'!$K$108</f>
        <v>0</v>
      </c>
      <c r="AE181" s="7"/>
      <c r="AF181" s="7">
        <f>'Bütçe aylık-Eur'!$L$109</f>
        <v>23801.806549000001</v>
      </c>
      <c r="AG181" s="7">
        <f>'gerç aylık-eur'!$L$108</f>
        <v>0</v>
      </c>
      <c r="AH181" s="7"/>
      <c r="AI181" s="7">
        <f>'Bütçe aylık-Eur'!$M$109</f>
        <v>23459.831711000006</v>
      </c>
      <c r="AJ181" s="7">
        <f>'gerç aylık-eur'!$M$108</f>
        <v>0</v>
      </c>
      <c r="AK181" s="7"/>
      <c r="AL181" s="21">
        <f t="shared" si="90"/>
        <v>36695.573460999993</v>
      </c>
      <c r="AM181" s="22">
        <f t="shared" si="91"/>
        <v>1.254623873591608</v>
      </c>
      <c r="AO181" s="44">
        <f t="shared" si="92"/>
        <v>29248.266539000004</v>
      </c>
      <c r="AP181" s="44">
        <f t="shared" si="92"/>
        <v>65943.839999999997</v>
      </c>
      <c r="AQ181" s="94">
        <f t="shared" si="93"/>
        <v>-101281.47600000001</v>
      </c>
    </row>
    <row r="182" spans="1:43" ht="15.5">
      <c r="A182" s="26" t="s">
        <v>16</v>
      </c>
      <c r="B182" s="7">
        <f>'Bütçe aylık-Eur'!$B$110</f>
        <v>-27437.962759999999</v>
      </c>
      <c r="C182" s="7">
        <f>'gerç aylık-eur'!$B$109</f>
        <v>-371625.15999999992</v>
      </c>
      <c r="D182" s="7"/>
      <c r="E182" s="7">
        <f>'Bütçe aylık-Eur'!$C$110</f>
        <v>3230.4998969999979</v>
      </c>
      <c r="F182" s="7">
        <f>'gerç aylık-eur'!$C$109</f>
        <v>-270671.61000000004</v>
      </c>
      <c r="G182" s="7"/>
      <c r="H182" s="7">
        <f>'Bütçe aylık-Eur'!$D$110</f>
        <v>2775.8297610000009</v>
      </c>
      <c r="I182" s="7">
        <f>'gerç aylık-eur'!$D$109</f>
        <v>-520100.80000000005</v>
      </c>
      <c r="J182" s="7"/>
      <c r="K182" s="7">
        <f>'Bütçe aylık-Eur'!$E$110</f>
        <v>2172.5369429999992</v>
      </c>
      <c r="L182" s="7">
        <f>'gerç aylık-eur'!$E$109</f>
        <v>-2217588.6100000003</v>
      </c>
      <c r="M182" s="7"/>
      <c r="N182" s="7">
        <f>'Bütçe aylık-Eur'!$F$110</f>
        <v>1893.6692320000002</v>
      </c>
      <c r="O182" s="7">
        <f>'gerç aylık-eur'!$F$109</f>
        <v>-355920.40999999968</v>
      </c>
      <c r="P182" s="7"/>
      <c r="Q182" s="7">
        <f>'Bütçe aylık-Eur'!$G$110</f>
        <v>1215.4488010000005</v>
      </c>
      <c r="R182" s="7">
        <f>'gerç aylık-eur'!$G$109</f>
        <v>-1298123.5099999998</v>
      </c>
      <c r="S182" s="7"/>
      <c r="T182" s="7">
        <f>'Bütçe aylık-Eur'!$H$110</f>
        <v>953.29317699999956</v>
      </c>
      <c r="U182" s="7">
        <f>'gerç aylık-eur'!$H$109</f>
        <v>-61873.270000000484</v>
      </c>
      <c r="V182" s="7"/>
      <c r="W182" s="7">
        <f>'Bütçe aylık-Eur'!$I$110</f>
        <v>842.79357499999969</v>
      </c>
      <c r="X182" s="7">
        <f>'gerç aylık-eur'!$I$109</f>
        <v>-528909.25999999978</v>
      </c>
      <c r="Y182" s="7"/>
      <c r="Z182" s="7">
        <f>'Bütçe aylık-Eur'!$J$110</f>
        <v>1714.0952610000004</v>
      </c>
      <c r="AA182" s="7">
        <f>'gerç aylık-eur'!$J$109</f>
        <v>-339392.79</v>
      </c>
      <c r="AB182" s="7"/>
      <c r="AC182" s="7">
        <f>'Bütçe aylık-Eur'!$K$110</f>
        <v>1901.0937560000002</v>
      </c>
      <c r="AD182" s="7">
        <f>'gerç aylık-eur'!$K$109</f>
        <v>0</v>
      </c>
      <c r="AE182" s="7"/>
      <c r="AF182" s="7">
        <f>'Bütçe aylık-Eur'!$L$110</f>
        <v>1741.5358959999994</v>
      </c>
      <c r="AG182" s="7">
        <f>'gerç aylık-eur'!$L$109</f>
        <v>0</v>
      </c>
      <c r="AH182" s="7"/>
      <c r="AI182" s="7">
        <f>'Bütçe aylık-Eur'!$M$110</f>
        <v>1514.1428080000005</v>
      </c>
      <c r="AJ182" s="7">
        <f>'gerç aylık-eur'!$M$109</f>
        <v>0</v>
      </c>
      <c r="AK182" s="7"/>
      <c r="AL182" s="21">
        <f t="shared" si="90"/>
        <v>-341106.88526099996</v>
      </c>
      <c r="AM182" s="22">
        <f t="shared" si="91"/>
        <v>-199.00112497948263</v>
      </c>
      <c r="AO182" s="44">
        <f t="shared" si="92"/>
        <v>1714.0952610000004</v>
      </c>
      <c r="AP182" s="44">
        <f t="shared" si="92"/>
        <v>-339392.79</v>
      </c>
      <c r="AQ182" s="94">
        <f t="shared" si="93"/>
        <v>-148650.06399999998</v>
      </c>
    </row>
    <row r="183" spans="1:43" ht="15.5">
      <c r="A183" s="26" t="s">
        <v>17</v>
      </c>
      <c r="B183" s="7">
        <f>'Bütçe aylık-Eur'!$B$111</f>
        <v>0</v>
      </c>
      <c r="C183" s="7">
        <f>'gerç aylık-eur'!$B$110</f>
        <v>-113550.16</v>
      </c>
      <c r="D183" s="7"/>
      <c r="E183" s="7">
        <f>'Bütçe aylık-Eur'!$C$111</f>
        <v>0</v>
      </c>
      <c r="F183" s="7">
        <f>'gerç aylık-eur'!$C$110</f>
        <v>-135225.85</v>
      </c>
      <c r="G183" s="7"/>
      <c r="H183" s="7">
        <f>'Bütçe aylık-Eur'!$D$111</f>
        <v>0</v>
      </c>
      <c r="I183" s="7">
        <f>'gerç aylık-eur'!$D$110</f>
        <v>-45724.080000000016</v>
      </c>
      <c r="J183" s="7"/>
      <c r="K183" s="7">
        <f>'Bütçe aylık-Eur'!$E$111</f>
        <v>0</v>
      </c>
      <c r="L183" s="7">
        <f>'gerç aylık-eur'!$E$110</f>
        <v>28952.830000000016</v>
      </c>
      <c r="M183" s="7"/>
      <c r="N183" s="7">
        <f>'Bütçe aylık-Eur'!$F$111</f>
        <v>0</v>
      </c>
      <c r="O183" s="7">
        <f>'gerç aylık-eur'!$F$110</f>
        <v>-170075.87999999998</v>
      </c>
      <c r="P183" s="7"/>
      <c r="Q183" s="7">
        <f>'Bütçe aylık-Eur'!$G$111</f>
        <v>0</v>
      </c>
      <c r="R183" s="7">
        <f>'gerç aylık-eur'!$G$110</f>
        <v>41387.770000000019</v>
      </c>
      <c r="S183" s="7"/>
      <c r="T183" s="7">
        <f>'Bütçe aylık-Eur'!$H$111</f>
        <v>0</v>
      </c>
      <c r="U183" s="7">
        <f>'gerç aylık-eur'!$H$110</f>
        <v>-215824.25000000003</v>
      </c>
      <c r="V183" s="7"/>
      <c r="W183" s="7">
        <f>'Bütçe aylık-Eur'!$I$111</f>
        <v>0</v>
      </c>
      <c r="X183" s="7">
        <f>'gerç aylık-eur'!$I$110</f>
        <v>169707.18</v>
      </c>
      <c r="Y183" s="7"/>
      <c r="Z183" s="7">
        <f>'Bütçe aylık-Eur'!$J$111</f>
        <v>0</v>
      </c>
      <c r="AA183" s="7">
        <f>'gerç aylık-eur'!$J$110</f>
        <v>125261.44</v>
      </c>
      <c r="AB183" s="7"/>
      <c r="AC183" s="7">
        <f>'Bütçe aylık-Eur'!$K$111</f>
        <v>0</v>
      </c>
      <c r="AD183" s="7">
        <f>'gerç aylık-eur'!$K$110</f>
        <v>0</v>
      </c>
      <c r="AE183" s="7"/>
      <c r="AF183" s="7">
        <f>'Bütçe aylık-Eur'!$L$111</f>
        <v>0</v>
      </c>
      <c r="AG183" s="7">
        <f>'gerç aylık-eur'!$L$110</f>
        <v>0</v>
      </c>
      <c r="AH183" s="7"/>
      <c r="AI183" s="7">
        <f>'Bütçe aylık-Eur'!$M$111</f>
        <v>0</v>
      </c>
      <c r="AJ183" s="7">
        <f>'gerç aylık-eur'!$M$110</f>
        <v>0</v>
      </c>
      <c r="AK183" s="7"/>
      <c r="AL183" s="21">
        <f t="shared" si="90"/>
        <v>125261.44</v>
      </c>
      <c r="AM183" s="22" t="e">
        <f t="shared" si="91"/>
        <v>#DIV/0!</v>
      </c>
      <c r="AO183" s="44">
        <f t="shared" si="92"/>
        <v>0</v>
      </c>
      <c r="AP183" s="44">
        <f t="shared" si="92"/>
        <v>125261.44</v>
      </c>
      <c r="AQ183" s="94">
        <f t="shared" si="93"/>
        <v>-45420.064000000006</v>
      </c>
    </row>
    <row r="184" spans="1:43" s="13" customFormat="1" ht="15.5">
      <c r="A184" s="26"/>
      <c r="B184" s="12"/>
      <c r="C184" s="30"/>
      <c r="D184" s="41"/>
      <c r="E184" s="12"/>
      <c r="F184" s="30"/>
      <c r="G184" s="41"/>
      <c r="H184" s="12"/>
      <c r="I184" s="30"/>
      <c r="J184" s="41"/>
      <c r="K184" s="12"/>
      <c r="L184" s="30"/>
      <c r="M184" s="41"/>
      <c r="N184" s="12"/>
      <c r="O184" s="30"/>
      <c r="P184" s="41"/>
      <c r="Q184" s="12"/>
      <c r="R184" s="30"/>
      <c r="S184" s="41"/>
      <c r="T184" s="12"/>
      <c r="U184" s="30"/>
      <c r="V184" s="41"/>
      <c r="W184" s="12"/>
      <c r="X184" s="30"/>
      <c r="Y184" s="41"/>
      <c r="Z184" s="12"/>
      <c r="AA184" s="30"/>
      <c r="AB184" s="41"/>
      <c r="AC184" s="12"/>
      <c r="AD184" s="30"/>
      <c r="AE184" s="41"/>
      <c r="AF184" s="12"/>
      <c r="AG184" s="30"/>
      <c r="AH184" s="41"/>
      <c r="AI184" s="12"/>
      <c r="AJ184" s="30"/>
      <c r="AK184" s="41"/>
      <c r="AL184" s="15"/>
      <c r="AM184" s="22"/>
      <c r="AO184" s="44"/>
      <c r="AP184" s="44"/>
    </row>
    <row r="185" spans="1:43" s="13" customFormat="1" ht="15.5">
      <c r="A185" s="26"/>
      <c r="B185" s="12"/>
      <c r="C185" s="30"/>
      <c r="D185" s="41"/>
      <c r="E185" s="12"/>
      <c r="F185" s="30"/>
      <c r="G185" s="41"/>
      <c r="H185" s="12"/>
      <c r="I185" s="30"/>
      <c r="J185" s="41"/>
      <c r="K185" s="12"/>
      <c r="L185" s="30"/>
      <c r="M185" s="41"/>
      <c r="N185" s="12"/>
      <c r="O185" s="30"/>
      <c r="P185" s="41"/>
      <c r="Q185" s="12"/>
      <c r="R185" s="30"/>
      <c r="S185" s="41"/>
      <c r="T185" s="12"/>
      <c r="U185" s="30"/>
      <c r="V185" s="41"/>
      <c r="W185" s="12"/>
      <c r="X185" s="30"/>
      <c r="Y185" s="41"/>
      <c r="Z185" s="12"/>
      <c r="AA185" s="30"/>
      <c r="AB185" s="41"/>
      <c r="AC185" s="12"/>
      <c r="AD185" s="30"/>
      <c r="AE185" s="41"/>
      <c r="AF185" s="12"/>
      <c r="AG185" s="30"/>
      <c r="AH185" s="41"/>
      <c r="AI185" s="12"/>
      <c r="AJ185" s="30"/>
      <c r="AK185" s="41"/>
      <c r="AL185" s="15"/>
      <c r="AM185" s="22"/>
      <c r="AO185" s="44"/>
      <c r="AP185" s="44"/>
    </row>
    <row r="186" spans="1:43" s="44" customFormat="1" ht="15.5">
      <c r="A186" s="31" t="s">
        <v>80</v>
      </c>
      <c r="B186" s="32">
        <f>'Bütçe aylık-Eur'!$B$114</f>
        <v>1557792.4278231608</v>
      </c>
      <c r="C186" s="32">
        <f>'gerç aylık-eur'!$B$113</f>
        <v>1058880.6053065835</v>
      </c>
      <c r="D186" s="18"/>
      <c r="E186" s="32">
        <f>'Bütçe aylık-Eur'!$C$114</f>
        <v>1677288.565110957</v>
      </c>
      <c r="F186" s="32">
        <f>'gerç aylık-eur'!$C$113</f>
        <v>1331864.8879759503</v>
      </c>
      <c r="G186" s="18"/>
      <c r="H186" s="32">
        <f>'Bütçe aylık-Eur'!$D$114</f>
        <v>2303789.6601544255</v>
      </c>
      <c r="I186" s="32">
        <f>'gerç aylık-eur'!$D$113</f>
        <v>821824.32525720843</v>
      </c>
      <c r="J186" s="18"/>
      <c r="K186" s="32">
        <f>'Bütçe aylık-Eur'!$E$114</f>
        <v>1224418.9875438479</v>
      </c>
      <c r="L186" s="32">
        <f>'gerç aylık-eur'!$E$113</f>
        <v>-273103.66830155905</v>
      </c>
      <c r="M186" s="18"/>
      <c r="N186" s="32">
        <f>'Bütçe aylık-Eur'!$F$114</f>
        <v>2513150.4203777523</v>
      </c>
      <c r="O186" s="32">
        <f>'gerç aylık-eur'!$F$113</f>
        <v>1232867.288010342</v>
      </c>
      <c r="P186" s="18"/>
      <c r="Q186" s="32">
        <f>'Bütçe aylık-Eur'!$G$114</f>
        <v>2208740.5303879334</v>
      </c>
      <c r="R186" s="32">
        <f>'gerç aylık-eur'!$G$113</f>
        <v>-108112.22564987857</v>
      </c>
      <c r="S186" s="18"/>
      <c r="T186" s="32">
        <f>'Bütçe aylık-Eur'!$H$114</f>
        <v>2215040.4456409635</v>
      </c>
      <c r="U186" s="32">
        <f>'gerç aylık-eur'!$H$113</f>
        <v>792897.68856094312</v>
      </c>
      <c r="V186" s="18"/>
      <c r="W186" s="32">
        <f>'Bütçe aylık-Eur'!$I$114</f>
        <v>934287.39809360891</v>
      </c>
      <c r="X186" s="32">
        <f>'gerç aylık-eur'!$I$113</f>
        <v>292051.5813304513</v>
      </c>
      <c r="Y186" s="18"/>
      <c r="Z186" s="32">
        <f>'Bütçe aylık-Eur'!$J$114</f>
        <v>3849537.6482574726</v>
      </c>
      <c r="AA186" s="32">
        <f>'gerç aylık-eur'!$J$113</f>
        <v>2736931.0917603425</v>
      </c>
      <c r="AB186" s="18"/>
      <c r="AC186" s="32">
        <f>'Bütçe aylık-Eur'!$K$114</f>
        <v>3435892.9612608403</v>
      </c>
      <c r="AD186" s="32">
        <f>'gerç aylık-eur'!$K$113</f>
        <v>0</v>
      </c>
      <c r="AE186" s="18"/>
      <c r="AF186" s="32">
        <f>'Bütçe aylık-Eur'!$L$114</f>
        <v>3372769.0932138059</v>
      </c>
      <c r="AG186" s="32">
        <f>'gerç aylık-eur'!$L$113</f>
        <v>0</v>
      </c>
      <c r="AH186" s="18"/>
      <c r="AI186" s="32">
        <f>'Bütçe aylık-Eur'!$M$114</f>
        <v>2172125.9390526521</v>
      </c>
      <c r="AJ186" s="32">
        <f>'gerç aylık-eur'!$M$113</f>
        <v>0</v>
      </c>
      <c r="AK186" s="18"/>
      <c r="AL186" s="33">
        <f>AP186-AO186</f>
        <v>-1112606.5564971301</v>
      </c>
      <c r="AM186" s="34">
        <f>AP186/AO186-1</f>
        <v>-0.28902342518997348</v>
      </c>
      <c r="AO186" s="44">
        <f>IF($A$1=$B$1,B186,IF($A$1=$E$1,E186,IF($A$1=$H$1,H186,IF($A$1=$K$1,K186,IF($A$1=$N$1,N186,IF($A$1=$Q$1,Q186,IF($A$1=$T$1,T186,IF($A$1=$W$1,W186,IF($A$1=$Z$1,Z186,IF($A$1=$AC$1,AC186,IF($A$1=$AF$1,AF186,IF($A$1=$AI$1,AI186))))))))))))</f>
        <v>3849537.6482574726</v>
      </c>
      <c r="AP186" s="44">
        <f>IF($A$1=$B$1,C186,IF($A$1=$E$1,F186,IF($A$1=$H$1,I186,IF($A$1=$K$1,L186,IF($A$1=$N$1,O186,IF($A$1=$Q$1,R186,IF($A$1=$T$1,U186,IF($A$1=$W$1,X186,IF($A$1=$Z$1,AA186,IF($A$1=$AC$1,AD186,IF($A$1=$AF$1,AG186,IF($A$1=$AI$1,AJ186))))))))))))</f>
        <v>2736931.0917603425</v>
      </c>
    </row>
    <row r="187" spans="1:43" s="13" customFormat="1" ht="15.5">
      <c r="A187" s="27"/>
      <c r="B187" s="30"/>
      <c r="C187" s="30"/>
      <c r="D187" s="41"/>
      <c r="E187" s="30"/>
      <c r="F187" s="30"/>
      <c r="G187" s="41"/>
      <c r="H187" s="30"/>
      <c r="I187" s="30"/>
      <c r="J187" s="41"/>
      <c r="K187" s="30"/>
      <c r="L187" s="30"/>
      <c r="M187" s="41"/>
      <c r="N187" s="30"/>
      <c r="O187" s="30"/>
      <c r="P187" s="41"/>
      <c r="Q187" s="30"/>
      <c r="R187" s="30"/>
      <c r="S187" s="41"/>
      <c r="T187" s="30"/>
      <c r="U187" s="30"/>
      <c r="V187" s="41"/>
      <c r="W187" s="30"/>
      <c r="X187" s="30"/>
      <c r="Y187" s="41"/>
      <c r="Z187" s="30"/>
      <c r="AA187" s="30"/>
      <c r="AB187" s="41"/>
      <c r="AC187" s="30"/>
      <c r="AD187" s="30"/>
      <c r="AE187" s="41"/>
      <c r="AF187" s="30"/>
      <c r="AG187" s="30"/>
      <c r="AH187" s="41"/>
      <c r="AI187" s="30"/>
      <c r="AJ187" s="30"/>
      <c r="AK187" s="41"/>
      <c r="AL187" s="15"/>
      <c r="AM187" s="22"/>
      <c r="AO187" s="44">
        <f>IF($A$1=$B$1,B187,IF($A$1=$E$1,E187,IF($A$1=$H$1,H187,IF($A$1=$K$1,K187,IF($A$1=$N$1,N187,IF($A$1=$Q$1,Q187,IF($A$1=$T$1,T187,IF($A$1=$W$1,W187,IF($A$1=$Z$1,Z187,IF($A$1=$AC$1,AC187,IF($A$1=$AF$1,AF187,IF($A$1=$AI$1,AI187))))))))))))</f>
        <v>0</v>
      </c>
      <c r="AP187" s="44">
        <f>IF($A$1=$B$1,C187,IF($A$1=$E$1,F187,IF($A$1=$H$1,I187,IF($A$1=$K$1,L187,IF($A$1=$N$1,O187,IF($A$1=$Q$1,R187,IF($A$1=$T$1,U187,IF($A$1=$W$1,X187,IF($A$1=$Z$1,AA187,IF($A$1=$AC$1,AD187,IF($A$1=$AF$1,AG187,IF($A$1=$AI$1,AJ187))))))))))))</f>
        <v>0</v>
      </c>
    </row>
    <row r="188" spans="1:43" s="49" customFormat="1" ht="17">
      <c r="A188" s="47" t="s">
        <v>81</v>
      </c>
      <c r="B188" s="413"/>
      <c r="C188" s="413"/>
      <c r="D188" s="413"/>
      <c r="E188" s="413"/>
      <c r="F188" s="413"/>
      <c r="G188" s="413"/>
      <c r="H188" s="413"/>
      <c r="I188" s="413"/>
      <c r="J188" s="413"/>
      <c r="K188" s="413"/>
      <c r="L188" s="413"/>
      <c r="M188" s="413"/>
      <c r="N188" s="413"/>
      <c r="O188" s="413"/>
      <c r="P188" s="413"/>
      <c r="Q188" s="413"/>
      <c r="R188" s="413"/>
      <c r="S188" s="413"/>
      <c r="T188" s="413"/>
      <c r="U188" s="413"/>
      <c r="V188" s="413"/>
      <c r="W188" s="413"/>
      <c r="X188" s="413"/>
      <c r="Y188" s="413"/>
      <c r="Z188" s="413"/>
      <c r="AA188" s="413"/>
      <c r="AB188" s="413"/>
      <c r="AC188" s="413"/>
      <c r="AD188" s="413"/>
      <c r="AE188" s="413"/>
      <c r="AF188" s="413"/>
      <c r="AG188" s="413"/>
      <c r="AH188" s="413"/>
      <c r="AI188" s="413"/>
      <c r="AJ188" s="413"/>
      <c r="AK188" s="413"/>
      <c r="AL188" s="413"/>
      <c r="AM188" s="48"/>
    </row>
    <row r="189" spans="1:43" ht="15.5">
      <c r="A189" s="26" t="s">
        <v>10</v>
      </c>
      <c r="B189" s="7">
        <f>'Bütçe aylık-Eur'!$B$115</f>
        <v>345823.85472991527</v>
      </c>
      <c r="C189" s="7">
        <f>'gerç aylık-eur'!$B$114</f>
        <v>182440.18016698389</v>
      </c>
      <c r="D189" s="7"/>
      <c r="E189" s="7">
        <f>'Bütçe aylık-Eur'!$C$115</f>
        <v>287018.49907661008</v>
      </c>
      <c r="F189" s="7">
        <f>'gerç aylık-eur'!$C$114</f>
        <v>460659.27503749833</v>
      </c>
      <c r="G189" s="7"/>
      <c r="H189" s="7">
        <f>'Bütçe aylık-Eur'!$D$115</f>
        <v>275126.30683641939</v>
      </c>
      <c r="I189" s="7">
        <f>'gerç aylık-eur'!$D$114</f>
        <v>826288.15879114019</v>
      </c>
      <c r="J189" s="7"/>
      <c r="K189" s="7">
        <f>'Bütçe aylık-Eur'!$E$115</f>
        <v>281301.07242794137</v>
      </c>
      <c r="L189" s="7">
        <f>'gerç aylık-eur'!$E$114</f>
        <v>502661.62155100104</v>
      </c>
      <c r="M189" s="7"/>
      <c r="N189" s="7">
        <f>'Bütçe aylık-Eur'!$F$115</f>
        <v>297280.06772625155</v>
      </c>
      <c r="O189" s="7">
        <f>'gerç aylık-eur'!$F$114</f>
        <v>313724.7976411134</v>
      </c>
      <c r="P189" s="7"/>
      <c r="Q189" s="7">
        <f>'Bütçe aylık-Eur'!$G$115</f>
        <v>320337.54578104976</v>
      </c>
      <c r="R189" s="7">
        <f>'gerç aylık-eur'!$G$114</f>
        <v>241908.51657659185</v>
      </c>
      <c r="S189" s="7"/>
      <c r="T189" s="7">
        <f>'Bütçe aylık-Eur'!$H$115</f>
        <v>332700.23443316732</v>
      </c>
      <c r="U189" s="7">
        <f>'gerç aylık-eur'!$H$114</f>
        <v>233460.27436905447</v>
      </c>
      <c r="V189" s="7"/>
      <c r="W189" s="7">
        <f>'Bütçe aylık-Eur'!$I$115</f>
        <v>264777.634654972</v>
      </c>
      <c r="X189" s="7">
        <f>'gerç aylık-eur'!$I$114</f>
        <v>291437.69166018331</v>
      </c>
      <c r="Y189" s="7"/>
      <c r="Z189" s="7">
        <f>'Bütçe aylık-Eur'!$J$115</f>
        <v>440752.00934208394</v>
      </c>
      <c r="AA189" s="7">
        <f>'gerç aylık-eur'!$J$114</f>
        <v>505635.17008894664</v>
      </c>
      <c r="AB189" s="7"/>
      <c r="AC189" s="7">
        <f>'Bütçe aylık-Eur'!$K$115</f>
        <v>392681.96461341012</v>
      </c>
      <c r="AD189" s="7">
        <f>'gerç aylık-eur'!$K$114</f>
        <v>0</v>
      </c>
      <c r="AE189" s="7"/>
      <c r="AF189" s="7">
        <f>'Bütçe aylık-Eur'!$L$115</f>
        <v>349879.48643464642</v>
      </c>
      <c r="AG189" s="7">
        <f>'gerç aylık-eur'!$L$114</f>
        <v>0</v>
      </c>
      <c r="AH189" s="7"/>
      <c r="AI189" s="7">
        <f>'Bütçe aylık-Eur'!$M$115</f>
        <v>-192831.30962240999</v>
      </c>
      <c r="AJ189" s="7">
        <f>'gerç aylık-eur'!$M$114</f>
        <v>0</v>
      </c>
      <c r="AK189" s="7"/>
      <c r="AL189" s="21">
        <f t="shared" ref="AL189:AL196" si="94">AP189-AO189</f>
        <v>64883.160746862704</v>
      </c>
      <c r="AM189" s="22">
        <f t="shared" ref="AM189:AM196" si="95">AP189/AO189-1</f>
        <v>0.14721013034907005</v>
      </c>
      <c r="AO189" s="44">
        <f t="shared" ref="AO189:AP196" si="96">IF($A$1=$B$1,B189,IF($A$1=$E$1,E189,IF($A$1=$H$1,H189,IF($A$1=$K$1,K189,IF($A$1=$N$1,N189,IF($A$1=$Q$1,Q189,IF($A$1=$T$1,T189,IF($A$1=$W$1,W189,IF($A$1=$Z$1,Z189,IF($A$1=$AC$1,AC189,IF($A$1=$AF$1,AF189,IF($A$1=$AI$1,AI189))))))))))))</f>
        <v>440752.00934208394</v>
      </c>
      <c r="AP189" s="44">
        <f t="shared" si="96"/>
        <v>505635.17008894664</v>
      </c>
    </row>
    <row r="190" spans="1:43" ht="15.5">
      <c r="A190" s="26" t="s">
        <v>11</v>
      </c>
      <c r="B190" s="7">
        <f>'Bütçe aylık-Eur'!$B$116</f>
        <v>-36913.046813894987</v>
      </c>
      <c r="C190" s="7">
        <f>'gerç aylık-eur'!$B$115</f>
        <v>-73693.558753775273</v>
      </c>
      <c r="D190" s="7"/>
      <c r="E190" s="7">
        <f>'Bütçe aylık-Eur'!$C$116</f>
        <v>78018.194207565481</v>
      </c>
      <c r="F190" s="7">
        <f>'gerç aylık-eur'!$C$115</f>
        <v>-14284.425780752606</v>
      </c>
      <c r="G190" s="7"/>
      <c r="H190" s="7">
        <f>'Bütçe aylık-Eur'!$D$116</f>
        <v>97657.760375723228</v>
      </c>
      <c r="I190" s="7">
        <f>'gerç aylık-eur'!$D$115</f>
        <v>-64785.204386931269</v>
      </c>
      <c r="J190" s="7"/>
      <c r="K190" s="7">
        <f>'Bütçe aylık-Eur'!$E$116</f>
        <v>165394.33558718429</v>
      </c>
      <c r="L190" s="7">
        <f>'gerç aylık-eur'!$E$115</f>
        <v>74571.804721224966</v>
      </c>
      <c r="M190" s="7"/>
      <c r="N190" s="7">
        <f>'Bütçe aylık-Eur'!$F$116</f>
        <v>206935.17695367368</v>
      </c>
      <c r="O190" s="7">
        <f>'gerç aylık-eur'!$F$115</f>
        <v>-111559.94664623727</v>
      </c>
      <c r="P190" s="7"/>
      <c r="Q190" s="7">
        <f>'Bütçe aylık-Eur'!$G$116</f>
        <v>187648.90563727848</v>
      </c>
      <c r="R190" s="7">
        <f>'gerç aylık-eur'!$G$115</f>
        <v>-391406.15309792489</v>
      </c>
      <c r="S190" s="7"/>
      <c r="T190" s="7">
        <f>'Bütçe aylık-Eur'!$H$116</f>
        <v>141747.30547794452</v>
      </c>
      <c r="U190" s="7">
        <f>'gerç aylık-eur'!$H$115</f>
        <v>-44812.39134643237</v>
      </c>
      <c r="V190" s="7"/>
      <c r="W190" s="7">
        <f>'Bütçe aylık-Eur'!$I$116</f>
        <v>28922.909464419354</v>
      </c>
      <c r="X190" s="7">
        <f>'gerç aylık-eur'!$I$115</f>
        <v>-170226.16422108089</v>
      </c>
      <c r="Y190" s="7"/>
      <c r="Z190" s="7">
        <f>'Bütçe aylık-Eur'!$J$116</f>
        <v>57840.268589109939</v>
      </c>
      <c r="AA190" s="7">
        <f>'gerç aylık-eur'!$J$115</f>
        <v>-184219.13835952914</v>
      </c>
      <c r="AB190" s="7"/>
      <c r="AC190" s="7">
        <f>'Bütçe aylık-Eur'!$K$116</f>
        <v>15530.967100155825</v>
      </c>
      <c r="AD190" s="7">
        <f>'gerç aylık-eur'!$K$115</f>
        <v>0</v>
      </c>
      <c r="AE190" s="7"/>
      <c r="AF190" s="7">
        <f>'Bütçe aylık-Eur'!$L$116</f>
        <v>-11846.558515978219</v>
      </c>
      <c r="AG190" s="7">
        <f>'gerç aylık-eur'!$L$115</f>
        <v>0</v>
      </c>
      <c r="AH190" s="7"/>
      <c r="AI190" s="7">
        <f>'Bütçe aylık-Eur'!$M$116</f>
        <v>-50284.447688339511</v>
      </c>
      <c r="AJ190" s="7">
        <f>'gerç aylık-eur'!$M$115</f>
        <v>0</v>
      </c>
      <c r="AK190" s="7"/>
      <c r="AL190" s="21">
        <f t="shared" si="94"/>
        <v>-242059.40694863908</v>
      </c>
      <c r="AM190" s="22">
        <f t="shared" si="95"/>
        <v>-4.1849633975284402</v>
      </c>
      <c r="AO190" s="44">
        <f t="shared" si="96"/>
        <v>57840.268589109939</v>
      </c>
      <c r="AP190" s="44">
        <f t="shared" si="96"/>
        <v>-184219.13835952914</v>
      </c>
    </row>
    <row r="191" spans="1:43" ht="15.5">
      <c r="A191" s="26" t="s">
        <v>12</v>
      </c>
      <c r="B191" s="7">
        <f>'Bütçe aylık-Eur'!$B$117</f>
        <v>-93627.604379739729</v>
      </c>
      <c r="C191" s="7">
        <f>'gerç aylık-eur'!$B$116</f>
        <v>1204.6388247031234</v>
      </c>
      <c r="D191" s="7"/>
      <c r="E191" s="7">
        <f>'Bütçe aylık-Eur'!$C$117</f>
        <v>-53219.869221286383</v>
      </c>
      <c r="F191" s="7">
        <f>'gerç aylık-eur'!$C$116</f>
        <v>2124.3113969813785</v>
      </c>
      <c r="G191" s="7"/>
      <c r="H191" s="7">
        <f>'Bütçe aylık-Eur'!$D$117</f>
        <v>2373.8570890567739</v>
      </c>
      <c r="I191" s="7">
        <f>'gerç aylık-eur'!$D$116</f>
        <v>-28612.676084271119</v>
      </c>
      <c r="J191" s="7"/>
      <c r="K191" s="7">
        <f>'Bütçe aylık-Eur'!$E$117</f>
        <v>-2878.5635242976741</v>
      </c>
      <c r="L191" s="7">
        <f>'gerç aylık-eur'!$E$116</f>
        <v>-16402.152361338933</v>
      </c>
      <c r="M191" s="7"/>
      <c r="N191" s="7">
        <f>'Bütçe aylık-Eur'!$F$117</f>
        <v>57179.170531330768</v>
      </c>
      <c r="O191" s="7">
        <f>'gerç aylık-eur'!$F$116</f>
        <v>10491.387228827351</v>
      </c>
      <c r="P191" s="7"/>
      <c r="Q191" s="7">
        <f>'Bütçe aylık-Eur'!$G$117</f>
        <v>56683.962763977353</v>
      </c>
      <c r="R191" s="7">
        <f>'gerç aylık-eur'!$G$116</f>
        <v>-29402.344296718722</v>
      </c>
      <c r="S191" s="7"/>
      <c r="T191" s="7">
        <f>'Bütçe aylık-Eur'!$H$117</f>
        <v>80912.610977002681</v>
      </c>
      <c r="U191" s="7">
        <f>'gerç aylık-eur'!$H$116</f>
        <v>-36457.358297812527</v>
      </c>
      <c r="V191" s="7"/>
      <c r="W191" s="7">
        <f>'Bütçe aylık-Eur'!$I$117</f>
        <v>51336.42944839289</v>
      </c>
      <c r="X191" s="7">
        <f>'gerç aylık-eur'!$I$116</f>
        <v>-28825.672568065496</v>
      </c>
      <c r="Y191" s="7"/>
      <c r="Z191" s="7">
        <f>'Bütçe aylık-Eur'!$J$117</f>
        <v>32753.646153133075</v>
      </c>
      <c r="AA191" s="7">
        <f>'gerç aylık-eur'!$J$116</f>
        <v>27182.709976922895</v>
      </c>
      <c r="AB191" s="7"/>
      <c r="AC191" s="7">
        <f>'Bütçe aylık-Eur'!$K$117</f>
        <v>53074.905198303626</v>
      </c>
      <c r="AD191" s="7">
        <f>'gerç aylık-eur'!$K$116</f>
        <v>0</v>
      </c>
      <c r="AE191" s="7"/>
      <c r="AF191" s="7">
        <f>'Bütçe aylık-Eur'!$L$117</f>
        <v>71839.052132951983</v>
      </c>
      <c r="AG191" s="7">
        <f>'gerç aylık-eur'!$L$116</f>
        <v>0</v>
      </c>
      <c r="AH191" s="7"/>
      <c r="AI191" s="7">
        <f>'Bütçe aylık-Eur'!$M$117</f>
        <v>3132.5066639007609</v>
      </c>
      <c r="AJ191" s="7">
        <f>'gerç aylık-eur'!$M$116</f>
        <v>0</v>
      </c>
      <c r="AK191" s="7"/>
      <c r="AL191" s="21">
        <f t="shared" si="94"/>
        <v>-5570.9361762101798</v>
      </c>
      <c r="AM191" s="22">
        <f t="shared" si="95"/>
        <v>-0.17008598524159391</v>
      </c>
      <c r="AO191" s="44">
        <f t="shared" si="96"/>
        <v>32753.646153133075</v>
      </c>
      <c r="AP191" s="44">
        <f t="shared" si="96"/>
        <v>27182.709976922895</v>
      </c>
    </row>
    <row r="192" spans="1:43" ht="15.5">
      <c r="A192" s="26" t="s">
        <v>13</v>
      </c>
      <c r="B192" s="7">
        <f>'Bütçe aylık-Eur'!$B$118</f>
        <v>-527081.70726080437</v>
      </c>
      <c r="C192" s="7">
        <f>'gerç aylık-eur'!$B$117</f>
        <v>-1621012.5429157447</v>
      </c>
      <c r="D192" s="7"/>
      <c r="E192" s="7">
        <f>'Bütçe aylık-Eur'!$C$118</f>
        <v>-1131046.1757993212</v>
      </c>
      <c r="F192" s="7">
        <f>'gerç aylık-eur'!$C$117</f>
        <v>-1792344.4596753009</v>
      </c>
      <c r="G192" s="7"/>
      <c r="H192" s="7">
        <f>'Bütçe aylık-Eur'!$D$118</f>
        <v>-942843.45455476781</v>
      </c>
      <c r="I192" s="7">
        <f>'gerç aylık-eur'!$D$117</f>
        <v>-4215800.7710195491</v>
      </c>
      <c r="J192" s="7"/>
      <c r="K192" s="7">
        <f>'Bütçe aylık-Eur'!$E$118</f>
        <v>-1464087.2201337065</v>
      </c>
      <c r="L192" s="7">
        <f>'gerç aylık-eur'!$E$117</f>
        <v>-4851270.4349214071</v>
      </c>
      <c r="M192" s="7"/>
      <c r="N192" s="7">
        <f>'Bütçe aylık-Eur'!$F$118</f>
        <v>-446661.07461974403</v>
      </c>
      <c r="O192" s="7">
        <f>'gerç aylık-eur'!$F$117</f>
        <v>-2949842.060921012</v>
      </c>
      <c r="P192" s="7"/>
      <c r="Q192" s="7">
        <f>'Bütçe aylık-Eur'!$G$118</f>
        <v>-37867.807631131152</v>
      </c>
      <c r="R192" s="7">
        <f>'gerç aylık-eur'!$G$117</f>
        <v>-3072299.7573198969</v>
      </c>
      <c r="S192" s="7"/>
      <c r="T192" s="7">
        <f>'Bütçe aylık-Eur'!$H$118</f>
        <v>-158298.48951395514</v>
      </c>
      <c r="U192" s="7">
        <f>'gerç aylık-eur'!$H$117</f>
        <v>-3299335.7897881581</v>
      </c>
      <c r="V192" s="7"/>
      <c r="W192" s="7">
        <f>'Bütçe aylık-Eur'!$I$118</f>
        <v>-16630.475664051286</v>
      </c>
      <c r="X192" s="7">
        <f>'gerç aylık-eur'!$I$117</f>
        <v>-1941066.8998679286</v>
      </c>
      <c r="Y192" s="7"/>
      <c r="Z192" s="7">
        <f>'Bütçe aylık-Eur'!$J$118</f>
        <v>406101.08182540484</v>
      </c>
      <c r="AA192" s="7">
        <f>'gerç aylık-eur'!$J$117</f>
        <v>-2472812.337502066</v>
      </c>
      <c r="AB192" s="7"/>
      <c r="AC192" s="7">
        <f>'Bütçe aylık-Eur'!$K$118</f>
        <v>1230976.091553174</v>
      </c>
      <c r="AD192" s="7">
        <f>'gerç aylık-eur'!$K$117</f>
        <v>0</v>
      </c>
      <c r="AE192" s="7"/>
      <c r="AF192" s="7">
        <f>'Bütçe aylık-Eur'!$L$118</f>
        <v>1441848.2860002546</v>
      </c>
      <c r="AG192" s="7">
        <f>'gerç aylık-eur'!$L$117</f>
        <v>0</v>
      </c>
      <c r="AH192" s="7"/>
      <c r="AI192" s="7">
        <f>'Bütçe aylık-Eur'!$M$118</f>
        <v>2091412.3268327527</v>
      </c>
      <c r="AJ192" s="7">
        <f>'gerç aylık-eur'!$M$117</f>
        <v>0</v>
      </c>
      <c r="AK192" s="7"/>
      <c r="AL192" s="21">
        <f t="shared" si="94"/>
        <v>-2878913.4193274709</v>
      </c>
      <c r="AM192" s="22">
        <f t="shared" si="95"/>
        <v>-7.0891547650818696</v>
      </c>
      <c r="AO192" s="44">
        <f t="shared" si="96"/>
        <v>406101.08182540484</v>
      </c>
      <c r="AP192" s="44">
        <f t="shared" si="96"/>
        <v>-2472812.337502066</v>
      </c>
    </row>
    <row r="193" spans="1:42" s="1" customFormat="1" ht="15.5">
      <c r="A193" s="26" t="s">
        <v>14</v>
      </c>
      <c r="B193" s="7">
        <f>'Bütçe aylık-Eur'!$B$119</f>
        <v>306036.36138400546</v>
      </c>
      <c r="C193" s="7">
        <f>'gerç aylık-eur'!$B$118</f>
        <v>163058.72558742377</v>
      </c>
      <c r="D193" s="8"/>
      <c r="E193" s="7">
        <f>'Bütçe aylık-Eur'!$C$119</f>
        <v>351359.58350049076</v>
      </c>
      <c r="F193" s="7">
        <f>'gerç aylık-eur'!$C$118</f>
        <v>393505.09798085823</v>
      </c>
      <c r="G193" s="8"/>
      <c r="H193" s="7">
        <f>'Bütçe aylık-Eur'!$D$119</f>
        <v>322006.20213583147</v>
      </c>
      <c r="I193" s="7">
        <f>'gerç aylık-eur'!$D$118</f>
        <v>488535.46836272586</v>
      </c>
      <c r="J193" s="8"/>
      <c r="K193" s="7">
        <f>'Bütçe aylık-Eur'!$E$119</f>
        <v>-180372.60545074256</v>
      </c>
      <c r="L193" s="7">
        <f>'gerç aylık-eur'!$E$118</f>
        <v>-102361.55060970777</v>
      </c>
      <c r="M193" s="8"/>
      <c r="N193" s="7">
        <f>'Bütçe aylık-Eur'!$F$119</f>
        <v>3357.8267799830646</v>
      </c>
      <c r="O193" s="7">
        <f>'gerç aylık-eur'!$F$118</f>
        <v>-9244.0546123921758</v>
      </c>
      <c r="P193" s="8"/>
      <c r="Q193" s="7">
        <f>'Bütçe aylık-Eur'!$G$119</f>
        <v>-75802.743604800504</v>
      </c>
      <c r="R193" s="7">
        <f>'gerç aylık-eur'!$G$118</f>
        <v>-31469.54475967012</v>
      </c>
      <c r="S193" s="8"/>
      <c r="T193" s="7">
        <f>'Bütçe aylık-Eur'!$H$119</f>
        <v>80880.370324078205</v>
      </c>
      <c r="U193" s="7">
        <f>'gerç aylık-eur'!$H$118</f>
        <v>156354.61937849349</v>
      </c>
      <c r="V193" s="8"/>
      <c r="W193" s="7">
        <f>'Bütçe aylık-Eur'!$I$119</f>
        <v>128993.89957761252</v>
      </c>
      <c r="X193" s="7">
        <f>'gerç aylık-eur'!$I$118</f>
        <v>154972.13601646348</v>
      </c>
      <c r="Y193" s="8"/>
      <c r="Z193" s="7">
        <f>'Bütçe aylık-Eur'!$J$119</f>
        <v>115203.52241745834</v>
      </c>
      <c r="AA193" s="7">
        <f>'gerç aylık-eur'!$J$118</f>
        <v>254404.79263706881</v>
      </c>
      <c r="AB193" s="8"/>
      <c r="AC193" s="7">
        <f>'Bütçe aylık-Eur'!$K$119</f>
        <v>294188.31385025603</v>
      </c>
      <c r="AD193" s="7">
        <f>'gerç aylık-eur'!$K$118</f>
        <v>0</v>
      </c>
      <c r="AE193" s="8"/>
      <c r="AF193" s="7">
        <f>'Bütçe aylık-Eur'!$L$119</f>
        <v>190844.38166620772</v>
      </c>
      <c r="AG193" s="7">
        <f>'gerç aylık-eur'!$L$118</f>
        <v>0</v>
      </c>
      <c r="AH193" s="8"/>
      <c r="AI193" s="7">
        <f>'Bütçe aylık-Eur'!$M$119</f>
        <v>90073.219126999611</v>
      </c>
      <c r="AJ193" s="7">
        <f>'gerç aylık-eur'!$M$118</f>
        <v>0</v>
      </c>
      <c r="AK193" s="8"/>
      <c r="AL193" s="21">
        <f t="shared" si="94"/>
        <v>139201.27021961048</v>
      </c>
      <c r="AM193" s="22">
        <f t="shared" si="95"/>
        <v>1.2083074136847349</v>
      </c>
      <c r="AO193" s="44">
        <f t="shared" si="96"/>
        <v>115203.52241745834</v>
      </c>
      <c r="AP193" s="44">
        <f t="shared" si="96"/>
        <v>254404.79263706881</v>
      </c>
    </row>
    <row r="194" spans="1:42" ht="15.5">
      <c r="A194" s="26" t="s">
        <v>15</v>
      </c>
      <c r="B194" s="7">
        <f>'Bütçe aylık-Eur'!$B$120</f>
        <v>395421.97810800001</v>
      </c>
      <c r="C194" s="7">
        <f>'gerç aylık-eur'!$B$119</f>
        <v>933953.90000000014</v>
      </c>
      <c r="D194" s="7"/>
      <c r="E194" s="7">
        <f>'Bütçe aylık-Eur'!$C$120</f>
        <v>1055443.6314739999</v>
      </c>
      <c r="F194" s="7">
        <f>'gerç aylık-eur'!$C$119</f>
        <v>1435482.0399999998</v>
      </c>
      <c r="G194" s="7"/>
      <c r="H194" s="7">
        <f>'Bütçe aylık-Eur'!$D$120</f>
        <v>2047065.6199270003</v>
      </c>
      <c r="I194" s="7">
        <f>'gerç aylık-eur'!$D$119</f>
        <v>1583925.3000000003</v>
      </c>
      <c r="J194" s="7"/>
      <c r="K194" s="7">
        <f>'Bütçe aylık-Eur'!$E$120</f>
        <v>458812.74869499961</v>
      </c>
      <c r="L194" s="7">
        <f>'gerç aylık-eur'!$E$119</f>
        <v>1664967.3399999999</v>
      </c>
      <c r="M194" s="7"/>
      <c r="N194" s="7">
        <f>'Bütçe aylık-Eur'!$F$120</f>
        <v>1153031.66646</v>
      </c>
      <c r="O194" s="7">
        <f>'gerç aylık-eur'!$F$119</f>
        <v>1533861.6600000001</v>
      </c>
      <c r="P194" s="7"/>
      <c r="Q194" s="7">
        <f>'Bütçe aylık-Eur'!$G$120</f>
        <v>1428787.6816410003</v>
      </c>
      <c r="R194" s="7">
        <f>'gerç aylık-eur'!$G$119</f>
        <v>1415856.1400000006</v>
      </c>
      <c r="S194" s="7"/>
      <c r="T194" s="7">
        <f>'Bütçe aylık-Eur'!$H$120</f>
        <v>499064.86148799956</v>
      </c>
      <c r="U194" s="7">
        <f>'gerç aylık-eur'!$H$119</f>
        <v>1036919.0599999987</v>
      </c>
      <c r="V194" s="7"/>
      <c r="W194" s="7">
        <f>'Bütçe aylık-Eur'!$I$120</f>
        <v>112466.95990900043</v>
      </c>
      <c r="X194" s="7">
        <f>'gerç aylık-eur'!$I$119</f>
        <v>617136.6400000006</v>
      </c>
      <c r="Y194" s="7"/>
      <c r="Z194" s="7">
        <f>'Bütçe aylık-Eur'!$J$120</f>
        <v>2457554.9867280005</v>
      </c>
      <c r="AA194" s="7">
        <f>'gerç aylık-eur'!$J$119</f>
        <v>2469432.16</v>
      </c>
      <c r="AB194" s="7"/>
      <c r="AC194" s="7">
        <f>'Bütçe aylık-Eur'!$K$120</f>
        <v>1447365.6834439987</v>
      </c>
      <c r="AD194" s="7">
        <f>'gerç aylık-eur'!$K$119</f>
        <v>0</v>
      </c>
      <c r="AE194" s="7"/>
      <c r="AF194" s="7">
        <f>'Bütçe aylık-Eur'!$L$120</f>
        <v>1460123.1659990009</v>
      </c>
      <c r="AG194" s="7">
        <f>'gerç aylık-eur'!$L$119</f>
        <v>0</v>
      </c>
      <c r="AH194" s="7"/>
      <c r="AI194" s="7">
        <f>'Bütçe aylık-Eur'!$M$120</f>
        <v>1084720.4323589988</v>
      </c>
      <c r="AJ194" s="7">
        <f>'gerç aylık-eur'!$M$119</f>
        <v>0</v>
      </c>
      <c r="AK194" s="7"/>
      <c r="AL194" s="21">
        <f t="shared" si="94"/>
        <v>11877.173271999694</v>
      </c>
      <c r="AM194" s="22">
        <f t="shared" si="95"/>
        <v>4.832922695989339E-3</v>
      </c>
      <c r="AO194" s="44">
        <f t="shared" si="96"/>
        <v>2457554.9867280005</v>
      </c>
      <c r="AP194" s="44">
        <f t="shared" si="96"/>
        <v>2469432.16</v>
      </c>
    </row>
    <row r="195" spans="1:42" s="1" customFormat="1" ht="15.5">
      <c r="A195" s="26" t="s">
        <v>16</v>
      </c>
      <c r="B195" s="7">
        <f>'Bütçe aylık-Eur'!$B$121</f>
        <v>1228099.1459580001</v>
      </c>
      <c r="C195" s="7">
        <f>'gerç aylık-eur'!$B$120</f>
        <v>1072976.3999999999</v>
      </c>
      <c r="D195" s="8"/>
      <c r="E195" s="7">
        <f>'Bütçe aylık-Eur'!$C$121</f>
        <v>1096365.1746599998</v>
      </c>
      <c r="F195" s="7">
        <f>'gerç aylık-eur'!$C$120</f>
        <v>1698702.8000000003</v>
      </c>
      <c r="G195" s="8"/>
      <c r="H195" s="7">
        <f>'Bütçe aylık-Eur'!$D$121</f>
        <v>1646319.1123120002</v>
      </c>
      <c r="I195" s="7">
        <f>'gerç aylık-eur'!$D$120</f>
        <v>1307550.3899999997</v>
      </c>
      <c r="J195" s="8"/>
      <c r="K195" s="7">
        <f>'Bütçe aylık-Eur'!$E$121</f>
        <v>1603939.1702969996</v>
      </c>
      <c r="L195" s="7">
        <f>'gerç aylık-eur'!$E$120</f>
        <v>89525.740000000224</v>
      </c>
      <c r="M195" s="8"/>
      <c r="N195" s="7">
        <f>'Bütçe aylık-Eur'!$F$121</f>
        <v>1700068.628458</v>
      </c>
      <c r="O195" s="7">
        <f>'gerç aylık-eur'!$F$120</f>
        <v>1415439.5300000003</v>
      </c>
      <c r="P195" s="8"/>
      <c r="Q195" s="7">
        <f>'Bütçe aylık-Eur'!$G$121</f>
        <v>1339066.9792970009</v>
      </c>
      <c r="R195" s="7">
        <f>'gerç aylık-eur'!$G$120</f>
        <v>406114.19999999925</v>
      </c>
      <c r="S195" s="8"/>
      <c r="T195" s="7">
        <f>'Bütçe aylık-Eur'!$H$121</f>
        <v>1138960.0685639996</v>
      </c>
      <c r="U195" s="7">
        <f>'gerç aylık-eur'!$H$120</f>
        <v>2206948.9700000007</v>
      </c>
      <c r="V195" s="8"/>
      <c r="W195" s="7">
        <f>'Bütçe aylık-Eur'!$I$121</f>
        <v>634549.99841099977</v>
      </c>
      <c r="X195" s="7">
        <f>'gerç aylık-eur'!$I$120</f>
        <v>937116.21999999974</v>
      </c>
      <c r="Y195" s="8"/>
      <c r="Z195" s="7">
        <f>'Bütçe aylık-Eur'!$J$121</f>
        <v>1956700.506457001</v>
      </c>
      <c r="AA195" s="7">
        <f>'gerç aylık-eur'!$J$120</f>
        <v>2599868.7100000009</v>
      </c>
      <c r="AB195" s="8"/>
      <c r="AC195" s="7">
        <f>'Bütçe aylık-Eur'!$K$121</f>
        <v>1760754.8504299987</v>
      </c>
      <c r="AD195" s="7">
        <f>'gerç aylık-eur'!$K$120</f>
        <v>0</v>
      </c>
      <c r="AE195" s="8"/>
      <c r="AF195" s="7">
        <f>'Bütçe aylık-Eur'!$L$121</f>
        <v>1642522.581708001</v>
      </c>
      <c r="AG195" s="7">
        <f>'gerç aylık-eur'!$L$120</f>
        <v>0</v>
      </c>
      <c r="AH195" s="8"/>
      <c r="AI195" s="7">
        <f>'Bütçe aylık-Eur'!$M$121</f>
        <v>926117.46297200036</v>
      </c>
      <c r="AJ195" s="7">
        <f>'gerç aylık-eur'!$M$120</f>
        <v>0</v>
      </c>
      <c r="AK195" s="8"/>
      <c r="AL195" s="21">
        <f t="shared" si="94"/>
        <v>643168.20354299992</v>
      </c>
      <c r="AM195" s="22">
        <f t="shared" si="95"/>
        <v>0.32870038180119088</v>
      </c>
      <c r="AO195" s="44">
        <f t="shared" si="96"/>
        <v>1956700.506457001</v>
      </c>
      <c r="AP195" s="44">
        <f t="shared" si="96"/>
        <v>2599868.7100000009</v>
      </c>
    </row>
    <row r="196" spans="1:42" s="1" customFormat="1" ht="15.5">
      <c r="A196" s="26" t="s">
        <v>17</v>
      </c>
      <c r="B196" s="7">
        <f>'Bütçe aylık-Eur'!$B$122</f>
        <v>1953797.282528</v>
      </c>
      <c r="C196" s="7">
        <f>'gerç aylık-eur'!$B$121</f>
        <v>1823346.88</v>
      </c>
      <c r="D196" s="8"/>
      <c r="E196" s="7">
        <f>'Bütçe aylık-Eur'!$C$122</f>
        <v>2041557.138785</v>
      </c>
      <c r="F196" s="7">
        <f>'gerç aylık-eur'!$C$121</f>
        <v>473068.84000000032</v>
      </c>
      <c r="G196" s="8"/>
      <c r="H196" s="7">
        <f>'Bütçe aylık-Eur'!$D$122</f>
        <v>1749031.8598130001</v>
      </c>
      <c r="I196" s="7">
        <f>'gerç aylık-eur'!$D$121</f>
        <v>1058124.73</v>
      </c>
      <c r="J196" s="8"/>
      <c r="K196" s="7">
        <f>'Bütçe aylık-Eur'!$E$122</f>
        <v>1533213.2642249996</v>
      </c>
      <c r="L196" s="7">
        <f>'gerç aylık-eur'!$E$121</f>
        <v>1114301.5499999998</v>
      </c>
      <c r="M196" s="8"/>
      <c r="N196" s="7">
        <f>'Bütçe aylık-Eur'!$F$122</f>
        <v>2469592.9658380011</v>
      </c>
      <c r="O196" s="7">
        <f>'gerç aylık-eur'!$F$121</f>
        <v>2560312.5499999998</v>
      </c>
      <c r="P196" s="8"/>
      <c r="Q196" s="7">
        <f>'Bütçe aylık-Eur'!$G$122</f>
        <v>1455991.1808119994</v>
      </c>
      <c r="R196" s="7">
        <f>'gerç aylık-eur'!$G$121</f>
        <v>1458768.3500000003</v>
      </c>
      <c r="S196" s="8"/>
      <c r="T196" s="7">
        <f>'Bütçe aylık-Eur'!$H$122</f>
        <v>2588593.9260200001</v>
      </c>
      <c r="U196" s="7">
        <f>'gerç aylık-eur'!$H$121</f>
        <v>1500881.0499999989</v>
      </c>
      <c r="V196" s="8"/>
      <c r="W196" s="7">
        <f>'Bütçe aylık-Eur'!$I$122</f>
        <v>613745.67908100039</v>
      </c>
      <c r="X196" s="7">
        <f>'gerç aylık-eur'!$I$121</f>
        <v>731006.22000000067</v>
      </c>
      <c r="Y196" s="8"/>
      <c r="Z196" s="7">
        <f>'Bütçe aylık-Eur'!$J$122</f>
        <v>3359919.2130049993</v>
      </c>
      <c r="AA196" s="7">
        <f>'gerç aylık-eur'!$J$121</f>
        <v>3119937.5500000003</v>
      </c>
      <c r="AB196" s="8"/>
      <c r="AC196" s="7">
        <f>'Bütçe aylık-Eur'!$K$122</f>
        <v>2703227.8715949985</v>
      </c>
      <c r="AD196" s="7">
        <f>'gerç aylık-eur'!$K$121</f>
        <v>0</v>
      </c>
      <c r="AE196" s="8"/>
      <c r="AF196" s="7">
        <f>'Bütçe aylık-Eur'!$L$122</f>
        <v>2671904.3675319999</v>
      </c>
      <c r="AG196" s="7">
        <f>'gerç aylık-eur'!$L$121</f>
        <v>0</v>
      </c>
      <c r="AH196" s="8"/>
      <c r="AI196" s="7">
        <f>'Bütçe aylık-Eur'!$M$122</f>
        <v>1837949.5329580009</v>
      </c>
      <c r="AJ196" s="7">
        <f>'gerç aylık-eur'!$M$121</f>
        <v>0</v>
      </c>
      <c r="AK196" s="8"/>
      <c r="AL196" s="21">
        <f t="shared" si="94"/>
        <v>-239981.66300499905</v>
      </c>
      <c r="AM196" s="22">
        <f t="shared" si="95"/>
        <v>-7.1424831310264558E-2</v>
      </c>
      <c r="AO196" s="44">
        <f t="shared" si="96"/>
        <v>3359919.2130049993</v>
      </c>
      <c r="AP196" s="44">
        <f t="shared" si="96"/>
        <v>3119937.5500000003</v>
      </c>
    </row>
    <row r="197" spans="1:42" s="1" customFormat="1" ht="15.5">
      <c r="A197" s="26"/>
      <c r="B197" s="7"/>
      <c r="C197" s="8"/>
      <c r="D197" s="8"/>
      <c r="E197" s="7"/>
      <c r="F197" s="8"/>
      <c r="G197" s="8"/>
      <c r="H197" s="7"/>
      <c r="I197" s="8"/>
      <c r="J197" s="8"/>
      <c r="K197" s="7"/>
      <c r="L197" s="8"/>
      <c r="M197" s="8"/>
      <c r="N197" s="7"/>
      <c r="O197" s="8"/>
      <c r="P197" s="8"/>
      <c r="Q197" s="7"/>
      <c r="R197" s="8"/>
      <c r="S197" s="8"/>
      <c r="T197" s="7"/>
      <c r="U197" s="8"/>
      <c r="V197" s="8"/>
      <c r="W197" s="7"/>
      <c r="X197" s="8"/>
      <c r="Y197" s="8"/>
      <c r="Z197" s="7"/>
      <c r="AA197" s="8"/>
      <c r="AB197" s="8"/>
      <c r="AC197" s="7"/>
      <c r="AD197" s="8"/>
      <c r="AE197" s="8"/>
      <c r="AF197" s="7"/>
      <c r="AG197" s="8"/>
      <c r="AH197" s="8"/>
      <c r="AI197" s="7"/>
      <c r="AJ197" s="8"/>
      <c r="AK197" s="8"/>
      <c r="AL197" s="15"/>
      <c r="AM197" s="16"/>
      <c r="AO197" s="44"/>
      <c r="AP197" s="44"/>
    </row>
    <row r="198" spans="1:42" s="1" customFormat="1" ht="15.5">
      <c r="A198" s="26"/>
      <c r="B198" s="7"/>
      <c r="C198" s="8"/>
      <c r="D198" s="8"/>
      <c r="E198" s="7"/>
      <c r="F198" s="8"/>
      <c r="G198" s="8"/>
      <c r="H198" s="7"/>
      <c r="I198" s="8"/>
      <c r="J198" s="8"/>
      <c r="K198" s="7"/>
      <c r="L198" s="8"/>
      <c r="M198" s="8"/>
      <c r="N198" s="7"/>
      <c r="O198" s="8"/>
      <c r="P198" s="8"/>
      <c r="Q198" s="7"/>
      <c r="R198" s="8"/>
      <c r="S198" s="8"/>
      <c r="T198" s="7"/>
      <c r="U198" s="8"/>
      <c r="V198" s="8"/>
      <c r="W198" s="7"/>
      <c r="X198" s="8"/>
      <c r="Y198" s="8"/>
      <c r="Z198" s="7"/>
      <c r="AA198" s="8"/>
      <c r="AB198" s="8"/>
      <c r="AC198" s="7"/>
      <c r="AD198" s="8"/>
      <c r="AE198" s="8"/>
      <c r="AF198" s="7"/>
      <c r="AG198" s="8"/>
      <c r="AH198" s="8"/>
      <c r="AI198" s="7"/>
      <c r="AJ198" s="8"/>
      <c r="AK198" s="8"/>
      <c r="AL198" s="15"/>
      <c r="AM198" s="16"/>
      <c r="AO198" s="44"/>
      <c r="AP198" s="44"/>
    </row>
    <row r="199" spans="1:42" s="44" customFormat="1" ht="15.5">
      <c r="A199" s="31" t="s">
        <v>18</v>
      </c>
      <c r="B199" s="32">
        <f>'Bütçe aylık-Eur'!$B$125</f>
        <v>-43625.258965949368</v>
      </c>
      <c r="C199" s="32">
        <f>'gerç aylık-eur'!$B$124</f>
        <v>-325659.88388312573</v>
      </c>
      <c r="D199" s="18"/>
      <c r="E199" s="32">
        <f>'Bütçe aylık-Eur'!$C$125</f>
        <v>-366752.17894070549</v>
      </c>
      <c r="F199" s="32">
        <f>'gerç aylık-eur'!$C$124</f>
        <v>-783079.9759794299</v>
      </c>
      <c r="G199" s="18"/>
      <c r="H199" s="32">
        <f>'Bütçe aylık-Eur'!$D$125</f>
        <v>-27863.116303966512</v>
      </c>
      <c r="I199" s="32">
        <f>'gerç aylık-eur'!$D$124</f>
        <v>-400365.7159369929</v>
      </c>
      <c r="J199" s="18"/>
      <c r="K199" s="32">
        <f>'Bütçe aylık-Eur'!$E$125</f>
        <v>-436933.46083464497</v>
      </c>
      <c r="L199" s="32">
        <f>'gerç aylık-eur'!$E$124</f>
        <v>-400291.49585233437</v>
      </c>
      <c r="M199" s="18"/>
      <c r="N199" s="32">
        <f>'Bütçe aylık-Eur'!$F$125</f>
        <v>-473833.62581205793</v>
      </c>
      <c r="O199" s="32">
        <f>'gerç aylık-eur'!$F$124</f>
        <v>-472516.19166238897</v>
      </c>
      <c r="P199" s="18"/>
      <c r="Q199" s="32">
        <f>'Bütçe aylık-Eur'!$G$125</f>
        <v>-17293.748955722491</v>
      </c>
      <c r="R199" s="32">
        <f>'gerç aylık-eur'!$G$124</f>
        <v>-286866.61987813452</v>
      </c>
      <c r="S199" s="18"/>
      <c r="T199" s="32">
        <f>'Bütçe aylık-Eur'!$H$125</f>
        <v>-385731.95926988299</v>
      </c>
      <c r="U199" s="32">
        <f>'gerç aylık-eur'!$H$124</f>
        <v>288093.2139917413</v>
      </c>
      <c r="V199" s="18"/>
      <c r="W199" s="32">
        <f>'Bütçe aylık-Eur'!$I$125</f>
        <v>-221042.30926129135</v>
      </c>
      <c r="X199" s="32">
        <f>'gerç aylık-eur'!$I$124</f>
        <v>-316596.54691141198</v>
      </c>
      <c r="Y199" s="18"/>
      <c r="Z199" s="32">
        <f>'Bütçe aylık-Eur'!$J$125</f>
        <v>-197052.08663990311</v>
      </c>
      <c r="AA199" s="32">
        <f>'gerç aylık-eur'!$J$124</f>
        <v>-224913.45416456435</v>
      </c>
      <c r="AB199" s="18"/>
      <c r="AC199" s="32">
        <f>'Bütçe aylık-Eur'!$K$125</f>
        <v>-498014.47590222396</v>
      </c>
      <c r="AD199" s="32">
        <f>'gerç aylık-eur'!$K$124</f>
        <v>0</v>
      </c>
      <c r="AE199" s="18"/>
      <c r="AF199" s="32">
        <f>'Bütçe aylık-Eur'!$L$125</f>
        <v>-441788.07264467177</v>
      </c>
      <c r="AG199" s="32">
        <f>'gerç aylık-eur'!$L$124</f>
        <v>0</v>
      </c>
      <c r="AH199" s="18"/>
      <c r="AI199" s="32">
        <f>'Bütçe aylık-Eur'!$M$125</f>
        <v>-1263293.3039519014</v>
      </c>
      <c r="AJ199" s="32">
        <f>'gerç aylık-eur'!$M$124</f>
        <v>0</v>
      </c>
      <c r="AK199" s="18"/>
      <c r="AL199" s="33">
        <f>AP199-AO199</f>
        <v>-27861.36752466124</v>
      </c>
      <c r="AM199" s="34">
        <f>AP199/AO199-1</f>
        <v>0.14139087791328819</v>
      </c>
      <c r="AO199" s="44">
        <f>IF($A$1=$B$1,B199,IF($A$1=$E$1,E199,IF($A$1=$H$1,H199,IF($A$1=$K$1,K199,IF($A$1=$N$1,N199,IF($A$1=$Q$1,Q199,IF($A$1=$T$1,T199,IF($A$1=$W$1,W199,IF($A$1=$Z$1,Z199,IF($A$1=$AC$1,AC199,IF($A$1=$AF$1,AF199,IF($A$1=$AI$1,AI199))))))))))))</f>
        <v>-197052.08663990311</v>
      </c>
      <c r="AP199" s="44">
        <f>IF($A$1=$B$1,C199,IF($A$1=$E$1,F199,IF($A$1=$H$1,I199,IF($A$1=$K$1,L199,IF($A$1=$N$1,O199,IF($A$1=$Q$1,R199,IF($A$1=$T$1,U199,IF($A$1=$W$1,X199,IF($A$1=$Z$1,AA199,IF($A$1=$AC$1,AD199,IF($A$1=$AF$1,AG199,IF($A$1=$AI$1,AJ199))))))))))))</f>
        <v>-224913.45416456435</v>
      </c>
    </row>
    <row r="200" spans="1:42" s="13" customFormat="1" ht="15.5">
      <c r="A200" s="27"/>
      <c r="B200" s="30"/>
      <c r="C200" s="30"/>
      <c r="D200" s="41"/>
      <c r="E200" s="30"/>
      <c r="F200" s="30"/>
      <c r="G200" s="41"/>
      <c r="H200" s="30"/>
      <c r="I200" s="30"/>
      <c r="J200" s="41"/>
      <c r="K200" s="30"/>
      <c r="L200" s="30"/>
      <c r="M200" s="41"/>
      <c r="N200" s="30"/>
      <c r="O200" s="30"/>
      <c r="P200" s="41"/>
      <c r="Q200" s="30"/>
      <c r="R200" s="30"/>
      <c r="S200" s="41"/>
      <c r="T200" s="30"/>
      <c r="U200" s="30"/>
      <c r="V200" s="41"/>
      <c r="W200" s="30"/>
      <c r="X200" s="30"/>
      <c r="Y200" s="41"/>
      <c r="Z200" s="30"/>
      <c r="AA200" s="30"/>
      <c r="AB200" s="41"/>
      <c r="AC200" s="30"/>
      <c r="AD200" s="30"/>
      <c r="AE200" s="41"/>
      <c r="AF200" s="30"/>
      <c r="AG200" s="30"/>
      <c r="AH200" s="41"/>
      <c r="AI200" s="30"/>
      <c r="AJ200" s="30"/>
      <c r="AK200" s="41"/>
      <c r="AL200" s="15"/>
      <c r="AM200" s="22"/>
      <c r="AO200" s="44">
        <f>IF($A$1=$B$1,B200,IF($A$1=$E$1,E200,IF($A$1=$H$1,H200,IF($A$1=$K$1,K200,IF($A$1=$N$1,N200,IF($A$1=$Q$1,Q200,IF($A$1=$T$1,T200,IF($A$1=$W$1,W200,IF($A$1=$Z$1,Z200,IF($A$1=$AC$1,AC200,IF($A$1=$AF$1,AF200,IF($A$1=$AI$1,AI200))))))))))))</f>
        <v>0</v>
      </c>
      <c r="AP200" s="44">
        <f>IF($A$1=$B$1,C200,IF($A$1=$E$1,F200,IF($A$1=$H$1,I200,IF($A$1=$K$1,L200,IF($A$1=$N$1,O200,IF($A$1=$Q$1,R200,IF($A$1=$T$1,U200,IF($A$1=$W$1,X200,IF($A$1=$Z$1,AA200,IF($A$1=$AC$1,AD200,IF($A$1=$AF$1,AG200,IF($A$1=$AI$1,AJ200))))))))))))</f>
        <v>0</v>
      </c>
    </row>
    <row r="201" spans="1:42" s="49" customFormat="1" ht="17">
      <c r="A201" s="47" t="s">
        <v>82</v>
      </c>
      <c r="B201" s="413"/>
      <c r="C201" s="413"/>
      <c r="D201" s="413"/>
      <c r="E201" s="413"/>
      <c r="F201" s="413"/>
      <c r="G201" s="413"/>
      <c r="H201" s="413"/>
      <c r="I201" s="413"/>
      <c r="J201" s="413"/>
      <c r="K201" s="413"/>
      <c r="L201" s="413"/>
      <c r="M201" s="413"/>
      <c r="N201" s="413"/>
      <c r="O201" s="413"/>
      <c r="P201" s="413"/>
      <c r="Q201" s="413"/>
      <c r="R201" s="413"/>
      <c r="S201" s="413"/>
      <c r="T201" s="413"/>
      <c r="U201" s="413"/>
      <c r="V201" s="413"/>
      <c r="W201" s="413"/>
      <c r="X201" s="413"/>
      <c r="Y201" s="413"/>
      <c r="Z201" s="413"/>
      <c r="AA201" s="413"/>
      <c r="AB201" s="413"/>
      <c r="AC201" s="413"/>
      <c r="AD201" s="413"/>
      <c r="AE201" s="413"/>
      <c r="AF201" s="413"/>
      <c r="AG201" s="413"/>
      <c r="AH201" s="413"/>
      <c r="AI201" s="413"/>
      <c r="AJ201" s="413"/>
      <c r="AK201" s="413"/>
      <c r="AL201" s="413"/>
      <c r="AM201" s="48"/>
    </row>
    <row r="202" spans="1:42" ht="15.5">
      <c r="A202" s="26" t="s">
        <v>10</v>
      </c>
      <c r="B202" s="7">
        <f>'Bütçe aylık-Eur'!$B$126</f>
        <v>-86455.963682485555</v>
      </c>
      <c r="C202" s="7">
        <f>'gerç aylık-eur'!$B$125</f>
        <v>-45610.045041745972</v>
      </c>
      <c r="D202" s="7"/>
      <c r="E202" s="7">
        <f>'Bütçe aylık-Eur'!$C$126</f>
        <v>-71754.624769145928</v>
      </c>
      <c r="F202" s="7">
        <f>'gerç aylık-eur'!$C$125</f>
        <v>-115164.81875937458</v>
      </c>
      <c r="G202" s="7"/>
      <c r="H202" s="7">
        <f>'Bütçe aylık-Eur'!$D$126</f>
        <v>-68781.576709117755</v>
      </c>
      <c r="I202" s="7">
        <f>'gerç aylık-eur'!$D$125</f>
        <v>-206572.03969778505</v>
      </c>
      <c r="J202" s="7"/>
      <c r="K202" s="7">
        <f>'Bütçe aylık-Eur'!$E$126</f>
        <v>-70325.268106985342</v>
      </c>
      <c r="L202" s="7">
        <f>'gerç aylık-eur'!$E$125</f>
        <v>-125665.40538775609</v>
      </c>
      <c r="M202" s="7"/>
      <c r="N202" s="7">
        <f>'Bütçe aylık-Eur'!$F$126</f>
        <v>-74320.016931556675</v>
      </c>
      <c r="O202" s="7">
        <f>'gerç aylık-eur'!$F$125</f>
        <v>-78431.199410266898</v>
      </c>
      <c r="P202" s="7"/>
      <c r="Q202" s="7">
        <f>'Bütçe aylık-Eur'!$G$126</f>
        <v>-80084.386445268523</v>
      </c>
      <c r="R202" s="7">
        <f>'gerç aylık-eur'!$G$125</f>
        <v>-60477.129144159007</v>
      </c>
      <c r="S202" s="7"/>
      <c r="T202" s="7">
        <f>'Bütçe aylık-Eur'!$H$126</f>
        <v>-83175.058608297826</v>
      </c>
      <c r="U202" s="7">
        <f>'gerç aylık-eur'!$H$125</f>
        <v>-58365.068592263531</v>
      </c>
      <c r="V202" s="7"/>
      <c r="W202" s="7">
        <f>'Bütçe aylık-Eur'!$I$126</f>
        <v>-66194.408663731228</v>
      </c>
      <c r="X202" s="7">
        <f>'gerç aylık-eur'!$I$125</f>
        <v>-72859.422915051109</v>
      </c>
      <c r="Y202" s="7"/>
      <c r="Z202" s="7">
        <f>'Bütçe aylık-Eur'!$J$126</f>
        <v>-110188.00233553254</v>
      </c>
      <c r="AA202" s="7">
        <f>'gerç aylık-eur'!$J$125</f>
        <v>-126408.7925222315</v>
      </c>
      <c r="AB202" s="7"/>
      <c r="AC202" s="7">
        <f>'Bütçe aylık-Eur'!$K$126</f>
        <v>-98170.491153341165</v>
      </c>
      <c r="AD202" s="7">
        <f>'gerç aylık-eur'!$K$125</f>
        <v>0</v>
      </c>
      <c r="AE202" s="7"/>
      <c r="AF202" s="7">
        <f>'Bütçe aylık-Eur'!$L$126</f>
        <v>-87469.871608672649</v>
      </c>
      <c r="AG202" s="7">
        <f>'gerç aylık-eur'!$L$125</f>
        <v>0</v>
      </c>
      <c r="AH202" s="7"/>
      <c r="AI202" s="7">
        <f>'Bütçe aylık-Eur'!$M$126</f>
        <v>48207.827405602504</v>
      </c>
      <c r="AJ202" s="7">
        <f>'gerç aylık-eur'!$M$125</f>
        <v>0</v>
      </c>
      <c r="AK202" s="7"/>
      <c r="AL202" s="21">
        <f t="shared" ref="AL202:AL209" si="97">AP202-AO202</f>
        <v>-16220.790186698956</v>
      </c>
      <c r="AM202" s="22">
        <f t="shared" ref="AM202:AM209" si="98">AP202/AO202-1</f>
        <v>0.14721013034890285</v>
      </c>
      <c r="AO202" s="44">
        <f t="shared" ref="AO202:AP209" si="99">IF($A$1=$B$1,B202,IF($A$1=$E$1,E202,IF($A$1=$H$1,H202,IF($A$1=$K$1,K202,IF($A$1=$N$1,N202,IF($A$1=$Q$1,Q202,IF($A$1=$T$1,T202,IF($A$1=$W$1,W202,IF($A$1=$Z$1,Z202,IF($A$1=$AC$1,AC202,IF($A$1=$AF$1,AF202,IF($A$1=$AI$1,AI202))))))))))))</f>
        <v>-110188.00233553254</v>
      </c>
      <c r="AP202" s="44">
        <f t="shared" si="99"/>
        <v>-126408.7925222315</v>
      </c>
    </row>
    <row r="203" spans="1:42" ht="15.5">
      <c r="A203" s="26" t="s">
        <v>11</v>
      </c>
      <c r="B203" s="7">
        <f>'Bütçe aylık-Eur'!$B$127</f>
        <v>7382.6093627736118</v>
      </c>
      <c r="C203" s="7">
        <f>'gerç aylık-eur'!$B$126</f>
        <v>4276.120109793047</v>
      </c>
      <c r="D203" s="7"/>
      <c r="E203" s="7">
        <f>'Bütçe aylık-Eur'!$C$127</f>
        <v>-15603.638841507818</v>
      </c>
      <c r="F203" s="7">
        <f>'gerç aylık-eur'!$C$126</f>
        <v>3598.6426987657378</v>
      </c>
      <c r="G203" s="7"/>
      <c r="H203" s="7">
        <f>'Bütçe aylık-Eur'!$D$127</f>
        <v>-19531.552075154992</v>
      </c>
      <c r="I203" s="7">
        <f>'gerç aylık-eur'!$D$126</f>
        <v>3776.270445789276</v>
      </c>
      <c r="J203" s="7"/>
      <c r="K203" s="7">
        <f>'Bütçe aylık-Eur'!$E$127</f>
        <v>-33078.867117426715</v>
      </c>
      <c r="L203" s="7">
        <f>'gerç aylık-eur'!$E$126</f>
        <v>4517.7253249719015</v>
      </c>
      <c r="M203" s="7"/>
      <c r="N203" s="7">
        <f>'Bütçe aylık-Eur'!$F$127</f>
        <v>-41387.035390729761</v>
      </c>
      <c r="O203" s="7">
        <f>'gerç aylık-eur'!$F$126</f>
        <v>-1363.4708168301297</v>
      </c>
      <c r="P203" s="7"/>
      <c r="Q203" s="7">
        <f>'Bütçe aylık-Eur'!$G$127</f>
        <v>-37529.78112746546</v>
      </c>
      <c r="R203" s="7">
        <f>'gerç aylık-eur'!$G$126</f>
        <v>-6386.1180294561618</v>
      </c>
      <c r="S203" s="7"/>
      <c r="T203" s="7">
        <f>'Bütçe aylık-Eur'!$H$127</f>
        <v>-28349.461095584113</v>
      </c>
      <c r="U203" s="7">
        <f>'gerç aylık-eur'!$H$126</f>
        <v>-5582.4572461887174</v>
      </c>
      <c r="V203" s="7"/>
      <c r="W203" s="7">
        <f>'Bütçe aylık-Eur'!$I$127</f>
        <v>-5784.5818928885774</v>
      </c>
      <c r="X203" s="7">
        <f>'gerç aylık-eur'!$I$126</f>
        <v>-16715.25386059198</v>
      </c>
      <c r="Y203" s="7"/>
      <c r="Z203" s="7">
        <f>'Bütçe aylık-Eur'!$J$127</f>
        <v>-11568.053717826611</v>
      </c>
      <c r="AA203" s="7">
        <f>'gerç aylık-eur'!$J$126</f>
        <v>-20740.769244868679</v>
      </c>
      <c r="AB203" s="7"/>
      <c r="AC203" s="7">
        <f>'Bütçe aylık-Eur'!$K$127</f>
        <v>-3106.193420022079</v>
      </c>
      <c r="AD203" s="7">
        <f>'gerç aylık-eur'!$K$126</f>
        <v>0</v>
      </c>
      <c r="AE203" s="7"/>
      <c r="AF203" s="7">
        <f>'Bütçe aylık-Eur'!$L$127</f>
        <v>2369.3117032045743</v>
      </c>
      <c r="AG203" s="7">
        <f>'gerç aylık-eur'!$L$126</f>
        <v>0</v>
      </c>
      <c r="AH203" s="7"/>
      <c r="AI203" s="7">
        <f>'Bütçe aylık-Eur'!$M$127</f>
        <v>10056.889537676683</v>
      </c>
      <c r="AJ203" s="7">
        <f>'gerç aylık-eur'!$M$126</f>
        <v>0</v>
      </c>
      <c r="AK203" s="7"/>
      <c r="AL203" s="21">
        <f t="shared" si="97"/>
        <v>-9172.7155270420681</v>
      </c>
      <c r="AM203" s="22">
        <f t="shared" si="98"/>
        <v>0.79293507367680371</v>
      </c>
      <c r="AO203" s="44">
        <f t="shared" si="99"/>
        <v>-11568.053717826611</v>
      </c>
      <c r="AP203" s="44">
        <f t="shared" si="99"/>
        <v>-20740.769244868679</v>
      </c>
    </row>
    <row r="204" spans="1:42" ht="15.5">
      <c r="A204" s="26" t="s">
        <v>12</v>
      </c>
      <c r="B204" s="7">
        <f>'Bütçe aylık-Eur'!$B$128</f>
        <v>0</v>
      </c>
      <c r="C204" s="7">
        <f>'gerç aylık-eur'!$B$127</f>
        <v>-8.2083883787389311</v>
      </c>
      <c r="D204" s="7"/>
      <c r="E204" s="7">
        <f>'Bütçe aylık-Eur'!$C$128</f>
        <v>0</v>
      </c>
      <c r="F204" s="7">
        <f>'gerç aylık-eur'!$C$127</f>
        <v>0</v>
      </c>
      <c r="G204" s="7"/>
      <c r="H204" s="7">
        <f>'Bütçe aylık-Eur'!$D$128</f>
        <v>-593.46426411063499</v>
      </c>
      <c r="I204" s="7">
        <f>'gerç aylık-eur'!$D$127</f>
        <v>0</v>
      </c>
      <c r="J204" s="7"/>
      <c r="K204" s="7">
        <f>'Bütçe aylık-Eur'!$E$128</f>
        <v>0</v>
      </c>
      <c r="L204" s="7">
        <f>'gerç aylık-eur'!$E$127</f>
        <v>0</v>
      </c>
      <c r="M204" s="7"/>
      <c r="N204" s="7">
        <f>'Bütçe aylık-Eur'!$F$128</f>
        <v>-14294.792653668464</v>
      </c>
      <c r="O204" s="7">
        <f>'gerç aylık-eur'!$F$127</f>
        <v>0</v>
      </c>
      <c r="P204" s="7"/>
      <c r="Q204" s="7">
        <f>'Bütçe aylık-Eur'!$G$128</f>
        <v>-14170.990699398695</v>
      </c>
      <c r="R204" s="7">
        <f>'gerç aylık-eur'!$G$127</f>
        <v>0</v>
      </c>
      <c r="S204" s="7"/>
      <c r="T204" s="7">
        <f>'Bütçe aylık-Eur'!$H$128</f>
        <v>-20228.152747575888</v>
      </c>
      <c r="U204" s="7">
        <f>'gerç aylık-eur'!$H$127</f>
        <v>0</v>
      </c>
      <c r="V204" s="7"/>
      <c r="W204" s="7">
        <f>'Bütçe aylık-Eur'!$I$128</f>
        <v>-12834.107366575514</v>
      </c>
      <c r="X204" s="7">
        <f>'gerç aylık-eur'!$I$127</f>
        <v>0</v>
      </c>
      <c r="Y204" s="7"/>
      <c r="Z204" s="7">
        <f>'Bütçe aylık-Eur'!$J$128</f>
        <v>-8188.4115644346211</v>
      </c>
      <c r="AA204" s="7">
        <f>'gerç aylık-eur'!$J$127</f>
        <v>0</v>
      </c>
      <c r="AB204" s="7"/>
      <c r="AC204" s="7">
        <f>'Bütçe aylık-Eur'!$K$128</f>
        <v>-13268.72630489694</v>
      </c>
      <c r="AD204" s="7">
        <f>'gerç aylık-eur'!$K$127</f>
        <v>0</v>
      </c>
      <c r="AE204" s="7"/>
      <c r="AF204" s="7">
        <f>'Bütçe aylık-Eur'!$L$128</f>
        <v>-17959.763033193343</v>
      </c>
      <c r="AG204" s="7">
        <f>'gerç aylık-eur'!$L$127</f>
        <v>0</v>
      </c>
      <c r="AH204" s="7"/>
      <c r="AI204" s="7">
        <f>'Bütçe aylık-Eur'!$M$128</f>
        <v>-783.12667044234729</v>
      </c>
      <c r="AJ204" s="7">
        <f>'gerç aylık-eur'!$M$127</f>
        <v>0</v>
      </c>
      <c r="AK204" s="7"/>
      <c r="AL204" s="21">
        <f t="shared" si="97"/>
        <v>8188.4115644346211</v>
      </c>
      <c r="AM204" s="22">
        <f t="shared" si="98"/>
        <v>-1</v>
      </c>
      <c r="AO204" s="44">
        <f t="shared" si="99"/>
        <v>-8188.4115644346211</v>
      </c>
      <c r="AP204" s="44">
        <f t="shared" si="99"/>
        <v>0</v>
      </c>
    </row>
    <row r="205" spans="1:42" ht="15.5">
      <c r="A205" s="26" t="s">
        <v>13</v>
      </c>
      <c r="B205" s="7">
        <f>'Bütçe aylık-Eur'!$B$129</f>
        <v>0</v>
      </c>
      <c r="C205" s="7">
        <f>'gerç aylık-eur'!$B$128</f>
        <v>0</v>
      </c>
      <c r="D205" s="7"/>
      <c r="E205" s="7">
        <f>'Bütçe aylık-Eur'!$C$129</f>
        <v>0</v>
      </c>
      <c r="F205" s="7">
        <f>'gerç aylık-eur'!$C$128</f>
        <v>0</v>
      </c>
      <c r="G205" s="7"/>
      <c r="H205" s="7">
        <f>'Bütçe aylık-Eur'!$D$129</f>
        <v>0</v>
      </c>
      <c r="I205" s="7">
        <f>'gerç aylık-eur'!$D$128</f>
        <v>0</v>
      </c>
      <c r="J205" s="7"/>
      <c r="K205" s="7">
        <f>'Bütçe aylık-Eur'!$E$129</f>
        <v>0</v>
      </c>
      <c r="L205" s="7">
        <f>'gerç aylık-eur'!$E$128</f>
        <v>0</v>
      </c>
      <c r="M205" s="7"/>
      <c r="N205" s="7">
        <f>'Bütçe aylık-Eur'!$F$129</f>
        <v>0</v>
      </c>
      <c r="O205" s="7">
        <f>'gerç aylık-eur'!$F$128</f>
        <v>0</v>
      </c>
      <c r="P205" s="7"/>
      <c r="Q205" s="7">
        <f>'Bütçe aylık-Eur'!$G$129</f>
        <v>0</v>
      </c>
      <c r="R205" s="7">
        <f>'gerç aylık-eur'!$G$128</f>
        <v>0</v>
      </c>
      <c r="S205" s="7"/>
      <c r="T205" s="7">
        <f>'Bütçe aylık-Eur'!$H$129</f>
        <v>0</v>
      </c>
      <c r="U205" s="7">
        <f>'gerç aylık-eur'!$H$128</f>
        <v>0</v>
      </c>
      <c r="V205" s="7"/>
      <c r="W205" s="7">
        <f>'Bütçe aylık-Eur'!$I$129</f>
        <v>0</v>
      </c>
      <c r="X205" s="7">
        <f>'gerç aylık-eur'!$I$128</f>
        <v>0</v>
      </c>
      <c r="Y205" s="7"/>
      <c r="Z205" s="7">
        <f>'Bütçe aylık-Eur'!$J$129</f>
        <v>0</v>
      </c>
      <c r="AA205" s="7">
        <f>'gerç aylık-eur'!$J$128</f>
        <v>0</v>
      </c>
      <c r="AB205" s="7"/>
      <c r="AC205" s="7">
        <f>'Bütçe aylık-Eur'!$K$129</f>
        <v>0</v>
      </c>
      <c r="AD205" s="7">
        <f>'gerç aylık-eur'!$K$128</f>
        <v>0</v>
      </c>
      <c r="AE205" s="7"/>
      <c r="AF205" s="7">
        <f>'Bütçe aylık-Eur'!$L$129</f>
        <v>0</v>
      </c>
      <c r="AG205" s="7">
        <f>'gerç aylık-eur'!$L$128</f>
        <v>0</v>
      </c>
      <c r="AH205" s="7"/>
      <c r="AI205" s="7">
        <f>'Bütçe aylık-Eur'!$M$129</f>
        <v>0</v>
      </c>
      <c r="AJ205" s="7">
        <f>'gerç aylık-eur'!$M$128</f>
        <v>0</v>
      </c>
      <c r="AK205" s="7"/>
      <c r="AL205" s="21">
        <f t="shared" si="97"/>
        <v>0</v>
      </c>
      <c r="AM205" s="22" t="e">
        <f t="shared" si="98"/>
        <v>#DIV/0!</v>
      </c>
      <c r="AO205" s="44">
        <f t="shared" si="99"/>
        <v>0</v>
      </c>
      <c r="AP205" s="44">
        <f t="shared" si="99"/>
        <v>0</v>
      </c>
    </row>
    <row r="206" spans="1:42" s="1" customFormat="1" ht="15.5">
      <c r="A206" s="26" t="s">
        <v>14</v>
      </c>
      <c r="B206" s="7">
        <f>'Bütçe aylık-Eur'!$B$130</f>
        <v>-76509.097078593579</v>
      </c>
      <c r="C206" s="7">
        <f>'gerç aylık-eur'!$B$129</f>
        <v>89441.77359301495</v>
      </c>
      <c r="D206" s="8"/>
      <c r="E206" s="7">
        <f>'Bütçe aylık-Eur'!$C$130</f>
        <v>-87839.895875129267</v>
      </c>
      <c r="F206" s="7">
        <f>'gerç aylık-eur'!$C$129</f>
        <v>-172086.49979705291</v>
      </c>
      <c r="G206" s="8"/>
      <c r="H206" s="7">
        <f>'Bütçe aylık-Eur'!$D$130</f>
        <v>-80501.550533957867</v>
      </c>
      <c r="I206" s="7">
        <f>'gerç aylık-eur'!$D$129</f>
        <v>23705.143287507301</v>
      </c>
      <c r="J206" s="8"/>
      <c r="K206" s="7">
        <f>'Bütçe aylık-Eur'!$E$130</f>
        <v>3182.3833764177934</v>
      </c>
      <c r="L206" s="7">
        <f>'gerç aylık-eur'!$E$129</f>
        <v>16621.860526124419</v>
      </c>
      <c r="M206" s="8"/>
      <c r="N206" s="7">
        <f>'Bütçe aylık-Eur'!$F$130</f>
        <v>-16276.981835257324</v>
      </c>
      <c r="O206" s="7">
        <f>'gerç aylık-eur'!$F$129</f>
        <v>10331.696411770237</v>
      </c>
      <c r="P206" s="8"/>
      <c r="Q206" s="7">
        <f>'Bütçe aylık-Eur'!$G$130</f>
        <v>9196.469225025201</v>
      </c>
      <c r="R206" s="7">
        <f>'gerç aylık-eur'!$G$129</f>
        <v>-60927.141761298117</v>
      </c>
      <c r="S206" s="8"/>
      <c r="T206" s="7">
        <f>'Bütçe aylık-Eur'!$H$130</f>
        <v>-27444.521269062629</v>
      </c>
      <c r="U206" s="7">
        <f>'gerç aylık-eur'!$H$129</f>
        <v>-43665.540424516148</v>
      </c>
      <c r="V206" s="8"/>
      <c r="W206" s="7">
        <f>'Bütçe aylık-Eur'!$I$130</f>
        <v>-37964.552360240275</v>
      </c>
      <c r="X206" s="7">
        <f>'gerç aylık-eur'!$I$129</f>
        <v>-84318.755339422394</v>
      </c>
      <c r="Y206" s="8"/>
      <c r="Z206" s="7">
        <f>'Bütçe aylık-Eur'!$J$130</f>
        <v>-35632.66014527325</v>
      </c>
      <c r="AA206" s="7">
        <f>'gerç aylık-eur'!$J$129</f>
        <v>12510.289006339741</v>
      </c>
      <c r="AB206" s="8"/>
      <c r="AC206" s="7">
        <f>'Bütçe aylık-Eur'!$K$130</f>
        <v>-79245.812389909333</v>
      </c>
      <c r="AD206" s="7">
        <f>'gerç aylık-eur'!$K$129</f>
        <v>0</v>
      </c>
      <c r="AE206" s="8"/>
      <c r="AF206" s="7">
        <f>'Bütçe aylık-Eur'!$L$130</f>
        <v>-55629.04194402579</v>
      </c>
      <c r="AG206" s="7">
        <f>'gerç aylık-eur'!$L$129</f>
        <v>0</v>
      </c>
      <c r="AH206" s="8"/>
      <c r="AI206" s="7">
        <f>'Bütçe aylık-Eur'!$M$130</f>
        <v>-29251.953418844158</v>
      </c>
      <c r="AJ206" s="7">
        <f>'gerç aylık-eur'!$M$129</f>
        <v>0</v>
      </c>
      <c r="AK206" s="8"/>
      <c r="AL206" s="21">
        <f t="shared" si="97"/>
        <v>48142.949151612993</v>
      </c>
      <c r="AM206" s="22">
        <f t="shared" si="98"/>
        <v>-1.3510905151435699</v>
      </c>
      <c r="AO206" s="44">
        <f t="shared" si="99"/>
        <v>-35632.66014527325</v>
      </c>
      <c r="AP206" s="44">
        <f t="shared" si="99"/>
        <v>12510.289006339741</v>
      </c>
    </row>
    <row r="207" spans="1:42" ht="15.5">
      <c r="A207" s="26" t="s">
        <v>15</v>
      </c>
      <c r="B207" s="7">
        <f>'Bütçe aylık-Eur'!$B$131</f>
        <v>-138011.98475800001</v>
      </c>
      <c r="C207" s="7">
        <f>'gerç aylık-eur'!$B$130</f>
        <v>-321620.92</v>
      </c>
      <c r="D207" s="7"/>
      <c r="E207" s="7">
        <f>'Bütçe aylık-Eur'!$C$131</f>
        <v>-283917.906647</v>
      </c>
      <c r="F207" s="7">
        <f>'gerç aylık-eur'!$C$130</f>
        <v>-439357.77999999997</v>
      </c>
      <c r="G207" s="7"/>
      <c r="H207" s="7">
        <f>'Bütçe aylık-Eur'!$D$131</f>
        <v>-337013.95989399997</v>
      </c>
      <c r="I207" s="7">
        <f>'gerç aylık-eur'!$D$130</f>
        <v>-627360.15000000014</v>
      </c>
      <c r="J207" s="7"/>
      <c r="K207" s="7">
        <f>'Bütçe aylık-Eur'!$E$131</f>
        <v>-203849.692668</v>
      </c>
      <c r="L207" s="7">
        <f>'gerç aylık-eur'!$E$130</f>
        <v>-412736.05999999982</v>
      </c>
      <c r="M207" s="7"/>
      <c r="N207" s="7">
        <f>'Bütçe aylık-Eur'!$F$131</f>
        <v>-352037.22304700012</v>
      </c>
      <c r="O207" s="7">
        <f>'gerç aylık-eur'!$F$130</f>
        <v>-624666.24</v>
      </c>
      <c r="P207" s="7"/>
      <c r="Q207" s="7">
        <f>'Bütçe aylık-Eur'!$G$131</f>
        <v>-114211.85653399979</v>
      </c>
      <c r="R207" s="7">
        <f>'gerç aylık-eur'!$G$130</f>
        <v>-152797.79000000004</v>
      </c>
      <c r="S207" s="7"/>
      <c r="T207" s="7">
        <f>'Bütçe aylık-Eur'!$H$131</f>
        <v>-190248.61844800014</v>
      </c>
      <c r="U207" s="7">
        <f>'gerç aylık-eur'!$H$130</f>
        <v>231624.5299999998</v>
      </c>
      <c r="V207" s="7"/>
      <c r="W207" s="7">
        <f>'Bütçe aylık-Eur'!$I$131</f>
        <v>-89370.826371999909</v>
      </c>
      <c r="X207" s="7">
        <f>'gerç aylık-eur'!$I$130</f>
        <v>-321115.35999999987</v>
      </c>
      <c r="Y207" s="7"/>
      <c r="Z207" s="7">
        <f>'Bütçe aylık-Eur'!$J$131</f>
        <v>-393192.4728430002</v>
      </c>
      <c r="AA207" s="7">
        <f>'gerç aylık-eur'!$J$130</f>
        <v>-373984.08000000007</v>
      </c>
      <c r="AB207" s="7"/>
      <c r="AC207" s="7">
        <f>'Bütçe aylık-Eur'!$K$131</f>
        <v>-391640.81520899991</v>
      </c>
      <c r="AD207" s="7">
        <f>'gerç aylık-eur'!$K$130</f>
        <v>0</v>
      </c>
      <c r="AE207" s="7"/>
      <c r="AF207" s="7">
        <f>'Bütçe aylık-Eur'!$L$131</f>
        <v>-383612.39072800009</v>
      </c>
      <c r="AG207" s="7">
        <f>'gerç aylık-eur'!$L$130</f>
        <v>0</v>
      </c>
      <c r="AH207" s="7"/>
      <c r="AI207" s="7">
        <f>'Bütçe aylık-Eur'!$M$131</f>
        <v>-115793.09614000005</v>
      </c>
      <c r="AJ207" s="7">
        <f>'gerç aylık-eur'!$M$130</f>
        <v>0</v>
      </c>
      <c r="AK207" s="7"/>
      <c r="AL207" s="21">
        <f t="shared" si="97"/>
        <v>19208.392843000125</v>
      </c>
      <c r="AM207" s="22">
        <f t="shared" si="98"/>
        <v>-4.8852392071782935E-2</v>
      </c>
      <c r="AO207" s="44">
        <f t="shared" si="99"/>
        <v>-393192.4728430002</v>
      </c>
      <c r="AP207" s="44">
        <f t="shared" si="99"/>
        <v>-373984.08000000007</v>
      </c>
    </row>
    <row r="208" spans="1:42" s="1" customFormat="1" ht="15.5">
      <c r="A208" s="26" t="s">
        <v>16</v>
      </c>
      <c r="B208" s="7">
        <f>'Bütçe aylık-Eur'!$B$132</f>
        <v>91802.454859999998</v>
      </c>
      <c r="C208" s="7">
        <f>'gerç aylık-eur'!$B$131</f>
        <v>-126395.68</v>
      </c>
      <c r="D208" s="8"/>
      <c r="E208" s="7">
        <f>'Bütçe aylık-Eur'!$C$132</f>
        <v>-113078.57681699999</v>
      </c>
      <c r="F208" s="7">
        <f>'gerç aylık-eur'!$C$131</f>
        <v>-895440.45</v>
      </c>
      <c r="G208" s="8"/>
      <c r="H208" s="7">
        <f>'Bütçe aylık-Eur'!$D$132</f>
        <v>-255437.71435899998</v>
      </c>
      <c r="I208" s="7">
        <f>'gerç aylık-eur'!$D$131</f>
        <v>224318.43000000008</v>
      </c>
      <c r="J208" s="8"/>
      <c r="K208" s="7">
        <f>'Bütçe aylık-Eur'!$E$132</f>
        <v>-223284.17664800002</v>
      </c>
      <c r="L208" s="7">
        <f>'gerç aylık-eur'!$E$131</f>
        <v>261739.78999999992</v>
      </c>
      <c r="M208" s="8"/>
      <c r="N208" s="7">
        <f>'Bütçe aylık-Eur'!$F$132</f>
        <v>-176614.93178700004</v>
      </c>
      <c r="O208" s="7">
        <f>'gerç aylık-eur'!$F$131</f>
        <v>66293.38</v>
      </c>
      <c r="P208" s="8"/>
      <c r="Q208" s="7">
        <f>'Bütçe aylık-Eur'!$G$132</f>
        <v>-296754.65589199995</v>
      </c>
      <c r="R208" s="7">
        <f>'gerç aylık-eur'!$G$131</f>
        <v>-184803.34999999998</v>
      </c>
      <c r="S208" s="8"/>
      <c r="T208" s="7">
        <f>'Bütçe aylık-Eur'!$H$132</f>
        <v>-126241.19581400009</v>
      </c>
      <c r="U208" s="7">
        <f>'gerç aylık-eur'!$H$131</f>
        <v>292245.88</v>
      </c>
      <c r="V208" s="8"/>
      <c r="W208" s="7">
        <f>'Bütçe aylık-Eur'!$I$132</f>
        <v>-95359.409051999915</v>
      </c>
      <c r="X208" s="7">
        <f>'gerç aylık-eur'!$I$131</f>
        <v>-306563.31999999995</v>
      </c>
      <c r="Y208" s="8"/>
      <c r="Z208" s="7">
        <f>'Bütçe aylık-Eur'!$J$132</f>
        <v>-232022.57967499993</v>
      </c>
      <c r="AA208" s="7">
        <f>'gerç aylık-eur'!$J$131</f>
        <v>-13928.150000000023</v>
      </c>
      <c r="AB208" s="8"/>
      <c r="AC208" s="7">
        <f>'Bütçe aylık-Eur'!$K$132</f>
        <v>-167920.05612100009</v>
      </c>
      <c r="AD208" s="7">
        <f>'gerç aylık-eur'!$K$131</f>
        <v>0</v>
      </c>
      <c r="AE208" s="8"/>
      <c r="AF208" s="7">
        <f>'Bütçe aylık-Eur'!$L$132</f>
        <v>-162010.38846100005</v>
      </c>
      <c r="AG208" s="7">
        <f>'gerç aylık-eur'!$L$131</f>
        <v>0</v>
      </c>
      <c r="AH208" s="8"/>
      <c r="AI208" s="7">
        <f>'Bütçe aylık-Eur'!$M$132</f>
        <v>-3580971.7903960007</v>
      </c>
      <c r="AJ208" s="7">
        <f>'gerç aylık-eur'!$M$131</f>
        <v>0</v>
      </c>
      <c r="AK208" s="8"/>
      <c r="AL208" s="21">
        <f t="shared" si="97"/>
        <v>218094.4296749999</v>
      </c>
      <c r="AM208" s="22">
        <f t="shared" si="98"/>
        <v>-0.93997071311115687</v>
      </c>
      <c r="AO208" s="44">
        <f t="shared" si="99"/>
        <v>-232022.57967499993</v>
      </c>
      <c r="AP208" s="44">
        <f t="shared" si="99"/>
        <v>-13928.150000000023</v>
      </c>
    </row>
    <row r="209" spans="1:42" s="1" customFormat="1" ht="15.5">
      <c r="A209" s="26" t="s">
        <v>17</v>
      </c>
      <c r="B209" s="7">
        <f>'Bütçe aylık-Eur'!$B$133</f>
        <v>211338.865361</v>
      </c>
      <c r="C209" s="7">
        <f>'gerç aylık-eur'!$B$132</f>
        <v>-352219.55</v>
      </c>
      <c r="D209" s="8"/>
      <c r="E209" s="7">
        <f>'Bütçe aylık-Eur'!$C$133</f>
        <v>-213648.40898599999</v>
      </c>
      <c r="F209" s="7">
        <f>'gerç aylık-eur'!$C$132</f>
        <v>-171899.77000000002</v>
      </c>
      <c r="G209" s="8"/>
      <c r="H209" s="7">
        <f>'Bütçe aylık-Eur'!$D$133</f>
        <v>825561.91664800001</v>
      </c>
      <c r="I209" s="7">
        <f>'gerç aylık-eur'!$D$132</f>
        <v>-114588.28999999998</v>
      </c>
      <c r="J209" s="8"/>
      <c r="K209" s="7">
        <f>'Bütçe aylık-Eur'!$E$133</f>
        <v>-409871.82808599994</v>
      </c>
      <c r="L209" s="7">
        <f>'gerç aylık-eur'!$E$132</f>
        <v>-563485.13</v>
      </c>
      <c r="M209" s="8"/>
      <c r="N209" s="7">
        <f>'Bütçe aylık-Eur'!$F$133</f>
        <v>-314650.31542100001</v>
      </c>
      <c r="O209" s="7">
        <f>'gerç aylık-eur'!$F$132</f>
        <v>-433762.63999999996</v>
      </c>
      <c r="P209" s="8"/>
      <c r="Q209" s="7">
        <f>'Bütçe aylık-Eur'!$G$133</f>
        <v>687998.56649200001</v>
      </c>
      <c r="R209" s="7">
        <f>'gerç aylık-eur'!$G$132</f>
        <v>-151480.15000000014</v>
      </c>
      <c r="S209" s="8"/>
      <c r="T209" s="7">
        <f>'Bütçe aylık-Eur'!$H$133</f>
        <v>-291013.88151500002</v>
      </c>
      <c r="U209" s="7">
        <f>'gerç aylık-eur'!$H$132</f>
        <v>399896.98000000004</v>
      </c>
      <c r="V209" s="8"/>
      <c r="W209" s="7">
        <f>'Bütçe aylık-Eur'!$I$133</f>
        <v>-117878.24056100001</v>
      </c>
      <c r="X209" s="7">
        <f>'gerç aylık-eur'!$I$132</f>
        <v>144442.76</v>
      </c>
      <c r="Y209" s="8"/>
      <c r="Z209" s="7">
        <f>'Bütçe aylık-Eur'!$J$133</f>
        <v>493078.66510799999</v>
      </c>
      <c r="AA209" s="7">
        <f>'gerç aylık-eur'!$J$132</f>
        <v>180992.20999999996</v>
      </c>
      <c r="AB209" s="8"/>
      <c r="AC209" s="7">
        <f>'Bütçe aylık-Eur'!$K$133</f>
        <v>-319865.97884</v>
      </c>
      <c r="AD209" s="7">
        <f>'gerç aylık-eur'!$K$132</f>
        <v>0</v>
      </c>
      <c r="AE209" s="8"/>
      <c r="AF209" s="7">
        <f>'Bütçe aylık-Eur'!$L$133</f>
        <v>-245567.55313199997</v>
      </c>
      <c r="AG209" s="7">
        <f>'gerç aylık-eur'!$L$132</f>
        <v>0</v>
      </c>
      <c r="AH209" s="8"/>
      <c r="AI209" s="7">
        <f>'Bütçe aylık-Eur'!$M$133</f>
        <v>424079.60439299996</v>
      </c>
      <c r="AJ209" s="7">
        <f>'gerç aylık-eur'!$M$132</f>
        <v>0</v>
      </c>
      <c r="AK209" s="8"/>
      <c r="AL209" s="21">
        <f t="shared" si="97"/>
        <v>-312086.45510800002</v>
      </c>
      <c r="AM209" s="22">
        <f t="shared" si="98"/>
        <v>-0.63293441228012393</v>
      </c>
      <c r="AO209" s="44">
        <f t="shared" si="99"/>
        <v>493078.66510799999</v>
      </c>
      <c r="AP209" s="44">
        <f t="shared" si="99"/>
        <v>180992.20999999996</v>
      </c>
    </row>
    <row r="210" spans="1:42" s="1" customFormat="1" ht="15.5">
      <c r="A210" s="26"/>
      <c r="B210" s="7"/>
      <c r="C210" s="8"/>
      <c r="D210" s="8"/>
      <c r="E210" s="7"/>
      <c r="F210" s="8"/>
      <c r="G210" s="8"/>
      <c r="H210" s="7"/>
      <c r="I210" s="8"/>
      <c r="J210" s="8"/>
      <c r="K210" s="7"/>
      <c r="L210" s="8"/>
      <c r="M210" s="8"/>
      <c r="N210" s="7"/>
      <c r="O210" s="8"/>
      <c r="P210" s="8"/>
      <c r="Q210" s="7"/>
      <c r="R210" s="8"/>
      <c r="S210" s="8"/>
      <c r="T210" s="7"/>
      <c r="U210" s="8"/>
      <c r="V210" s="8"/>
      <c r="W210" s="7"/>
      <c r="X210" s="8"/>
      <c r="Y210" s="8"/>
      <c r="Z210" s="7"/>
      <c r="AA210" s="8"/>
      <c r="AB210" s="8"/>
      <c r="AC210" s="7"/>
      <c r="AD210" s="8"/>
      <c r="AE210" s="8"/>
      <c r="AF210" s="7"/>
      <c r="AG210" s="8"/>
      <c r="AH210" s="8"/>
      <c r="AI210" s="7"/>
      <c r="AJ210" s="8"/>
      <c r="AK210" s="8"/>
      <c r="AL210" s="15"/>
      <c r="AM210" s="16"/>
      <c r="AO210" s="44"/>
      <c r="AP210" s="44"/>
    </row>
    <row r="211" spans="1:42" s="1" customFormat="1" ht="15.5">
      <c r="A211" s="26"/>
      <c r="B211" s="7"/>
      <c r="C211" s="8"/>
      <c r="D211" s="8"/>
      <c r="E211" s="7"/>
      <c r="F211" s="8"/>
      <c r="G211" s="8"/>
      <c r="H211" s="7"/>
      <c r="I211" s="8"/>
      <c r="J211" s="8"/>
      <c r="K211" s="7"/>
      <c r="L211" s="8"/>
      <c r="M211" s="8"/>
      <c r="N211" s="7"/>
      <c r="O211" s="8"/>
      <c r="P211" s="8"/>
      <c r="Q211" s="7"/>
      <c r="R211" s="8"/>
      <c r="S211" s="8"/>
      <c r="T211" s="7"/>
      <c r="U211" s="8"/>
      <c r="V211" s="8"/>
      <c r="W211" s="7"/>
      <c r="X211" s="8"/>
      <c r="Y211" s="8"/>
      <c r="Z211" s="7"/>
      <c r="AA211" s="8"/>
      <c r="AB211" s="8"/>
      <c r="AC211" s="7"/>
      <c r="AD211" s="8"/>
      <c r="AE211" s="8"/>
      <c r="AF211" s="7"/>
      <c r="AG211" s="8"/>
      <c r="AH211" s="8"/>
      <c r="AI211" s="7"/>
      <c r="AJ211" s="8"/>
      <c r="AK211" s="8"/>
      <c r="AL211" s="15"/>
      <c r="AM211" s="16"/>
      <c r="AO211" s="44"/>
      <c r="AP211" s="44"/>
    </row>
    <row r="212" spans="1:42" s="44" customFormat="1" ht="15.5">
      <c r="A212" s="31" t="s">
        <v>5</v>
      </c>
      <c r="B212" s="32">
        <f>'Bütçe aylık-Eur'!$B$136</f>
        <v>1514167.1688572117</v>
      </c>
      <c r="C212" s="32">
        <f>'gerç aylık-eur'!$B$135</f>
        <v>733228.92984999483</v>
      </c>
      <c r="D212" s="18"/>
      <c r="E212" s="32">
        <f>'Bütçe aylık-Eur'!$C$136</f>
        <v>1310536.3861698252</v>
      </c>
      <c r="F212" s="32">
        <f>'gerç aylık-eur'!$C$135</f>
        <v>548784.91195512319</v>
      </c>
      <c r="G212" s="18"/>
      <c r="H212" s="32">
        <f>'Bütçe aylık-Eur'!$D$136</f>
        <v>2275926.5438509099</v>
      </c>
      <c r="I212" s="32">
        <f>'gerç aylık-eur'!$D$135</f>
        <v>421458.60932021582</v>
      </c>
      <c r="J212" s="18"/>
      <c r="K212" s="32">
        <f>'Bütçe aylık-Eur'!$E$136</f>
        <v>787485.52670920361</v>
      </c>
      <c r="L212" s="32">
        <f>'gerç aylık-eur'!$E$135</f>
        <v>-673395.16426097706</v>
      </c>
      <c r="M212" s="18"/>
      <c r="N212" s="32">
        <f>'Bütçe aylık-Eur'!$F$136</f>
        <v>2039316.7945656942</v>
      </c>
      <c r="O212" s="32">
        <f>'gerç aylık-eur'!$F$135</f>
        <v>760351.09634793014</v>
      </c>
      <c r="P212" s="18"/>
      <c r="Q212" s="32">
        <f>'Bütçe aylık-Eur'!$G$136</f>
        <v>2191446.7814314584</v>
      </c>
      <c r="R212" s="32">
        <f>'gerç aylık-eur'!$G$135</f>
        <v>-394978.84552801284</v>
      </c>
      <c r="S212" s="18"/>
      <c r="T212" s="32">
        <f>'Bütçe aylık-Eur'!$H$136</f>
        <v>1829308.4863726816</v>
      </c>
      <c r="U212" s="32">
        <f>'gerç aylık-eur'!$H$135</f>
        <v>1080988.0465526937</v>
      </c>
      <c r="V212" s="18"/>
      <c r="W212" s="32">
        <f>'Bütçe aylık-Eur'!$I$136</f>
        <v>713245.08883151691</v>
      </c>
      <c r="X212" s="32">
        <f>'gerç aylık-eur'!$I$135</f>
        <v>-24542.109580940061</v>
      </c>
      <c r="Y212" s="18"/>
      <c r="Z212" s="32">
        <f>'Bütçe aylık-Eur'!$J$136</f>
        <v>3652485.5616175923</v>
      </c>
      <c r="AA212" s="32">
        <f>'gerç aylık-eur'!$J$135</f>
        <v>2512017.6375957779</v>
      </c>
      <c r="AB212" s="18"/>
      <c r="AC212" s="32">
        <f>'Bütçe aylık-Eur'!$K$136</f>
        <v>2937878.4853581963</v>
      </c>
      <c r="AD212" s="32">
        <f>'gerç aylık-eur'!$K$135</f>
        <v>0</v>
      </c>
      <c r="AE212" s="18"/>
      <c r="AF212" s="32">
        <f>'Bütçe aylık-Eur'!$L$136</f>
        <v>2930981.0205695103</v>
      </c>
      <c r="AG212" s="32">
        <f>'gerç aylık-eur'!$L$135</f>
        <v>0</v>
      </c>
      <c r="AH212" s="18"/>
      <c r="AI212" s="32">
        <f>'Bütçe aylık-Eur'!$M$136</f>
        <v>908832.63510072837</v>
      </c>
      <c r="AJ212" s="32">
        <f>'gerç aylık-eur'!$M$135</f>
        <v>0</v>
      </c>
      <c r="AK212" s="18"/>
      <c r="AL212" s="33">
        <f>AP212-AO212</f>
        <v>-1140467.9240218145</v>
      </c>
      <c r="AM212" s="34">
        <f>AP212/AO212-1</f>
        <v>-0.31224433465432522</v>
      </c>
      <c r="AO212" s="44">
        <f>IF($A$1=$B$1,B212,IF($A$1=$E$1,E212,IF($A$1=$H$1,H212,IF($A$1=$K$1,K212,IF($A$1=$N$1,N212,IF($A$1=$Q$1,Q212,IF($A$1=$T$1,T212,IF($A$1=$W$1,W212,IF($A$1=$Z$1,Z212,IF($A$1=$AC$1,AC212,IF($A$1=$AF$1,AF212,IF($A$1=$AI$1,AI212))))))))))))</f>
        <v>3652485.5616175923</v>
      </c>
      <c r="AP212" s="44">
        <f>IF($A$1=$B$1,C212,IF($A$1=$E$1,F212,IF($A$1=$H$1,I212,IF($A$1=$K$1,L212,IF($A$1=$N$1,O212,IF($A$1=$Q$1,R212,IF($A$1=$T$1,U212,IF($A$1=$W$1,X212,IF($A$1=$Z$1,AA212,IF($A$1=$AC$1,AD212,IF($A$1=$AF$1,AG212,IF($A$1=$AI$1,AJ212))))))))))))</f>
        <v>2512017.6375957779</v>
      </c>
    </row>
    <row r="213" spans="1:42" s="13" customFormat="1" ht="15.5">
      <c r="A213" s="27"/>
      <c r="B213" s="30"/>
      <c r="C213" s="30"/>
      <c r="D213" s="41"/>
      <c r="E213" s="30"/>
      <c r="F213" s="30"/>
      <c r="G213" s="41"/>
      <c r="H213" s="30"/>
      <c r="I213" s="30"/>
      <c r="J213" s="41"/>
      <c r="K213" s="30"/>
      <c r="L213" s="30"/>
      <c r="M213" s="41"/>
      <c r="N213" s="30"/>
      <c r="O213" s="30"/>
      <c r="P213" s="41"/>
      <c r="Q213" s="30"/>
      <c r="R213" s="30"/>
      <c r="S213" s="41"/>
      <c r="T213" s="30"/>
      <c r="U213" s="30"/>
      <c r="V213" s="41"/>
      <c r="W213" s="30"/>
      <c r="X213" s="30"/>
      <c r="Y213" s="41"/>
      <c r="Z213" s="30"/>
      <c r="AA213" s="30"/>
      <c r="AB213" s="41"/>
      <c r="AC213" s="30"/>
      <c r="AD213" s="30"/>
      <c r="AE213" s="41"/>
      <c r="AF213" s="30"/>
      <c r="AG213" s="30"/>
      <c r="AH213" s="41"/>
      <c r="AI213" s="30"/>
      <c r="AJ213" s="30"/>
      <c r="AK213" s="41"/>
      <c r="AL213" s="15"/>
      <c r="AM213" s="22"/>
      <c r="AO213" s="44">
        <f>IF($A$1=$B$1,B213,IF($A$1=$E$1,E213,IF($A$1=$H$1,H213,IF($A$1=$K$1,K213,IF($A$1=$N$1,N213,IF($A$1=$Q$1,Q213,IF($A$1=$T$1,T213,IF($A$1=$W$1,W213,IF($A$1=$Z$1,Z213,IF($A$1=$AC$1,AC213,IF($A$1=$AF$1,AF213,IF($A$1=$AI$1,AI213))))))))))))</f>
        <v>0</v>
      </c>
      <c r="AP213" s="44">
        <f>IF($A$1=$B$1,C213,IF($A$1=$E$1,F213,IF($A$1=$H$1,I213,IF($A$1=$K$1,L213,IF($A$1=$N$1,O213,IF($A$1=$Q$1,R213,IF($A$1=$T$1,U213,IF($A$1=$W$1,X213,IF($A$1=$Z$1,AA213,IF($A$1=$AC$1,AD213,IF($A$1=$AF$1,AG213,IF($A$1=$AI$1,AJ213))))))))))))</f>
        <v>0</v>
      </c>
    </row>
    <row r="214" spans="1:42" s="49" customFormat="1" ht="17">
      <c r="A214" s="47" t="s">
        <v>83</v>
      </c>
      <c r="B214" s="413"/>
      <c r="C214" s="413"/>
      <c r="D214" s="413"/>
      <c r="E214" s="413"/>
      <c r="F214" s="413"/>
      <c r="G214" s="413"/>
      <c r="H214" s="413"/>
      <c r="I214" s="413"/>
      <c r="J214" s="413"/>
      <c r="K214" s="413"/>
      <c r="L214" s="413"/>
      <c r="M214" s="413"/>
      <c r="N214" s="413"/>
      <c r="O214" s="413"/>
      <c r="P214" s="413"/>
      <c r="Q214" s="413"/>
      <c r="R214" s="413"/>
      <c r="S214" s="413"/>
      <c r="T214" s="413"/>
      <c r="U214" s="413"/>
      <c r="V214" s="413"/>
      <c r="W214" s="413"/>
      <c r="X214" s="413"/>
      <c r="Y214" s="413"/>
      <c r="Z214" s="413"/>
      <c r="AA214" s="413"/>
      <c r="AB214" s="413"/>
      <c r="AC214" s="413"/>
      <c r="AD214" s="413"/>
      <c r="AE214" s="413"/>
      <c r="AF214" s="413"/>
      <c r="AG214" s="413"/>
      <c r="AH214" s="413"/>
      <c r="AI214" s="413"/>
      <c r="AJ214" s="413"/>
      <c r="AK214" s="413"/>
      <c r="AL214" s="413"/>
      <c r="AM214" s="48"/>
    </row>
    <row r="215" spans="1:42" ht="15.5">
      <c r="A215" s="26" t="s">
        <v>10</v>
      </c>
      <c r="B215" s="7">
        <f>'Bütçe aylık-Eur'!$B$137</f>
        <v>259367.89104742973</v>
      </c>
      <c r="C215" s="7">
        <f>'gerç aylık-eur'!$B$136</f>
        <v>136830.13512523792</v>
      </c>
      <c r="D215" s="7"/>
      <c r="E215" s="7">
        <f>'Bütçe aylık-Eur'!$C$137</f>
        <v>215263.87430743777</v>
      </c>
      <c r="F215" s="7">
        <f>'gerç aylık-eur'!$C$136</f>
        <v>345494.45627812383</v>
      </c>
      <c r="G215" s="7"/>
      <c r="H215" s="7">
        <f>'Bütçe aylık-Eur'!$D$137</f>
        <v>206344.73012732738</v>
      </c>
      <c r="I215" s="7">
        <f>'gerç aylık-eur'!$D$136</f>
        <v>619716.11909335514</v>
      </c>
      <c r="J215" s="7"/>
      <c r="K215" s="7">
        <f>'Bütçe aylık-Eur'!$E$137</f>
        <v>210975.80432095606</v>
      </c>
      <c r="L215" s="7">
        <f>'gerç aylık-eur'!$E$136</f>
        <v>376996.21616326831</v>
      </c>
      <c r="M215" s="7"/>
      <c r="N215" s="7">
        <f>'Bütçe aylık-Eur'!$F$137</f>
        <v>222960.05079469486</v>
      </c>
      <c r="O215" s="7">
        <f>'gerç aylık-eur'!$F$136</f>
        <v>235293.59823082361</v>
      </c>
      <c r="P215" s="7"/>
      <c r="Q215" s="7">
        <f>'Bütçe aylık-Eur'!$G$137</f>
        <v>240253.15933578118</v>
      </c>
      <c r="R215" s="7">
        <f>'gerç aylık-eur'!$G$136</f>
        <v>181431.38743245494</v>
      </c>
      <c r="S215" s="7"/>
      <c r="T215" s="7">
        <f>'Bütçe aylık-Eur'!$H$137</f>
        <v>249525.17582486951</v>
      </c>
      <c r="U215" s="7">
        <f>'gerç aylık-eur'!$H$136</f>
        <v>175095.20577679109</v>
      </c>
      <c r="V215" s="7"/>
      <c r="W215" s="7">
        <f>'Bütçe aylık-Eur'!$I$137</f>
        <v>198583.22599121722</v>
      </c>
      <c r="X215" s="7">
        <f>'gerç aylık-eur'!$I$136</f>
        <v>218578.26874515333</v>
      </c>
      <c r="Y215" s="7"/>
      <c r="Z215" s="7">
        <f>'Bütçe aylık-Eur'!$J$137</f>
        <v>330564.00700657454</v>
      </c>
      <c r="AA215" s="7">
        <f>'gerç aylık-eur'!$J$136</f>
        <v>379226.37756671518</v>
      </c>
      <c r="AB215" s="7"/>
      <c r="AC215" s="7">
        <f>'Bütçe aylık-Eur'!$K$137</f>
        <v>294511.47346004623</v>
      </c>
      <c r="AD215" s="7">
        <f>'gerç aylık-eur'!$K$136</f>
        <v>0</v>
      </c>
      <c r="AE215" s="7"/>
      <c r="AF215" s="7">
        <f>'Bütçe aylık-Eur'!$L$137</f>
        <v>262409.61482597329</v>
      </c>
      <c r="AG215" s="7">
        <f>'gerç aylık-eur'!$L$136</f>
        <v>0</v>
      </c>
      <c r="AH215" s="7"/>
      <c r="AI215" s="7">
        <f>'Bütçe aylık-Eur'!$M$137</f>
        <v>-144623.48221680755</v>
      </c>
      <c r="AJ215" s="7">
        <f>'gerç aylık-eur'!$M$136</f>
        <v>0</v>
      </c>
      <c r="AK215" s="7"/>
      <c r="AL215" s="21">
        <f t="shared" ref="AL215:AL222" si="100">AP215-AO215</f>
        <v>48662.37056014064</v>
      </c>
      <c r="AM215" s="22">
        <f t="shared" ref="AM215:AM222" si="101">AP215/AO215-1</f>
        <v>0.14721013034904562</v>
      </c>
      <c r="AO215" s="44">
        <f t="shared" ref="AO215:AP222" si="102">IF($A$1=$B$1,B215,IF($A$1=$E$1,E215,IF($A$1=$H$1,H215,IF($A$1=$K$1,K215,IF($A$1=$N$1,N215,IF($A$1=$Q$1,Q215,IF($A$1=$T$1,T215,IF($A$1=$W$1,W215,IF($A$1=$Z$1,Z215,IF($A$1=$AC$1,AC215,IF($A$1=$AF$1,AF215,IF($A$1=$AI$1,AI215))))))))))))</f>
        <v>330564.00700657454</v>
      </c>
      <c r="AP215" s="44">
        <f t="shared" si="102"/>
        <v>379226.37756671518</v>
      </c>
    </row>
    <row r="216" spans="1:42" ht="15.5">
      <c r="A216" s="26" t="s">
        <v>11</v>
      </c>
      <c r="B216" s="7">
        <f>'Bütçe aylık-Eur'!$B$138</f>
        <v>-29530.437451121379</v>
      </c>
      <c r="C216" s="7">
        <f>'gerç aylık-eur'!$B$137</f>
        <v>-69417.438643982226</v>
      </c>
      <c r="D216" s="7"/>
      <c r="E216" s="7">
        <f>'Bütçe aylık-Eur'!$C$138</f>
        <v>62414.55536605767</v>
      </c>
      <c r="F216" s="7">
        <f>'gerç aylık-eur'!$C$137</f>
        <v>-10685.783081986867</v>
      </c>
      <c r="G216" s="7"/>
      <c r="H216" s="7">
        <f>'Bütçe aylık-Eur'!$D$138</f>
        <v>78126.208300594095</v>
      </c>
      <c r="I216" s="7">
        <f>'gerç aylık-eur'!$D$137</f>
        <v>-61008.933941141986</v>
      </c>
      <c r="J216" s="7"/>
      <c r="K216" s="7">
        <f>'Bütçe aylık-Eur'!$E$138</f>
        <v>132315.46846975759</v>
      </c>
      <c r="L216" s="7">
        <f>'gerç aylık-eur'!$E$137</f>
        <v>79089.530046196873</v>
      </c>
      <c r="M216" s="7"/>
      <c r="N216" s="7">
        <f>'Bütçe aylık-Eur'!$F$138</f>
        <v>165548.1415629439</v>
      </c>
      <c r="O216" s="7">
        <f>'gerç aylık-eur'!$F$137</f>
        <v>-112923.4174630674</v>
      </c>
      <c r="P216" s="7"/>
      <c r="Q216" s="7">
        <f>'Bütçe aylık-Eur'!$G$138</f>
        <v>150119.12450983742</v>
      </c>
      <c r="R216" s="7">
        <f>'gerç aylık-eur'!$G$137</f>
        <v>-397792.27112740319</v>
      </c>
      <c r="S216" s="7"/>
      <c r="T216" s="7">
        <f>'Bütçe aylık-Eur'!$H$138</f>
        <v>113397.84438236043</v>
      </c>
      <c r="U216" s="7">
        <f>'gerç aylık-eur'!$H$137</f>
        <v>-50394.848592621085</v>
      </c>
      <c r="V216" s="7"/>
      <c r="W216" s="7">
        <f>'Bütçe aylık-Eur'!$I$138</f>
        <v>23138.327571530775</v>
      </c>
      <c r="X216" s="7">
        <f>'gerç aylık-eur'!$I$137</f>
        <v>-186941.41808167283</v>
      </c>
      <c r="Y216" s="7"/>
      <c r="Z216" s="7">
        <f>'Bütçe aylık-Eur'!$J$138</f>
        <v>46272.21487128333</v>
      </c>
      <c r="AA216" s="7">
        <f>'gerç aylık-eur'!$J$137</f>
        <v>-204959.90760439777</v>
      </c>
      <c r="AB216" s="7"/>
      <c r="AC216" s="7">
        <f>'Bütçe aylık-Eur'!$K$138</f>
        <v>12424.773680133747</v>
      </c>
      <c r="AD216" s="7">
        <f>'gerç aylık-eur'!$K$137</f>
        <v>0</v>
      </c>
      <c r="AE216" s="7"/>
      <c r="AF216" s="7">
        <f>'Bütçe aylık-Eur'!$L$138</f>
        <v>-9477.2468127736429</v>
      </c>
      <c r="AG216" s="7">
        <f>'gerç aylık-eur'!$L$137</f>
        <v>0</v>
      </c>
      <c r="AH216" s="7"/>
      <c r="AI216" s="7">
        <f>'Bütçe aylık-Eur'!$M$138</f>
        <v>-40227.558150684781</v>
      </c>
      <c r="AJ216" s="7">
        <f>'gerç aylık-eur'!$M$137</f>
        <v>0</v>
      </c>
      <c r="AK216" s="7"/>
      <c r="AL216" s="21">
        <f t="shared" si="100"/>
        <v>-251232.1224756811</v>
      </c>
      <c r="AM216" s="22">
        <f t="shared" si="101"/>
        <v>-5.4294380153303718</v>
      </c>
      <c r="AO216" s="44">
        <f t="shared" si="102"/>
        <v>46272.21487128333</v>
      </c>
      <c r="AP216" s="44">
        <f t="shared" si="102"/>
        <v>-204959.90760439777</v>
      </c>
    </row>
    <row r="217" spans="1:42" ht="15.5">
      <c r="A217" s="26" t="s">
        <v>12</v>
      </c>
      <c r="B217" s="7">
        <f>'Bütçe aylık-Eur'!$B$139</f>
        <v>-93627.604379739729</v>
      </c>
      <c r="C217" s="7">
        <f>'gerç aylık-eur'!$B$138</f>
        <v>1204.6388628614277</v>
      </c>
      <c r="D217" s="7"/>
      <c r="E217" s="7">
        <f>'Bütçe aylık-Eur'!$C$139</f>
        <v>-53219.869221286383</v>
      </c>
      <c r="F217" s="7">
        <f>'gerç aylık-eur'!$C$138</f>
        <v>2124.3113555738496</v>
      </c>
      <c r="G217" s="7"/>
      <c r="H217" s="7">
        <f>'Bütçe aylık-Eur'!$D$139</f>
        <v>1780.3928249461389</v>
      </c>
      <c r="I217" s="7">
        <f>'gerç aylık-eur'!$D$138</f>
        <v>-28612.676084271119</v>
      </c>
      <c r="J217" s="7"/>
      <c r="K217" s="7">
        <f>'Bütçe aylık-Eur'!$E$139</f>
        <v>-2878.5635242976741</v>
      </c>
      <c r="L217" s="7">
        <f>'gerç aylık-eur'!$E$138</f>
        <v>-16402.152468455402</v>
      </c>
      <c r="M217" s="7"/>
      <c r="N217" s="7">
        <f>'Bütçe aylık-Eur'!$F$139</f>
        <v>42884.377877662308</v>
      </c>
      <c r="O217" s="7">
        <f>'gerç aylık-eur'!$F$138</f>
        <v>10491.387228827351</v>
      </c>
      <c r="P217" s="7"/>
      <c r="Q217" s="7">
        <f>'Bütçe aylık-Eur'!$G$139</f>
        <v>42512.972064603069</v>
      </c>
      <c r="R217" s="7">
        <f>'gerç aylık-eur'!$G$138</f>
        <v>-29402.344296718722</v>
      </c>
      <c r="S217" s="7"/>
      <c r="T217" s="7">
        <f>'Bütçe aylık-Eur'!$H$139</f>
        <v>60684.458229426804</v>
      </c>
      <c r="U217" s="7">
        <f>'gerç aylık-eur'!$H$138</f>
        <v>-36457.358297812527</v>
      </c>
      <c r="V217" s="7"/>
      <c r="W217" s="7">
        <f>'Bütçe aylık-Eur'!$I$139</f>
        <v>38502.32208184091</v>
      </c>
      <c r="X217" s="7">
        <f>'gerç aylık-eur'!$I$138</f>
        <v>-28825.672568065496</v>
      </c>
      <c r="Y217" s="7"/>
      <c r="Z217" s="7">
        <f>'Bütçe aylık-Eur'!$J$139</f>
        <v>24565.234588698451</v>
      </c>
      <c r="AA217" s="7">
        <f>'gerç aylık-eur'!$J$138</f>
        <v>27182.709976922895</v>
      </c>
      <c r="AB217" s="7"/>
      <c r="AC217" s="7">
        <f>'Bütçe aylık-Eur'!$K$139</f>
        <v>39806.178893406686</v>
      </c>
      <c r="AD217" s="7">
        <f>'gerç aylık-eur'!$K$138</f>
        <v>0</v>
      </c>
      <c r="AE217" s="7"/>
      <c r="AF217" s="7">
        <f>'Bütçe aylık-Eur'!$L$139</f>
        <v>53879.289099736314</v>
      </c>
      <c r="AG217" s="7">
        <f>'gerç aylık-eur'!$L$138</f>
        <v>0</v>
      </c>
      <c r="AH217" s="7"/>
      <c r="AI217" s="7">
        <f>'Bütçe aylık-Eur'!$M$139</f>
        <v>2349.3799934584135</v>
      </c>
      <c r="AJ217" s="7">
        <f>'gerç aylık-eur'!$M$138</f>
        <v>0</v>
      </c>
      <c r="AK217" s="7"/>
      <c r="AL217" s="21">
        <f t="shared" si="100"/>
        <v>2617.475388224444</v>
      </c>
      <c r="AM217" s="22">
        <f t="shared" si="101"/>
        <v>0.10655202085587434</v>
      </c>
      <c r="AO217" s="44">
        <f t="shared" si="102"/>
        <v>24565.234588698451</v>
      </c>
      <c r="AP217" s="44">
        <f t="shared" si="102"/>
        <v>27182.709976922895</v>
      </c>
    </row>
    <row r="218" spans="1:42" ht="15.5">
      <c r="A218" s="26" t="s">
        <v>13</v>
      </c>
      <c r="B218" s="7">
        <f>'Bütçe aylık-Eur'!$B$140</f>
        <v>-527081.70726080437</v>
      </c>
      <c r="C218" s="7">
        <f>'gerç aylık-eur'!$B$139</f>
        <v>-1621012.5429157447</v>
      </c>
      <c r="D218" s="7"/>
      <c r="E218" s="7">
        <f>'Bütçe aylık-Eur'!$C$140</f>
        <v>-1131046.1757993212</v>
      </c>
      <c r="F218" s="7">
        <f>'gerç aylık-eur'!$C$139</f>
        <v>-1792344.4596753009</v>
      </c>
      <c r="G218" s="7"/>
      <c r="H218" s="7">
        <f>'Bütçe aylık-Eur'!$D$140</f>
        <v>-942843.45455476781</v>
      </c>
      <c r="I218" s="7">
        <f>'gerç aylık-eur'!$D$139</f>
        <v>-4215800.7710195491</v>
      </c>
      <c r="J218" s="7"/>
      <c r="K218" s="7">
        <f>'Bütçe aylık-Eur'!$E$140</f>
        <v>-1464087.2201337065</v>
      </c>
      <c r="L218" s="7">
        <f>'gerç aylık-eur'!$E$139</f>
        <v>-4851270.4349214071</v>
      </c>
      <c r="M218" s="7"/>
      <c r="N218" s="7">
        <f>'Bütçe aylık-Eur'!$F$140</f>
        <v>-446661.07461974403</v>
      </c>
      <c r="O218" s="7">
        <f>'gerç aylık-eur'!$F$139</f>
        <v>-2949842.060921012</v>
      </c>
      <c r="P218" s="7"/>
      <c r="Q218" s="7">
        <f>'Bütçe aylık-Eur'!$G$140</f>
        <v>-37867.807631131152</v>
      </c>
      <c r="R218" s="7">
        <f>'gerç aylık-eur'!$G$139</f>
        <v>-3072299.7573198969</v>
      </c>
      <c r="S218" s="7"/>
      <c r="T218" s="7">
        <f>'Bütçe aylık-Eur'!$H$140</f>
        <v>-158298.48951395514</v>
      </c>
      <c r="U218" s="7">
        <f>'gerç aylık-eur'!$H$139</f>
        <v>-3299335.7897881581</v>
      </c>
      <c r="V218" s="7"/>
      <c r="W218" s="7">
        <f>'Bütçe aylık-Eur'!$I$140</f>
        <v>-16630.475664051286</v>
      </c>
      <c r="X218" s="7">
        <f>'gerç aylık-eur'!$I$139</f>
        <v>-1941066.8998679286</v>
      </c>
      <c r="Y218" s="7"/>
      <c r="Z218" s="7">
        <f>'Bütçe aylık-Eur'!$J$140</f>
        <v>406101.08182540484</v>
      </c>
      <c r="AA218" s="7">
        <f>'gerç aylık-eur'!$J$139</f>
        <v>-2472812.337502066</v>
      </c>
      <c r="AB218" s="7"/>
      <c r="AC218" s="7">
        <f>'Bütçe aylık-Eur'!$K$140</f>
        <v>1230976.091553174</v>
      </c>
      <c r="AD218" s="7">
        <f>'gerç aylık-eur'!$K$139</f>
        <v>0</v>
      </c>
      <c r="AE218" s="7"/>
      <c r="AF218" s="7">
        <f>'Bütçe aylık-Eur'!$L$140</f>
        <v>1441848.2860002546</v>
      </c>
      <c r="AG218" s="7">
        <f>'gerç aylık-eur'!$L$139</f>
        <v>0</v>
      </c>
      <c r="AH218" s="7"/>
      <c r="AI218" s="7">
        <f>'Bütçe aylık-Eur'!$M$140</f>
        <v>2091412.3268327527</v>
      </c>
      <c r="AJ218" s="7">
        <f>'gerç aylık-eur'!$M$139</f>
        <v>0</v>
      </c>
      <c r="AK218" s="7"/>
      <c r="AL218" s="21">
        <f t="shared" si="100"/>
        <v>-2878913.4193274709</v>
      </c>
      <c r="AM218" s="22">
        <f t="shared" si="101"/>
        <v>-7.0891547650818696</v>
      </c>
      <c r="AO218" s="44">
        <f t="shared" si="102"/>
        <v>406101.08182540484</v>
      </c>
      <c r="AP218" s="44">
        <f t="shared" si="102"/>
        <v>-2472812.337502066</v>
      </c>
    </row>
    <row r="219" spans="1:42" s="1" customFormat="1" ht="15.5">
      <c r="A219" s="26" t="s">
        <v>14</v>
      </c>
      <c r="B219" s="7">
        <f>'Bütçe aylık-Eur'!$B$141</f>
        <v>229527.2643054119</v>
      </c>
      <c r="C219" s="7">
        <f>'gerç aylık-eur'!$B$140</f>
        <v>252500.49918043872</v>
      </c>
      <c r="D219" s="8"/>
      <c r="E219" s="7">
        <f>'Bütçe aylık-Eur'!$C$141</f>
        <v>263519.68762536149</v>
      </c>
      <c r="F219" s="7">
        <f>'gerç aylık-eur'!$C$140</f>
        <v>221418.59818383196</v>
      </c>
      <c r="G219" s="8"/>
      <c r="H219" s="7">
        <f>'Bütçe aylık-Eur'!$D$141</f>
        <v>241504.65160187363</v>
      </c>
      <c r="I219" s="7">
        <f>'gerç aylık-eur'!$D$140</f>
        <v>512240.6116502331</v>
      </c>
      <c r="J219" s="8"/>
      <c r="K219" s="7">
        <f>'Bütçe aylık-Eur'!$E$141</f>
        <v>-177190.22207432476</v>
      </c>
      <c r="L219" s="7">
        <f>'gerç aylık-eur'!$E$140</f>
        <v>-85739.690083559923</v>
      </c>
      <c r="M219" s="8"/>
      <c r="N219" s="7">
        <f>'Bütçe aylık-Eur'!$F$141</f>
        <v>-12919.155055274259</v>
      </c>
      <c r="O219" s="7">
        <f>'gerç aylık-eur'!$F$140</f>
        <v>1087.6417993780603</v>
      </c>
      <c r="P219" s="8"/>
      <c r="Q219" s="7">
        <f>'Bütçe aylık-Eur'!$G$141</f>
        <v>-66606.274379775306</v>
      </c>
      <c r="R219" s="7">
        <f>'gerç aylık-eur'!$G$140</f>
        <v>-92396.686520968244</v>
      </c>
      <c r="S219" s="8"/>
      <c r="T219" s="7">
        <f>'Bütçe aylık-Eur'!$H$141</f>
        <v>53435.849055015577</v>
      </c>
      <c r="U219" s="7">
        <f>'gerç aylık-eur'!$H$140</f>
        <v>112689.07895399866</v>
      </c>
      <c r="V219" s="8"/>
      <c r="W219" s="7">
        <f>'Bütçe aylık-Eur'!$I$141</f>
        <v>91029.34721737224</v>
      </c>
      <c r="X219" s="7">
        <f>'gerç aylık-eur'!$I$140</f>
        <v>70653.380677041088</v>
      </c>
      <c r="Y219" s="8"/>
      <c r="Z219" s="7">
        <f>'Bütçe aylık-Eur'!$J$141</f>
        <v>79570.862272185084</v>
      </c>
      <c r="AA219" s="7">
        <f>'gerç aylık-eur'!$J$140</f>
        <v>266915.08164340857</v>
      </c>
      <c r="AB219" s="8"/>
      <c r="AC219" s="7">
        <f>'Bütçe aylık-Eur'!$K$141</f>
        <v>214942.50146034671</v>
      </c>
      <c r="AD219" s="7">
        <f>'gerç aylık-eur'!$K$140</f>
        <v>0</v>
      </c>
      <c r="AE219" s="8"/>
      <c r="AF219" s="7">
        <f>'Bütçe aylık-Eur'!$L$141</f>
        <v>135215.33972218193</v>
      </c>
      <c r="AG219" s="7">
        <f>'gerç aylık-eur'!$L$140</f>
        <v>0</v>
      </c>
      <c r="AH219" s="8"/>
      <c r="AI219" s="7">
        <f>'Bütçe aylık-Eur'!$M$141</f>
        <v>60821.265708155464</v>
      </c>
      <c r="AJ219" s="7">
        <f>'gerç aylık-eur'!$M$140</f>
        <v>0</v>
      </c>
      <c r="AK219" s="8"/>
      <c r="AL219" s="21">
        <f t="shared" si="100"/>
        <v>187344.21937122347</v>
      </c>
      <c r="AM219" s="22">
        <f t="shared" si="101"/>
        <v>2.3544324394824589</v>
      </c>
      <c r="AO219" s="44">
        <f t="shared" si="102"/>
        <v>79570.862272185084</v>
      </c>
      <c r="AP219" s="44">
        <f t="shared" si="102"/>
        <v>266915.08164340857</v>
      </c>
    </row>
    <row r="220" spans="1:42" ht="15.5">
      <c r="A220" s="26" t="s">
        <v>15</v>
      </c>
      <c r="B220" s="7">
        <f>'Bütçe aylık-Eur'!$B$142</f>
        <v>257409.99335</v>
      </c>
      <c r="C220" s="7">
        <f>'gerç aylık-eur'!$B$141</f>
        <v>612332.98</v>
      </c>
      <c r="D220" s="7"/>
      <c r="E220" s="7">
        <f>'Bütçe aylık-Eur'!$C$142</f>
        <v>771525.72482600005</v>
      </c>
      <c r="F220" s="7">
        <f>'gerç aylık-eur'!$C$141</f>
        <v>996124.26</v>
      </c>
      <c r="G220" s="7"/>
      <c r="H220" s="7">
        <f>'Bütçe aylık-Eur'!$D$142</f>
        <v>1710051.6600340002</v>
      </c>
      <c r="I220" s="7">
        <f>'gerç aylık-eur'!$D$141</f>
        <v>956565.15000000014</v>
      </c>
      <c r="J220" s="7"/>
      <c r="K220" s="7">
        <f>'Bütçe aylık-Eur'!$E$142</f>
        <v>254963.05602699984</v>
      </c>
      <c r="L220" s="7">
        <f>'gerç aylık-eur'!$E$141</f>
        <v>1252231.2799999998</v>
      </c>
      <c r="M220" s="7"/>
      <c r="N220" s="7">
        <f>'Bütçe aylık-Eur'!$F$142</f>
        <v>800994.44341300009</v>
      </c>
      <c r="O220" s="7">
        <f>'gerç aylık-eur'!$F$141</f>
        <v>909195.41999999993</v>
      </c>
      <c r="P220" s="7"/>
      <c r="Q220" s="7">
        <f>'Bütçe aylık-Eur'!$G$142</f>
        <v>1314575.8251059994</v>
      </c>
      <c r="R220" s="7">
        <f>'gerç aylık-eur'!$G$141</f>
        <v>1263058.3500000006</v>
      </c>
      <c r="S220" s="7"/>
      <c r="T220" s="7">
        <f>'Bütçe aylık-Eur'!$H$142</f>
        <v>308816.24304100033</v>
      </c>
      <c r="U220" s="7">
        <f>'gerç aylık-eur'!$H$141</f>
        <v>1268543.5899999999</v>
      </c>
      <c r="V220" s="7"/>
      <c r="W220" s="7">
        <f>'Bütçe aylık-Eur'!$I$142</f>
        <v>23096.133538000286</v>
      </c>
      <c r="X220" s="7">
        <f>'gerç aylık-eur'!$I$141</f>
        <v>296021.27999999933</v>
      </c>
      <c r="Y220" s="7"/>
      <c r="Z220" s="7">
        <f>'Bütçe aylık-Eur'!$J$142</f>
        <v>2064362.5138839998</v>
      </c>
      <c r="AA220" s="7">
        <f>'gerç aylık-eur'!$J$141</f>
        <v>2095448.080000001</v>
      </c>
      <c r="AB220" s="7"/>
      <c r="AC220" s="7">
        <f>'Bütçe aylık-Eur'!$K$142</f>
        <v>1055724.8682340002</v>
      </c>
      <c r="AD220" s="7">
        <f>'gerç aylık-eur'!$K$141</f>
        <v>0</v>
      </c>
      <c r="AE220" s="7"/>
      <c r="AF220" s="7">
        <f>'Bütçe aylık-Eur'!$L$142</f>
        <v>1076510.7752720006</v>
      </c>
      <c r="AG220" s="7">
        <f>'gerç aylık-eur'!$L$141</f>
        <v>0</v>
      </c>
      <c r="AH220" s="7"/>
      <c r="AI220" s="7">
        <f>'Bütçe aylık-Eur'!$M$142</f>
        <v>968927.3362189997</v>
      </c>
      <c r="AJ220" s="7">
        <f>'gerç aylık-eur'!$M$141</f>
        <v>0</v>
      </c>
      <c r="AK220" s="7"/>
      <c r="AL220" s="21">
        <f t="shared" si="100"/>
        <v>31085.566116001224</v>
      </c>
      <c r="AM220" s="22">
        <f t="shared" si="101"/>
        <v>1.5058191527376197E-2</v>
      </c>
      <c r="AO220" s="44">
        <f t="shared" si="102"/>
        <v>2064362.5138839998</v>
      </c>
      <c r="AP220" s="44">
        <f t="shared" si="102"/>
        <v>2095448.080000001</v>
      </c>
    </row>
    <row r="221" spans="1:42" s="1" customFormat="1" ht="15.5">
      <c r="A221" s="26" t="s">
        <v>16</v>
      </c>
      <c r="B221" s="7">
        <f>'Bütçe aylık-Eur'!$B$143</f>
        <v>1319901.600818</v>
      </c>
      <c r="C221" s="7">
        <f>'gerç aylık-eur'!$B$142</f>
        <v>946580.72</v>
      </c>
      <c r="D221" s="8"/>
      <c r="E221" s="7">
        <f>'Bütçe aylık-Eur'!$C$143</f>
        <v>983286.59784299997</v>
      </c>
      <c r="F221" s="7">
        <f>'gerç aylık-eur'!$C$142</f>
        <v>803262.35000000009</v>
      </c>
      <c r="G221" s="8"/>
      <c r="H221" s="7">
        <f>'Bütçe aylık-Eur'!$D$143</f>
        <v>1390881.3979529999</v>
      </c>
      <c r="I221" s="7">
        <f>'gerç aylık-eur'!$D$142</f>
        <v>1531868.82</v>
      </c>
      <c r="J221" s="8"/>
      <c r="K221" s="7">
        <f>'Bütçe aylık-Eur'!$E$143</f>
        <v>1380654.9936489998</v>
      </c>
      <c r="L221" s="7">
        <f>'gerç aylık-eur'!$E$142</f>
        <v>351265.52999999974</v>
      </c>
      <c r="M221" s="8"/>
      <c r="N221" s="7">
        <f>'Bütçe aylık-Eur'!$F$143</f>
        <v>1523453.6966710007</v>
      </c>
      <c r="O221" s="7">
        <f>'gerç aylık-eur'!$F$142</f>
        <v>1481732.9100000001</v>
      </c>
      <c r="P221" s="8"/>
      <c r="Q221" s="7">
        <f>'Bütçe aylık-Eur'!$G$143</f>
        <v>1042312.3234039993</v>
      </c>
      <c r="R221" s="7">
        <f>'gerç aylık-eur'!$G$142</f>
        <v>221310.84999999963</v>
      </c>
      <c r="S221" s="8"/>
      <c r="T221" s="7">
        <f>'Bütçe aylık-Eur'!$H$143</f>
        <v>1012718.8727520006</v>
      </c>
      <c r="U221" s="7">
        <f>'gerç aylık-eur'!$H$142</f>
        <v>2499187.71</v>
      </c>
      <c r="V221" s="8"/>
      <c r="W221" s="7">
        <f>'Bütçe aylık-Eur'!$I$143</f>
        <v>539190.58935699984</v>
      </c>
      <c r="X221" s="7">
        <f>'gerç aylık-eur'!$I$142</f>
        <v>630560.04</v>
      </c>
      <c r="Y221" s="8"/>
      <c r="Z221" s="7">
        <f>'Bütçe aylık-Eur'!$J$143</f>
        <v>1724677.9267829994</v>
      </c>
      <c r="AA221" s="7">
        <f>'gerç aylık-eur'!$J$142</f>
        <v>2585940.5600000005</v>
      </c>
      <c r="AB221" s="8"/>
      <c r="AC221" s="7">
        <f>'Bütçe aylık-Eur'!$K$143</f>
        <v>1592834.7943090014</v>
      </c>
      <c r="AD221" s="7">
        <f>'gerç aylık-eur'!$K$142</f>
        <v>0</v>
      </c>
      <c r="AE221" s="8"/>
      <c r="AF221" s="7">
        <f>'Bütçe aylık-Eur'!$L$143</f>
        <v>1480512.1932469998</v>
      </c>
      <c r="AG221" s="7">
        <f>'gerç aylık-eur'!$L$142</f>
        <v>0</v>
      </c>
      <c r="AH221" s="8"/>
      <c r="AI221" s="7">
        <f>'Bütçe aylık-Eur'!$M$143</f>
        <v>-2654854.3274240009</v>
      </c>
      <c r="AJ221" s="7">
        <f>'gerç aylık-eur'!$M$142</f>
        <v>0</v>
      </c>
      <c r="AK221" s="8"/>
      <c r="AL221" s="21">
        <f t="shared" si="100"/>
        <v>861262.6332170011</v>
      </c>
      <c r="AM221" s="22">
        <f t="shared" si="101"/>
        <v>0.49937592395786834</v>
      </c>
      <c r="AO221" s="44">
        <f t="shared" si="102"/>
        <v>1724677.9267829994</v>
      </c>
      <c r="AP221" s="44">
        <f t="shared" si="102"/>
        <v>2585940.5600000005</v>
      </c>
    </row>
    <row r="222" spans="1:42" s="1" customFormat="1" ht="15.5">
      <c r="A222" s="26" t="s">
        <v>17</v>
      </c>
      <c r="B222" s="7">
        <f>'Bütçe aylık-Eur'!$B$144</f>
        <v>2165136.1478889999</v>
      </c>
      <c r="C222" s="7">
        <f>'gerç aylık-eur'!$B$143</f>
        <v>1471127.33</v>
      </c>
      <c r="D222" s="8"/>
      <c r="E222" s="7">
        <f>'Bütçe aylık-Eur'!$C$144</f>
        <v>1827908.7297990001</v>
      </c>
      <c r="F222" s="7">
        <f>'gerç aylık-eur'!$C$143</f>
        <v>301169.06999999983</v>
      </c>
      <c r="G222" s="8"/>
      <c r="H222" s="7">
        <f>'Bütçe aylık-Eur'!$D$144</f>
        <v>2574593.7764609996</v>
      </c>
      <c r="I222" s="7">
        <f>'gerç aylık-eur'!$D$143</f>
        <v>943536.44</v>
      </c>
      <c r="J222" s="8"/>
      <c r="K222" s="7">
        <f>'Bütçe aylık-Eur'!$E$144</f>
        <v>1123341.4361390006</v>
      </c>
      <c r="L222" s="7">
        <f>'gerç aylık-eur'!$E$143</f>
        <v>550816.41999999993</v>
      </c>
      <c r="M222" s="8"/>
      <c r="N222" s="7">
        <f>'Bütçe aylık-Eur'!$F$144</f>
        <v>2154942.6504170001</v>
      </c>
      <c r="O222" s="7">
        <f>'gerç aylık-eur'!$F$143</f>
        <v>2126549.91</v>
      </c>
      <c r="P222" s="8"/>
      <c r="Q222" s="7">
        <f>'Bütçe aylık-Eur'!$G$144</f>
        <v>2143989.747304</v>
      </c>
      <c r="R222" s="7">
        <f>'gerç aylık-eur'!$G$143</f>
        <v>1307288.2000000002</v>
      </c>
      <c r="S222" s="8"/>
      <c r="T222" s="7">
        <f>'Bütçe aylık-Eur'!$H$144</f>
        <v>2297580.0445060004</v>
      </c>
      <c r="U222" s="7">
        <f>'gerç aylık-eur'!$H$143</f>
        <v>1900778.0300000003</v>
      </c>
      <c r="V222" s="8"/>
      <c r="W222" s="7">
        <f>'Bütçe aylık-Eur'!$I$144</f>
        <v>495867.43851899914</v>
      </c>
      <c r="X222" s="7">
        <f>'gerç aylık-eur'!$I$143</f>
        <v>875448.98000000045</v>
      </c>
      <c r="Y222" s="8"/>
      <c r="Z222" s="7">
        <f>'Bütçe aylık-Eur'!$J$144</f>
        <v>3852997.8781130002</v>
      </c>
      <c r="AA222" s="7">
        <f>'gerç aylık-eur'!$J$143</f>
        <v>3300929.7600000002</v>
      </c>
      <c r="AB222" s="8"/>
      <c r="AC222" s="7">
        <f>'Bütçe aylık-Eur'!$K$144</f>
        <v>2383361.8927550018</v>
      </c>
      <c r="AD222" s="7">
        <f>'gerç aylık-eur'!$K$143</f>
        <v>0</v>
      </c>
      <c r="AE222" s="8"/>
      <c r="AF222" s="7">
        <f>'Bütçe aylık-Eur'!$L$144</f>
        <v>2426336.8143999986</v>
      </c>
      <c r="AG222" s="7">
        <f>'gerç aylık-eur'!$L$143</f>
        <v>0</v>
      </c>
      <c r="AH222" s="8"/>
      <c r="AI222" s="7">
        <f>'Bütçe aylık-Eur'!$M$144</f>
        <v>2262029.1373509988</v>
      </c>
      <c r="AJ222" s="7">
        <f>'gerç aylık-eur'!$M$143</f>
        <v>0</v>
      </c>
      <c r="AK222" s="8"/>
      <c r="AL222" s="21">
        <f t="shared" si="100"/>
        <v>-552068.11811299995</v>
      </c>
      <c r="AM222" s="22">
        <f t="shared" si="101"/>
        <v>-0.14328274646841344</v>
      </c>
      <c r="AO222" s="44">
        <f t="shared" si="102"/>
        <v>3852997.8781130002</v>
      </c>
      <c r="AP222" s="44">
        <f t="shared" si="102"/>
        <v>3300929.7600000002</v>
      </c>
    </row>
    <row r="223" spans="1:42" s="1" customFormat="1" ht="15.5">
      <c r="A223" s="26"/>
      <c r="B223" s="7"/>
      <c r="C223" s="8"/>
      <c r="D223" s="8"/>
      <c r="E223" s="7"/>
      <c r="F223" s="8"/>
      <c r="G223" s="8"/>
      <c r="H223" s="7"/>
      <c r="I223" s="8"/>
      <c r="J223" s="8"/>
      <c r="K223" s="7"/>
      <c r="L223" s="8"/>
      <c r="M223" s="8"/>
      <c r="N223" s="7"/>
      <c r="O223" s="8"/>
      <c r="P223" s="8"/>
      <c r="Q223" s="7"/>
      <c r="R223" s="8"/>
      <c r="S223" s="8"/>
      <c r="T223" s="7"/>
      <c r="U223" s="8"/>
      <c r="V223" s="8"/>
      <c r="W223" s="7"/>
      <c r="X223" s="8"/>
      <c r="Y223" s="8"/>
      <c r="Z223" s="7"/>
      <c r="AA223" s="8"/>
      <c r="AB223" s="8"/>
      <c r="AC223" s="7"/>
      <c r="AD223" s="8"/>
      <c r="AE223" s="8"/>
      <c r="AF223" s="7"/>
      <c r="AG223" s="8"/>
      <c r="AH223" s="8"/>
      <c r="AI223" s="7"/>
      <c r="AJ223" s="8"/>
      <c r="AK223" s="8"/>
      <c r="AL223" s="15"/>
      <c r="AM223" s="16"/>
      <c r="AO223" s="44"/>
      <c r="AP223" s="44"/>
    </row>
    <row r="224" spans="1:42" s="1" customFormat="1" ht="15.5">
      <c r="A224" s="26"/>
      <c r="B224" s="7"/>
      <c r="C224" s="8"/>
      <c r="D224" s="8"/>
      <c r="E224" s="7"/>
      <c r="F224" s="8"/>
      <c r="G224" s="8"/>
      <c r="H224" s="7"/>
      <c r="I224" s="8"/>
      <c r="J224" s="8"/>
      <c r="K224" s="7"/>
      <c r="L224" s="8"/>
      <c r="M224" s="8"/>
      <c r="N224" s="7"/>
      <c r="O224" s="8"/>
      <c r="P224" s="8"/>
      <c r="Q224" s="7"/>
      <c r="R224" s="8"/>
      <c r="S224" s="8"/>
      <c r="T224" s="7"/>
      <c r="U224" s="8"/>
      <c r="V224" s="8"/>
      <c r="W224" s="7"/>
      <c r="X224" s="8"/>
      <c r="Y224" s="8"/>
      <c r="Z224" s="7"/>
      <c r="AA224" s="8"/>
      <c r="AB224" s="8"/>
      <c r="AC224" s="7"/>
      <c r="AD224" s="8"/>
      <c r="AE224" s="8"/>
      <c r="AF224" s="7"/>
      <c r="AG224" s="8"/>
      <c r="AH224" s="8"/>
      <c r="AI224" s="7"/>
      <c r="AJ224" s="8"/>
      <c r="AK224" s="8"/>
      <c r="AL224" s="15"/>
      <c r="AM224" s="16"/>
      <c r="AO224" s="44"/>
      <c r="AP224" s="44"/>
    </row>
    <row r="225" spans="1:42" s="49" customFormat="1" ht="17">
      <c r="A225" s="47" t="s">
        <v>25</v>
      </c>
      <c r="B225" s="413"/>
      <c r="C225" s="413"/>
      <c r="D225" s="413"/>
      <c r="E225" s="413"/>
      <c r="F225" s="413"/>
      <c r="G225" s="413"/>
      <c r="H225" s="413"/>
      <c r="I225" s="413"/>
      <c r="J225" s="413"/>
      <c r="K225" s="413"/>
      <c r="L225" s="413"/>
      <c r="M225" s="413"/>
      <c r="N225" s="413"/>
      <c r="O225" s="413"/>
      <c r="P225" s="413"/>
      <c r="Q225" s="413"/>
      <c r="R225" s="413"/>
      <c r="S225" s="413"/>
      <c r="T225" s="413"/>
      <c r="U225" s="413"/>
      <c r="V225" s="413"/>
      <c r="W225" s="413"/>
      <c r="X225" s="413"/>
      <c r="Y225" s="413"/>
      <c r="Z225" s="413"/>
      <c r="AA225" s="413"/>
      <c r="AB225" s="413"/>
      <c r="AC225" s="413"/>
      <c r="AD225" s="413"/>
      <c r="AE225" s="413"/>
      <c r="AF225" s="413"/>
      <c r="AG225" s="413"/>
      <c r="AH225" s="413"/>
      <c r="AI225" s="413"/>
      <c r="AJ225" s="413"/>
      <c r="AK225" s="413"/>
      <c r="AL225" s="413"/>
      <c r="AM225" s="48"/>
    </row>
    <row r="226" spans="1:42" ht="15.5">
      <c r="A226" s="26" t="s">
        <v>10</v>
      </c>
      <c r="B226" s="5">
        <f>B215/B9</f>
        <v>0.36281274864120405</v>
      </c>
      <c r="C226" s="5">
        <f>C215/C9</f>
        <v>0.18132867549462708</v>
      </c>
      <c r="D226" s="7"/>
      <c r="E226" s="5">
        <f t="shared" ref="E226:F233" si="103">E215/E9</f>
        <v>0.2975316780754354</v>
      </c>
      <c r="F226" s="5">
        <f t="shared" si="103"/>
        <v>0.47659481362789508</v>
      </c>
      <c r="G226" s="7"/>
      <c r="H226" s="5">
        <f t="shared" ref="H226:I233" si="104">H215/H9</f>
        <v>0.25465480480316016</v>
      </c>
      <c r="I226" s="5">
        <f t="shared" si="104"/>
        <v>0.78311105344929888</v>
      </c>
      <c r="J226" s="7"/>
      <c r="K226" s="5">
        <f t="shared" ref="K226:L233" si="105">K215/K9</f>
        <v>0.28409354168297973</v>
      </c>
      <c r="L226" s="5">
        <f t="shared" si="105"/>
        <v>0.54715065470869095</v>
      </c>
      <c r="M226" s="7"/>
      <c r="N226" s="5">
        <f t="shared" ref="N226:O233" si="106">N215/N9</f>
        <v>0.2859341269151211</v>
      </c>
      <c r="O226" s="5">
        <f t="shared" si="106"/>
        <v>0.30228595377619183</v>
      </c>
      <c r="P226" s="7"/>
      <c r="Q226" s="5">
        <f t="shared" ref="Q226:R233" si="107">Q215/Q9</f>
        <v>0.31507310155045415</v>
      </c>
      <c r="R226" s="5">
        <f t="shared" si="107"/>
        <v>0.27145453752849136</v>
      </c>
      <c r="S226" s="7"/>
      <c r="T226" s="5">
        <f t="shared" ref="T226:U233" si="108">T215/T9</f>
        <v>0.32976879099767087</v>
      </c>
      <c r="U226" s="5">
        <f t="shared" si="108"/>
        <v>0.23987932515733021</v>
      </c>
      <c r="V226" s="7"/>
      <c r="W226" s="5">
        <f t="shared" ref="W226:X233" si="109">W215/W9</f>
        <v>0.29586724404420689</v>
      </c>
      <c r="X226" s="5">
        <f t="shared" si="109"/>
        <v>0.36201177524489497</v>
      </c>
      <c r="Y226" s="7"/>
      <c r="Z226" s="5">
        <f t="shared" ref="Z226:AA233" si="110">Z215/Z9</f>
        <v>0.37737378603300914</v>
      </c>
      <c r="AA226" s="5">
        <f t="shared" si="110"/>
        <v>0.48006002439171325</v>
      </c>
      <c r="AB226" s="7"/>
      <c r="AC226" s="5">
        <f t="shared" ref="AC226:AD233" si="111">AC215/AC9</f>
        <v>0.3456946395976479</v>
      </c>
      <c r="AD226" s="5" t="e">
        <f t="shared" si="111"/>
        <v>#DIV/0!</v>
      </c>
      <c r="AE226" s="7"/>
      <c r="AF226" s="5">
        <f t="shared" ref="AF226:AG233" si="112">AF215/AF9</f>
        <v>0.32132068621921661</v>
      </c>
      <c r="AG226" s="5" t="e">
        <f t="shared" si="112"/>
        <v>#DIV/0!</v>
      </c>
      <c r="AH226" s="7"/>
      <c r="AI226" s="5">
        <f t="shared" ref="AI226:AJ233" si="113">AI215/AI9</f>
        <v>-0.19886560141305351</v>
      </c>
      <c r="AJ226" s="5" t="e">
        <f t="shared" si="113"/>
        <v>#DIV/0!</v>
      </c>
      <c r="AK226" s="7"/>
      <c r="AL226" s="21"/>
      <c r="AM226" s="22">
        <f>AP226-AO226</f>
        <v>0.10268623835870411</v>
      </c>
      <c r="AO226" s="44">
        <f t="shared" ref="AO226:AP233" si="114">IF($A$1=$B$1,B226,IF($A$1=$E$1,E226,IF($A$1=$H$1,H226,IF($A$1=$K$1,K226,IF($A$1=$N$1,N226,IF($A$1=$Q$1,Q226,IF($A$1=$T$1,T226,IF($A$1=$W$1,W226,IF($A$1=$Z$1,Z226,IF($A$1=$AC$1,AC226,IF($A$1=$AF$1,AF226,IF($A$1=$AI$1,AI226))))))))))))</f>
        <v>0.37737378603300914</v>
      </c>
      <c r="AP226" s="44">
        <f t="shared" si="114"/>
        <v>0.48006002439171325</v>
      </c>
    </row>
    <row r="227" spans="1:42" ht="15.5">
      <c r="A227" s="26" t="s">
        <v>11</v>
      </c>
      <c r="B227" s="5">
        <f t="shared" ref="B227:C233" si="115">B216/B10</f>
        <v>-3.5400113116245038E-2</v>
      </c>
      <c r="C227" s="5">
        <f t="shared" si="115"/>
        <v>-7.8709863596322052E-2</v>
      </c>
      <c r="D227" s="7"/>
      <c r="E227" s="5">
        <f t="shared" si="103"/>
        <v>6.4511084995448248E-2</v>
      </c>
      <c r="F227" s="5">
        <f t="shared" si="103"/>
        <v>-1.1409649199455606E-2</v>
      </c>
      <c r="G227" s="7"/>
      <c r="H227" s="5">
        <f t="shared" si="104"/>
        <v>7.9186039766937194E-2</v>
      </c>
      <c r="I227" s="5">
        <f t="shared" si="104"/>
        <v>-8.7639821492396575E-2</v>
      </c>
      <c r="J227" s="7"/>
      <c r="K227" s="5">
        <f t="shared" si="105"/>
        <v>0.12472988577449734</v>
      </c>
      <c r="L227" s="5">
        <f t="shared" si="105"/>
        <v>0.16935072204429824</v>
      </c>
      <c r="M227" s="7"/>
      <c r="N227" s="5">
        <f t="shared" si="106"/>
        <v>0.16609449689462974</v>
      </c>
      <c r="O227" s="5">
        <f t="shared" si="106"/>
        <v>-0.16015873861151209</v>
      </c>
      <c r="P227" s="7"/>
      <c r="Q227" s="5">
        <f t="shared" si="107"/>
        <v>0.14759872905385882</v>
      </c>
      <c r="R227" s="5">
        <f t="shared" si="107"/>
        <v>-0.62779063455049022</v>
      </c>
      <c r="S227" s="7"/>
      <c r="T227" s="5">
        <f t="shared" si="108"/>
        <v>0.13274972114977512</v>
      </c>
      <c r="U227" s="5">
        <f t="shared" si="108"/>
        <v>-7.265105073473635E-2</v>
      </c>
      <c r="V227" s="7"/>
      <c r="W227" s="5">
        <f t="shared" si="109"/>
        <v>3.8790202417802913E-2</v>
      </c>
      <c r="X227" s="5">
        <f t="shared" si="109"/>
        <v>-0.3735308108283335</v>
      </c>
      <c r="Y227" s="7"/>
      <c r="Z227" s="5">
        <f t="shared" si="110"/>
        <v>7.3377599185889514E-2</v>
      </c>
      <c r="AA227" s="5">
        <f t="shared" si="110"/>
        <v>-0.45200012674834195</v>
      </c>
      <c r="AB227" s="7"/>
      <c r="AC227" s="5">
        <f t="shared" si="111"/>
        <v>2.3076020166128388E-2</v>
      </c>
      <c r="AD227" s="5" t="e">
        <f t="shared" si="111"/>
        <v>#DIV/0!</v>
      </c>
      <c r="AE227" s="7"/>
      <c r="AF227" s="5">
        <f t="shared" si="112"/>
        <v>-1.955418597812892E-2</v>
      </c>
      <c r="AG227" s="5" t="e">
        <f t="shared" si="112"/>
        <v>#DIV/0!</v>
      </c>
      <c r="AH227" s="7"/>
      <c r="AI227" s="5">
        <f t="shared" si="113"/>
        <v>-9.304226423956774E-2</v>
      </c>
      <c r="AJ227" s="5" t="e">
        <f t="shared" si="113"/>
        <v>#DIV/0!</v>
      </c>
      <c r="AK227" s="7"/>
      <c r="AL227" s="21"/>
      <c r="AM227" s="22">
        <f t="shared" ref="AM227:AM233" si="116">AP227-AO227</f>
        <v>-0.52537772593423149</v>
      </c>
      <c r="AO227" s="44">
        <f t="shared" si="114"/>
        <v>7.3377599185889514E-2</v>
      </c>
      <c r="AP227" s="44">
        <f t="shared" si="114"/>
        <v>-0.45200012674834195</v>
      </c>
    </row>
    <row r="228" spans="1:42" ht="15.5">
      <c r="A228" s="26" t="s">
        <v>12</v>
      </c>
      <c r="B228" s="5">
        <f t="shared" si="115"/>
        <v>-9.4184174568694934E-2</v>
      </c>
      <c r="C228" s="5">
        <f t="shared" si="115"/>
        <v>1.2445246733022452E-3</v>
      </c>
      <c r="D228" s="7"/>
      <c r="E228" s="5">
        <f t="shared" si="103"/>
        <v>-5.3898550878818556E-2</v>
      </c>
      <c r="F228" s="5">
        <f t="shared" si="103"/>
        <v>2.0448260911345257E-3</v>
      </c>
      <c r="G228" s="7"/>
      <c r="H228" s="5">
        <f t="shared" si="104"/>
        <v>1.3776006980536376E-3</v>
      </c>
      <c r="I228" s="5">
        <f t="shared" si="104"/>
        <v>-1.8835958158096515E-2</v>
      </c>
      <c r="J228" s="7"/>
      <c r="K228" s="5">
        <f t="shared" si="105"/>
        <v>-2.1467439143745912E-3</v>
      </c>
      <c r="L228" s="5">
        <f t="shared" si="105"/>
        <v>-1.296353397537863E-2</v>
      </c>
      <c r="M228" s="7"/>
      <c r="N228" s="5">
        <f t="shared" si="106"/>
        <v>2.955296742365307E-2</v>
      </c>
      <c r="O228" s="5">
        <f t="shared" si="106"/>
        <v>1.4034888593153319E-2</v>
      </c>
      <c r="P228" s="7"/>
      <c r="Q228" s="5">
        <f t="shared" si="107"/>
        <v>2.9251668980615913E-2</v>
      </c>
      <c r="R228" s="5">
        <f t="shared" si="107"/>
        <v>-3.2683217686579925E-2</v>
      </c>
      <c r="S228" s="7"/>
      <c r="T228" s="5">
        <f t="shared" si="108"/>
        <v>3.4026888518681457E-2</v>
      </c>
      <c r="U228" s="5">
        <f t="shared" si="108"/>
        <v>-3.9319939704017787E-2</v>
      </c>
      <c r="V228" s="7"/>
      <c r="W228" s="5">
        <f t="shared" si="109"/>
        <v>2.6791285635076663E-2</v>
      </c>
      <c r="X228" s="5">
        <f t="shared" si="109"/>
        <v>-3.4660598883234257E-2</v>
      </c>
      <c r="Y228" s="7"/>
      <c r="Z228" s="5">
        <f t="shared" si="110"/>
        <v>1.736327407901498E-2</v>
      </c>
      <c r="AA228" s="5">
        <f t="shared" si="110"/>
        <v>3.0519232392397792E-2</v>
      </c>
      <c r="AB228" s="7"/>
      <c r="AC228" s="5">
        <f t="shared" si="111"/>
        <v>2.735070441058875E-2</v>
      </c>
      <c r="AD228" s="5" t="e">
        <f t="shared" si="111"/>
        <v>#DIV/0!</v>
      </c>
      <c r="AE228" s="7"/>
      <c r="AF228" s="5">
        <f t="shared" si="112"/>
        <v>3.1142760942834961E-2</v>
      </c>
      <c r="AG228" s="5" t="e">
        <f t="shared" si="112"/>
        <v>#DIV/0!</v>
      </c>
      <c r="AH228" s="7"/>
      <c r="AI228" s="5">
        <f t="shared" si="113"/>
        <v>1.5852730936888938E-3</v>
      </c>
      <c r="AJ228" s="5" t="e">
        <f t="shared" si="113"/>
        <v>#DIV/0!</v>
      </c>
      <c r="AK228" s="7"/>
      <c r="AL228" s="21"/>
      <c r="AM228" s="22">
        <f t="shared" si="116"/>
        <v>1.3155958313382812E-2</v>
      </c>
      <c r="AO228" s="44">
        <f t="shared" si="114"/>
        <v>1.736327407901498E-2</v>
      </c>
      <c r="AP228" s="44">
        <f t="shared" si="114"/>
        <v>3.0519232392397792E-2</v>
      </c>
    </row>
    <row r="229" spans="1:42" ht="15.5">
      <c r="A229" s="26" t="s">
        <v>13</v>
      </c>
      <c r="B229" s="5">
        <f t="shared" si="115"/>
        <v>-2.7590746951888862E-2</v>
      </c>
      <c r="C229" s="5">
        <f t="shared" si="115"/>
        <v>-7.5962270226340958E-2</v>
      </c>
      <c r="D229" s="7"/>
      <c r="E229" s="5">
        <f t="shared" si="103"/>
        <v>-5.8167879539302213E-2</v>
      </c>
      <c r="F229" s="5">
        <f t="shared" si="103"/>
        <v>-0.11846554306961511</v>
      </c>
      <c r="G229" s="7"/>
      <c r="H229" s="5">
        <f t="shared" si="104"/>
        <v>-4.6329290466800815E-2</v>
      </c>
      <c r="I229" s="5">
        <f t="shared" si="104"/>
        <v>-0.33063681708432224</v>
      </c>
      <c r="J229" s="7"/>
      <c r="K229" s="5">
        <f t="shared" si="105"/>
        <v>-7.5489929150859655E-2</v>
      </c>
      <c r="L229" s="5">
        <f t="shared" si="105"/>
        <v>-0.39012978120592967</v>
      </c>
      <c r="M229" s="7"/>
      <c r="N229" s="5">
        <f t="shared" si="106"/>
        <v>-2.3958992987482435E-2</v>
      </c>
      <c r="O229" s="5">
        <f t="shared" si="106"/>
        <v>-0.20686888416238042</v>
      </c>
      <c r="P229" s="7"/>
      <c r="Q229" s="5">
        <f t="shared" si="107"/>
        <v>-2.0202556710150884E-3</v>
      </c>
      <c r="R229" s="5">
        <f t="shared" si="107"/>
        <v>-0.35398252851508927</v>
      </c>
      <c r="S229" s="7"/>
      <c r="T229" s="5">
        <f t="shared" si="108"/>
        <v>-7.2318718247357215E-3</v>
      </c>
      <c r="U229" s="5">
        <f t="shared" si="108"/>
        <v>-0.20141457799364668</v>
      </c>
      <c r="V229" s="7"/>
      <c r="W229" s="5">
        <f t="shared" si="109"/>
        <v>-7.8840690671055176E-4</v>
      </c>
      <c r="X229" s="5">
        <f t="shared" si="109"/>
        <v>-0.13578345497872413</v>
      </c>
      <c r="Y229" s="7"/>
      <c r="Z229" s="5">
        <f t="shared" si="110"/>
        <v>1.8014520639891535E-2</v>
      </c>
      <c r="AA229" s="5">
        <f t="shared" si="110"/>
        <v>-0.22980864628371159</v>
      </c>
      <c r="AB229" s="7"/>
      <c r="AC229" s="5">
        <f t="shared" si="111"/>
        <v>4.7888725565224423E-2</v>
      </c>
      <c r="AD229" s="5" t="e">
        <f t="shared" si="111"/>
        <v>#DIV/0!</v>
      </c>
      <c r="AE229" s="7"/>
      <c r="AF229" s="5">
        <f t="shared" si="112"/>
        <v>5.6434299485903193E-2</v>
      </c>
      <c r="AG229" s="5" t="e">
        <f t="shared" si="112"/>
        <v>#DIV/0!</v>
      </c>
      <c r="AH229" s="7"/>
      <c r="AI229" s="5">
        <f t="shared" si="113"/>
        <v>8.0340410720972491E-2</v>
      </c>
      <c r="AJ229" s="5" t="e">
        <f t="shared" si="113"/>
        <v>#DIV/0!</v>
      </c>
      <c r="AK229" s="7"/>
      <c r="AL229" s="21"/>
      <c r="AM229" s="22">
        <f t="shared" si="116"/>
        <v>-0.24782316692360312</v>
      </c>
      <c r="AO229" s="44">
        <f t="shared" si="114"/>
        <v>1.8014520639891535E-2</v>
      </c>
      <c r="AP229" s="44">
        <f t="shared" si="114"/>
        <v>-0.22980864628371159</v>
      </c>
    </row>
    <row r="230" spans="1:42" s="1" customFormat="1" ht="15.5">
      <c r="A230" s="26" t="s">
        <v>14</v>
      </c>
      <c r="B230" s="5">
        <f t="shared" si="115"/>
        <v>3.4722475289825146E-2</v>
      </c>
      <c r="C230" s="5">
        <f t="shared" si="115"/>
        <v>4.1981375898470868E-2</v>
      </c>
      <c r="D230" s="8"/>
      <c r="E230" s="5">
        <f t="shared" si="103"/>
        <v>3.8576170687699696E-2</v>
      </c>
      <c r="F230" s="5">
        <f t="shared" si="103"/>
        <v>3.8914107209811644E-2</v>
      </c>
      <c r="G230" s="8"/>
      <c r="H230" s="5">
        <f t="shared" si="104"/>
        <v>3.5703673686540552E-2</v>
      </c>
      <c r="I230" s="5">
        <f t="shared" si="104"/>
        <v>7.9724880170297815E-2</v>
      </c>
      <c r="J230" s="8"/>
      <c r="K230" s="5">
        <f t="shared" si="105"/>
        <v>-2.6346947255228372E-2</v>
      </c>
      <c r="L230" s="5">
        <f t="shared" si="105"/>
        <v>-1.6845962722363595E-2</v>
      </c>
      <c r="M230" s="8"/>
      <c r="N230" s="5">
        <f t="shared" si="106"/>
        <v>-1.8723596864016578E-3</v>
      </c>
      <c r="O230" s="5">
        <f t="shared" si="106"/>
        <v>1.9345257316737981E-4</v>
      </c>
      <c r="P230" s="8"/>
      <c r="Q230" s="5">
        <f t="shared" si="107"/>
        <v>-1.1787905353693711E-2</v>
      </c>
      <c r="R230" s="5">
        <f t="shared" si="107"/>
        <v>-2.1121186108904396E-2</v>
      </c>
      <c r="S230" s="8"/>
      <c r="T230" s="5">
        <f t="shared" si="108"/>
        <v>7.7615476294231748E-3</v>
      </c>
      <c r="U230" s="5">
        <f t="shared" si="108"/>
        <v>2.1276750712737758E-2</v>
      </c>
      <c r="V230" s="8"/>
      <c r="W230" s="5">
        <f t="shared" si="109"/>
        <v>1.5038109491848941E-2</v>
      </c>
      <c r="X230" s="5">
        <f t="shared" si="109"/>
        <v>1.5454021293606708E-2</v>
      </c>
      <c r="Y230" s="8"/>
      <c r="Z230" s="5">
        <f t="shared" si="110"/>
        <v>1.335478955368675E-2</v>
      </c>
      <c r="AA230" s="5">
        <f t="shared" si="110"/>
        <v>4.9395371581763277E-2</v>
      </c>
      <c r="AB230" s="8"/>
      <c r="AC230" s="5">
        <f t="shared" si="111"/>
        <v>2.8221096030122312E-2</v>
      </c>
      <c r="AD230" s="5" t="e">
        <f t="shared" si="111"/>
        <v>#DIV/0!</v>
      </c>
      <c r="AE230" s="8"/>
      <c r="AF230" s="5">
        <f t="shared" si="112"/>
        <v>2.1198596148354031E-2</v>
      </c>
      <c r="AG230" s="5" t="e">
        <f t="shared" si="112"/>
        <v>#DIV/0!</v>
      </c>
      <c r="AH230" s="8"/>
      <c r="AI230" s="5">
        <f t="shared" si="113"/>
        <v>9.6619781799696606E-3</v>
      </c>
      <c r="AJ230" s="5" t="e">
        <f t="shared" si="113"/>
        <v>#DIV/0!</v>
      </c>
      <c r="AK230" s="8"/>
      <c r="AL230" s="15"/>
      <c r="AM230" s="22">
        <f t="shared" si="116"/>
        <v>3.6040582028076529E-2</v>
      </c>
      <c r="AO230" s="44">
        <f t="shared" si="114"/>
        <v>1.335478955368675E-2</v>
      </c>
      <c r="AP230" s="44">
        <f t="shared" si="114"/>
        <v>4.9395371581763277E-2</v>
      </c>
    </row>
    <row r="231" spans="1:42" ht="15.5">
      <c r="A231" s="26" t="s">
        <v>15</v>
      </c>
      <c r="B231" s="5">
        <f t="shared" si="115"/>
        <v>2.5616010291613828E-2</v>
      </c>
      <c r="C231" s="5">
        <f t="shared" si="115"/>
        <v>5.2762217914526913E-2</v>
      </c>
      <c r="D231" s="7"/>
      <c r="E231" s="5">
        <f t="shared" si="103"/>
        <v>7.1257578715379577E-2</v>
      </c>
      <c r="F231" s="5">
        <f t="shared" si="103"/>
        <v>8.6295833488176474E-2</v>
      </c>
      <c r="G231" s="7"/>
      <c r="H231" s="5">
        <f t="shared" si="104"/>
        <v>0.13581474187532183</v>
      </c>
      <c r="I231" s="5">
        <f t="shared" si="104"/>
        <v>7.699879109345123E-2</v>
      </c>
      <c r="J231" s="7"/>
      <c r="K231" s="5">
        <f t="shared" si="105"/>
        <v>2.3321664843264651E-2</v>
      </c>
      <c r="L231" s="5">
        <f t="shared" si="105"/>
        <v>0.10354842594720341</v>
      </c>
      <c r="M231" s="7"/>
      <c r="N231" s="5">
        <f t="shared" si="106"/>
        <v>6.8596116632413162E-2</v>
      </c>
      <c r="O231" s="5">
        <f t="shared" si="106"/>
        <v>7.1827195864977558E-2</v>
      </c>
      <c r="P231" s="7"/>
      <c r="Q231" s="5">
        <f t="shared" si="107"/>
        <v>0.11104620459597388</v>
      </c>
      <c r="R231" s="5">
        <f t="shared" si="107"/>
        <v>0.10123017456244165</v>
      </c>
      <c r="S231" s="7"/>
      <c r="T231" s="5">
        <f t="shared" si="108"/>
        <v>3.2809890756034597E-2</v>
      </c>
      <c r="U231" s="5">
        <f t="shared" si="108"/>
        <v>0.11777641443870472</v>
      </c>
      <c r="V231" s="7"/>
      <c r="W231" s="5">
        <f t="shared" si="109"/>
        <v>2.4557689726452726E-3</v>
      </c>
      <c r="X231" s="5">
        <f t="shared" si="109"/>
        <v>3.09496860264535E-2</v>
      </c>
      <c r="Y231" s="7"/>
      <c r="Z231" s="5">
        <f t="shared" si="110"/>
        <v>0.14898893600957472</v>
      </c>
      <c r="AA231" s="5">
        <f t="shared" si="110"/>
        <v>0.17735972019091428</v>
      </c>
      <c r="AB231" s="7"/>
      <c r="AC231" s="5">
        <f t="shared" si="111"/>
        <v>8.799394624950857E-2</v>
      </c>
      <c r="AD231" s="5" t="e">
        <f t="shared" si="111"/>
        <v>#DIV/0!</v>
      </c>
      <c r="AE231" s="7"/>
      <c r="AF231" s="5">
        <f t="shared" si="112"/>
        <v>9.4197713768138361E-2</v>
      </c>
      <c r="AG231" s="5" t="e">
        <f t="shared" si="112"/>
        <v>#DIV/0!</v>
      </c>
      <c r="AH231" s="7"/>
      <c r="AI231" s="5">
        <f t="shared" si="113"/>
        <v>9.7026325750171297E-2</v>
      </c>
      <c r="AJ231" s="5" t="e">
        <f t="shared" si="113"/>
        <v>#DIV/0!</v>
      </c>
      <c r="AK231" s="7"/>
      <c r="AL231" s="21"/>
      <c r="AM231" s="22">
        <f t="shared" si="116"/>
        <v>2.8370784181339564E-2</v>
      </c>
      <c r="AO231" s="44">
        <f t="shared" si="114"/>
        <v>0.14898893600957472</v>
      </c>
      <c r="AP231" s="44">
        <f t="shared" si="114"/>
        <v>0.17735972019091428</v>
      </c>
    </row>
    <row r="232" spans="1:42" s="1" customFormat="1" ht="15.5">
      <c r="A232" s="26" t="s">
        <v>16</v>
      </c>
      <c r="B232" s="5">
        <f t="shared" si="115"/>
        <v>0.17418445939146909</v>
      </c>
      <c r="C232" s="5">
        <f t="shared" si="115"/>
        <v>0.12088297713145424</v>
      </c>
      <c r="D232" s="8"/>
      <c r="E232" s="5">
        <f t="shared" si="103"/>
        <v>0.1611135200584459</v>
      </c>
      <c r="F232" s="5">
        <f t="shared" si="103"/>
        <v>9.1981915794025926E-2</v>
      </c>
      <c r="G232" s="8"/>
      <c r="H232" s="5">
        <f t="shared" si="104"/>
        <v>0.17422885296052773</v>
      </c>
      <c r="I232" s="5">
        <f t="shared" si="104"/>
        <v>0.17116940475965997</v>
      </c>
      <c r="J232" s="8"/>
      <c r="K232" s="5">
        <f t="shared" si="105"/>
        <v>0.1726950438535422</v>
      </c>
      <c r="L232" s="5">
        <f t="shared" si="105"/>
        <v>4.0023689923254745E-2</v>
      </c>
      <c r="M232" s="8"/>
      <c r="N232" s="5">
        <f t="shared" si="106"/>
        <v>0.19344153725319543</v>
      </c>
      <c r="O232" s="5">
        <f t="shared" si="106"/>
        <v>0.18307316317728994</v>
      </c>
      <c r="P232" s="8"/>
      <c r="Q232" s="5">
        <f t="shared" si="107"/>
        <v>0.15019140086615973</v>
      </c>
      <c r="R232" s="5">
        <f t="shared" si="107"/>
        <v>3.0554340179997891E-2</v>
      </c>
      <c r="S232" s="8"/>
      <c r="T232" s="5">
        <f t="shared" si="108"/>
        <v>0.15466995458076141</v>
      </c>
      <c r="U232" s="5">
        <f t="shared" si="108"/>
        <v>0.31055518827441231</v>
      </c>
      <c r="V232" s="8"/>
      <c r="W232" s="5">
        <f t="shared" si="109"/>
        <v>9.184346023717696E-2</v>
      </c>
      <c r="X232" s="5">
        <f t="shared" si="109"/>
        <v>9.7417339289429278E-2</v>
      </c>
      <c r="Y232" s="8"/>
      <c r="Z232" s="5">
        <f t="shared" si="110"/>
        <v>0.20794611942262697</v>
      </c>
      <c r="AA232" s="5">
        <f t="shared" si="110"/>
        <v>0.26966751201379968</v>
      </c>
      <c r="AB232" s="8"/>
      <c r="AC232" s="5">
        <f t="shared" si="111"/>
        <v>0.20271843646674451</v>
      </c>
      <c r="AD232" s="5" t="e">
        <f t="shared" si="111"/>
        <v>#DIV/0!</v>
      </c>
      <c r="AE232" s="8"/>
      <c r="AF232" s="5">
        <f t="shared" si="112"/>
        <v>0.20314211242171901</v>
      </c>
      <c r="AG232" s="5" t="e">
        <f t="shared" si="112"/>
        <v>#DIV/0!</v>
      </c>
      <c r="AH232" s="8"/>
      <c r="AI232" s="5">
        <f t="shared" si="113"/>
        <v>-0.48127760287029669</v>
      </c>
      <c r="AJ232" s="5" t="e">
        <f t="shared" si="113"/>
        <v>#DIV/0!</v>
      </c>
      <c r="AK232" s="8"/>
      <c r="AL232" s="15"/>
      <c r="AM232" s="22">
        <f t="shared" si="116"/>
        <v>6.1721392591172708E-2</v>
      </c>
      <c r="AO232" s="44">
        <f t="shared" si="114"/>
        <v>0.20794611942262697</v>
      </c>
      <c r="AP232" s="44">
        <f t="shared" si="114"/>
        <v>0.26966751201379968</v>
      </c>
    </row>
    <row r="233" spans="1:42" s="1" customFormat="1" ht="15.5">
      <c r="A233" s="26" t="s">
        <v>17</v>
      </c>
      <c r="B233" s="5">
        <f t="shared" si="115"/>
        <v>0.11215791594883567</v>
      </c>
      <c r="C233" s="5">
        <f t="shared" si="115"/>
        <v>6.6209096306177009E-2</v>
      </c>
      <c r="D233" s="8"/>
      <c r="E233" s="5">
        <f t="shared" si="103"/>
        <v>8.983180538478075E-2</v>
      </c>
      <c r="F233" s="5">
        <f t="shared" si="103"/>
        <v>1.514757531972386E-2</v>
      </c>
      <c r="G233" s="8"/>
      <c r="H233" s="5">
        <f t="shared" si="104"/>
        <v>0.11521552834111681</v>
      </c>
      <c r="I233" s="5">
        <f t="shared" si="104"/>
        <v>4.2905675802608241E-2</v>
      </c>
      <c r="J233" s="8"/>
      <c r="K233" s="5">
        <f t="shared" si="105"/>
        <v>5.8063299795577047E-2</v>
      </c>
      <c r="L233" s="5">
        <f t="shared" si="105"/>
        <v>2.4970242199763369E-2</v>
      </c>
      <c r="M233" s="8"/>
      <c r="N233" s="5">
        <f t="shared" si="106"/>
        <v>9.8706343550745174E-2</v>
      </c>
      <c r="O233" s="5">
        <f t="shared" si="106"/>
        <v>8.6664621883316653E-2</v>
      </c>
      <c r="P233" s="8"/>
      <c r="Q233" s="5">
        <f t="shared" si="107"/>
        <v>9.9510924811708798E-2</v>
      </c>
      <c r="R233" s="5">
        <f t="shared" si="107"/>
        <v>6.219827391604308E-2</v>
      </c>
      <c r="S233" s="8"/>
      <c r="T233" s="5">
        <f t="shared" si="108"/>
        <v>0.10730121992533043</v>
      </c>
      <c r="U233" s="5">
        <f t="shared" si="108"/>
        <v>8.7879191692813177E-2</v>
      </c>
      <c r="V233" s="8"/>
      <c r="W233" s="5">
        <f t="shared" si="109"/>
        <v>2.9801167875821266E-2</v>
      </c>
      <c r="X233" s="5">
        <f t="shared" si="109"/>
        <v>5.81220549691557E-2</v>
      </c>
      <c r="Y233" s="8"/>
      <c r="Z233" s="5">
        <f t="shared" si="110"/>
        <v>0.15901175291216804</v>
      </c>
      <c r="AA233" s="5">
        <f t="shared" si="110"/>
        <v>0.14682122647670409</v>
      </c>
      <c r="AB233" s="8"/>
      <c r="AC233" s="5">
        <f t="shared" si="111"/>
        <v>0.1069738166494598</v>
      </c>
      <c r="AD233" s="5" t="e">
        <f t="shared" si="111"/>
        <v>#DIV/0!</v>
      </c>
      <c r="AE233" s="8"/>
      <c r="AF233" s="5">
        <f t="shared" si="112"/>
        <v>0.11550036174825211</v>
      </c>
      <c r="AG233" s="5" t="e">
        <f t="shared" si="112"/>
        <v>#DIV/0!</v>
      </c>
      <c r="AH233" s="8"/>
      <c r="AI233" s="5">
        <f t="shared" si="113"/>
        <v>0.13006842240546604</v>
      </c>
      <c r="AJ233" s="5" t="e">
        <f t="shared" si="113"/>
        <v>#DIV/0!</v>
      </c>
      <c r="AK233" s="8"/>
      <c r="AL233" s="15"/>
      <c r="AM233" s="22">
        <f t="shared" si="116"/>
        <v>-1.219052643546395E-2</v>
      </c>
      <c r="AO233" s="44">
        <f t="shared" si="114"/>
        <v>0.15901175291216804</v>
      </c>
      <c r="AP233" s="44">
        <f t="shared" si="114"/>
        <v>0.14682122647670409</v>
      </c>
    </row>
    <row r="234" spans="1:42" s="1" customFormat="1" ht="15.5">
      <c r="A234" s="26"/>
      <c r="B234" s="7"/>
      <c r="C234" s="8"/>
      <c r="D234" s="8"/>
      <c r="E234" s="7"/>
      <c r="F234" s="8"/>
      <c r="G234" s="8"/>
      <c r="H234" s="7"/>
      <c r="I234" s="8"/>
      <c r="J234" s="8"/>
      <c r="K234" s="7"/>
      <c r="L234" s="8"/>
      <c r="M234" s="8"/>
      <c r="N234" s="7"/>
      <c r="O234" s="8"/>
      <c r="P234" s="8"/>
      <c r="Q234" s="7"/>
      <c r="R234" s="8"/>
      <c r="S234" s="8"/>
      <c r="T234" s="7"/>
      <c r="U234" s="8"/>
      <c r="V234" s="8"/>
      <c r="W234" s="7"/>
      <c r="X234" s="8"/>
      <c r="Y234" s="8"/>
      <c r="Z234" s="7"/>
      <c r="AA234" s="8"/>
      <c r="AB234" s="8"/>
      <c r="AC234" s="7"/>
      <c r="AD234" s="8"/>
      <c r="AE234" s="8"/>
      <c r="AF234" s="7"/>
      <c r="AG234" s="8"/>
      <c r="AH234" s="8"/>
      <c r="AI234" s="7"/>
      <c r="AJ234" s="8"/>
      <c r="AK234" s="8"/>
      <c r="AL234" s="15"/>
      <c r="AM234" s="16"/>
      <c r="AO234" s="44"/>
      <c r="AP234" s="44"/>
    </row>
    <row r="235" spans="1:42" s="1" customFormat="1" ht="15.5">
      <c r="A235" s="26"/>
      <c r="B235" s="7"/>
      <c r="C235" s="8"/>
      <c r="D235" s="8"/>
      <c r="E235" s="7"/>
      <c r="F235" s="8"/>
      <c r="G235" s="8"/>
      <c r="H235" s="7"/>
      <c r="I235" s="8"/>
      <c r="J235" s="8"/>
      <c r="K235" s="7"/>
      <c r="L235" s="8"/>
      <c r="M235" s="8"/>
      <c r="N235" s="7"/>
      <c r="O235" s="8"/>
      <c r="P235" s="8"/>
      <c r="Q235" s="7"/>
      <c r="R235" s="8"/>
      <c r="S235" s="8"/>
      <c r="T235" s="7"/>
      <c r="U235" s="8"/>
      <c r="V235" s="8"/>
      <c r="W235" s="7"/>
      <c r="X235" s="8"/>
      <c r="Y235" s="8"/>
      <c r="Z235" s="7"/>
      <c r="AA235" s="8"/>
      <c r="AB235" s="8"/>
      <c r="AC235" s="7"/>
      <c r="AD235" s="8"/>
      <c r="AE235" s="8"/>
      <c r="AF235" s="7"/>
      <c r="AG235" s="8"/>
      <c r="AH235" s="8"/>
      <c r="AI235" s="7"/>
      <c r="AJ235" s="8"/>
      <c r="AK235" s="8"/>
      <c r="AL235" s="15"/>
      <c r="AM235" s="16"/>
      <c r="AO235" s="44"/>
      <c r="AP235" s="44"/>
    </row>
    <row r="236" spans="1:42" s="44" customFormat="1" ht="15.5">
      <c r="A236" s="31" t="s">
        <v>84</v>
      </c>
      <c r="B236" s="32">
        <f>'Bütçe aylık-Eur'!$B$147</f>
        <v>18777052.134578682</v>
      </c>
      <c r="C236" s="32">
        <f>'gerç aylık-eur'!$B$146</f>
        <v>20036090.70777595</v>
      </c>
      <c r="D236" s="18"/>
      <c r="E236" s="32">
        <f>'Bütçe aylık-Eur'!$C$147</f>
        <v>19105761.826009043</v>
      </c>
      <c r="F236" s="32">
        <f>'gerç aylık-eur'!$C$146</f>
        <v>21119837.421659723</v>
      </c>
      <c r="G236" s="18"/>
      <c r="H236" s="32">
        <f>'Bütçe aylık-Eur'!$D$147</f>
        <v>18922814.427265674</v>
      </c>
      <c r="I236" s="32">
        <f>'gerç aylık-eur'!$D$146</f>
        <v>19130649.357705954</v>
      </c>
      <c r="J236" s="18"/>
      <c r="K236" s="32">
        <f>'Bütçe aylık-Eur'!$E$147</f>
        <v>18972614.529727899</v>
      </c>
      <c r="L236" s="32">
        <f>'gerç aylık-eur'!$E$146</f>
        <v>23829934.234262988</v>
      </c>
      <c r="M236" s="18"/>
      <c r="N236" s="32">
        <f>'Bütçe aylık-Eur'!$F$147</f>
        <v>18334223.36543091</v>
      </c>
      <c r="O236" s="32">
        <f>'gerç aylık-eur'!$F$146</f>
        <v>25781749.722575817</v>
      </c>
      <c r="P236" s="18"/>
      <c r="Q236" s="32">
        <f>'Bütçe aylık-Eur'!$G$147</f>
        <v>17660679.390012335</v>
      </c>
      <c r="R236" s="32">
        <f>'gerç aylık-eur'!$G$146</f>
        <v>26660075.913163755</v>
      </c>
      <c r="S236" s="18"/>
      <c r="T236" s="32">
        <f>'Bütçe aylık-Eur'!$H$147</f>
        <v>19504255.395108737</v>
      </c>
      <c r="U236" s="32">
        <f>'gerç aylık-eur'!$H$146</f>
        <v>28016389.354621645</v>
      </c>
      <c r="V236" s="18"/>
      <c r="W236" s="32">
        <f>'Bütçe aylık-Eur'!$I$147</f>
        <v>18749568.445826054</v>
      </c>
      <c r="X236" s="32">
        <f>'gerç aylık-eur'!$I$146</f>
        <v>27637999.406422429</v>
      </c>
      <c r="Y236" s="18"/>
      <c r="Z236" s="32">
        <f>'Bütçe aylık-Eur'!$J$147</f>
        <v>19078565.804200493</v>
      </c>
      <c r="AA236" s="32">
        <f>'gerç aylık-eur'!$J$146</f>
        <v>28489521.343984019</v>
      </c>
      <c r="AB236" s="18"/>
      <c r="AC236" s="32">
        <f>'Bütçe aylık-Eur'!$K$147</f>
        <v>17955933.696002416</v>
      </c>
      <c r="AD236" s="32">
        <f>'gerç aylık-eur'!$K$146</f>
        <v>0</v>
      </c>
      <c r="AE236" s="18"/>
      <c r="AF236" s="32">
        <f>'Bütçe aylık-Eur'!$L$147</f>
        <v>17407846.206486601</v>
      </c>
      <c r="AG236" s="32">
        <f>'gerç aylık-eur'!$L$146</f>
        <v>0</v>
      </c>
      <c r="AH236" s="18"/>
      <c r="AI236" s="32">
        <f>'Bütçe aylık-Eur'!$M$147</f>
        <v>17151330.330444451</v>
      </c>
      <c r="AJ236" s="32">
        <f>'gerç aylık-eur'!$M$146</f>
        <v>0</v>
      </c>
      <c r="AK236" s="18"/>
      <c r="AL236" s="33">
        <f>AP236-AO236</f>
        <v>9410955.5397835262</v>
      </c>
      <c r="AM236" s="34">
        <f>AP236/AO236-1</f>
        <v>0.49327374166204541</v>
      </c>
      <c r="AO236" s="44">
        <f>IF($A$1=$B$1,B236,IF($A$1=$E$1,E236,IF($A$1=$H$1,H236,IF($A$1=$K$1,K236,IF($A$1=$N$1,N236,IF($A$1=$Q$1,Q236,IF($A$1=$T$1,T236,IF($A$1=$W$1,W236,IF($A$1=$Z$1,Z236,IF($A$1=$AC$1,AC236,IF($A$1=$AF$1,AF236,IF($A$1=$AI$1,AI236))))))))))))</f>
        <v>19078565.804200493</v>
      </c>
      <c r="AP236" s="44">
        <f>IF($A$1=$B$1,C236,IF($A$1=$E$1,F236,IF($A$1=$H$1,I236,IF($A$1=$K$1,L236,IF($A$1=$N$1,O236,IF($A$1=$Q$1,R236,IF($A$1=$T$1,U236,IF($A$1=$W$1,X236,IF($A$1=$Z$1,AA236,IF($A$1=$AC$1,AD236,IF($A$1=$AF$1,AG236,IF($A$1=$AI$1,AJ236))))))))))))</f>
        <v>28489521.343984019</v>
      </c>
    </row>
    <row r="237" spans="1:42" s="13" customFormat="1" ht="15.5">
      <c r="A237" s="27"/>
      <c r="B237" s="30"/>
      <c r="C237" s="30"/>
      <c r="D237" s="41"/>
      <c r="E237" s="30"/>
      <c r="F237" s="30"/>
      <c r="G237" s="41"/>
      <c r="H237" s="30"/>
      <c r="I237" s="30"/>
      <c r="J237" s="41"/>
      <c r="K237" s="30"/>
      <c r="L237" s="30"/>
      <c r="M237" s="41"/>
      <c r="N237" s="30"/>
      <c r="O237" s="30"/>
      <c r="P237" s="41"/>
      <c r="Q237" s="30"/>
      <c r="R237" s="30"/>
      <c r="S237" s="41"/>
      <c r="T237" s="30"/>
      <c r="U237" s="30"/>
      <c r="V237" s="41"/>
      <c r="W237" s="30"/>
      <c r="X237" s="30"/>
      <c r="Y237" s="41"/>
      <c r="Z237" s="30"/>
      <c r="AA237" s="30"/>
      <c r="AB237" s="41"/>
      <c r="AC237" s="30"/>
      <c r="AD237" s="30"/>
      <c r="AE237" s="41"/>
      <c r="AF237" s="30"/>
      <c r="AG237" s="30"/>
      <c r="AH237" s="41"/>
      <c r="AI237" s="30"/>
      <c r="AJ237" s="30"/>
      <c r="AK237" s="41"/>
      <c r="AL237" s="15"/>
      <c r="AM237" s="22"/>
      <c r="AO237" s="44">
        <f>IF($A$1=$B$1,B237,IF($A$1=$E$1,E237,IF($A$1=$H$1,H237,IF($A$1=$K$1,K237,IF($A$1=$N$1,N237,IF($A$1=$Q$1,Q237,IF($A$1=$T$1,T237,IF($A$1=$W$1,W237,IF($A$1=$Z$1,Z237,IF($A$1=$AC$1,AC237,IF($A$1=$AF$1,AF237,IF($A$1=$AI$1,AI237))))))))))))</f>
        <v>0</v>
      </c>
      <c r="AP237" s="44">
        <f>IF($A$1=$B$1,C237,IF($A$1=$E$1,F237,IF($A$1=$H$1,I237,IF($A$1=$K$1,L237,IF($A$1=$N$1,O237,IF($A$1=$Q$1,R237,IF($A$1=$T$1,U237,IF($A$1=$W$1,X237,IF($A$1=$Z$1,AA237,IF($A$1=$AC$1,AD237,IF($A$1=$AF$1,AG237,IF($A$1=$AI$1,AJ237))))))))))))</f>
        <v>0</v>
      </c>
    </row>
    <row r="238" spans="1:42" s="49" customFormat="1" ht="17">
      <c r="A238" s="47" t="s">
        <v>85</v>
      </c>
      <c r="B238" s="413"/>
      <c r="C238" s="413"/>
      <c r="D238" s="413"/>
      <c r="E238" s="413"/>
      <c r="F238" s="413"/>
      <c r="G238" s="413"/>
      <c r="H238" s="413"/>
      <c r="I238" s="413"/>
      <c r="J238" s="413"/>
      <c r="K238" s="413"/>
      <c r="L238" s="413"/>
      <c r="M238" s="413"/>
      <c r="N238" s="413"/>
      <c r="O238" s="413"/>
      <c r="P238" s="413"/>
      <c r="Q238" s="413"/>
      <c r="R238" s="413"/>
      <c r="S238" s="413"/>
      <c r="T238" s="413"/>
      <c r="U238" s="413"/>
      <c r="V238" s="413"/>
      <c r="W238" s="413"/>
      <c r="X238" s="413"/>
      <c r="Y238" s="413"/>
      <c r="Z238" s="413"/>
      <c r="AA238" s="413"/>
      <c r="AB238" s="413"/>
      <c r="AC238" s="413"/>
      <c r="AD238" s="413"/>
      <c r="AE238" s="413"/>
      <c r="AF238" s="413"/>
      <c r="AG238" s="413"/>
      <c r="AH238" s="413"/>
      <c r="AI238" s="413"/>
      <c r="AJ238" s="413"/>
      <c r="AK238" s="413"/>
      <c r="AL238" s="413"/>
      <c r="AM238" s="48"/>
    </row>
    <row r="239" spans="1:42" ht="15.5">
      <c r="A239" s="26" t="s">
        <v>10</v>
      </c>
      <c r="B239" s="7">
        <f>'Bütçe aylık-Eur'!$B$148</f>
        <v>0</v>
      </c>
      <c r="C239" s="7">
        <f>'gerç aylık-eur'!$B$147</f>
        <v>0</v>
      </c>
      <c r="D239" s="7"/>
      <c r="E239" s="7">
        <f>'Bütçe aylık-Eur'!$C$148</f>
        <v>0</v>
      </c>
      <c r="F239" s="7">
        <f>'gerç aylık-eur'!$C$147</f>
        <v>0</v>
      </c>
      <c r="G239" s="7"/>
      <c r="H239" s="7">
        <f>'Bütçe aylık-Eur'!$D$148</f>
        <v>0</v>
      </c>
      <c r="I239" s="7">
        <f>'gerç aylık-eur'!$D$147</f>
        <v>0</v>
      </c>
      <c r="J239" s="7"/>
      <c r="K239" s="7">
        <f>'Bütçe aylık-Eur'!$E$148</f>
        <v>0</v>
      </c>
      <c r="L239" s="7">
        <f>'gerç aylık-eur'!$E$147</f>
        <v>0</v>
      </c>
      <c r="M239" s="7"/>
      <c r="N239" s="7">
        <f>'Bütçe aylık-Eur'!$F$148</f>
        <v>0</v>
      </c>
      <c r="O239" s="7">
        <f>'gerç aylık-eur'!$F$147</f>
        <v>0</v>
      </c>
      <c r="P239" s="7"/>
      <c r="Q239" s="7">
        <f>'Bütçe aylık-Eur'!$G$148</f>
        <v>0</v>
      </c>
      <c r="R239" s="7">
        <f>'gerç aylık-eur'!$G$147</f>
        <v>0</v>
      </c>
      <c r="S239" s="7"/>
      <c r="T239" s="7">
        <f>'Bütçe aylık-Eur'!$H$148</f>
        <v>0</v>
      </c>
      <c r="U239" s="7">
        <f>'gerç aylık-eur'!$H$147</f>
        <v>0</v>
      </c>
      <c r="V239" s="7"/>
      <c r="W239" s="7">
        <f>'Bütçe aylık-Eur'!$I$148</f>
        <v>0</v>
      </c>
      <c r="X239" s="7">
        <f>'gerç aylık-eur'!$I$147</f>
        <v>0</v>
      </c>
      <c r="Y239" s="7"/>
      <c r="Z239" s="7">
        <f>'Bütçe aylık-Eur'!$J$148</f>
        <v>0</v>
      </c>
      <c r="AA239" s="7">
        <f>'gerç aylık-eur'!$J$147</f>
        <v>0</v>
      </c>
      <c r="AB239" s="7"/>
      <c r="AC239" s="7">
        <f>'Bütçe aylık-Eur'!$K$148</f>
        <v>0</v>
      </c>
      <c r="AD239" s="7">
        <f>'gerç aylık-eur'!$K$147</f>
        <v>0</v>
      </c>
      <c r="AE239" s="7"/>
      <c r="AF239" s="7">
        <f>'Bütçe aylık-Eur'!$L$148</f>
        <v>0</v>
      </c>
      <c r="AG239" s="7">
        <f>'gerç aylık-eur'!$L$147</f>
        <v>0</v>
      </c>
      <c r="AH239" s="7"/>
      <c r="AI239" s="7">
        <f>'Bütçe aylık-Eur'!$M$148</f>
        <v>0</v>
      </c>
      <c r="AJ239" s="7">
        <f>'gerç aylık-eur'!$M$147</f>
        <v>0</v>
      </c>
      <c r="AK239" s="7"/>
      <c r="AL239" s="21">
        <f t="shared" ref="AL239:AL246" si="117">AP239-AO239</f>
        <v>0</v>
      </c>
      <c r="AM239" s="22" t="e">
        <f t="shared" ref="AM239:AM246" si="118">AP239/AO239-1</f>
        <v>#DIV/0!</v>
      </c>
      <c r="AO239" s="44">
        <f t="shared" ref="AO239:AP246" si="119">IF($A$1=$B$1,B239,IF($A$1=$E$1,E239,IF($A$1=$H$1,H239,IF($A$1=$K$1,K239,IF($A$1=$N$1,N239,IF($A$1=$Q$1,Q239,IF($A$1=$T$1,T239,IF($A$1=$W$1,W239,IF($A$1=$Z$1,Z239,IF($A$1=$AC$1,AC239,IF($A$1=$AF$1,AF239,IF($A$1=$AI$1,AI239))))))))))))</f>
        <v>0</v>
      </c>
      <c r="AP239" s="44">
        <f t="shared" si="119"/>
        <v>0</v>
      </c>
    </row>
    <row r="240" spans="1:42" ht="15.5">
      <c r="A240" s="26" t="s">
        <v>11</v>
      </c>
      <c r="B240" s="7">
        <f>'Bütçe aylık-Eur'!$B$149</f>
        <v>1968092.5017859237</v>
      </c>
      <c r="C240" s="7">
        <f>'gerç aylık-eur'!$B$148</f>
        <v>1756795.941308721</v>
      </c>
      <c r="D240" s="7"/>
      <c r="E240" s="7">
        <f>'Bütçe aylık-Eur'!$C$149</f>
        <v>2077149.6315433383</v>
      </c>
      <c r="F240" s="7">
        <f>'gerç aylık-eur'!$C$148</f>
        <v>1780717.9823640564</v>
      </c>
      <c r="G240" s="7"/>
      <c r="H240" s="7">
        <f>'Bütçe aylık-Eur'!$D$149</f>
        <v>2014206.6760741568</v>
      </c>
      <c r="I240" s="7">
        <f>'gerç aylık-eur'!$D$148</f>
        <v>1751023.0414304982</v>
      </c>
      <c r="J240" s="7"/>
      <c r="K240" s="7">
        <f>'Bütçe aylık-Eur'!$E$149</f>
        <v>1953690.446467818</v>
      </c>
      <c r="L240" s="7">
        <f>'gerç aylık-eur'!$E$148</f>
        <v>6647633.5834527463</v>
      </c>
      <c r="M240" s="7"/>
      <c r="N240" s="7">
        <f>'Bütçe aylık-Eur'!$F$149</f>
        <v>1771511.5562335348</v>
      </c>
      <c r="O240" s="7">
        <f>'gerç aylık-eur'!$F$148</f>
        <v>6543569.2963275844</v>
      </c>
      <c r="P240" s="7"/>
      <c r="Q240" s="7">
        <f>'Bütçe aylık-Eur'!$G$149</f>
        <v>1497584.4624828873</v>
      </c>
      <c r="R240" s="7">
        <f>'gerç aylık-eur'!$G$148</f>
        <v>6336207.4717631238</v>
      </c>
      <c r="S240" s="7"/>
      <c r="T240" s="7">
        <f>'Bütçe aylık-Eur'!$H$149</f>
        <v>1304054.7257856915</v>
      </c>
      <c r="U240" s="7">
        <f>'gerç aylık-eur'!$H$148</f>
        <v>6284844.3992097229</v>
      </c>
      <c r="V240" s="7"/>
      <c r="W240" s="7">
        <f>'Bütçe aylık-Eur'!$I$149</f>
        <v>976748.57259475207</v>
      </c>
      <c r="X240" s="7">
        <f>'gerç aylık-eur'!$I$148</f>
        <v>6303711.5810489263</v>
      </c>
      <c r="Y240" s="7"/>
      <c r="Z240" s="7">
        <f>'Bütçe aylık-Eur'!$J$149</f>
        <v>842866.98097643035</v>
      </c>
      <c r="AA240" s="7">
        <f>'gerç aylık-eur'!$J$148</f>
        <v>6436404.4776855726</v>
      </c>
      <c r="AB240" s="7"/>
      <c r="AC240" s="7">
        <f>'Bütçe aylık-Eur'!$K$149</f>
        <v>735161.12398465979</v>
      </c>
      <c r="AD240" s="7">
        <f>'gerç aylık-eur'!$K$148</f>
        <v>0</v>
      </c>
      <c r="AE240" s="7"/>
      <c r="AF240" s="7">
        <f>'Bütçe aylık-Eur'!$L$149</f>
        <v>785886.80108651624</v>
      </c>
      <c r="AG240" s="7">
        <f>'gerç aylık-eur'!$L$148</f>
        <v>0</v>
      </c>
      <c r="AH240" s="7"/>
      <c r="AI240" s="7">
        <f>'Bütçe aylık-Eur'!$M$149</f>
        <v>707482.99297959183</v>
      </c>
      <c r="AJ240" s="7">
        <f>'gerç aylık-eur'!$M$148</f>
        <v>0</v>
      </c>
      <c r="AK240" s="7"/>
      <c r="AL240" s="21">
        <f t="shared" si="117"/>
        <v>5593537.4967091419</v>
      </c>
      <c r="AM240" s="22">
        <f t="shared" si="118"/>
        <v>6.636322958373853</v>
      </c>
      <c r="AO240" s="44">
        <f t="shared" si="119"/>
        <v>842866.98097643035</v>
      </c>
      <c r="AP240" s="44">
        <f t="shared" si="119"/>
        <v>6436404.4776855726</v>
      </c>
    </row>
    <row r="241" spans="1:42" ht="15.5">
      <c r="A241" s="26" t="s">
        <v>12</v>
      </c>
      <c r="B241" s="7">
        <f>'Bütçe aylık-Eur'!$B$150</f>
        <v>345969.3034364371</v>
      </c>
      <c r="C241" s="7">
        <f>'gerç aylık-eur'!$B$149</f>
        <v>0</v>
      </c>
      <c r="D241" s="7"/>
      <c r="E241" s="7">
        <f>'Bütçe aylık-Eur'!$C$150</f>
        <v>685934.17673903448</v>
      </c>
      <c r="F241" s="7">
        <f>'gerç aylık-eur'!$C$149</f>
        <v>215461.67623099938</v>
      </c>
      <c r="G241" s="7"/>
      <c r="H241" s="7">
        <f>'Bütçe aylık-Eur'!$D$150</f>
        <v>527820.54401245678</v>
      </c>
      <c r="I241" s="7">
        <f>'gerç aylık-eur'!$D$149</f>
        <v>0</v>
      </c>
      <c r="J241" s="7"/>
      <c r="K241" s="7">
        <f>'Bütçe aylık-Eur'!$E$150</f>
        <v>597336.86656200944</v>
      </c>
      <c r="L241" s="7">
        <f>'gerç aylık-eur'!$E$149</f>
        <v>292683.98809604038</v>
      </c>
      <c r="M241" s="7"/>
      <c r="N241" s="7">
        <f>'Bütçe aylık-Eur'!$F$150</f>
        <v>450955.93435868114</v>
      </c>
      <c r="O241" s="7">
        <f>'gerç aylık-eur'!$F$149</f>
        <v>415774.58580333221</v>
      </c>
      <c r="P241" s="7"/>
      <c r="Q241" s="7">
        <f>'Bütçe aylık-Eur'!$G$150</f>
        <v>349733.76902945543</v>
      </c>
      <c r="R241" s="7">
        <f>'gerç aylık-eur'!$G$149</f>
        <v>285252.68202306639</v>
      </c>
      <c r="S241" s="7"/>
      <c r="T241" s="7">
        <f>'Bütçe aylık-Eur'!$H$150</f>
        <v>299578.93012011569</v>
      </c>
      <c r="U241" s="7">
        <f>'gerç aylık-eur'!$H$149</f>
        <v>480461.23221420875</v>
      </c>
      <c r="V241" s="7"/>
      <c r="W241" s="7">
        <f>'Bütçe aylık-Eur'!$I$150</f>
        <v>425077.80758017494</v>
      </c>
      <c r="X241" s="7">
        <f>'gerç aylık-eur'!$I$149</f>
        <v>363212.17468634964</v>
      </c>
      <c r="Y241" s="7"/>
      <c r="Z241" s="7">
        <f>'Bütçe aylık-Eur'!$J$150</f>
        <v>275715.6638543008</v>
      </c>
      <c r="AA241" s="7">
        <f>'gerç aylık-eur'!$J$149</f>
        <v>246670.46265100857</v>
      </c>
      <c r="AB241" s="7"/>
      <c r="AC241" s="7">
        <f>'Bütçe aylık-Eur'!$K$150</f>
        <v>309108.2121230546</v>
      </c>
      <c r="AD241" s="7">
        <f>'gerç aylık-eur'!$K$149</f>
        <v>0</v>
      </c>
      <c r="AE241" s="7"/>
      <c r="AF241" s="7">
        <f>'Bütçe aylık-Eur'!$L$150</f>
        <v>306851.0954819257</v>
      </c>
      <c r="AG241" s="7">
        <f>'gerç aylık-eur'!$L$149</f>
        <v>0</v>
      </c>
      <c r="AH241" s="7"/>
      <c r="AI241" s="7">
        <f>'Bütçe aylık-Eur'!$M$150</f>
        <v>400648.62040816329</v>
      </c>
      <c r="AJ241" s="7">
        <f>'gerç aylık-eur'!$M$149</f>
        <v>0</v>
      </c>
      <c r="AK241" s="7"/>
      <c r="AL241" s="21">
        <f t="shared" si="117"/>
        <v>-29045.201203292236</v>
      </c>
      <c r="AM241" s="22">
        <f t="shared" si="118"/>
        <v>-0.10534476277938598</v>
      </c>
      <c r="AO241" s="44">
        <f t="shared" si="119"/>
        <v>275715.6638543008</v>
      </c>
      <c r="AP241" s="44">
        <f t="shared" si="119"/>
        <v>246670.46265100857</v>
      </c>
    </row>
    <row r="242" spans="1:42" ht="15.5">
      <c r="A242" s="26" t="s">
        <v>13</v>
      </c>
      <c r="B242" s="7">
        <f>'Bütçe aylık-Eur'!$B$151</f>
        <v>41157475.823390804</v>
      </c>
      <c r="C242" s="7">
        <f>'gerç aylık-eur'!$B$150</f>
        <v>45698236.916168071</v>
      </c>
      <c r="D242" s="7"/>
      <c r="E242" s="7">
        <f>'Bütçe aylık-Eur'!$C$151</f>
        <v>40856695.044316672</v>
      </c>
      <c r="F242" s="7">
        <f>'gerç aylık-eur'!$C$150</f>
        <v>47809144.407661669</v>
      </c>
      <c r="G242" s="7"/>
      <c r="H242" s="7">
        <f>'Bütçe aylık-Eur'!$D$151</f>
        <v>40951968.017947644</v>
      </c>
      <c r="I242" s="7">
        <f>'gerç aylık-eur'!$D$150</f>
        <v>43449065.790688634</v>
      </c>
      <c r="J242" s="7"/>
      <c r="K242" s="7">
        <f>'Bütçe aylık-Eur'!$E$151</f>
        <v>41053968.041745178</v>
      </c>
      <c r="L242" s="7">
        <f>'gerç aylık-eur'!$E$150</f>
        <v>42224041.656785503</v>
      </c>
      <c r="M242" s="7"/>
      <c r="N242" s="7">
        <f>'Bütçe aylık-Eur'!$F$151</f>
        <v>40279389.68709673</v>
      </c>
      <c r="O242" s="7">
        <f>'gerç aylık-eur'!$F$150</f>
        <v>47056014.601112247</v>
      </c>
      <c r="P242" s="7"/>
      <c r="Q242" s="7">
        <f>'Bütçe aylık-Eur'!$G$151</f>
        <v>39533402.89624998</v>
      </c>
      <c r="R242" s="7">
        <f>'gerç aylık-eur'!$G$150</f>
        <v>50096539.398443907</v>
      </c>
      <c r="S242" s="7"/>
      <c r="T242" s="7">
        <f>'Bütçe aylık-Eur'!$H$151</f>
        <v>44751554.348007329</v>
      </c>
      <c r="U242" s="7">
        <f>'gerç aylık-eur'!$H$150</f>
        <v>53127709.307994284</v>
      </c>
      <c r="V242" s="7"/>
      <c r="W242" s="7">
        <f>'Bütçe aylık-Eur'!$I$151</f>
        <v>43369355.164127812</v>
      </c>
      <c r="X242" s="7">
        <f>'gerç aylık-eur'!$I$150</f>
        <v>52427689.12671788</v>
      </c>
      <c r="Y242" s="7"/>
      <c r="Z242" s="7">
        <f>'Bütçe aylık-Eur'!$J$151</f>
        <v>44899957.898424402</v>
      </c>
      <c r="AA242" s="7">
        <f>'gerç aylık-eur'!$J$150</f>
        <v>54516116.009118594</v>
      </c>
      <c r="AB242" s="7"/>
      <c r="AC242" s="7">
        <f>'Bütçe aylık-Eur'!$K$151</f>
        <v>42279160.899736747</v>
      </c>
      <c r="AD242" s="7">
        <f>'gerç aylık-eur'!$K$150</f>
        <v>0</v>
      </c>
      <c r="AE242" s="7"/>
      <c r="AF242" s="7">
        <f>'Bütçe aylık-Eur'!$L$151</f>
        <v>40787770.774795391</v>
      </c>
      <c r="AG242" s="7">
        <f>'gerç aylık-eur'!$L$150</f>
        <v>0</v>
      </c>
      <c r="AH242" s="7"/>
      <c r="AI242" s="7">
        <f>'Bütçe aylık-Eur'!$M$151</f>
        <v>40107996.792641737</v>
      </c>
      <c r="AJ242" s="7">
        <f>'gerç aylık-eur'!$M$150</f>
        <v>0</v>
      </c>
      <c r="AK242" s="7"/>
      <c r="AL242" s="21">
        <f t="shared" si="117"/>
        <v>9616158.1106941923</v>
      </c>
      <c r="AM242" s="22">
        <f t="shared" si="118"/>
        <v>0.21416853290705729</v>
      </c>
      <c r="AO242" s="44">
        <f t="shared" si="119"/>
        <v>44899957.898424402</v>
      </c>
      <c r="AP242" s="44">
        <f t="shared" si="119"/>
        <v>54516116.009118594</v>
      </c>
    </row>
    <row r="243" spans="1:42" s="1" customFormat="1" ht="15.5">
      <c r="A243" s="26" t="s">
        <v>14</v>
      </c>
      <c r="B243" s="7">
        <f>'Bütçe aylık-Eur'!$B$152</f>
        <v>0</v>
      </c>
      <c r="C243" s="7">
        <f>'gerç aylık-eur'!$B$151</f>
        <v>0</v>
      </c>
      <c r="D243" s="8"/>
      <c r="E243" s="7">
        <f>'Bütçe aylık-Eur'!$C$152</f>
        <v>0</v>
      </c>
      <c r="F243" s="7">
        <f>'gerç aylık-eur'!$C$151</f>
        <v>0</v>
      </c>
      <c r="G243" s="8"/>
      <c r="H243" s="7">
        <f>'Bütçe aylık-Eur'!$D$152</f>
        <v>0</v>
      </c>
      <c r="I243" s="7">
        <f>'gerç aylık-eur'!$D$151</f>
        <v>0</v>
      </c>
      <c r="J243" s="8"/>
      <c r="K243" s="7">
        <f>'Bütçe aylık-Eur'!$E$152</f>
        <v>0</v>
      </c>
      <c r="L243" s="7">
        <f>'gerç aylık-eur'!$E$151</f>
        <v>0</v>
      </c>
      <c r="M243" s="8"/>
      <c r="N243" s="7">
        <f>'Bütçe aylık-Eur'!$F$152</f>
        <v>0</v>
      </c>
      <c r="O243" s="7">
        <f>'gerç aylık-eur'!$F$151</f>
        <v>0</v>
      </c>
      <c r="P243" s="8"/>
      <c r="Q243" s="7">
        <f>'Bütçe aylık-Eur'!$G$152</f>
        <v>0</v>
      </c>
      <c r="R243" s="7">
        <f>'gerç aylık-eur'!$G$151</f>
        <v>0</v>
      </c>
      <c r="S243" s="8"/>
      <c r="T243" s="7">
        <f>'Bütçe aylık-Eur'!$H$152</f>
        <v>0</v>
      </c>
      <c r="U243" s="7">
        <f>'gerç aylık-eur'!$H$151</f>
        <v>0</v>
      </c>
      <c r="V243" s="8"/>
      <c r="W243" s="7">
        <f>'Bütçe aylık-Eur'!$I$152</f>
        <v>0</v>
      </c>
      <c r="X243" s="7">
        <f>'gerç aylık-eur'!$I$151</f>
        <v>0</v>
      </c>
      <c r="Y243" s="8"/>
      <c r="Z243" s="7">
        <f>'Bütçe aylık-Eur'!$J$152</f>
        <v>0</v>
      </c>
      <c r="AA243" s="7">
        <f>'gerç aylık-eur'!$J$151</f>
        <v>0</v>
      </c>
      <c r="AB243" s="8"/>
      <c r="AC243" s="7">
        <f>'Bütçe aylık-Eur'!$K$152</f>
        <v>0</v>
      </c>
      <c r="AD243" s="7">
        <f>'gerç aylık-eur'!$K$151</f>
        <v>0</v>
      </c>
      <c r="AE243" s="8"/>
      <c r="AF243" s="7">
        <f>'Bütçe aylık-Eur'!$L$152</f>
        <v>0</v>
      </c>
      <c r="AG243" s="7">
        <f>'gerç aylık-eur'!$L$151</f>
        <v>0</v>
      </c>
      <c r="AH243" s="8"/>
      <c r="AI243" s="7">
        <f>'Bütçe aylık-Eur'!$M$152</f>
        <v>0</v>
      </c>
      <c r="AJ243" s="7">
        <f>'gerç aylık-eur'!$M$151</f>
        <v>0</v>
      </c>
      <c r="AK243" s="8"/>
      <c r="AL243" s="21">
        <f t="shared" si="117"/>
        <v>0</v>
      </c>
      <c r="AM243" s="22" t="e">
        <f t="shared" si="118"/>
        <v>#DIV/0!</v>
      </c>
      <c r="AO243" s="44">
        <f t="shared" si="119"/>
        <v>0</v>
      </c>
      <c r="AP243" s="44">
        <f t="shared" si="119"/>
        <v>0</v>
      </c>
    </row>
    <row r="244" spans="1:42" ht="15.5">
      <c r="A244" s="26" t="s">
        <v>15</v>
      </c>
      <c r="B244" s="7">
        <f>'Bütçe aylık-Eur'!$B$153</f>
        <v>0</v>
      </c>
      <c r="C244" s="7">
        <f>'gerç aylık-eur'!$B$152</f>
        <v>0</v>
      </c>
      <c r="D244" s="7"/>
      <c r="E244" s="7">
        <f>'Bütçe aylık-Eur'!$C$153</f>
        <v>0</v>
      </c>
      <c r="F244" s="7">
        <f>'gerç aylık-eur'!$C$152</f>
        <v>0</v>
      </c>
      <c r="G244" s="7"/>
      <c r="H244" s="7">
        <f>'Bütçe aylık-Eur'!$D$153</f>
        <v>0</v>
      </c>
      <c r="I244" s="7">
        <f>'gerç aylık-eur'!$D$152</f>
        <v>0</v>
      </c>
      <c r="J244" s="7"/>
      <c r="K244" s="7">
        <f>'Bütçe aylık-Eur'!$E$153</f>
        <v>0</v>
      </c>
      <c r="L244" s="7">
        <f>'gerç aylık-eur'!$E$152</f>
        <v>0</v>
      </c>
      <c r="M244" s="7"/>
      <c r="N244" s="7">
        <f>'Bütçe aylık-Eur'!$F$153</f>
        <v>0</v>
      </c>
      <c r="O244" s="7">
        <f>'gerç aylık-eur'!$F$152</f>
        <v>0</v>
      </c>
      <c r="P244" s="7"/>
      <c r="Q244" s="7">
        <f>'Bütçe aylık-Eur'!$G$153</f>
        <v>0</v>
      </c>
      <c r="R244" s="7">
        <f>'gerç aylık-eur'!$G$152</f>
        <v>0</v>
      </c>
      <c r="S244" s="7"/>
      <c r="T244" s="7">
        <f>'Bütçe aylık-Eur'!$H$153</f>
        <v>0</v>
      </c>
      <c r="U244" s="7">
        <f>'gerç aylık-eur'!$H$152</f>
        <v>0</v>
      </c>
      <c r="V244" s="7"/>
      <c r="W244" s="7">
        <f>'Bütçe aylık-Eur'!$I$153</f>
        <v>0</v>
      </c>
      <c r="X244" s="7">
        <f>'gerç aylık-eur'!$I$152</f>
        <v>0</v>
      </c>
      <c r="Y244" s="7"/>
      <c r="Z244" s="7">
        <f>'Bütçe aylık-Eur'!$J$153</f>
        <v>0</v>
      </c>
      <c r="AA244" s="7">
        <f>'gerç aylık-eur'!$J$152</f>
        <v>0</v>
      </c>
      <c r="AB244" s="7"/>
      <c r="AC244" s="7">
        <f>'Bütçe aylık-Eur'!$K$153</f>
        <v>0</v>
      </c>
      <c r="AD244" s="7">
        <f>'gerç aylık-eur'!$K$152</f>
        <v>0</v>
      </c>
      <c r="AE244" s="7"/>
      <c r="AF244" s="7">
        <f>'Bütçe aylık-Eur'!$L$153</f>
        <v>0</v>
      </c>
      <c r="AG244" s="7">
        <f>'gerç aylık-eur'!$L$152</f>
        <v>0</v>
      </c>
      <c r="AH244" s="7"/>
      <c r="AI244" s="7">
        <f>'Bütçe aylık-Eur'!$M$153</f>
        <v>0</v>
      </c>
      <c r="AJ244" s="7">
        <f>'gerç aylık-eur'!$M$152</f>
        <v>0</v>
      </c>
      <c r="AK244" s="7"/>
      <c r="AL244" s="21">
        <f t="shared" si="117"/>
        <v>0</v>
      </c>
      <c r="AM244" s="22" t="e">
        <f t="shared" si="118"/>
        <v>#DIV/0!</v>
      </c>
      <c r="AO244" s="44">
        <f t="shared" si="119"/>
        <v>0</v>
      </c>
      <c r="AP244" s="44">
        <f t="shared" si="119"/>
        <v>0</v>
      </c>
    </row>
    <row r="245" spans="1:42" s="1" customFormat="1" ht="15.5">
      <c r="A245" s="26" t="s">
        <v>16</v>
      </c>
      <c r="B245" s="7">
        <f>'Bütçe aylık-Eur'!$B$154</f>
        <v>0</v>
      </c>
      <c r="C245" s="7">
        <f>'gerç aylık-eur'!$B$153</f>
        <v>0</v>
      </c>
      <c r="D245" s="8"/>
      <c r="E245" s="7">
        <f>'Bütçe aylık-Eur'!$C$154</f>
        <v>0</v>
      </c>
      <c r="F245" s="7">
        <f>'gerç aylık-eur'!$C$153</f>
        <v>0</v>
      </c>
      <c r="G245" s="8"/>
      <c r="H245" s="7">
        <f>'Bütçe aylık-Eur'!$D$154</f>
        <v>0</v>
      </c>
      <c r="I245" s="7">
        <f>'gerç aylık-eur'!$D$153</f>
        <v>0</v>
      </c>
      <c r="J245" s="8"/>
      <c r="K245" s="7">
        <f>'Bütçe aylık-Eur'!$E$154</f>
        <v>0</v>
      </c>
      <c r="L245" s="7">
        <f>'gerç aylık-eur'!$E$153</f>
        <v>0</v>
      </c>
      <c r="M245" s="8"/>
      <c r="N245" s="7">
        <f>'Bütçe aylık-Eur'!$F$154</f>
        <v>0</v>
      </c>
      <c r="O245" s="7">
        <f>'gerç aylık-eur'!$F$153</f>
        <v>0</v>
      </c>
      <c r="P245" s="8"/>
      <c r="Q245" s="7">
        <f>'Bütçe aylık-Eur'!$G$154</f>
        <v>0</v>
      </c>
      <c r="R245" s="7">
        <f>'gerç aylık-eur'!$G$153</f>
        <v>0</v>
      </c>
      <c r="S245" s="8"/>
      <c r="T245" s="7">
        <f>'Bütçe aylık-Eur'!$H$154</f>
        <v>0</v>
      </c>
      <c r="U245" s="7">
        <f>'gerç aylık-eur'!$H$153</f>
        <v>0</v>
      </c>
      <c r="V245" s="8"/>
      <c r="W245" s="7">
        <f>'Bütçe aylık-Eur'!$I$154</f>
        <v>0</v>
      </c>
      <c r="X245" s="7">
        <f>'gerç aylık-eur'!$I$153</f>
        <v>0</v>
      </c>
      <c r="Y245" s="8"/>
      <c r="Z245" s="7">
        <f>'Bütçe aylık-Eur'!$J$154</f>
        <v>0</v>
      </c>
      <c r="AA245" s="7">
        <f>'gerç aylık-eur'!$J$153</f>
        <v>0</v>
      </c>
      <c r="AB245" s="8"/>
      <c r="AC245" s="7">
        <f>'Bütçe aylık-Eur'!$K$154</f>
        <v>0</v>
      </c>
      <c r="AD245" s="7">
        <f>'gerç aylık-eur'!$K$153</f>
        <v>0</v>
      </c>
      <c r="AE245" s="8"/>
      <c r="AF245" s="7">
        <f>'Bütçe aylık-Eur'!$L$154</f>
        <v>0</v>
      </c>
      <c r="AG245" s="7">
        <f>'gerç aylık-eur'!$L$153</f>
        <v>0</v>
      </c>
      <c r="AH245" s="8"/>
      <c r="AI245" s="7">
        <f>'Bütçe aylık-Eur'!$M$154</f>
        <v>0</v>
      </c>
      <c r="AJ245" s="7">
        <f>'gerç aylık-eur'!$M$153</f>
        <v>0</v>
      </c>
      <c r="AK245" s="8"/>
      <c r="AL245" s="21">
        <f t="shared" si="117"/>
        <v>0</v>
      </c>
      <c r="AM245" s="22" t="e">
        <f t="shared" si="118"/>
        <v>#DIV/0!</v>
      </c>
      <c r="AO245" s="44">
        <f t="shared" si="119"/>
        <v>0</v>
      </c>
      <c r="AP245" s="44">
        <f t="shared" si="119"/>
        <v>0</v>
      </c>
    </row>
    <row r="246" spans="1:42" s="1" customFormat="1" ht="15.5">
      <c r="A246" s="26" t="s">
        <v>17</v>
      </c>
      <c r="B246" s="7">
        <f>'Bütçe aylık-Eur'!$B$155</f>
        <v>0</v>
      </c>
      <c r="C246" s="7">
        <f>'gerç aylık-eur'!$B$154</f>
        <v>0</v>
      </c>
      <c r="D246" s="8"/>
      <c r="E246" s="7">
        <f>'Bütçe aylık-Eur'!$C$155</f>
        <v>0</v>
      </c>
      <c r="F246" s="7">
        <f>'gerç aylık-eur'!$C$154</f>
        <v>0</v>
      </c>
      <c r="G246" s="8"/>
      <c r="H246" s="7">
        <f>'Bütçe aylık-Eur'!$D$155</f>
        <v>0</v>
      </c>
      <c r="I246" s="7">
        <f>'gerç aylık-eur'!$D$154</f>
        <v>0</v>
      </c>
      <c r="J246" s="8"/>
      <c r="K246" s="7">
        <f>'Bütçe aylık-Eur'!$E$155</f>
        <v>0</v>
      </c>
      <c r="L246" s="7">
        <f>'gerç aylık-eur'!$E$154</f>
        <v>0</v>
      </c>
      <c r="M246" s="8"/>
      <c r="N246" s="7">
        <f>'Bütçe aylık-Eur'!$F$155</f>
        <v>0</v>
      </c>
      <c r="O246" s="7">
        <f>'gerç aylık-eur'!$F$154</f>
        <v>0</v>
      </c>
      <c r="P246" s="8"/>
      <c r="Q246" s="7">
        <f>'Bütçe aylık-Eur'!$G$155</f>
        <v>0</v>
      </c>
      <c r="R246" s="7">
        <f>'gerç aylık-eur'!$G$154</f>
        <v>0</v>
      </c>
      <c r="S246" s="8"/>
      <c r="T246" s="7">
        <f>'Bütçe aylık-Eur'!$H$155</f>
        <v>0</v>
      </c>
      <c r="U246" s="7">
        <f>'gerç aylık-eur'!$H$154</f>
        <v>0</v>
      </c>
      <c r="V246" s="8"/>
      <c r="W246" s="7">
        <f>'Bütçe aylık-Eur'!$I$155</f>
        <v>0</v>
      </c>
      <c r="X246" s="7">
        <f>'gerç aylık-eur'!$I$154</f>
        <v>0</v>
      </c>
      <c r="Y246" s="8"/>
      <c r="Z246" s="7">
        <f>'Bütçe aylık-Eur'!$J$155</f>
        <v>0</v>
      </c>
      <c r="AA246" s="7">
        <f>'gerç aylık-eur'!$J$154</f>
        <v>0</v>
      </c>
      <c r="AB246" s="8"/>
      <c r="AC246" s="7">
        <f>'Bütçe aylık-Eur'!$K$155</f>
        <v>0</v>
      </c>
      <c r="AD246" s="7">
        <f>'gerç aylık-eur'!$K$154</f>
        <v>0</v>
      </c>
      <c r="AE246" s="8"/>
      <c r="AF246" s="7">
        <f>'Bütçe aylık-Eur'!$L$155</f>
        <v>0</v>
      </c>
      <c r="AG246" s="7">
        <f>'gerç aylık-eur'!$L$154</f>
        <v>0</v>
      </c>
      <c r="AH246" s="8"/>
      <c r="AI246" s="7">
        <f>'Bütçe aylık-Eur'!$M$155</f>
        <v>0</v>
      </c>
      <c r="AJ246" s="7">
        <f>'gerç aylık-eur'!$M$154</f>
        <v>0</v>
      </c>
      <c r="AK246" s="8"/>
      <c r="AL246" s="21">
        <f t="shared" si="117"/>
        <v>0</v>
      </c>
      <c r="AM246" s="22" t="e">
        <f t="shared" si="118"/>
        <v>#DIV/0!</v>
      </c>
      <c r="AO246" s="44">
        <f t="shared" si="119"/>
        <v>0</v>
      </c>
      <c r="AP246" s="44">
        <f t="shared" si="119"/>
        <v>0</v>
      </c>
    </row>
    <row r="247" spans="1:42" s="1" customFormat="1" ht="15.5">
      <c r="A247" s="26"/>
      <c r="B247" s="7"/>
      <c r="C247" s="8"/>
      <c r="D247" s="8"/>
      <c r="E247" s="7"/>
      <c r="F247" s="8"/>
      <c r="G247" s="8"/>
      <c r="H247" s="7"/>
      <c r="I247" s="8"/>
      <c r="J247" s="8"/>
      <c r="K247" s="7"/>
      <c r="L247" s="8"/>
      <c r="M247" s="8"/>
      <c r="N247" s="7"/>
      <c r="O247" s="8"/>
      <c r="P247" s="8"/>
      <c r="Q247" s="7"/>
      <c r="R247" s="8"/>
      <c r="S247" s="8"/>
      <c r="T247" s="7"/>
      <c r="U247" s="8"/>
      <c r="V247" s="8"/>
      <c r="W247" s="7"/>
      <c r="X247" s="8"/>
      <c r="Y247" s="8"/>
      <c r="Z247" s="7"/>
      <c r="AA247" s="8"/>
      <c r="AB247" s="8"/>
      <c r="AC247" s="7"/>
      <c r="AD247" s="8"/>
      <c r="AE247" s="8"/>
      <c r="AF247" s="7"/>
      <c r="AG247" s="8"/>
      <c r="AH247" s="8"/>
      <c r="AI247" s="7"/>
      <c r="AJ247" s="8"/>
      <c r="AK247" s="8"/>
      <c r="AL247" s="15"/>
      <c r="AM247" s="16"/>
      <c r="AO247" s="44"/>
      <c r="AP247" s="44"/>
    </row>
    <row r="248" spans="1:42" s="1" customFormat="1" ht="15.5">
      <c r="A248" s="26"/>
      <c r="B248" s="7"/>
      <c r="C248" s="8"/>
      <c r="D248" s="8"/>
      <c r="E248" s="7"/>
      <c r="F248" s="8"/>
      <c r="G248" s="8"/>
      <c r="H248" s="7"/>
      <c r="I248" s="8"/>
      <c r="J248" s="8"/>
      <c r="K248" s="7"/>
      <c r="L248" s="8"/>
      <c r="M248" s="8"/>
      <c r="N248" s="7"/>
      <c r="O248" s="8"/>
      <c r="P248" s="8"/>
      <c r="Q248" s="7"/>
      <c r="R248" s="8"/>
      <c r="S248" s="8"/>
      <c r="T248" s="7"/>
      <c r="U248" s="8"/>
      <c r="V248" s="8"/>
      <c r="W248" s="7"/>
      <c r="X248" s="8"/>
      <c r="Y248" s="8"/>
      <c r="Z248" s="7"/>
      <c r="AA248" s="8"/>
      <c r="AB248" s="8"/>
      <c r="AC248" s="7"/>
      <c r="AD248" s="8"/>
      <c r="AE248" s="8"/>
      <c r="AF248" s="7"/>
      <c r="AG248" s="8"/>
      <c r="AH248" s="8"/>
      <c r="AI248" s="7"/>
      <c r="AJ248" s="8"/>
      <c r="AK248" s="8"/>
      <c r="AL248" s="15"/>
      <c r="AM248" s="16"/>
      <c r="AO248" s="44"/>
      <c r="AP248" s="44"/>
    </row>
    <row r="249" spans="1:42" s="44" customFormat="1" ht="15.5">
      <c r="A249" s="31" t="s">
        <v>86</v>
      </c>
      <c r="B249" s="32">
        <f>'Bütçe aylık-Eur'!$B$160</f>
        <v>40134682.713244893</v>
      </c>
      <c r="C249" s="32">
        <f>'gerç aylık-eur'!$B$159</f>
        <v>41319909.321248107</v>
      </c>
      <c r="D249" s="18"/>
      <c r="E249" s="32">
        <f>'Bütçe aylık-Eur'!$C$160</f>
        <v>27845300.705257244</v>
      </c>
      <c r="F249" s="32">
        <f>'gerç aylık-eur'!$C$159</f>
        <v>38936517.270258456</v>
      </c>
      <c r="G249" s="18"/>
      <c r="H249" s="32">
        <f>'Bütçe aylık-Eur'!$D$160</f>
        <v>28220490.89576824</v>
      </c>
      <c r="I249" s="32">
        <f>'gerç aylık-eur'!$D$159</f>
        <v>41084822.773632959</v>
      </c>
      <c r="J249" s="18"/>
      <c r="K249" s="32">
        <f>'Bütçe aylık-Eur'!$E$160</f>
        <v>24109733.867843777</v>
      </c>
      <c r="L249" s="32">
        <f>'gerç aylık-eur'!$E$159</f>
        <v>30731239.148120958</v>
      </c>
      <c r="M249" s="18"/>
      <c r="N249" s="32">
        <f>'Bütçe aylık-Eur'!$F$160</f>
        <v>25872330.734179795</v>
      </c>
      <c r="O249" s="32">
        <f>'gerç aylık-eur'!$F$159</f>
        <v>28707186.355845306</v>
      </c>
      <c r="P249" s="18"/>
      <c r="Q249" s="32">
        <f>'Bütçe aylık-Eur'!$G$160</f>
        <v>29368993.068703972</v>
      </c>
      <c r="R249" s="32">
        <f>'gerç aylık-eur'!$G$159</f>
        <v>31088043.080712806</v>
      </c>
      <c r="S249" s="18"/>
      <c r="T249" s="32">
        <f>'Bütçe aylık-Eur'!$H$160</f>
        <v>28401237.447303653</v>
      </c>
      <c r="U249" s="32">
        <f>'gerç aylık-eur'!$H$159</f>
        <v>33100061.965776108</v>
      </c>
      <c r="V249" s="18"/>
      <c r="W249" s="32">
        <f>'Bütçe aylık-Eur'!$I$160</f>
        <v>29302147.110215943</v>
      </c>
      <c r="X249" s="32">
        <f>'gerç aylık-eur'!$I$159</f>
        <v>33849218.821108632</v>
      </c>
      <c r="Y249" s="18"/>
      <c r="Z249" s="32">
        <f>'Bütçe aylık-Eur'!$J$160</f>
        <v>33488234.406664651</v>
      </c>
      <c r="AA249" s="32">
        <f>'gerç aylık-eur'!$J$159</f>
        <v>32990715.087046489</v>
      </c>
      <c r="AB249" s="18"/>
      <c r="AC249" s="32">
        <f>'Bütçe aylık-Eur'!$K$160</f>
        <v>30595319.966970384</v>
      </c>
      <c r="AD249" s="32">
        <f>'gerç aylık-eur'!$K$159</f>
        <v>0</v>
      </c>
      <c r="AE249" s="18"/>
      <c r="AF249" s="32">
        <f>'Bütçe aylık-Eur'!$L$160</f>
        <v>33980702.482740521</v>
      </c>
      <c r="AG249" s="32">
        <f>'gerç aylık-eur'!$L$159</f>
        <v>0</v>
      </c>
      <c r="AH249" s="18"/>
      <c r="AI249" s="32">
        <f>'Bütçe aylık-Eur'!$M$160</f>
        <v>38077783.067996696</v>
      </c>
      <c r="AJ249" s="32">
        <f>'gerç aylık-eur'!$M$159</f>
        <v>0</v>
      </c>
      <c r="AK249" s="18"/>
      <c r="AL249" s="33">
        <f>AP249-AO249</f>
        <v>-497519.31961816177</v>
      </c>
      <c r="AM249" s="34">
        <f>AP249/AO249-1</f>
        <v>-1.4856540765229131E-2</v>
      </c>
      <c r="AO249" s="44">
        <f>IF($A$1=$B$1,B249,IF($A$1=$E$1,E249,IF($A$1=$H$1,H249,IF($A$1=$K$1,K249,IF($A$1=$N$1,N249,IF($A$1=$Q$1,Q249,IF($A$1=$T$1,T249,IF($A$1=$W$1,W249,IF($A$1=$Z$1,Z249,IF($A$1=$AC$1,AC249,IF($A$1=$AF$1,AF249,IF($A$1=$AI$1,AI249))))))))))))</f>
        <v>33488234.406664651</v>
      </c>
      <c r="AP249" s="44">
        <f>IF($A$1=$B$1,C249,IF($A$1=$E$1,F249,IF($A$1=$H$1,I249,IF($A$1=$K$1,L249,IF($A$1=$N$1,O249,IF($A$1=$Q$1,R249,IF($A$1=$T$1,U249,IF($A$1=$W$1,X249,IF($A$1=$Z$1,AA249,IF($A$1=$AC$1,AD249,IF($A$1=$AF$1,AG249,IF($A$1=$AI$1,AJ249))))))))))))</f>
        <v>32990715.087046489</v>
      </c>
    </row>
    <row r="250" spans="1:42" s="13" customFormat="1" ht="15.5">
      <c r="A250" s="27"/>
      <c r="B250" s="30"/>
      <c r="C250" s="30"/>
      <c r="D250" s="41"/>
      <c r="E250" s="30"/>
      <c r="F250" s="30"/>
      <c r="G250" s="41"/>
      <c r="H250" s="30"/>
      <c r="I250" s="30"/>
      <c r="J250" s="41"/>
      <c r="K250" s="30"/>
      <c r="L250" s="30"/>
      <c r="M250" s="41"/>
      <c r="N250" s="30"/>
      <c r="O250" s="30"/>
      <c r="P250" s="41"/>
      <c r="Q250" s="30"/>
      <c r="R250" s="30"/>
      <c r="S250" s="41"/>
      <c r="T250" s="30"/>
      <c r="U250" s="30"/>
      <c r="V250" s="41"/>
      <c r="W250" s="30"/>
      <c r="X250" s="30"/>
      <c r="Y250" s="41"/>
      <c r="Z250" s="30"/>
      <c r="AA250" s="30"/>
      <c r="AB250" s="41"/>
      <c r="AC250" s="30"/>
      <c r="AD250" s="30"/>
      <c r="AE250" s="41"/>
      <c r="AF250" s="30"/>
      <c r="AG250" s="30"/>
      <c r="AH250" s="41"/>
      <c r="AI250" s="30"/>
      <c r="AJ250" s="30"/>
      <c r="AK250" s="41"/>
      <c r="AL250" s="15"/>
      <c r="AM250" s="22"/>
      <c r="AO250" s="44">
        <f>IF($A$1=$B$1,B250,IF($A$1=$E$1,E250,IF($A$1=$H$1,H250,IF($A$1=$K$1,K250,IF($A$1=$N$1,N250,IF($A$1=$Q$1,Q250,IF($A$1=$T$1,T250,IF($A$1=$W$1,W250,IF($A$1=$Z$1,Z250,IF($A$1=$AC$1,AC250,IF($A$1=$AF$1,AF250,IF($A$1=$AI$1,AI250))))))))))))</f>
        <v>0</v>
      </c>
      <c r="AP250" s="44">
        <f>IF($A$1=$B$1,C250,IF($A$1=$E$1,F250,IF($A$1=$H$1,I250,IF($A$1=$K$1,L250,IF($A$1=$N$1,O250,IF($A$1=$Q$1,R250,IF($A$1=$T$1,U250,IF($A$1=$W$1,X250,IF($A$1=$Z$1,AA250,IF($A$1=$AC$1,AD250,IF($A$1=$AF$1,AG250,IF($A$1=$AI$1,AJ250))))))))))))</f>
        <v>0</v>
      </c>
    </row>
    <row r="251" spans="1:42" s="49" customFormat="1" ht="17">
      <c r="A251" s="47" t="s">
        <v>87</v>
      </c>
      <c r="B251" s="413"/>
      <c r="C251" s="413"/>
      <c r="D251" s="413"/>
      <c r="E251" s="413"/>
      <c r="F251" s="413"/>
      <c r="G251" s="413"/>
      <c r="H251" s="413"/>
      <c r="I251" s="413"/>
      <c r="J251" s="413"/>
      <c r="K251" s="413"/>
      <c r="L251" s="413"/>
      <c r="M251" s="413"/>
      <c r="N251" s="413"/>
      <c r="O251" s="413"/>
      <c r="P251" s="413"/>
      <c r="Q251" s="413"/>
      <c r="R251" s="413"/>
      <c r="S251" s="413"/>
      <c r="T251" s="413"/>
      <c r="U251" s="413"/>
      <c r="V251" s="413"/>
      <c r="W251" s="413"/>
      <c r="X251" s="413"/>
      <c r="Y251" s="413"/>
      <c r="Z251" s="413"/>
      <c r="AA251" s="413"/>
      <c r="AB251" s="413"/>
      <c r="AC251" s="413"/>
      <c r="AD251" s="413"/>
      <c r="AE251" s="413"/>
      <c r="AF251" s="413"/>
      <c r="AG251" s="413"/>
      <c r="AH251" s="413"/>
      <c r="AI251" s="413"/>
      <c r="AJ251" s="413"/>
      <c r="AK251" s="413"/>
      <c r="AL251" s="413"/>
      <c r="AM251" s="48"/>
    </row>
    <row r="252" spans="1:42" ht="15.5">
      <c r="A252" s="26" t="s">
        <v>10</v>
      </c>
      <c r="B252" s="7">
        <f>'Bütçe aylık-Eur'!$B$161</f>
        <v>23979154.75612228</v>
      </c>
      <c r="C252" s="7">
        <f>'gerç aylık-eur'!$B$160</f>
        <v>25017917.400184136</v>
      </c>
      <c r="D252" s="7"/>
      <c r="E252" s="7">
        <f>'Bütçe aylık-Eur'!$C$161</f>
        <v>13503015.999780258</v>
      </c>
      <c r="F252" s="7">
        <f>'gerç aylık-eur'!$C$160</f>
        <v>25516514.814845897</v>
      </c>
      <c r="G252" s="7"/>
      <c r="H252" s="7">
        <f>'Bütçe aylık-Eur'!$D$161</f>
        <v>10522343.839084664</v>
      </c>
      <c r="I252" s="7">
        <f>'gerç aylık-eur'!$D$160</f>
        <v>23631542.238813836</v>
      </c>
      <c r="J252" s="7"/>
      <c r="K252" s="7">
        <f>'Bütçe aylık-Eur'!$E$161</f>
        <v>10255115.456629602</v>
      </c>
      <c r="L252" s="7">
        <f>'gerç aylık-eur'!$E$160</f>
        <v>15093147.764769902</v>
      </c>
      <c r="M252" s="7"/>
      <c r="N252" s="7">
        <f>'Bütçe aylık-Eur'!$F$161</f>
        <v>10662585.527320944</v>
      </c>
      <c r="O252" s="7">
        <f>'gerç aylık-eur'!$F$160</f>
        <v>15865222.325843653</v>
      </c>
      <c r="P252" s="7"/>
      <c r="Q252" s="7">
        <f>'Bütçe aylık-Eur'!$G$161</f>
        <v>9569446.5913247932</v>
      </c>
      <c r="R252" s="7">
        <f>'gerç aylık-eur'!$G$160</f>
        <v>15508820.911184296</v>
      </c>
      <c r="S252" s="7"/>
      <c r="T252" s="7">
        <f>'Bütçe aylık-Eur'!$H$161</f>
        <v>9543711.4815096855</v>
      </c>
      <c r="U252" s="7">
        <f>'gerç aylık-eur'!$H$160</f>
        <v>18608467.26229687</v>
      </c>
      <c r="V252" s="7"/>
      <c r="W252" s="7">
        <f>'Bütçe aylık-Eur'!$I$161</f>
        <v>10036716.251756361</v>
      </c>
      <c r="X252" s="7">
        <f>'gerç aylık-eur'!$I$160</f>
        <v>19135505.520218484</v>
      </c>
      <c r="Y252" s="7"/>
      <c r="Z252" s="7">
        <f>'Bütçe aylık-Eur'!$J$161</f>
        <v>9800493.9887088854</v>
      </c>
      <c r="AA252" s="7">
        <f>'gerç aylık-eur'!$J$160</f>
        <v>17091703.990608908</v>
      </c>
      <c r="AB252" s="7"/>
      <c r="AC252" s="7">
        <f>'Bütçe aylık-Eur'!$K$161</f>
        <v>9814495.6509775184</v>
      </c>
      <c r="AD252" s="7">
        <f>'gerç aylık-eur'!$K$160</f>
        <v>0</v>
      </c>
      <c r="AE252" s="7"/>
      <c r="AF252" s="7">
        <f>'Bütçe aylık-Eur'!$L$161</f>
        <v>11311930.778356899</v>
      </c>
      <c r="AG252" s="7">
        <f>'gerç aylık-eur'!$L$160</f>
        <v>0</v>
      </c>
      <c r="AH252" s="7"/>
      <c r="AI252" s="7">
        <f>'Bütçe aylık-Eur'!$M$161</f>
        <v>10470814.648100376</v>
      </c>
      <c r="AJ252" s="7">
        <f>'gerç aylık-eur'!$M$160</f>
        <v>0</v>
      </c>
      <c r="AK252" s="7"/>
      <c r="AL252" s="21">
        <f t="shared" ref="AL252:AL259" si="120">AP252-AO252</f>
        <v>7291210.0019000228</v>
      </c>
      <c r="AM252" s="22">
        <f t="shared" ref="AM252:AM259" si="121">AP252/AO252-1</f>
        <v>0.74396351962464347</v>
      </c>
      <c r="AO252" s="44">
        <f t="shared" ref="AO252:AP259" si="122">IF($A$1=$B$1,B252,IF($A$1=$E$1,E252,IF($A$1=$H$1,H252,IF($A$1=$K$1,K252,IF($A$1=$N$1,N252,IF($A$1=$Q$1,Q252,IF($A$1=$T$1,T252,IF($A$1=$W$1,W252,IF($A$1=$Z$1,Z252,IF($A$1=$AC$1,AC252,IF($A$1=$AF$1,AF252,IF($A$1=$AI$1,AI252))))))))))))</f>
        <v>9800493.9887088854</v>
      </c>
      <c r="AP252" s="44">
        <f t="shared" si="122"/>
        <v>17091703.990608908</v>
      </c>
    </row>
    <row r="253" spans="1:42" ht="15.5">
      <c r="A253" s="26" t="s">
        <v>11</v>
      </c>
      <c r="B253" s="7">
        <f>'Bütçe aylık-Eur'!$B$162</f>
        <v>9056.9735898133058</v>
      </c>
      <c r="C253" s="7">
        <f>'gerç aylık-eur'!$B$161</f>
        <v>165537.13788578007</v>
      </c>
      <c r="D253" s="7"/>
      <c r="E253" s="7">
        <f>'Bütçe aylık-Eur'!$C$162</f>
        <v>17580.214254479342</v>
      </c>
      <c r="F253" s="7">
        <f>'gerç aylık-eur'!$C$161</f>
        <v>39119.295874448879</v>
      </c>
      <c r="G253" s="7"/>
      <c r="H253" s="7">
        <f>'Bütçe aylık-Eur'!$D$162</f>
        <v>17450.87937459824</v>
      </c>
      <c r="I253" s="7">
        <f>'gerç aylık-eur'!$D$161</f>
        <v>23666.651188273765</v>
      </c>
      <c r="J253" s="7"/>
      <c r="K253" s="7">
        <f>'Bütçe aylık-Eur'!$E$162</f>
        <v>14477.878363579277</v>
      </c>
      <c r="L253" s="7">
        <f>'gerç aylık-eur'!$E$161</f>
        <v>958967.87743385718</v>
      </c>
      <c r="M253" s="7"/>
      <c r="N253" s="7">
        <f>'Bütçe aylık-Eur'!$F$162</f>
        <v>1122.1068268105209</v>
      </c>
      <c r="O253" s="7">
        <f>'gerç aylık-eur'!$F$161</f>
        <v>252698.49956856243</v>
      </c>
      <c r="P253" s="7"/>
      <c r="Q253" s="7">
        <f>'Bütçe aylık-Eur'!$G$162</f>
        <v>7557.2714605575684</v>
      </c>
      <c r="R253" s="7">
        <f>'gerç aylık-eur'!$G$161</f>
        <v>61169.872789060122</v>
      </c>
      <c r="S253" s="7"/>
      <c r="T253" s="7">
        <f>'Bütçe aylık-Eur'!$H$162</f>
        <v>8145.5587077469627</v>
      </c>
      <c r="U253" s="7">
        <f>'gerç aylık-eur'!$H$161</f>
        <v>59625.146573327293</v>
      </c>
      <c r="V253" s="7"/>
      <c r="W253" s="7">
        <f>'Bütçe aylık-Eur'!$I$162</f>
        <v>11398.446115381925</v>
      </c>
      <c r="X253" s="7">
        <f>'gerç aylık-eur'!$I$161</f>
        <v>32919.093223478099</v>
      </c>
      <c r="Y253" s="7"/>
      <c r="Z253" s="7">
        <f>'Bütçe aylık-Eur'!$J$162</f>
        <v>17139.583405154834</v>
      </c>
      <c r="AA253" s="7">
        <f>'gerç aylık-eur'!$J$161</f>
        <v>47905.157057139157</v>
      </c>
      <c r="AB253" s="7"/>
      <c r="AC253" s="7">
        <f>'Bütçe aylık-Eur'!$K$162</f>
        <v>2713.6001645937627</v>
      </c>
      <c r="AD253" s="7">
        <f>'gerç aylık-eur'!$K$161</f>
        <v>0</v>
      </c>
      <c r="AE253" s="7"/>
      <c r="AF253" s="7">
        <f>'Bütçe aylık-Eur'!$L$162</f>
        <v>8536.1912433614707</v>
      </c>
      <c r="AG253" s="7">
        <f>'gerç aylık-eur'!$L$161</f>
        <v>0</v>
      </c>
      <c r="AH253" s="7"/>
      <c r="AI253" s="7">
        <f>'Bütçe aylık-Eur'!$M$162</f>
        <v>2740.0960826557825</v>
      </c>
      <c r="AJ253" s="7">
        <f>'gerç aylık-eur'!$M$161</f>
        <v>0</v>
      </c>
      <c r="AK253" s="7"/>
      <c r="AL253" s="21">
        <f t="shared" si="120"/>
        <v>30765.573651984323</v>
      </c>
      <c r="AM253" s="22">
        <f t="shared" si="121"/>
        <v>1.7950012508898783</v>
      </c>
      <c r="AO253" s="44">
        <f t="shared" si="122"/>
        <v>17139.583405154834</v>
      </c>
      <c r="AP253" s="44">
        <f t="shared" si="122"/>
        <v>47905.157057139157</v>
      </c>
    </row>
    <row r="254" spans="1:42" ht="15.5">
      <c r="A254" s="26" t="s">
        <v>12</v>
      </c>
      <c r="B254" s="7">
        <f>'Bütçe aylık-Eur'!$B$163</f>
        <v>4.2632131699879517E-3</v>
      </c>
      <c r="C254" s="7">
        <f>'gerç aylık-eur'!$B$162</f>
        <v>146950.95254999411</v>
      </c>
      <c r="D254" s="7"/>
      <c r="E254" s="7">
        <f>'Bütçe aylık-Eur'!$C$163</f>
        <v>8.1951501124569968E-3</v>
      </c>
      <c r="F254" s="7">
        <f>'gerç aylık-eur'!$C$162</f>
        <v>92367.153054797396</v>
      </c>
      <c r="G254" s="7"/>
      <c r="H254" s="7">
        <f>'Bütçe aylık-Eur'!$D$163</f>
        <v>-6.9919250952060214E-3</v>
      </c>
      <c r="I254" s="7">
        <f>'gerç aylık-eur'!$D$162</f>
        <v>224751.57179394574</v>
      </c>
      <c r="J254" s="7"/>
      <c r="K254" s="7">
        <f>'Bütçe aylık-Eur'!$E$163</f>
        <v>8.307566718995291E-3</v>
      </c>
      <c r="L254" s="7">
        <f>'gerç aylık-eur'!$E$162</f>
        <v>70176.853806042243</v>
      </c>
      <c r="M254" s="7"/>
      <c r="N254" s="7">
        <f>'Bütçe aylık-Eur'!$F$163</f>
        <v>-2.6886177519400861E-3</v>
      </c>
      <c r="O254" s="7">
        <f>'gerç aylık-eur'!$F$162</f>
        <v>117389.84789002182</v>
      </c>
      <c r="P254" s="7"/>
      <c r="Q254" s="7">
        <f>'Bütçe aylık-Eur'!$G$163</f>
        <v>6.4656369274232166E-3</v>
      </c>
      <c r="R254" s="7">
        <f>'gerç aylık-eur'!$G$162</f>
        <v>74235.058836670782</v>
      </c>
      <c r="S254" s="7"/>
      <c r="T254" s="7">
        <f>'Bütçe aylık-Eur'!$H$163</f>
        <v>-5.3135879399848962E-3</v>
      </c>
      <c r="U254" s="7">
        <f>'gerç aylık-eur'!$H$162</f>
        <v>29679.206472746555</v>
      </c>
      <c r="V254" s="7"/>
      <c r="W254" s="7">
        <f>'Bütçe aylık-Eur'!$I$163</f>
        <v>6.5069854227405247E-3</v>
      </c>
      <c r="X254" s="7">
        <f>'gerç aylık-eur'!$I$162</f>
        <v>152813.23703909878</v>
      </c>
      <c r="Y254" s="7"/>
      <c r="Z254" s="7">
        <f>'Bütçe aylık-Eur'!$J$163</f>
        <v>-3.0785552902572377E-3</v>
      </c>
      <c r="AA254" s="7">
        <f>'gerç aylık-eur'!$J$162</f>
        <v>68368.295445435462</v>
      </c>
      <c r="AB254" s="7"/>
      <c r="AC254" s="7">
        <f>'Bütçe aylık-Eur'!$K$163</f>
        <v>1.1216201304769819E-2</v>
      </c>
      <c r="AD254" s="7">
        <f>'gerç aylık-eur'!$K$162</f>
        <v>0</v>
      </c>
      <c r="AE254" s="7"/>
      <c r="AF254" s="7">
        <f>'Bütçe aylık-Eur'!$L$163</f>
        <v>2.7535259752191074E-3</v>
      </c>
      <c r="AG254" s="7">
        <f>'gerç aylık-eur'!$L$162</f>
        <v>0</v>
      </c>
      <c r="AH254" s="7"/>
      <c r="AI254" s="7">
        <f>'Bütçe aylık-Eur'!$M$163</f>
        <v>-1.0028429931972789E-2</v>
      </c>
      <c r="AJ254" s="7">
        <f>'gerç aylık-eur'!$M$162</f>
        <v>0</v>
      </c>
      <c r="AK254" s="7"/>
      <c r="AL254" s="21">
        <f t="shared" si="120"/>
        <v>68368.298523990758</v>
      </c>
      <c r="AM254" s="22">
        <f t="shared" si="121"/>
        <v>-22207916.401682701</v>
      </c>
      <c r="AO254" s="44">
        <f t="shared" si="122"/>
        <v>-3.0785552902572377E-3</v>
      </c>
      <c r="AP254" s="44">
        <f t="shared" si="122"/>
        <v>68368.295445435462</v>
      </c>
    </row>
    <row r="255" spans="1:42" ht="15.5">
      <c r="A255" s="26" t="s">
        <v>13</v>
      </c>
      <c r="B255" s="7">
        <f>'Bütçe aylık-Eur'!$B$164</f>
        <v>5866951.2365249656</v>
      </c>
      <c r="C255" s="7">
        <f>'gerç aylık-eur'!$B$163</f>
        <v>7240613.4513989743</v>
      </c>
      <c r="D255" s="7"/>
      <c r="E255" s="7">
        <f>'Bütçe aylık-Eur'!$C$164</f>
        <v>4905690.2195044048</v>
      </c>
      <c r="F255" s="7">
        <f>'gerç aylık-eur'!$C$163</f>
        <v>4360779.1951501155</v>
      </c>
      <c r="G255" s="7"/>
      <c r="H255" s="7">
        <f>'Bütçe aylık-Eur'!$D$164</f>
        <v>4672842.5258693518</v>
      </c>
      <c r="I255" s="7">
        <f>'gerç aylık-eur'!$D$163</f>
        <v>2898925.4676919258</v>
      </c>
      <c r="J255" s="7"/>
      <c r="K255" s="7">
        <f>'Bütçe aylık-Eur'!$E$164</f>
        <v>4522252.8341643699</v>
      </c>
      <c r="L255" s="7">
        <f>'gerç aylık-eur'!$E$163</f>
        <v>3093956.2970908163</v>
      </c>
      <c r="M255" s="7"/>
      <c r="N255" s="7">
        <f>'Bütçe aylık-Eur'!$F$164</f>
        <v>4442700.3414029488</v>
      </c>
      <c r="O255" s="7">
        <f>'gerç aylık-eur'!$F$163</f>
        <v>3721611.6528757233</v>
      </c>
      <c r="P255" s="7"/>
      <c r="Q255" s="7">
        <f>'Bütçe aylık-Eur'!$G$164</f>
        <v>3867583.0523899593</v>
      </c>
      <c r="R255" s="7">
        <f>'gerç aylık-eur'!$G$163</f>
        <v>1556714.726810103</v>
      </c>
      <c r="S255" s="7"/>
      <c r="T255" s="7">
        <f>'Bütçe aylık-Eur'!$H$164</f>
        <v>4357367.6092203874</v>
      </c>
      <c r="U255" s="7">
        <f>'gerç aylık-eur'!$H$163</f>
        <v>2231928.411795144</v>
      </c>
      <c r="V255" s="7"/>
      <c r="W255" s="7">
        <f>'Bütçe aylık-Eur'!$I$164</f>
        <v>4405958.3089387519</v>
      </c>
      <c r="X255" s="7">
        <f>'gerç aylık-eur'!$I$163</f>
        <v>3995914.256085183</v>
      </c>
      <c r="Y255" s="7"/>
      <c r="Z255" s="7">
        <f>'Bütçe aylık-Eur'!$J$164</f>
        <v>3716192.3453137907</v>
      </c>
      <c r="AA255" s="7">
        <f>'gerç aylık-eur'!$J$163</f>
        <v>3471586.8174464465</v>
      </c>
      <c r="AB255" s="7"/>
      <c r="AC255" s="7">
        <f>'Bütçe aylık-Eur'!$K$164</f>
        <v>2917232.7014143937</v>
      </c>
      <c r="AD255" s="7">
        <f>'gerç aylık-eur'!$K$163</f>
        <v>0</v>
      </c>
      <c r="AE255" s="7"/>
      <c r="AF255" s="7">
        <f>'Bütçe aylık-Eur'!$L$164</f>
        <v>2851138.8673350471</v>
      </c>
      <c r="AG255" s="7">
        <f>'gerç aylık-eur'!$L$163</f>
        <v>0</v>
      </c>
      <c r="AH255" s="7"/>
      <c r="AI255" s="7">
        <f>'Bütçe aylık-Eur'!$M$164</f>
        <v>3875401.2660953472</v>
      </c>
      <c r="AJ255" s="7">
        <f>'gerç aylık-eur'!$M$163</f>
        <v>0</v>
      </c>
      <c r="AK255" s="7"/>
      <c r="AL255" s="21">
        <f t="shared" si="120"/>
        <v>-244605.52786734421</v>
      </c>
      <c r="AM255" s="22">
        <f t="shared" si="121"/>
        <v>-6.5821546663427655E-2</v>
      </c>
      <c r="AO255" s="44">
        <f t="shared" si="122"/>
        <v>3716192.3453137907</v>
      </c>
      <c r="AP255" s="44">
        <f t="shared" si="122"/>
        <v>3471586.8174464465</v>
      </c>
    </row>
    <row r="256" spans="1:42" s="1" customFormat="1" ht="15.5">
      <c r="A256" s="26" t="s">
        <v>14</v>
      </c>
      <c r="B256" s="7">
        <f>'Bütçe aylık-Eur'!$B$165</f>
        <v>1602174.7421430019</v>
      </c>
      <c r="C256" s="7">
        <f>'gerç aylık-eur'!$B$164</f>
        <v>796564.25517152366</v>
      </c>
      <c r="D256" s="8"/>
      <c r="E256" s="7">
        <f>'Bütçe aylık-Eur'!$C$165</f>
        <v>1883834.2538189928</v>
      </c>
      <c r="F256" s="7">
        <f>'gerç aylık-eur'!$C$164</f>
        <v>645764.42105815664</v>
      </c>
      <c r="G256" s="8"/>
      <c r="H256" s="7">
        <f>'Bütçe aylık-Eur'!$D$165</f>
        <v>699769.91031290579</v>
      </c>
      <c r="I256" s="7">
        <f>'gerç aylık-eur'!$D$164</f>
        <v>2363380.8719003289</v>
      </c>
      <c r="J256" s="8"/>
      <c r="K256" s="7">
        <f>'Bütçe aylık-Eur'!$E$165</f>
        <v>858214.03818720253</v>
      </c>
      <c r="L256" s="7">
        <f>'gerç aylık-eur'!$E$164</f>
        <v>2506225.653187077</v>
      </c>
      <c r="M256" s="8"/>
      <c r="N256" s="7">
        <f>'Bütçe aylık-Eur'!$F$165</f>
        <v>769826.93272168981</v>
      </c>
      <c r="O256" s="7">
        <f>'gerç aylık-eur'!$F$164</f>
        <v>1957287.4234819496</v>
      </c>
      <c r="P256" s="8"/>
      <c r="Q256" s="7">
        <f>'Bütçe aylık-Eur'!$G$165</f>
        <v>1540227.0455505054</v>
      </c>
      <c r="R256" s="7">
        <f>'gerç aylık-eur'!$G$164</f>
        <v>1358723.2979468387</v>
      </c>
      <c r="S256" s="8"/>
      <c r="T256" s="7">
        <f>'Bütçe aylık-Eur'!$H$165</f>
        <v>918140.09816812875</v>
      </c>
      <c r="U256" s="7">
        <f>'gerç aylık-eur'!$H$164</f>
        <v>2382930.2742877668</v>
      </c>
      <c r="V256" s="8"/>
      <c r="W256" s="7">
        <f>'Bütçe aylık-Eur'!$I$165</f>
        <v>1381234.3658162798</v>
      </c>
      <c r="X256" s="7">
        <f>'gerç aylık-eur'!$I$164</f>
        <v>2409644.8504837384</v>
      </c>
      <c r="Y256" s="8"/>
      <c r="Z256" s="7">
        <f>'Bütçe aylık-Eur'!$J$165</f>
        <v>1621111.2144241144</v>
      </c>
      <c r="AA256" s="7">
        <f>'gerç aylık-eur'!$J$164</f>
        <v>1603079.2023910594</v>
      </c>
      <c r="AB256" s="8"/>
      <c r="AC256" s="7">
        <f>'Bütçe aylık-Eur'!$K$165</f>
        <v>903932.0276087852</v>
      </c>
      <c r="AD256" s="7">
        <f>'gerç aylık-eur'!$K$164</f>
        <v>0</v>
      </c>
      <c r="AE256" s="8"/>
      <c r="AF256" s="7">
        <f>'Bütçe aylık-Eur'!$L$165</f>
        <v>1840192.5537057773</v>
      </c>
      <c r="AG256" s="7">
        <f>'gerç aylık-eur'!$L$164</f>
        <v>0</v>
      </c>
      <c r="AH256" s="8"/>
      <c r="AI256" s="7">
        <f>'Bütçe aylık-Eur'!$M$165</f>
        <v>2143759.1538198856</v>
      </c>
      <c r="AJ256" s="7">
        <f>'gerç aylık-eur'!$M$164</f>
        <v>0</v>
      </c>
      <c r="AK256" s="8"/>
      <c r="AL256" s="21">
        <f t="shared" si="120"/>
        <v>-18032.012033055071</v>
      </c>
      <c r="AM256" s="22">
        <f t="shared" si="121"/>
        <v>-1.1123241806368478E-2</v>
      </c>
      <c r="AO256" s="44">
        <f t="shared" si="122"/>
        <v>1621111.2144241144</v>
      </c>
      <c r="AP256" s="44">
        <f t="shared" si="122"/>
        <v>1603079.2023910594</v>
      </c>
    </row>
    <row r="257" spans="1:44" ht="15.5">
      <c r="A257" s="26" t="s">
        <v>15</v>
      </c>
      <c r="B257" s="7">
        <f>'Bütçe aylık-Eur'!$B$166</f>
        <v>6126231.2503359998</v>
      </c>
      <c r="C257" s="7">
        <f>'gerç aylık-eur'!$B$165</f>
        <v>8176307.5499999998</v>
      </c>
      <c r="D257" s="7"/>
      <c r="E257" s="7">
        <f>'Bütçe aylık-Eur'!$C$166</f>
        <v>6434386.3653509999</v>
      </c>
      <c r="F257" s="7">
        <f>'gerç aylık-eur'!$C$165</f>
        <v>5105706.58</v>
      </c>
      <c r="G257" s="7"/>
      <c r="H257" s="7">
        <f>'Bütçe aylık-Eur'!$D$166</f>
        <v>8704545.1007010005</v>
      </c>
      <c r="I257" s="7">
        <f>'gerç aylık-eur'!$D$165</f>
        <v>3716834.46</v>
      </c>
      <c r="J257" s="7"/>
      <c r="K257" s="7">
        <f>'Bütçe aylık-Eur'!$E$166</f>
        <v>6028791.141108999</v>
      </c>
      <c r="L257" s="7">
        <f>'gerç aylık-eur'!$E$165</f>
        <v>5231278.49</v>
      </c>
      <c r="M257" s="7"/>
      <c r="N257" s="7">
        <f>'Bütçe aylık-Eur'!$F$166</f>
        <v>6549153.8382550003</v>
      </c>
      <c r="O257" s="7">
        <f>'gerç aylık-eur'!$F$165</f>
        <v>2386392.87</v>
      </c>
      <c r="P257" s="7"/>
      <c r="Q257" s="7">
        <f>'Bütçe aylık-Eur'!$G$166</f>
        <v>8431690.774487</v>
      </c>
      <c r="R257" s="7">
        <f>'gerç aylık-eur'!$G$165</f>
        <v>3324160.27</v>
      </c>
      <c r="S257" s="7"/>
      <c r="T257" s="7">
        <f>'Bütçe aylık-Eur'!$H$166</f>
        <v>9410637.3285639994</v>
      </c>
      <c r="U257" s="7">
        <f>'gerç aylık-eur'!$H$165</f>
        <v>6850161.1400000006</v>
      </c>
      <c r="V257" s="7"/>
      <c r="W257" s="7">
        <f>'Bütçe aylık-Eur'!$I$166</f>
        <v>10030741.338553</v>
      </c>
      <c r="X257" s="7">
        <f>'gerç aylık-eur'!$I$165</f>
        <v>7307009.0199999996</v>
      </c>
      <c r="Y257" s="7"/>
      <c r="Z257" s="7">
        <f>'Bütçe aylık-Eur'!$J$166</f>
        <v>13264540.672984002</v>
      </c>
      <c r="AA257" s="7">
        <f>'gerç aylık-eur'!$J$165</f>
        <v>8134848</v>
      </c>
      <c r="AB257" s="7"/>
      <c r="AC257" s="7">
        <f>'Bütçe aylık-Eur'!$K$166</f>
        <v>14507966.191679999</v>
      </c>
      <c r="AD257" s="7">
        <f>'gerç aylık-eur'!$K$165</f>
        <v>0</v>
      </c>
      <c r="AE257" s="7"/>
      <c r="AF257" s="7">
        <f>'Bütçe aylık-Eur'!$L$166</f>
        <v>16503196.753796</v>
      </c>
      <c r="AG257" s="7">
        <f>'gerç aylık-eur'!$L$165</f>
        <v>0</v>
      </c>
      <c r="AH257" s="7"/>
      <c r="AI257" s="7">
        <f>'Bütçe aylık-Eur'!$M$166</f>
        <v>14707174.447736001</v>
      </c>
      <c r="AJ257" s="7">
        <f>'gerç aylık-eur'!$M$165</f>
        <v>0</v>
      </c>
      <c r="AK257" s="7"/>
      <c r="AL257" s="21">
        <f t="shared" si="120"/>
        <v>-5129692.6729840022</v>
      </c>
      <c r="AM257" s="22">
        <f t="shared" si="121"/>
        <v>-0.386722224270584</v>
      </c>
      <c r="AO257" s="44">
        <f t="shared" si="122"/>
        <v>13264540.672984002</v>
      </c>
      <c r="AP257" s="44">
        <f t="shared" si="122"/>
        <v>8134848</v>
      </c>
    </row>
    <row r="258" spans="1:44" s="1" customFormat="1" ht="15.5">
      <c r="A258" s="26" t="s">
        <v>16</v>
      </c>
      <c r="B258" s="7">
        <f>'Bütçe aylık-Eur'!$B$167</f>
        <v>16263649.335984999</v>
      </c>
      <c r="C258" s="7">
        <f>'gerç aylık-eur'!$B$166</f>
        <v>15586616.51</v>
      </c>
      <c r="D258" s="8"/>
      <c r="E258" s="7">
        <f>'Bütçe aylık-Eur'!$C$167</f>
        <v>14675847.500402</v>
      </c>
      <c r="F258" s="7">
        <f>'gerç aylık-eur'!$C$166</f>
        <v>19661179.25</v>
      </c>
      <c r="G258" s="8"/>
      <c r="H258" s="7">
        <f>'Bütçe aylık-Eur'!$D$167</f>
        <v>18736710.437259998</v>
      </c>
      <c r="I258" s="7">
        <f>'gerç aylık-eur'!$D$166</f>
        <v>16422110.949999999</v>
      </c>
      <c r="J258" s="8"/>
      <c r="K258" s="7">
        <f>'Bütçe aylık-Eur'!$E$167</f>
        <v>16908600.035195999</v>
      </c>
      <c r="L258" s="7">
        <f>'gerç aylık-eur'!$E$166</f>
        <v>13817389.810000001</v>
      </c>
      <c r="M258" s="8"/>
      <c r="N258" s="7">
        <f>'Bütçe aylık-Eur'!$F$167</f>
        <v>18485806.392241001</v>
      </c>
      <c r="O258" s="7">
        <f>'gerç aylık-eur'!$F$166</f>
        <v>14923552.49</v>
      </c>
      <c r="P258" s="8"/>
      <c r="Q258" s="7">
        <f>'Bütçe aylık-Eur'!$G$167</f>
        <v>22368357.731807999</v>
      </c>
      <c r="R258" s="7">
        <f>'gerç aylık-eur'!$G$166</f>
        <v>19032801.07</v>
      </c>
      <c r="S258" s="8"/>
      <c r="T258" s="7">
        <f>'Bütçe aylık-Eur'!$H$167</f>
        <v>22232538.116560999</v>
      </c>
      <c r="U258" s="7">
        <f>'gerç aylık-eur'!$H$166</f>
        <v>12734684.58</v>
      </c>
      <c r="V258" s="8"/>
      <c r="W258" s="7">
        <f>'Bütçe aylık-Eur'!$I$167</f>
        <v>23425853.756569002</v>
      </c>
      <c r="X258" s="7">
        <f>'gerç aylık-eur'!$I$166</f>
        <v>11336876.699999999</v>
      </c>
      <c r="Y258" s="8"/>
      <c r="Z258" s="7">
        <f>'Bütçe aylık-Eur'!$J$167</f>
        <v>26905596.464221001</v>
      </c>
      <c r="AA258" s="7">
        <f>'gerç aylık-eur'!$J$166</f>
        <v>14279442.130000001</v>
      </c>
      <c r="AB258" s="8"/>
      <c r="AC258" s="7">
        <f>'Bütçe aylık-Eur'!$K$167</f>
        <v>24423751.737918001</v>
      </c>
      <c r="AD258" s="7">
        <f>'gerç aylık-eur'!$K$166</f>
        <v>0</v>
      </c>
      <c r="AE258" s="8"/>
      <c r="AF258" s="7">
        <f>'Bütçe aylık-Eur'!$L$167</f>
        <v>20101455.503773998</v>
      </c>
      <c r="AG258" s="7">
        <f>'gerç aylık-eur'!$L$166</f>
        <v>0</v>
      </c>
      <c r="AH258" s="8"/>
      <c r="AI258" s="7">
        <f>'Bütçe aylık-Eur'!$M$167</f>
        <v>26556103.486790005</v>
      </c>
      <c r="AJ258" s="7">
        <f>'gerç aylık-eur'!$M$166</f>
        <v>0</v>
      </c>
      <c r="AK258" s="8"/>
      <c r="AL258" s="21">
        <f t="shared" si="120"/>
        <v>-12626154.334221</v>
      </c>
      <c r="AM258" s="22">
        <f t="shared" si="121"/>
        <v>-0.46927613558061165</v>
      </c>
      <c r="AO258" s="44">
        <f t="shared" si="122"/>
        <v>26905596.464221001</v>
      </c>
      <c r="AP258" s="44">
        <f t="shared" si="122"/>
        <v>14279442.130000001</v>
      </c>
    </row>
    <row r="259" spans="1:44" s="1" customFormat="1" ht="15.5">
      <c r="A259" s="26" t="s">
        <v>17</v>
      </c>
      <c r="B259" s="7">
        <f>'Bütçe aylık-Eur'!$B$168</f>
        <v>10507170.883184999</v>
      </c>
      <c r="C259" s="7">
        <f>'gerç aylık-eur'!$B$167</f>
        <v>8173657.8099999996</v>
      </c>
      <c r="D259" s="8"/>
      <c r="E259" s="7">
        <f>'Bütçe aylık-Eur'!$C$168</f>
        <v>7912002.8684919998</v>
      </c>
      <c r="F259" s="7">
        <f>'gerç aylık-eur'!$C$167</f>
        <v>3447860.5700000003</v>
      </c>
      <c r="G259" s="105"/>
      <c r="H259" s="7">
        <f>'Bütçe aylık-Eur'!$D$168</f>
        <v>11387872.486609001</v>
      </c>
      <c r="I259" s="7">
        <f>'gerç aylık-eur'!$D$167</f>
        <v>17610904.030000001</v>
      </c>
      <c r="J259" s="8"/>
      <c r="K259" s="7">
        <f>'Bütçe aylık-Eur'!$E$168</f>
        <v>6282493.2627010001</v>
      </c>
      <c r="L259" s="7">
        <f>'gerç aylık-eur'!$E$167</f>
        <v>11873516.379999999</v>
      </c>
      <c r="M259" s="8"/>
      <c r="N259" s="7">
        <f>'Bütçe aylık-Eur'!$F$168</f>
        <v>7774070.2521810001</v>
      </c>
      <c r="O259" s="7">
        <f>'gerç aylık-eur'!$F$167</f>
        <v>8190844.7699999996</v>
      </c>
      <c r="P259" s="8"/>
      <c r="Q259" s="7">
        <f>'Bütçe aylık-Eur'!$G$168</f>
        <v>13272114.394397</v>
      </c>
      <c r="R259" s="7">
        <f>'gerç aylık-eur'!$G$167</f>
        <v>13337143.73</v>
      </c>
      <c r="S259" s="8"/>
      <c r="T259" s="7">
        <f>'Bütçe aylık-Eur'!$H$168</f>
        <v>10204767.878486</v>
      </c>
      <c r="U259" s="7">
        <f>'gerç aylık-eur'!$H$167</f>
        <v>11806021.470000001</v>
      </c>
      <c r="V259" s="8"/>
      <c r="W259" s="7">
        <f>'Bütçe aylık-Eur'!$I$168</f>
        <v>8891293.2447159998</v>
      </c>
      <c r="X259" s="7">
        <f>'gerç aylık-eur'!$I$167</f>
        <v>11270507.6</v>
      </c>
      <c r="Y259" s="8"/>
      <c r="Z259" s="7">
        <f>'Bütçe aylık-Eur'!$J$168</f>
        <v>13669061.397129999</v>
      </c>
      <c r="AA259" s="7">
        <f>'gerç aylık-eur'!$J$167</f>
        <v>11967887.960000001</v>
      </c>
      <c r="AB259" s="8"/>
      <c r="AC259" s="7">
        <f>'Bütçe aylık-Eur'!$K$168</f>
        <v>9192394.1029090006</v>
      </c>
      <c r="AD259" s="7">
        <f>'gerç aylık-eur'!$K$167</f>
        <v>0</v>
      </c>
      <c r="AE259" s="8"/>
      <c r="AF259" s="7">
        <f>'Bütçe aylık-Eur'!$L$168</f>
        <v>15354605.097356001</v>
      </c>
      <c r="AG259" s="7">
        <f>'gerç aylık-eur'!$L$167</f>
        <v>0</v>
      </c>
      <c r="AH259" s="8"/>
      <c r="AI259" s="7">
        <f>'Bütçe aylık-Eur'!$M$168</f>
        <v>21728132.480163995</v>
      </c>
      <c r="AJ259" s="7">
        <f>'gerç aylık-eur'!$M$167</f>
        <v>0</v>
      </c>
      <c r="AK259" s="8"/>
      <c r="AL259" s="21">
        <f t="shared" si="120"/>
        <v>-1701173.4371299986</v>
      </c>
      <c r="AM259" s="22">
        <f t="shared" si="121"/>
        <v>-0.12445429775355188</v>
      </c>
      <c r="AO259" s="44">
        <f t="shared" si="122"/>
        <v>13669061.397129999</v>
      </c>
      <c r="AP259" s="44">
        <f t="shared" si="122"/>
        <v>11967887.960000001</v>
      </c>
    </row>
    <row r="260" spans="1:44" s="1" customFormat="1" ht="15.5">
      <c r="A260" s="26"/>
      <c r="B260" s="7"/>
      <c r="C260" s="8"/>
      <c r="D260" s="8"/>
      <c r="E260" s="7"/>
      <c r="F260" s="8"/>
      <c r="G260" s="8"/>
      <c r="H260" s="7"/>
      <c r="I260" s="8"/>
      <c r="J260" s="8"/>
      <c r="K260" s="7"/>
      <c r="L260" s="8"/>
      <c r="M260" s="8"/>
      <c r="N260" s="7"/>
      <c r="O260" s="8"/>
      <c r="P260" s="8"/>
      <c r="Q260" s="7"/>
      <c r="R260" s="8"/>
      <c r="S260" s="8"/>
      <c r="T260" s="7"/>
      <c r="U260" s="8"/>
      <c r="V260" s="8"/>
      <c r="W260" s="7"/>
      <c r="X260" s="8"/>
      <c r="Y260" s="8"/>
      <c r="Z260" s="7"/>
      <c r="AA260" s="8"/>
      <c r="AB260" s="8"/>
      <c r="AC260" s="7"/>
      <c r="AD260" s="8"/>
      <c r="AE260" s="8"/>
      <c r="AF260" s="7"/>
      <c r="AG260" s="8"/>
      <c r="AH260" s="8"/>
      <c r="AI260" s="7"/>
      <c r="AJ260" s="8"/>
      <c r="AK260" s="8"/>
      <c r="AL260" s="15"/>
      <c r="AM260" s="16"/>
      <c r="AO260" s="44"/>
      <c r="AP260" s="44"/>
    </row>
    <row r="261" spans="1:44" s="1" customFormat="1" ht="15.5">
      <c r="A261" s="26"/>
      <c r="B261" s="7"/>
      <c r="C261" s="8"/>
      <c r="D261" s="8"/>
      <c r="E261" s="7"/>
      <c r="F261" s="8"/>
      <c r="G261" s="8"/>
      <c r="H261" s="7"/>
      <c r="I261" s="8"/>
      <c r="J261" s="8"/>
      <c r="K261" s="7"/>
      <c r="L261" s="8"/>
      <c r="M261" s="8"/>
      <c r="N261" s="7"/>
      <c r="O261" s="8"/>
      <c r="P261" s="8"/>
      <c r="Q261" s="7"/>
      <c r="R261" s="8"/>
      <c r="S261" s="8"/>
      <c r="T261" s="7"/>
      <c r="U261" s="8"/>
      <c r="V261" s="8"/>
      <c r="W261" s="7"/>
      <c r="X261" s="8"/>
      <c r="Y261" s="8"/>
      <c r="Z261" s="7"/>
      <c r="AA261" s="8"/>
      <c r="AB261" s="8"/>
      <c r="AC261" s="7"/>
      <c r="AD261" s="8"/>
      <c r="AE261" s="8"/>
      <c r="AF261" s="7"/>
      <c r="AG261" s="8"/>
      <c r="AH261" s="8"/>
      <c r="AI261" s="7"/>
      <c r="AJ261" s="8"/>
      <c r="AK261" s="8"/>
      <c r="AL261" s="15"/>
      <c r="AM261" s="16"/>
      <c r="AO261" s="44"/>
      <c r="AP261" s="44"/>
    </row>
    <row r="262" spans="1:44" s="44" customFormat="1" ht="15.5">
      <c r="A262" s="31" t="s">
        <v>88</v>
      </c>
      <c r="B262" s="32">
        <f>B249-B236</f>
        <v>21357630.57866621</v>
      </c>
      <c r="C262" s="32">
        <f>C249-C236</f>
        <v>21283818.613472156</v>
      </c>
      <c r="D262" s="18"/>
      <c r="E262" s="32">
        <f>E249-E236</f>
        <v>8739538.8792482018</v>
      </c>
      <c r="F262" s="32">
        <f>F249-F236</f>
        <v>17816679.848598734</v>
      </c>
      <c r="G262" s="18"/>
      <c r="H262" s="32">
        <f>H249-H236</f>
        <v>9297676.4685025662</v>
      </c>
      <c r="I262" s="32">
        <f>I249-I236</f>
        <v>21954173.415927004</v>
      </c>
      <c r="J262" s="18"/>
      <c r="K262" s="32">
        <f>K249-K236</f>
        <v>5137119.3381158784</v>
      </c>
      <c r="L262" s="32">
        <f>L249-L236</f>
        <v>6901304.9138579704</v>
      </c>
      <c r="M262" s="18"/>
      <c r="N262" s="32">
        <f>N249-N236</f>
        <v>7538107.3687488846</v>
      </c>
      <c r="O262" s="32">
        <f>O249-O236</f>
        <v>2925436.6332694888</v>
      </c>
      <c r="P262" s="18"/>
      <c r="Q262" s="32">
        <f>Q249-Q236</f>
        <v>11708313.678691637</v>
      </c>
      <c r="R262" s="32">
        <f>R249-R236</f>
        <v>4427967.1675490513</v>
      </c>
      <c r="S262" s="18"/>
      <c r="T262" s="32">
        <f>T249-T236</f>
        <v>8896982.0521949157</v>
      </c>
      <c r="U262" s="32">
        <f>U249-U236</f>
        <v>5083672.6111544631</v>
      </c>
      <c r="V262" s="18"/>
      <c r="W262" s="32">
        <f>W249-W236</f>
        <v>10552578.66438989</v>
      </c>
      <c r="X262" s="32">
        <f>X249-X236</f>
        <v>6211219.414686203</v>
      </c>
      <c r="Y262" s="18"/>
      <c r="Z262" s="32">
        <f>Z249-Z236</f>
        <v>14409668.602464158</v>
      </c>
      <c r="AA262" s="32">
        <f>AA249-AA236</f>
        <v>4501193.7430624701</v>
      </c>
      <c r="AB262" s="18"/>
      <c r="AC262" s="32">
        <f>AC249-AC236</f>
        <v>12639386.270967968</v>
      </c>
      <c r="AD262" s="32">
        <f>AD249-AD236</f>
        <v>0</v>
      </c>
      <c r="AE262" s="18"/>
      <c r="AF262" s="32">
        <f>AF249-AF236</f>
        <v>16572856.27625392</v>
      </c>
      <c r="AG262" s="32">
        <f>AG249-AG236</f>
        <v>0</v>
      </c>
      <c r="AH262" s="18"/>
      <c r="AI262" s="32">
        <f>AI249-AI236</f>
        <v>20926452.737552244</v>
      </c>
      <c r="AJ262" s="32">
        <f>AJ249-AJ236</f>
        <v>0</v>
      </c>
      <c r="AK262" s="18"/>
      <c r="AL262" s="33">
        <f>AP262-AO262</f>
        <v>-9908474.859401688</v>
      </c>
      <c r="AM262" s="34">
        <f>AP262/AO262-1</f>
        <v>-0.68762683811529612</v>
      </c>
      <c r="AO262" s="44">
        <f>IF($A$1=$B$1,B262,IF($A$1=$E$1,E262,IF($A$1=$H$1,H262,IF($A$1=$K$1,K262,IF($A$1=$N$1,N262,IF($A$1=$Q$1,Q262,IF($A$1=$T$1,T262,IF($A$1=$W$1,W262,IF($A$1=$Z$1,Z262,IF($A$1=$AC$1,AC262,IF($A$1=$AF$1,AF262,IF($A$1=$AI$1,AI262))))))))))))</f>
        <v>14409668.602464158</v>
      </c>
      <c r="AP262" s="44">
        <f>IF($A$1=$B$1,C262,IF($A$1=$E$1,F262,IF($A$1=$H$1,I262,IF($A$1=$K$1,L262,IF($A$1=$N$1,O262,IF($A$1=$Q$1,R262,IF($A$1=$T$1,U262,IF($A$1=$W$1,X262,IF($A$1=$Z$1,AA262,IF($A$1=$AC$1,AD262,IF($A$1=$AF$1,AG262,IF($A$1=$AI$1,AJ262))))))))))))</f>
        <v>4501193.7430624701</v>
      </c>
      <c r="AR262" s="406"/>
    </row>
    <row r="263" spans="1:44" s="13" customFormat="1" ht="15.5">
      <c r="A263" s="27"/>
      <c r="B263" s="30"/>
      <c r="C263" s="30" t="str">
        <f>IFERROR((C220/#REF!),"")</f>
        <v/>
      </c>
      <c r="D263" s="41"/>
      <c r="E263" s="30"/>
      <c r="F263" s="30" t="str">
        <f>IFERROR((F220/#REF!),"")</f>
        <v/>
      </c>
      <c r="G263" s="41"/>
      <c r="H263" s="30"/>
      <c r="I263" s="30" t="str">
        <f>IFERROR((I220/#REF!),"")</f>
        <v/>
      </c>
      <c r="J263" s="41"/>
      <c r="K263" s="30"/>
      <c r="L263" s="30" t="str">
        <f>IFERROR((L220/#REF!),"")</f>
        <v/>
      </c>
      <c r="M263" s="41"/>
      <c r="N263" s="30"/>
      <c r="O263" s="30" t="str">
        <f>IFERROR((O220/#REF!),"")</f>
        <v/>
      </c>
      <c r="P263" s="41"/>
      <c r="Q263" s="30"/>
      <c r="R263" s="30" t="str">
        <f>IFERROR((R220/#REF!),"")</f>
        <v/>
      </c>
      <c r="S263" s="41"/>
      <c r="T263" s="30"/>
      <c r="U263" s="30" t="str">
        <f>IFERROR((U220/#REF!),"")</f>
        <v/>
      </c>
      <c r="V263" s="41"/>
      <c r="W263" s="30"/>
      <c r="X263" s="30" t="str">
        <f>IFERROR((X220/#REF!),"")</f>
        <v/>
      </c>
      <c r="Y263" s="41"/>
      <c r="Z263" s="30"/>
      <c r="AA263" s="30" t="str">
        <f>IFERROR((AA220/#REF!),"")</f>
        <v/>
      </c>
      <c r="AB263" s="41"/>
      <c r="AC263" s="30"/>
      <c r="AD263" s="30" t="str">
        <f>IFERROR((AD220/#REF!),"")</f>
        <v/>
      </c>
      <c r="AE263" s="41"/>
      <c r="AF263" s="30"/>
      <c r="AG263" s="30" t="str">
        <f>IFERROR((AG220/#REF!),"")</f>
        <v/>
      </c>
      <c r="AH263" s="41"/>
      <c r="AI263" s="30"/>
      <c r="AJ263" s="30" t="str">
        <f>IFERROR((AJ220/#REF!),"")</f>
        <v/>
      </c>
      <c r="AK263" s="41"/>
      <c r="AL263" s="15"/>
      <c r="AM263" s="22"/>
      <c r="AO263" s="44">
        <f>IF($A$1=$B$1,B263,IF($A$1=$E$1,E263,IF($A$1=$H$1,H263,IF($A$1=$K$1,K263,IF($A$1=$N$1,N263,IF($A$1=$Q$1,Q263,IF($A$1=$T$1,T263,IF($A$1=$W$1,W263,IF($A$1=$Z$1,Z263,IF($A$1=$AC$1,AC263,IF($A$1=$AF$1,AF263,IF($A$1=$AI$1,AI263))))))))))))</f>
        <v>0</v>
      </c>
      <c r="AP263" s="44" t="str">
        <f>IF($A$1=$B$1,C263,IF($A$1=$E$1,F263,IF($A$1=$H$1,I263,IF($A$1=$K$1,L263,IF($A$1=$N$1,O263,IF($A$1=$Q$1,R263,IF($A$1=$T$1,U263,IF($A$1=$W$1,X263,IF($A$1=$Z$1,AA263,IF($A$1=$AC$1,AD263,IF($A$1=$AF$1,AG263,IF($A$1=$AI$1,AJ263))))))))))))</f>
        <v/>
      </c>
    </row>
    <row r="264" spans="1:44" s="49" customFormat="1" ht="17">
      <c r="A264" s="47" t="s">
        <v>89</v>
      </c>
      <c r="B264" s="413"/>
      <c r="C264" s="413"/>
      <c r="D264" s="413"/>
      <c r="E264" s="413"/>
      <c r="F264" s="413"/>
      <c r="G264" s="413"/>
      <c r="H264" s="413"/>
      <c r="I264" s="413"/>
      <c r="J264" s="413"/>
      <c r="K264" s="413"/>
      <c r="L264" s="413"/>
      <c r="M264" s="413"/>
      <c r="N264" s="413"/>
      <c r="O264" s="413"/>
      <c r="P264" s="413"/>
      <c r="Q264" s="413"/>
      <c r="R264" s="413"/>
      <c r="S264" s="413"/>
      <c r="T264" s="413"/>
      <c r="U264" s="413"/>
      <c r="V264" s="413"/>
      <c r="W264" s="413"/>
      <c r="X264" s="413"/>
      <c r="Y264" s="413"/>
      <c r="Z264" s="413"/>
      <c r="AA264" s="413"/>
      <c r="AB264" s="413"/>
      <c r="AC264" s="413"/>
      <c r="AD264" s="413"/>
      <c r="AE264" s="413"/>
      <c r="AF264" s="413"/>
      <c r="AG264" s="413"/>
      <c r="AH264" s="413"/>
      <c r="AI264" s="413"/>
      <c r="AJ264" s="413"/>
      <c r="AK264" s="413"/>
      <c r="AL264" s="413"/>
      <c r="AM264" s="48"/>
    </row>
    <row r="265" spans="1:44" ht="15.5">
      <c r="A265" s="26" t="s">
        <v>10</v>
      </c>
      <c r="B265" s="7">
        <f>B252-B239</f>
        <v>23979154.75612228</v>
      </c>
      <c r="C265" s="7">
        <f>C252-C239</f>
        <v>25017917.400184136</v>
      </c>
      <c r="D265" s="7"/>
      <c r="E265" s="7">
        <f t="shared" ref="E265:F272" si="123">E252-E239</f>
        <v>13503015.999780258</v>
      </c>
      <c r="F265" s="7">
        <f t="shared" si="123"/>
        <v>25516514.814845897</v>
      </c>
      <c r="G265" s="7"/>
      <c r="H265" s="7">
        <f t="shared" ref="H265:I272" si="124">H252-H239</f>
        <v>10522343.839084664</v>
      </c>
      <c r="I265" s="7">
        <f t="shared" si="124"/>
        <v>23631542.238813836</v>
      </c>
      <c r="J265" s="7"/>
      <c r="K265" s="7">
        <f t="shared" ref="K265:L272" si="125">K252-K239</f>
        <v>10255115.456629602</v>
      </c>
      <c r="L265" s="7">
        <f t="shared" si="125"/>
        <v>15093147.764769902</v>
      </c>
      <c r="M265" s="7"/>
      <c r="N265" s="7">
        <f t="shared" ref="N265:O272" si="126">N252-N239</f>
        <v>10662585.527320944</v>
      </c>
      <c r="O265" s="7">
        <f t="shared" si="126"/>
        <v>15865222.325843653</v>
      </c>
      <c r="P265" s="7"/>
      <c r="Q265" s="7">
        <f t="shared" ref="Q265:R272" si="127">Q252-Q239</f>
        <v>9569446.5913247932</v>
      </c>
      <c r="R265" s="7">
        <f t="shared" si="127"/>
        <v>15508820.911184296</v>
      </c>
      <c r="S265" s="7"/>
      <c r="T265" s="7">
        <f t="shared" ref="T265:U272" si="128">T252-T239</f>
        <v>9543711.4815096855</v>
      </c>
      <c r="U265" s="7">
        <f t="shared" si="128"/>
        <v>18608467.26229687</v>
      </c>
      <c r="V265" s="7"/>
      <c r="W265" s="7">
        <f t="shared" ref="W265:X272" si="129">W252-W239</f>
        <v>10036716.251756361</v>
      </c>
      <c r="X265" s="7">
        <f t="shared" si="129"/>
        <v>19135505.520218484</v>
      </c>
      <c r="Y265" s="7"/>
      <c r="Z265" s="7">
        <f t="shared" ref="Z265:AA272" si="130">Z252-Z239</f>
        <v>9800493.9887088854</v>
      </c>
      <c r="AA265" s="7">
        <f t="shared" si="130"/>
        <v>17091703.990608908</v>
      </c>
      <c r="AB265" s="7"/>
      <c r="AC265" s="7">
        <f t="shared" ref="AC265:AD272" si="131">AC252-AC239</f>
        <v>9814495.6509775184</v>
      </c>
      <c r="AD265" s="7">
        <f t="shared" si="131"/>
        <v>0</v>
      </c>
      <c r="AE265" s="7"/>
      <c r="AF265" s="7">
        <f t="shared" ref="AF265:AG272" si="132">AF252-AF239</f>
        <v>11311930.778356899</v>
      </c>
      <c r="AG265" s="7">
        <f t="shared" si="132"/>
        <v>0</v>
      </c>
      <c r="AH265" s="7"/>
      <c r="AI265" s="7">
        <f t="shared" ref="AI265:AJ272" si="133">AI252-AI239</f>
        <v>10470814.648100376</v>
      </c>
      <c r="AJ265" s="7">
        <f t="shared" si="133"/>
        <v>0</v>
      </c>
      <c r="AK265" s="7"/>
      <c r="AL265" s="21">
        <f t="shared" ref="AL265:AL272" si="134">AP265-AO265</f>
        <v>7291210.0019000228</v>
      </c>
      <c r="AM265" s="22">
        <f t="shared" ref="AM265:AM272" si="135">AP265/AO265-1</f>
        <v>0.74396351962464347</v>
      </c>
      <c r="AO265" s="44">
        <f t="shared" ref="AO265:AP272" si="136">IF($A$1=$B$1,B265,IF($A$1=$E$1,E265,IF($A$1=$H$1,H265,IF($A$1=$K$1,K265,IF($A$1=$N$1,N265,IF($A$1=$Q$1,Q265,IF($A$1=$T$1,T265,IF($A$1=$W$1,W265,IF($A$1=$Z$1,Z265,IF($A$1=$AC$1,AC265,IF($A$1=$AF$1,AF265,IF($A$1=$AI$1,AI265))))))))))))</f>
        <v>9800493.9887088854</v>
      </c>
      <c r="AP265" s="44">
        <f t="shared" si="136"/>
        <v>17091703.990608908</v>
      </c>
    </row>
    <row r="266" spans="1:44" ht="15.5">
      <c r="A266" s="26" t="s">
        <v>11</v>
      </c>
      <c r="B266" s="7">
        <f t="shared" ref="B266:C272" si="137">B253-B240</f>
        <v>-1959035.5281961104</v>
      </c>
      <c r="C266" s="7">
        <f t="shared" si="137"/>
        <v>-1591258.8034229409</v>
      </c>
      <c r="D266" s="7"/>
      <c r="E266" s="7">
        <f t="shared" si="123"/>
        <v>-2059569.4172888589</v>
      </c>
      <c r="F266" s="7">
        <f t="shared" si="123"/>
        <v>-1741598.6864896074</v>
      </c>
      <c r="G266" s="7"/>
      <c r="H266" s="7">
        <f t="shared" si="124"/>
        <v>-1996755.7966995586</v>
      </c>
      <c r="I266" s="7">
        <f t="shared" si="124"/>
        <v>-1727356.3902422246</v>
      </c>
      <c r="J266" s="7"/>
      <c r="K266" s="7">
        <f t="shared" si="125"/>
        <v>-1939212.5681042387</v>
      </c>
      <c r="L266" s="7">
        <f t="shared" si="125"/>
        <v>-5688665.7060188893</v>
      </c>
      <c r="M266" s="7"/>
      <c r="N266" s="7">
        <f t="shared" si="126"/>
        <v>-1770389.4494067242</v>
      </c>
      <c r="O266" s="7">
        <f t="shared" si="126"/>
        <v>-6290870.7967590224</v>
      </c>
      <c r="P266" s="7"/>
      <c r="Q266" s="7">
        <f t="shared" si="127"/>
        <v>-1490027.1910223297</v>
      </c>
      <c r="R266" s="7">
        <f t="shared" si="127"/>
        <v>-6275037.598974064</v>
      </c>
      <c r="S266" s="7"/>
      <c r="T266" s="7">
        <f t="shared" si="128"/>
        <v>-1295909.1670779446</v>
      </c>
      <c r="U266" s="7">
        <f t="shared" si="128"/>
        <v>-6225219.2526363954</v>
      </c>
      <c r="V266" s="7"/>
      <c r="W266" s="7">
        <f t="shared" si="129"/>
        <v>-965350.12647937017</v>
      </c>
      <c r="X266" s="7">
        <f t="shared" si="129"/>
        <v>-6270792.4878254486</v>
      </c>
      <c r="Y266" s="7"/>
      <c r="Z266" s="7">
        <f t="shared" si="130"/>
        <v>-825727.39757127548</v>
      </c>
      <c r="AA266" s="7">
        <f t="shared" si="130"/>
        <v>-6388499.3206284335</v>
      </c>
      <c r="AB266" s="7"/>
      <c r="AC266" s="7">
        <f t="shared" si="131"/>
        <v>-732447.52382006601</v>
      </c>
      <c r="AD266" s="7">
        <f t="shared" si="131"/>
        <v>0</v>
      </c>
      <c r="AE266" s="7"/>
      <c r="AF266" s="7">
        <f t="shared" si="132"/>
        <v>-777350.60984315479</v>
      </c>
      <c r="AG266" s="7">
        <f t="shared" si="132"/>
        <v>0</v>
      </c>
      <c r="AH266" s="7"/>
      <c r="AI266" s="7">
        <f t="shared" si="133"/>
        <v>-704742.896896936</v>
      </c>
      <c r="AJ266" s="7">
        <f t="shared" si="133"/>
        <v>0</v>
      </c>
      <c r="AK266" s="7"/>
      <c r="AL266" s="21">
        <f t="shared" si="134"/>
        <v>-5562771.9230571575</v>
      </c>
      <c r="AM266" s="22">
        <f t="shared" si="135"/>
        <v>6.7368140374402294</v>
      </c>
      <c r="AO266" s="44">
        <f t="shared" si="136"/>
        <v>-825727.39757127548</v>
      </c>
      <c r="AP266" s="44">
        <f t="shared" si="136"/>
        <v>-6388499.3206284335</v>
      </c>
    </row>
    <row r="267" spans="1:44" ht="15.5">
      <c r="A267" s="26" t="s">
        <v>12</v>
      </c>
      <c r="B267" s="7">
        <f t="shared" si="137"/>
        <v>-345969.2991732239</v>
      </c>
      <c r="C267" s="7">
        <f t="shared" si="137"/>
        <v>146950.95254999411</v>
      </c>
      <c r="D267" s="7"/>
      <c r="E267" s="7">
        <f t="shared" si="123"/>
        <v>-685934.16854388441</v>
      </c>
      <c r="F267" s="7">
        <f t="shared" si="123"/>
        <v>-123094.52317620198</v>
      </c>
      <c r="G267" s="7"/>
      <c r="H267" s="7">
        <f t="shared" si="124"/>
        <v>-527820.55100438185</v>
      </c>
      <c r="I267" s="7">
        <f t="shared" si="124"/>
        <v>224751.57179394574</v>
      </c>
      <c r="J267" s="7"/>
      <c r="K267" s="7">
        <f t="shared" si="125"/>
        <v>-597336.85825444269</v>
      </c>
      <c r="L267" s="7">
        <f t="shared" si="125"/>
        <v>-222507.13428999815</v>
      </c>
      <c r="M267" s="7"/>
      <c r="N267" s="7">
        <f t="shared" si="126"/>
        <v>-450955.93704729888</v>
      </c>
      <c r="O267" s="7">
        <f t="shared" si="126"/>
        <v>-298384.73791331041</v>
      </c>
      <c r="P267" s="7"/>
      <c r="Q267" s="7">
        <f t="shared" si="127"/>
        <v>-349733.76256381848</v>
      </c>
      <c r="R267" s="7">
        <f t="shared" si="127"/>
        <v>-211017.62318639562</v>
      </c>
      <c r="S267" s="7"/>
      <c r="T267" s="7">
        <f t="shared" si="128"/>
        <v>-299578.93543370365</v>
      </c>
      <c r="U267" s="7">
        <f t="shared" si="128"/>
        <v>-450782.02574146219</v>
      </c>
      <c r="V267" s="7"/>
      <c r="W267" s="7">
        <f t="shared" si="129"/>
        <v>-425077.80107318953</v>
      </c>
      <c r="X267" s="7">
        <f t="shared" si="129"/>
        <v>-210398.93764725086</v>
      </c>
      <c r="Y267" s="7"/>
      <c r="Z267" s="7">
        <f t="shared" si="130"/>
        <v>-275715.66693285608</v>
      </c>
      <c r="AA267" s="7">
        <f t="shared" si="130"/>
        <v>-178302.16720557312</v>
      </c>
      <c r="AB267" s="7"/>
      <c r="AC267" s="7">
        <f t="shared" si="131"/>
        <v>-309108.20090685331</v>
      </c>
      <c r="AD267" s="7">
        <f t="shared" si="131"/>
        <v>0</v>
      </c>
      <c r="AE267" s="7"/>
      <c r="AF267" s="7">
        <f t="shared" si="132"/>
        <v>-306851.09272839973</v>
      </c>
      <c r="AG267" s="7">
        <f t="shared" si="132"/>
        <v>0</v>
      </c>
      <c r="AH267" s="7"/>
      <c r="AI267" s="7">
        <f t="shared" si="133"/>
        <v>-400648.6304365932</v>
      </c>
      <c r="AJ267" s="7">
        <f t="shared" si="133"/>
        <v>0</v>
      </c>
      <c r="AK267" s="7"/>
      <c r="AL267" s="21">
        <f t="shared" si="134"/>
        <v>97413.499727282964</v>
      </c>
      <c r="AM267" s="22">
        <f t="shared" si="135"/>
        <v>-0.35331144149674187</v>
      </c>
      <c r="AO267" s="44">
        <f t="shared" si="136"/>
        <v>-275715.66693285608</v>
      </c>
      <c r="AP267" s="44">
        <f t="shared" si="136"/>
        <v>-178302.16720557312</v>
      </c>
    </row>
    <row r="268" spans="1:44" ht="15.5">
      <c r="A268" s="26" t="s">
        <v>13</v>
      </c>
      <c r="B268" s="7">
        <f t="shared" si="137"/>
        <v>-35290524.586865842</v>
      </c>
      <c r="C268" s="7">
        <f t="shared" si="137"/>
        <v>-38457623.464769095</v>
      </c>
      <c r="D268" s="7"/>
      <c r="E268" s="7">
        <f t="shared" si="123"/>
        <v>-35951004.824812263</v>
      </c>
      <c r="F268" s="7">
        <f t="shared" si="123"/>
        <v>-43448365.212511554</v>
      </c>
      <c r="G268" s="7"/>
      <c r="H268" s="7">
        <f t="shared" si="124"/>
        <v>-36279125.492078289</v>
      </c>
      <c r="I268" s="7">
        <f t="shared" si="124"/>
        <v>-40550140.322996706</v>
      </c>
      <c r="J268" s="7"/>
      <c r="K268" s="7">
        <f t="shared" si="125"/>
        <v>-36531715.207580805</v>
      </c>
      <c r="L268" s="7">
        <f t="shared" si="125"/>
        <v>-39130085.35969469</v>
      </c>
      <c r="M268" s="7"/>
      <c r="N268" s="7">
        <f t="shared" si="126"/>
        <v>-35836689.345693782</v>
      </c>
      <c r="O268" s="7">
        <f t="shared" si="126"/>
        <v>-43334402.948236525</v>
      </c>
      <c r="P268" s="7"/>
      <c r="Q268" s="7">
        <f t="shared" si="127"/>
        <v>-35665819.843860023</v>
      </c>
      <c r="R268" s="7">
        <f t="shared" si="127"/>
        <v>-48539824.671633802</v>
      </c>
      <c r="S268" s="7"/>
      <c r="T268" s="7">
        <f t="shared" si="128"/>
        <v>-40394186.738786943</v>
      </c>
      <c r="U268" s="7">
        <f t="shared" si="128"/>
        <v>-50895780.896199137</v>
      </c>
      <c r="V268" s="7"/>
      <c r="W268" s="7">
        <f t="shared" si="129"/>
        <v>-38963396.855189063</v>
      </c>
      <c r="X268" s="7">
        <f t="shared" si="129"/>
        <v>-48431774.870632701</v>
      </c>
      <c r="Y268" s="7"/>
      <c r="Z268" s="7">
        <f t="shared" si="130"/>
        <v>-41183765.553110614</v>
      </c>
      <c r="AA268" s="7">
        <f t="shared" si="130"/>
        <v>-51044529.191672146</v>
      </c>
      <c r="AB268" s="7"/>
      <c r="AC268" s="7">
        <f t="shared" si="131"/>
        <v>-39361928.198322356</v>
      </c>
      <c r="AD268" s="7">
        <f t="shared" si="131"/>
        <v>0</v>
      </c>
      <c r="AE268" s="7"/>
      <c r="AF268" s="7">
        <f t="shared" si="132"/>
        <v>-37936631.907460347</v>
      </c>
      <c r="AG268" s="7">
        <f t="shared" si="132"/>
        <v>0</v>
      </c>
      <c r="AH268" s="7"/>
      <c r="AI268" s="7">
        <f t="shared" si="133"/>
        <v>-36232595.526546389</v>
      </c>
      <c r="AJ268" s="7">
        <f t="shared" si="133"/>
        <v>0</v>
      </c>
      <c r="AK268" s="7"/>
      <c r="AL268" s="21">
        <f t="shared" si="134"/>
        <v>-9860763.6385615319</v>
      </c>
      <c r="AM268" s="22">
        <f t="shared" si="135"/>
        <v>0.23943326954513378</v>
      </c>
      <c r="AO268" s="44">
        <f t="shared" si="136"/>
        <v>-41183765.553110614</v>
      </c>
      <c r="AP268" s="44">
        <f t="shared" si="136"/>
        <v>-51044529.191672146</v>
      </c>
    </row>
    <row r="269" spans="1:44" s="1" customFormat="1" ht="15.5">
      <c r="A269" s="26" t="s">
        <v>14</v>
      </c>
      <c r="B269" s="7">
        <f t="shared" si="137"/>
        <v>1602174.7421430019</v>
      </c>
      <c r="C269" s="7">
        <f t="shared" si="137"/>
        <v>796564.25517152366</v>
      </c>
      <c r="D269" s="8"/>
      <c r="E269" s="7">
        <f t="shared" si="123"/>
        <v>1883834.2538189928</v>
      </c>
      <c r="F269" s="7">
        <f t="shared" si="123"/>
        <v>645764.42105815664</v>
      </c>
      <c r="G269" s="8"/>
      <c r="H269" s="7">
        <f t="shared" si="124"/>
        <v>699769.91031290579</v>
      </c>
      <c r="I269" s="7">
        <f t="shared" si="124"/>
        <v>2363380.8719003289</v>
      </c>
      <c r="J269" s="8"/>
      <c r="K269" s="7">
        <f t="shared" si="125"/>
        <v>858214.03818720253</v>
      </c>
      <c r="L269" s="7">
        <f t="shared" si="125"/>
        <v>2506225.653187077</v>
      </c>
      <c r="M269" s="8"/>
      <c r="N269" s="7">
        <f t="shared" si="126"/>
        <v>769826.93272168981</v>
      </c>
      <c r="O269" s="7">
        <f t="shared" si="126"/>
        <v>1957287.4234819496</v>
      </c>
      <c r="P269" s="8"/>
      <c r="Q269" s="7">
        <f t="shared" si="127"/>
        <v>1540227.0455505054</v>
      </c>
      <c r="R269" s="7">
        <f t="shared" si="127"/>
        <v>1358723.2979468387</v>
      </c>
      <c r="S269" s="8"/>
      <c r="T269" s="7">
        <f t="shared" si="128"/>
        <v>918140.09816812875</v>
      </c>
      <c r="U269" s="7">
        <f t="shared" si="128"/>
        <v>2382930.2742877668</v>
      </c>
      <c r="V269" s="8"/>
      <c r="W269" s="7">
        <f t="shared" si="129"/>
        <v>1381234.3658162798</v>
      </c>
      <c r="X269" s="7">
        <f t="shared" si="129"/>
        <v>2409644.8504837384</v>
      </c>
      <c r="Y269" s="8"/>
      <c r="Z269" s="7">
        <f t="shared" si="130"/>
        <v>1621111.2144241144</v>
      </c>
      <c r="AA269" s="7">
        <f t="shared" si="130"/>
        <v>1603079.2023910594</v>
      </c>
      <c r="AB269" s="8"/>
      <c r="AC269" s="7">
        <f t="shared" si="131"/>
        <v>903932.0276087852</v>
      </c>
      <c r="AD269" s="7">
        <f t="shared" si="131"/>
        <v>0</v>
      </c>
      <c r="AE269" s="8"/>
      <c r="AF269" s="7">
        <f t="shared" si="132"/>
        <v>1840192.5537057773</v>
      </c>
      <c r="AG269" s="7">
        <f t="shared" si="132"/>
        <v>0</v>
      </c>
      <c r="AH269" s="8"/>
      <c r="AI269" s="7">
        <f t="shared" si="133"/>
        <v>2143759.1538198856</v>
      </c>
      <c r="AJ269" s="7">
        <f t="shared" si="133"/>
        <v>0</v>
      </c>
      <c r="AK269" s="8"/>
      <c r="AL269" s="21">
        <f t="shared" si="134"/>
        <v>-18032.012033055071</v>
      </c>
      <c r="AM269" s="22">
        <f t="shared" si="135"/>
        <v>-1.1123241806368478E-2</v>
      </c>
      <c r="AO269" s="44">
        <f t="shared" si="136"/>
        <v>1621111.2144241144</v>
      </c>
      <c r="AP269" s="44">
        <f t="shared" si="136"/>
        <v>1603079.2023910594</v>
      </c>
    </row>
    <row r="270" spans="1:44" ht="15.5">
      <c r="A270" s="26" t="s">
        <v>15</v>
      </c>
      <c r="B270" s="7">
        <f t="shared" si="137"/>
        <v>6126231.2503359998</v>
      </c>
      <c r="C270" s="7">
        <f t="shared" si="137"/>
        <v>8176307.5499999998</v>
      </c>
      <c r="D270" s="7"/>
      <c r="E270" s="7">
        <f t="shared" si="123"/>
        <v>6434386.3653509999</v>
      </c>
      <c r="F270" s="7">
        <f t="shared" si="123"/>
        <v>5105706.58</v>
      </c>
      <c r="G270" s="7"/>
      <c r="H270" s="7">
        <f t="shared" si="124"/>
        <v>8704545.1007010005</v>
      </c>
      <c r="I270" s="7">
        <f t="shared" si="124"/>
        <v>3716834.46</v>
      </c>
      <c r="J270" s="7"/>
      <c r="K270" s="7">
        <f t="shared" si="125"/>
        <v>6028791.141108999</v>
      </c>
      <c r="L270" s="7">
        <f t="shared" si="125"/>
        <v>5231278.49</v>
      </c>
      <c r="M270" s="7"/>
      <c r="N270" s="7">
        <f t="shared" si="126"/>
        <v>6549153.8382550003</v>
      </c>
      <c r="O270" s="7">
        <f t="shared" si="126"/>
        <v>2386392.87</v>
      </c>
      <c r="P270" s="7"/>
      <c r="Q270" s="7">
        <f t="shared" si="127"/>
        <v>8431690.774487</v>
      </c>
      <c r="R270" s="7">
        <f t="shared" si="127"/>
        <v>3324160.27</v>
      </c>
      <c r="S270" s="7"/>
      <c r="T270" s="7">
        <f t="shared" si="128"/>
        <v>9410637.3285639994</v>
      </c>
      <c r="U270" s="7">
        <f t="shared" si="128"/>
        <v>6850161.1400000006</v>
      </c>
      <c r="V270" s="7"/>
      <c r="W270" s="7">
        <f t="shared" si="129"/>
        <v>10030741.338553</v>
      </c>
      <c r="X270" s="7">
        <f t="shared" si="129"/>
        <v>7307009.0199999996</v>
      </c>
      <c r="Y270" s="7"/>
      <c r="Z270" s="7">
        <f t="shared" si="130"/>
        <v>13264540.672984002</v>
      </c>
      <c r="AA270" s="7">
        <f t="shared" si="130"/>
        <v>8134848</v>
      </c>
      <c r="AB270" s="7"/>
      <c r="AC270" s="7">
        <f t="shared" si="131"/>
        <v>14507966.191679999</v>
      </c>
      <c r="AD270" s="7">
        <f t="shared" si="131"/>
        <v>0</v>
      </c>
      <c r="AE270" s="7"/>
      <c r="AF270" s="7">
        <f t="shared" si="132"/>
        <v>16503196.753796</v>
      </c>
      <c r="AG270" s="7">
        <f t="shared" si="132"/>
        <v>0</v>
      </c>
      <c r="AH270" s="7"/>
      <c r="AI270" s="7">
        <f t="shared" si="133"/>
        <v>14707174.447736001</v>
      </c>
      <c r="AJ270" s="7">
        <f t="shared" si="133"/>
        <v>0</v>
      </c>
      <c r="AK270" s="7"/>
      <c r="AL270" s="21">
        <f t="shared" si="134"/>
        <v>-5129692.6729840022</v>
      </c>
      <c r="AM270" s="22">
        <f t="shared" si="135"/>
        <v>-0.386722224270584</v>
      </c>
      <c r="AO270" s="44">
        <f t="shared" si="136"/>
        <v>13264540.672984002</v>
      </c>
      <c r="AP270" s="44">
        <f t="shared" si="136"/>
        <v>8134848</v>
      </c>
    </row>
    <row r="271" spans="1:44" s="1" customFormat="1" ht="15.5">
      <c r="A271" s="26" t="s">
        <v>16</v>
      </c>
      <c r="B271" s="7">
        <f t="shared" si="137"/>
        <v>16263649.335984999</v>
      </c>
      <c r="C271" s="7">
        <f t="shared" si="137"/>
        <v>15586616.51</v>
      </c>
      <c r="D271" s="8"/>
      <c r="E271" s="7">
        <f t="shared" si="123"/>
        <v>14675847.500402</v>
      </c>
      <c r="F271" s="7">
        <f t="shared" si="123"/>
        <v>19661179.25</v>
      </c>
      <c r="G271" s="8"/>
      <c r="H271" s="7">
        <f t="shared" si="124"/>
        <v>18736710.437259998</v>
      </c>
      <c r="I271" s="7">
        <f t="shared" si="124"/>
        <v>16422110.949999999</v>
      </c>
      <c r="J271" s="8"/>
      <c r="K271" s="7">
        <f t="shared" si="125"/>
        <v>16908600.035195999</v>
      </c>
      <c r="L271" s="7">
        <f t="shared" si="125"/>
        <v>13817389.810000001</v>
      </c>
      <c r="M271" s="8"/>
      <c r="N271" s="7">
        <f t="shared" si="126"/>
        <v>18485806.392241001</v>
      </c>
      <c r="O271" s="7">
        <f t="shared" si="126"/>
        <v>14923552.49</v>
      </c>
      <c r="P271" s="8"/>
      <c r="Q271" s="7">
        <f t="shared" si="127"/>
        <v>22368357.731807999</v>
      </c>
      <c r="R271" s="7">
        <f t="shared" si="127"/>
        <v>19032801.07</v>
      </c>
      <c r="S271" s="8"/>
      <c r="T271" s="7">
        <f t="shared" si="128"/>
        <v>22232538.116560999</v>
      </c>
      <c r="U271" s="7">
        <f t="shared" si="128"/>
        <v>12734684.58</v>
      </c>
      <c r="V271" s="8"/>
      <c r="W271" s="7">
        <f t="shared" si="129"/>
        <v>23425853.756569002</v>
      </c>
      <c r="X271" s="7">
        <f t="shared" si="129"/>
        <v>11336876.699999999</v>
      </c>
      <c r="Y271" s="8"/>
      <c r="Z271" s="7">
        <f t="shared" si="130"/>
        <v>26905596.464221001</v>
      </c>
      <c r="AA271" s="7">
        <f t="shared" si="130"/>
        <v>14279442.130000001</v>
      </c>
      <c r="AB271" s="8"/>
      <c r="AC271" s="7">
        <f t="shared" si="131"/>
        <v>24423751.737918001</v>
      </c>
      <c r="AD271" s="7">
        <f t="shared" si="131"/>
        <v>0</v>
      </c>
      <c r="AE271" s="8"/>
      <c r="AF271" s="7">
        <f t="shared" si="132"/>
        <v>20101455.503773998</v>
      </c>
      <c r="AG271" s="7">
        <f t="shared" si="132"/>
        <v>0</v>
      </c>
      <c r="AH271" s="8"/>
      <c r="AI271" s="7">
        <f t="shared" si="133"/>
        <v>26556103.486790005</v>
      </c>
      <c r="AJ271" s="7">
        <f t="shared" si="133"/>
        <v>0</v>
      </c>
      <c r="AK271" s="8"/>
      <c r="AL271" s="21">
        <f t="shared" si="134"/>
        <v>-12626154.334221</v>
      </c>
      <c r="AM271" s="22">
        <f t="shared" si="135"/>
        <v>-0.46927613558061165</v>
      </c>
      <c r="AO271" s="44">
        <f t="shared" si="136"/>
        <v>26905596.464221001</v>
      </c>
      <c r="AP271" s="44">
        <f t="shared" si="136"/>
        <v>14279442.130000001</v>
      </c>
    </row>
    <row r="272" spans="1:44" s="1" customFormat="1" ht="15.5">
      <c r="A272" s="26" t="s">
        <v>17</v>
      </c>
      <c r="B272" s="7">
        <f t="shared" si="137"/>
        <v>10507170.883184999</v>
      </c>
      <c r="C272" s="7">
        <f t="shared" si="137"/>
        <v>8173657.8099999996</v>
      </c>
      <c r="D272" s="8"/>
      <c r="E272" s="7">
        <f t="shared" si="123"/>
        <v>7912002.8684919998</v>
      </c>
      <c r="F272" s="7">
        <f t="shared" si="123"/>
        <v>3447860.5700000003</v>
      </c>
      <c r="G272" s="8"/>
      <c r="H272" s="7">
        <f t="shared" si="124"/>
        <v>11387872.486609001</v>
      </c>
      <c r="I272" s="7">
        <f t="shared" si="124"/>
        <v>17610904.030000001</v>
      </c>
      <c r="J272" s="8"/>
      <c r="K272" s="7">
        <f t="shared" si="125"/>
        <v>6282493.2627010001</v>
      </c>
      <c r="L272" s="7">
        <f t="shared" si="125"/>
        <v>11873516.379999999</v>
      </c>
      <c r="M272" s="8"/>
      <c r="N272" s="7">
        <f t="shared" si="126"/>
        <v>7774070.2521810001</v>
      </c>
      <c r="O272" s="7">
        <f t="shared" si="126"/>
        <v>8190844.7699999996</v>
      </c>
      <c r="P272" s="8"/>
      <c r="Q272" s="7">
        <f t="shared" si="127"/>
        <v>13272114.394397</v>
      </c>
      <c r="R272" s="7">
        <f t="shared" si="127"/>
        <v>13337143.73</v>
      </c>
      <c r="S272" s="8"/>
      <c r="T272" s="7">
        <f t="shared" si="128"/>
        <v>10204767.878486</v>
      </c>
      <c r="U272" s="7">
        <f t="shared" si="128"/>
        <v>11806021.470000001</v>
      </c>
      <c r="V272" s="8"/>
      <c r="W272" s="7">
        <f t="shared" si="129"/>
        <v>8891293.2447159998</v>
      </c>
      <c r="X272" s="7">
        <f t="shared" si="129"/>
        <v>11270507.6</v>
      </c>
      <c r="Y272" s="8"/>
      <c r="Z272" s="7">
        <f t="shared" si="130"/>
        <v>13669061.397129999</v>
      </c>
      <c r="AA272" s="7">
        <f t="shared" si="130"/>
        <v>11967887.960000001</v>
      </c>
      <c r="AB272" s="8"/>
      <c r="AC272" s="7">
        <f t="shared" si="131"/>
        <v>9192394.1029090006</v>
      </c>
      <c r="AD272" s="7">
        <f t="shared" si="131"/>
        <v>0</v>
      </c>
      <c r="AE272" s="8"/>
      <c r="AF272" s="7">
        <f t="shared" si="132"/>
        <v>15354605.097356001</v>
      </c>
      <c r="AG272" s="7">
        <f t="shared" si="132"/>
        <v>0</v>
      </c>
      <c r="AH272" s="8"/>
      <c r="AI272" s="7">
        <f t="shared" si="133"/>
        <v>21728132.480163995</v>
      </c>
      <c r="AJ272" s="7">
        <f t="shared" si="133"/>
        <v>0</v>
      </c>
      <c r="AK272" s="8"/>
      <c r="AL272" s="21">
        <f t="shared" si="134"/>
        <v>-1701173.4371299986</v>
      </c>
      <c r="AM272" s="22">
        <f t="shared" si="135"/>
        <v>-0.12445429775355188</v>
      </c>
      <c r="AO272" s="44">
        <f t="shared" si="136"/>
        <v>13669061.397129999</v>
      </c>
      <c r="AP272" s="44">
        <f t="shared" si="136"/>
        <v>11967887.960000001</v>
      </c>
    </row>
    <row r="273" spans="1:42" s="1" customFormat="1" ht="15.5">
      <c r="A273" s="26"/>
      <c r="B273" s="7"/>
      <c r="C273" s="8"/>
      <c r="D273" s="8"/>
      <c r="E273" s="7"/>
      <c r="F273" s="8"/>
      <c r="G273" s="8"/>
      <c r="H273" s="7"/>
      <c r="I273" s="8"/>
      <c r="J273" s="8"/>
      <c r="K273" s="7"/>
      <c r="L273" s="8"/>
      <c r="M273" s="8"/>
      <c r="N273" s="7"/>
      <c r="O273" s="8"/>
      <c r="P273" s="8"/>
      <c r="Q273" s="7"/>
      <c r="R273" s="8"/>
      <c r="S273" s="8"/>
      <c r="T273" s="7"/>
      <c r="U273" s="8"/>
      <c r="V273" s="8"/>
      <c r="W273" s="7"/>
      <c r="X273" s="8"/>
      <c r="Y273" s="8"/>
      <c r="Z273" s="7"/>
      <c r="AA273" s="8"/>
      <c r="AB273" s="8"/>
      <c r="AC273" s="7"/>
      <c r="AD273" s="8"/>
      <c r="AE273" s="8"/>
      <c r="AF273" s="7"/>
      <c r="AG273" s="8"/>
      <c r="AH273" s="8"/>
      <c r="AI273" s="7"/>
      <c r="AJ273" s="8"/>
      <c r="AK273" s="8"/>
      <c r="AL273" s="15"/>
      <c r="AM273" s="16"/>
      <c r="AO273" s="44"/>
      <c r="AP273" s="44"/>
    </row>
    <row r="274" spans="1:42" s="1" customFormat="1" ht="15.5">
      <c r="A274" s="26"/>
      <c r="B274" s="7"/>
      <c r="C274" s="8"/>
      <c r="D274" s="8"/>
      <c r="E274" s="7"/>
      <c r="F274" s="8"/>
      <c r="G274" s="8"/>
      <c r="H274" s="7"/>
      <c r="I274" s="8"/>
      <c r="J274" s="8"/>
      <c r="K274" s="7"/>
      <c r="L274" s="8"/>
      <c r="M274" s="8"/>
      <c r="N274" s="7"/>
      <c r="O274" s="8"/>
      <c r="P274" s="8"/>
      <c r="Q274" s="7"/>
      <c r="R274" s="8"/>
      <c r="S274" s="8"/>
      <c r="T274" s="7"/>
      <c r="U274" s="8"/>
      <c r="V274" s="8"/>
      <c r="W274" s="7"/>
      <c r="X274" s="8"/>
      <c r="Y274" s="8"/>
      <c r="Z274" s="7"/>
      <c r="AA274" s="8"/>
      <c r="AB274" s="8"/>
      <c r="AC274" s="7"/>
      <c r="AD274" s="8"/>
      <c r="AE274" s="8"/>
      <c r="AF274" s="7"/>
      <c r="AG274" s="8"/>
      <c r="AH274" s="8"/>
      <c r="AI274" s="7"/>
      <c r="AJ274" s="8"/>
      <c r="AK274" s="8"/>
      <c r="AL274" s="15"/>
      <c r="AM274" s="16"/>
      <c r="AO274" s="44"/>
      <c r="AP274" s="44"/>
    </row>
    <row r="275" spans="1:42" s="44" customFormat="1" ht="15.5">
      <c r="A275" s="31" t="s">
        <v>90</v>
      </c>
      <c r="B275" s="32">
        <f>'Bütçe aylık-Eur'!$B$186</f>
        <v>460695.53136583423</v>
      </c>
      <c r="C275" s="32">
        <f>'gerç aylık-eur'!$B$185</f>
        <v>265319.59503838257</v>
      </c>
      <c r="D275" s="18"/>
      <c r="E275" s="32">
        <f>'Bütçe aylık-Eur'!$C$186</f>
        <v>517243.37917536648</v>
      </c>
      <c r="F275" s="32">
        <f>'gerç aylık-eur'!$C$185</f>
        <v>199068.32305337428</v>
      </c>
      <c r="G275" s="18"/>
      <c r="H275" s="32">
        <f>'Bütçe aylık-Eur'!$D$186</f>
        <v>621663.00354874367</v>
      </c>
      <c r="I275" s="32">
        <f>'gerç aylık-eur'!$D$185</f>
        <v>356252.81075079081</v>
      </c>
      <c r="J275" s="18"/>
      <c r="K275" s="32">
        <f>'Bütçe aylık-Eur'!$E$186</f>
        <v>676800.00724222814</v>
      </c>
      <c r="L275" s="32">
        <f>'gerç aylık-eur'!$E$185</f>
        <v>1784760.3515097918</v>
      </c>
      <c r="M275" s="18"/>
      <c r="N275" s="32">
        <f>'Bütçe aylık-Eur'!$F$186</f>
        <v>622815.60319029959</v>
      </c>
      <c r="O275" s="32">
        <f>'gerç aylık-eur'!$F$185</f>
        <v>871924.4678367005</v>
      </c>
      <c r="P275" s="18"/>
      <c r="Q275" s="32">
        <f>'Bütçe aylık-Eur'!$G$186</f>
        <v>781044.56095855986</v>
      </c>
      <c r="R275" s="32">
        <f>'gerç aylık-eur'!$G$185</f>
        <v>419162.45136574481</v>
      </c>
      <c r="S275" s="18"/>
      <c r="T275" s="32">
        <f>'Bütçe aylık-Eur'!$H$186</f>
        <v>637298.08718646388</v>
      </c>
      <c r="U275" s="32">
        <f>'gerç aylık-eur'!$H$185</f>
        <v>-1615220.4149439465</v>
      </c>
      <c r="V275" s="18"/>
      <c r="W275" s="32">
        <f>'Bütçe aylık-Eur'!$I$186</f>
        <v>686516.29487090791</v>
      </c>
      <c r="X275" s="32">
        <f>'gerç aylık-eur'!$I$185</f>
        <v>1048585.7471440821</v>
      </c>
      <c r="Y275" s="18"/>
      <c r="Z275" s="32">
        <f>'Bütçe aylık-Eur'!$J$186</f>
        <v>751534.00719649403</v>
      </c>
      <c r="AA275" s="32">
        <f>'gerç aylık-eur'!$J$185</f>
        <v>478457.11821343744</v>
      </c>
      <c r="AB275" s="18"/>
      <c r="AC275" s="32">
        <f>'Bütçe aylık-Eur'!$K$186</f>
        <v>603094.64151590271</v>
      </c>
      <c r="AD275" s="32">
        <f>'gerç aylık-eur'!$K$185</f>
        <v>0</v>
      </c>
      <c r="AE275" s="18"/>
      <c r="AF275" s="32">
        <f>'Bütçe aylık-Eur'!$L$186</f>
        <v>545469.1258539944</v>
      </c>
      <c r="AG275" s="32">
        <f>'gerç aylık-eur'!$L$185</f>
        <v>0</v>
      </c>
      <c r="AH275" s="18"/>
      <c r="AI275" s="32">
        <f>'Bütçe aylık-Eur'!$M$186</f>
        <v>613224.39862393844</v>
      </c>
      <c r="AJ275" s="32">
        <f>'gerç aylık-eur'!$M$185</f>
        <v>0</v>
      </c>
      <c r="AK275" s="18"/>
      <c r="AL275" s="33">
        <f>AP275-AO275</f>
        <v>-273076.88898305659</v>
      </c>
      <c r="AM275" s="34">
        <f>AP275/AO275-1</f>
        <v>-0.36335932421972039</v>
      </c>
      <c r="AO275" s="44">
        <f>IF($A$1=$B$1,B275,IF($A$1=$E$1,E275,IF($A$1=$H$1,H275,IF($A$1=$K$1,K275,IF($A$1=$N$1,N275,IF($A$1=$Q$1,Q275,IF($A$1=$T$1,T275,IF($A$1=$W$1,W275,IF($A$1=$Z$1,Z275,IF($A$1=$AC$1,AC275,IF($A$1=$AF$1,AF275,IF($A$1=$AI$1,AI275))))))))))))</f>
        <v>751534.00719649403</v>
      </c>
      <c r="AP275" s="44">
        <f>IF($A$1=$B$1,C275,IF($A$1=$E$1,F275,IF($A$1=$H$1,I275,IF($A$1=$K$1,L275,IF($A$1=$N$1,O275,IF($A$1=$Q$1,R275,IF($A$1=$T$1,U275,IF($A$1=$W$1,X275,IF($A$1=$Z$1,AA275,IF($A$1=$AC$1,AD275,IF($A$1=$AF$1,AG275,IF($A$1=$AI$1,AJ275))))))))))))</f>
        <v>478457.11821343744</v>
      </c>
    </row>
    <row r="276" spans="1:42" s="13" customFormat="1" ht="15.5">
      <c r="A276" s="27"/>
      <c r="B276" s="30"/>
      <c r="C276" s="30"/>
      <c r="D276" s="41"/>
      <c r="E276" s="30"/>
      <c r="F276" s="30"/>
      <c r="G276" s="41"/>
      <c r="H276" s="30"/>
      <c r="I276" s="30"/>
      <c r="J276" s="41"/>
      <c r="K276" s="30"/>
      <c r="L276" s="30"/>
      <c r="M276" s="41"/>
      <c r="N276" s="30"/>
      <c r="O276" s="30"/>
      <c r="P276" s="41"/>
      <c r="Q276" s="30"/>
      <c r="R276" s="30"/>
      <c r="S276" s="41"/>
      <c r="T276" s="30"/>
      <c r="U276" s="30"/>
      <c r="V276" s="41"/>
      <c r="W276" s="30"/>
      <c r="X276" s="30"/>
      <c r="Y276" s="41"/>
      <c r="Z276" s="30"/>
      <c r="AA276" s="30"/>
      <c r="AB276" s="41"/>
      <c r="AC276" s="30"/>
      <c r="AD276" s="30"/>
      <c r="AE276" s="41"/>
      <c r="AF276" s="30"/>
      <c r="AG276" s="30"/>
      <c r="AH276" s="41"/>
      <c r="AI276" s="30"/>
      <c r="AJ276" s="30"/>
      <c r="AK276" s="41"/>
      <c r="AL276" s="15"/>
      <c r="AM276" s="22"/>
      <c r="AO276" s="44">
        <f>IF($A$1=$B$1,B276,IF($A$1=$E$1,E276,IF($A$1=$H$1,H276,IF($A$1=$K$1,K276,IF($A$1=$N$1,N276,IF($A$1=$Q$1,Q276,IF($A$1=$T$1,T276,IF($A$1=$W$1,W276,IF($A$1=$Z$1,Z276,IF($A$1=$AC$1,AC276,IF($A$1=$AF$1,AF276,IF($A$1=$AI$1,AI276))))))))))))</f>
        <v>0</v>
      </c>
      <c r="AP276" s="44">
        <f>IF($A$1=$B$1,C276,IF($A$1=$E$1,F276,IF($A$1=$H$1,I276,IF($A$1=$K$1,L276,IF($A$1=$N$1,O276,IF($A$1=$Q$1,R276,IF($A$1=$T$1,U276,IF($A$1=$W$1,X276,IF($A$1=$Z$1,AA276,IF($A$1=$AC$1,AD276,IF($A$1=$AF$1,AG276,IF($A$1=$AI$1,AJ276))))))))))))</f>
        <v>0</v>
      </c>
    </row>
    <row r="277" spans="1:42" s="49" customFormat="1" ht="17">
      <c r="A277" s="47" t="s">
        <v>91</v>
      </c>
      <c r="B277" s="413"/>
      <c r="C277" s="413"/>
      <c r="D277" s="413"/>
      <c r="E277" s="413"/>
      <c r="F277" s="413"/>
      <c r="G277" s="413"/>
      <c r="H277" s="413"/>
      <c r="I277" s="413"/>
      <c r="J277" s="413"/>
      <c r="K277" s="413"/>
      <c r="L277" s="413"/>
      <c r="M277" s="413"/>
      <c r="N277" s="413"/>
      <c r="O277" s="413"/>
      <c r="P277" s="413"/>
      <c r="Q277" s="413"/>
      <c r="R277" s="413"/>
      <c r="S277" s="413"/>
      <c r="T277" s="413"/>
      <c r="U277" s="413"/>
      <c r="V277" s="413"/>
      <c r="W277" s="413"/>
      <c r="X277" s="413"/>
      <c r="Y277" s="413"/>
      <c r="Z277" s="413"/>
      <c r="AA277" s="413"/>
      <c r="AB277" s="413"/>
      <c r="AC277" s="413"/>
      <c r="AD277" s="413"/>
      <c r="AE277" s="413"/>
      <c r="AF277" s="413"/>
      <c r="AG277" s="413"/>
      <c r="AH277" s="413"/>
      <c r="AI277" s="413"/>
      <c r="AJ277" s="413"/>
      <c r="AK277" s="413"/>
      <c r="AL277" s="413"/>
      <c r="AM277" s="48"/>
    </row>
    <row r="278" spans="1:42" ht="15.5">
      <c r="A278" s="26" t="s">
        <v>10</v>
      </c>
      <c r="B278" s="7">
        <f>'Bütçe aylık-Eur'!$B$187</f>
        <v>1924.399273230136</v>
      </c>
      <c r="C278" s="7">
        <f>'gerç aylık-eur'!$B$186</f>
        <v>0</v>
      </c>
      <c r="D278" s="7"/>
      <c r="E278" s="7">
        <f>'Bütçe aylık-Eur'!$C$187</f>
        <v>0</v>
      </c>
      <c r="F278" s="7">
        <f>'gerç aylık-eur'!$C$186</f>
        <v>410.26079482154972</v>
      </c>
      <c r="G278" s="7"/>
      <c r="H278" s="7">
        <f>'Bütçe aylık-Eur'!$D$187</f>
        <v>0</v>
      </c>
      <c r="I278" s="7">
        <f>'gerç aylık-eur'!$D$186</f>
        <v>0</v>
      </c>
      <c r="J278" s="7"/>
      <c r="K278" s="7">
        <f>'Bütçe aylık-Eur'!$E$187</f>
        <v>0</v>
      </c>
      <c r="L278" s="7">
        <f>'gerç aylık-eur'!$E$186</f>
        <v>0</v>
      </c>
      <c r="M278" s="7"/>
      <c r="N278" s="7">
        <f>'Bütçe aylık-Eur'!$F$187</f>
        <v>961.45154615091815</v>
      </c>
      <c r="O278" s="7">
        <f>'gerç aylık-eur'!$F$186</f>
        <v>0</v>
      </c>
      <c r="P278" s="7"/>
      <c r="Q278" s="7">
        <f>'Bütçe aylık-Eur'!$G$187</f>
        <v>1922.5651780112253</v>
      </c>
      <c r="R278" s="7">
        <f>'gerç aylık-eur'!$G$186</f>
        <v>7134.7757246135679</v>
      </c>
      <c r="S278" s="7"/>
      <c r="T278" s="7">
        <f>'Bütçe aylık-Eur'!$H$187</f>
        <v>0</v>
      </c>
      <c r="U278" s="7">
        <f>'gerç aylık-eur'!$H$186</f>
        <v>0</v>
      </c>
      <c r="V278" s="7"/>
      <c r="W278" s="7">
        <f>'Bütçe aylık-Eur'!$I$187</f>
        <v>5883.4327241234869</v>
      </c>
      <c r="X278" s="7">
        <f>'gerç aylık-eur'!$I$186</f>
        <v>0</v>
      </c>
      <c r="Y278" s="7"/>
      <c r="Z278" s="7">
        <f>'Bütçe aylık-Eur'!$J$187</f>
        <v>1964.9635441469513</v>
      </c>
      <c r="AA278" s="7">
        <f>'gerç aylık-eur'!$J$186</f>
        <v>0</v>
      </c>
      <c r="AB278" s="7"/>
      <c r="AC278" s="7">
        <f>'Bütçe aylık-Eur'!$K$187</f>
        <v>2271.5192374964222</v>
      </c>
      <c r="AD278" s="7">
        <f>'gerç aylık-eur'!$K$186</f>
        <v>0</v>
      </c>
      <c r="AE278" s="7"/>
      <c r="AF278" s="7">
        <f>'Bütçe aylık-Eur'!$L$187</f>
        <v>0</v>
      </c>
      <c r="AG278" s="7">
        <f>'gerç aylık-eur'!$L$186</f>
        <v>0</v>
      </c>
      <c r="AH278" s="7"/>
      <c r="AI278" s="7">
        <f>'Bütçe aylık-Eur'!$M$187</f>
        <v>0</v>
      </c>
      <c r="AJ278" s="7">
        <f>'gerç aylık-eur'!$M$186</f>
        <v>0</v>
      </c>
      <c r="AK278" s="7"/>
      <c r="AL278" s="21">
        <f t="shared" ref="AL278:AL285" si="138">AP278-AO278</f>
        <v>-1964.9635441469513</v>
      </c>
      <c r="AM278" s="22">
        <f t="shared" ref="AM278:AM285" si="139">AP278/AO278-1</f>
        <v>-1</v>
      </c>
      <c r="AO278" s="44">
        <f t="shared" ref="AO278:AP285" si="140">IF($A$1=$B$1,B278,IF($A$1=$E$1,E278,IF($A$1=$H$1,H278,IF($A$1=$K$1,K278,IF($A$1=$N$1,N278,IF($A$1=$Q$1,Q278,IF($A$1=$T$1,T278,IF($A$1=$W$1,W278,IF($A$1=$Z$1,Z278,IF($A$1=$AC$1,AC278,IF($A$1=$AF$1,AF278,IF($A$1=$AI$1,AI278))))))))))))</f>
        <v>1964.9635441469513</v>
      </c>
      <c r="AP278" s="44">
        <f t="shared" si="140"/>
        <v>0</v>
      </c>
    </row>
    <row r="279" spans="1:42" ht="15.5">
      <c r="A279" s="26" t="s">
        <v>11</v>
      </c>
      <c r="B279" s="7">
        <f>'Bütçe aylık-Eur'!$B$188</f>
        <v>37421.013228197167</v>
      </c>
      <c r="C279" s="7">
        <f>'gerç aylık-eur'!$B$187</f>
        <v>53252.056358936352</v>
      </c>
      <c r="D279" s="7"/>
      <c r="E279" s="7">
        <f>'Bütçe aylık-Eur'!$C$188</f>
        <v>29230.78546851582</v>
      </c>
      <c r="F279" s="7">
        <f>'gerç aylık-eur'!$C$187</f>
        <v>65645.940839924267</v>
      </c>
      <c r="G279" s="7"/>
      <c r="H279" s="7">
        <f>'Bütçe aylık-Eur'!$D$188</f>
        <v>32259.977601961513</v>
      </c>
      <c r="I279" s="7">
        <f>'gerç aylık-eur'!$D$187</f>
        <v>81363.299836644946</v>
      </c>
      <c r="J279" s="7"/>
      <c r="K279" s="7">
        <f>'Bütçe aylık-Eur'!$E$188</f>
        <v>204274.95010106597</v>
      </c>
      <c r="L279" s="7">
        <f>'gerç aylık-eur'!$E$187</f>
        <v>59406.170292923292</v>
      </c>
      <c r="M279" s="7"/>
      <c r="N279" s="7">
        <f>'Bütçe aylık-Eur'!$F$188</f>
        <v>60019.952581520723</v>
      </c>
      <c r="O279" s="7">
        <f>'gerç aylık-eur'!$F$187</f>
        <v>50725.201978158992</v>
      </c>
      <c r="P279" s="7"/>
      <c r="Q279" s="7">
        <f>'Bütçe aylık-Eur'!$G$188</f>
        <v>79856.643774917044</v>
      </c>
      <c r="R279" s="7">
        <f>'gerç aylık-eur'!$G$187</f>
        <v>65019.624911640582</v>
      </c>
      <c r="S279" s="7"/>
      <c r="T279" s="7">
        <f>'Bütçe aylık-Eur'!$H$188</f>
        <v>57756.922442758339</v>
      </c>
      <c r="U279" s="7">
        <f>'gerç aylık-eur'!$H$187</f>
        <v>50764.068714587032</v>
      </c>
      <c r="V279" s="7"/>
      <c r="W279" s="7">
        <f>'Bütçe aylık-Eur'!$I$188</f>
        <v>23166.816498086708</v>
      </c>
      <c r="X279" s="7">
        <f>'gerç aylık-eur'!$I$187</f>
        <v>52567.510403356486</v>
      </c>
      <c r="Y279" s="7"/>
      <c r="Z279" s="7">
        <f>'Bütçe aylık-Eur'!$J$188</f>
        <v>54556.634872785944</v>
      </c>
      <c r="AA279" s="7">
        <f>'gerç aylık-eur'!$J$187</f>
        <v>50745.987366034351</v>
      </c>
      <c r="AB279" s="7"/>
      <c r="AC279" s="7">
        <f>'Bütçe aylık-Eur'!$K$188</f>
        <v>16435.963601175739</v>
      </c>
      <c r="AD279" s="7">
        <f>'gerç aylık-eur'!$K$187</f>
        <v>0</v>
      </c>
      <c r="AE279" s="7"/>
      <c r="AF279" s="7">
        <f>'Bütçe aylık-Eur'!$L$188</f>
        <v>16182.86592050298</v>
      </c>
      <c r="AG279" s="7">
        <f>'gerç aylık-eur'!$L$187</f>
        <v>0</v>
      </c>
      <c r="AH279" s="7"/>
      <c r="AI279" s="7">
        <f>'Bütçe aylık-Eur'!$M$188</f>
        <v>15950.143453913648</v>
      </c>
      <c r="AJ279" s="7">
        <f>'gerç aylık-eur'!$M$187</f>
        <v>0</v>
      </c>
      <c r="AK279" s="7"/>
      <c r="AL279" s="21">
        <f t="shared" si="138"/>
        <v>-3810.647506751593</v>
      </c>
      <c r="AM279" s="22">
        <f t="shared" si="139"/>
        <v>-6.9847554117609789E-2</v>
      </c>
      <c r="AO279" s="44">
        <f t="shared" si="140"/>
        <v>54556.634872785944</v>
      </c>
      <c r="AP279" s="44">
        <f t="shared" si="140"/>
        <v>50745.987366034351</v>
      </c>
    </row>
    <row r="280" spans="1:42" ht="15.5">
      <c r="A280" s="26" t="s">
        <v>12</v>
      </c>
      <c r="B280" s="7">
        <f>'Bütçe aylık-Eur'!$B$189</f>
        <v>0</v>
      </c>
      <c r="C280" s="7">
        <f>'gerç aylık-eur'!$B$188</f>
        <v>0</v>
      </c>
      <c r="D280" s="7"/>
      <c r="E280" s="7">
        <f>'Bütçe aylık-Eur'!$C$189</f>
        <v>0</v>
      </c>
      <c r="F280" s="7">
        <f>'gerç aylık-eur'!$C$188</f>
        <v>0</v>
      </c>
      <c r="G280" s="7"/>
      <c r="H280" s="7">
        <f>'Bütçe aylık-Eur'!$D$189</f>
        <v>0</v>
      </c>
      <c r="I280" s="7">
        <f>'gerç aylık-eur'!$D$188</f>
        <v>0</v>
      </c>
      <c r="J280" s="7"/>
      <c r="K280" s="7">
        <f>'Bütçe aylık-Eur'!$E$189</f>
        <v>0</v>
      </c>
      <c r="L280" s="7">
        <f>'gerç aylık-eur'!$E$188</f>
        <v>0</v>
      </c>
      <c r="M280" s="7"/>
      <c r="N280" s="7">
        <f>'Bütçe aylık-Eur'!$F$189</f>
        <v>0</v>
      </c>
      <c r="O280" s="7">
        <f>'gerç aylık-eur'!$F$188</f>
        <v>0</v>
      </c>
      <c r="P280" s="7"/>
      <c r="Q280" s="7">
        <f>'Bütçe aylık-Eur'!$G$189</f>
        <v>0</v>
      </c>
      <c r="R280" s="7">
        <f>'gerç aylık-eur'!$G$188</f>
        <v>0</v>
      </c>
      <c r="S280" s="7"/>
      <c r="T280" s="7">
        <f>'Bütçe aylık-Eur'!$H$189</f>
        <v>0</v>
      </c>
      <c r="U280" s="7">
        <f>'gerç aylık-eur'!$H$188</f>
        <v>0</v>
      </c>
      <c r="V280" s="7"/>
      <c r="W280" s="7">
        <f>'Bütçe aylık-Eur'!$I$189</f>
        <v>0</v>
      </c>
      <c r="X280" s="7">
        <f>'gerç aylık-eur'!$I$188</f>
        <v>0</v>
      </c>
      <c r="Y280" s="7"/>
      <c r="Z280" s="7">
        <f>'Bütçe aylık-Eur'!$J$189</f>
        <v>0</v>
      </c>
      <c r="AA280" s="7">
        <f>'gerç aylık-eur'!$J$188</f>
        <v>0</v>
      </c>
      <c r="AB280" s="7"/>
      <c r="AC280" s="7">
        <f>'Bütçe aylık-Eur'!$K$189</f>
        <v>0</v>
      </c>
      <c r="AD280" s="7">
        <f>'gerç aylık-eur'!$K$188</f>
        <v>0</v>
      </c>
      <c r="AE280" s="7"/>
      <c r="AF280" s="7">
        <f>'Bütçe aylık-Eur'!$L$189</f>
        <v>0</v>
      </c>
      <c r="AG280" s="7">
        <f>'gerç aylık-eur'!$L$188</f>
        <v>0</v>
      </c>
      <c r="AH280" s="7"/>
      <c r="AI280" s="7">
        <f>'Bütçe aylık-Eur'!$M$189</f>
        <v>0</v>
      </c>
      <c r="AJ280" s="7">
        <f>'gerç aylık-eur'!$M$188</f>
        <v>0</v>
      </c>
      <c r="AK280" s="7"/>
      <c r="AL280" s="21">
        <f t="shared" si="138"/>
        <v>0</v>
      </c>
      <c r="AM280" s="22" t="e">
        <f t="shared" si="139"/>
        <v>#DIV/0!</v>
      </c>
      <c r="AO280" s="44">
        <f t="shared" si="140"/>
        <v>0</v>
      </c>
      <c r="AP280" s="44">
        <f t="shared" si="140"/>
        <v>0</v>
      </c>
    </row>
    <row r="281" spans="1:42" ht="15.5">
      <c r="A281" s="26" t="s">
        <v>13</v>
      </c>
      <c r="B281" s="7">
        <f>'Bütçe aylık-Eur'!$B$190</f>
        <v>309454.4406993278</v>
      </c>
      <c r="C281" s="7">
        <f>'gerç aylık-eur'!$B$189</f>
        <v>179430.80014359477</v>
      </c>
      <c r="D281" s="7"/>
      <c r="E281" s="7">
        <f>'Bütçe aylık-Eur'!$C$190</f>
        <v>308891.12269887381</v>
      </c>
      <c r="F281" s="7">
        <f>'gerç aylık-eur'!$C$189</f>
        <v>92513.503465865666</v>
      </c>
      <c r="G281" s="7"/>
      <c r="H281" s="7">
        <f>'Bütçe aylık-Eur'!$D$190</f>
        <v>308453.91142219788</v>
      </c>
      <c r="I281" s="7">
        <f>'gerç aylık-eur'!$D$189</f>
        <v>166931.4097750751</v>
      </c>
      <c r="J281" s="7"/>
      <c r="K281" s="7">
        <f>'Bütçe aylık-Eur'!$E$190</f>
        <v>431394.53078712238</v>
      </c>
      <c r="L281" s="7">
        <f>'gerç aylık-eur'!$E$189</f>
        <v>0</v>
      </c>
      <c r="M281" s="7"/>
      <c r="N281" s="7">
        <f>'Bütçe aylık-Eur'!$F$190</f>
        <v>431116.57259915955</v>
      </c>
      <c r="O281" s="7">
        <f>'gerç aylık-eur'!$F$189</f>
        <v>0</v>
      </c>
      <c r="P281" s="7"/>
      <c r="Q281" s="7">
        <f>'Bütçe aylık-Eur'!$G$190</f>
        <v>513089.46847112733</v>
      </c>
      <c r="R281" s="7">
        <f>'gerç aylık-eur'!$G$189</f>
        <v>0</v>
      </c>
      <c r="S281" s="7"/>
      <c r="T281" s="7">
        <f>'Bütçe aylık-Eur'!$H$190</f>
        <v>513122.99457262276</v>
      </c>
      <c r="U281" s="7">
        <f>'gerç aylık-eur'!$H$189</f>
        <v>0</v>
      </c>
      <c r="V281" s="7"/>
      <c r="W281" s="7">
        <f>'Bütçe aylık-Eur'!$I$190</f>
        <v>513330.58809826273</v>
      </c>
      <c r="X281" s="7">
        <f>'gerç aylık-eur'!$I$189</f>
        <v>720963.55453987001</v>
      </c>
      <c r="Y281" s="7"/>
      <c r="Z281" s="7">
        <f>'Bütçe aylık-Eur'!$J$190</f>
        <v>616446.03411659854</v>
      </c>
      <c r="AA281" s="7">
        <f>'gerç aylık-eur'!$J$189</f>
        <v>267455.90700474475</v>
      </c>
      <c r="AB281" s="7"/>
      <c r="AC281" s="7">
        <f>'Bütçe aylık-Eur'!$K$190</f>
        <v>617088.9862351839</v>
      </c>
      <c r="AD281" s="7">
        <f>'gerç aylık-eur'!$K$189</f>
        <v>0</v>
      </c>
      <c r="AE281" s="7"/>
      <c r="AF281" s="7">
        <f>'Bütçe aylık-Eur'!$L$190</f>
        <v>741501.73417054606</v>
      </c>
      <c r="AG281" s="7">
        <f>'gerç aylık-eur'!$L$189</f>
        <v>0</v>
      </c>
      <c r="AH281" s="7"/>
      <c r="AI281" s="7">
        <f>'Bütçe aylık-Eur'!$M$190</f>
        <v>866597.40926841798</v>
      </c>
      <c r="AJ281" s="7">
        <f>'gerç aylık-eur'!$M$189</f>
        <v>0</v>
      </c>
      <c r="AK281" s="7"/>
      <c r="AL281" s="21">
        <f t="shared" si="138"/>
        <v>-348990.1271118538</v>
      </c>
      <c r="AM281" s="22">
        <f t="shared" si="139"/>
        <v>-0.56613248816171891</v>
      </c>
      <c r="AO281" s="44">
        <f t="shared" si="140"/>
        <v>616446.03411659854</v>
      </c>
      <c r="AP281" s="44">
        <f t="shared" si="140"/>
        <v>267455.90700474475</v>
      </c>
    </row>
    <row r="282" spans="1:42" s="1" customFormat="1" ht="15.5">
      <c r="A282" s="26" t="s">
        <v>14</v>
      </c>
      <c r="B282" s="7">
        <f>'Bütçe aylık-Eur'!$B$191</f>
        <v>104087.52312868946</v>
      </c>
      <c r="C282" s="7">
        <f>'gerç aylık-eur'!$B$190</f>
        <v>112475.8565550208</v>
      </c>
      <c r="D282" s="8"/>
      <c r="E282" s="7">
        <f>'Bütçe aylık-Eur'!$C$191</f>
        <v>69807.028234252633</v>
      </c>
      <c r="F282" s="7">
        <f>'gerç aylık-eur'!$C$190</f>
        <v>106041.13190970558</v>
      </c>
      <c r="G282" s="8"/>
      <c r="H282" s="7">
        <f>'Bütçe aylık-Eur'!$D$191</f>
        <v>82220.320111757421</v>
      </c>
      <c r="I282" s="7">
        <f>'gerç aylık-eur'!$D$190</f>
        <v>333927.85137928952</v>
      </c>
      <c r="J282" s="8"/>
      <c r="K282" s="7">
        <f>'Bütçe aylık-Eur'!$E$191</f>
        <v>76084.778732782652</v>
      </c>
      <c r="L282" s="7">
        <f>'gerç aylık-eur'!$E$190</f>
        <v>31662.420179171113</v>
      </c>
      <c r="M282" s="8"/>
      <c r="N282" s="7">
        <f>'Bütçe aylık-Eur'!$F$191</f>
        <v>74635.591723410442</v>
      </c>
      <c r="O282" s="7">
        <f>'gerç aylık-eur'!$F$190</f>
        <v>29497.478695353188</v>
      </c>
      <c r="P282" s="8"/>
      <c r="Q282" s="7">
        <f>'Bütçe aylık-Eur'!$G$191</f>
        <v>73240.578209951433</v>
      </c>
      <c r="R282" s="7">
        <f>'gerç aylık-eur'!$G$190</f>
        <v>106308.17288972721</v>
      </c>
      <c r="S282" s="8"/>
      <c r="T282" s="7">
        <f>'Bütçe aylık-Eur'!$H$191</f>
        <v>71896.583953641093</v>
      </c>
      <c r="U282" s="7">
        <f>'gerç aylık-eur'!$H$190</f>
        <v>373105.67062566639</v>
      </c>
      <c r="V282" s="8"/>
      <c r="W282" s="7">
        <f>'Bütçe aylık-Eur'!$I$191</f>
        <v>70601.192689481846</v>
      </c>
      <c r="X282" s="7">
        <f>'gerç aylık-eur'!$I$190</f>
        <v>12172.617545943305</v>
      </c>
      <c r="Y282" s="8"/>
      <c r="Z282" s="7">
        <f>'Bütçe aylık-Eur'!$J$191</f>
        <v>69351.654499304161</v>
      </c>
      <c r="AA282" s="7">
        <f>'gerç aylık-eur'!$J$190</f>
        <v>61132.343634763165</v>
      </c>
      <c r="AB282" s="8"/>
      <c r="AC282" s="7">
        <f>'Bütçe aylık-Eur'!$K$191</f>
        <v>68145.577124892661</v>
      </c>
      <c r="AD282" s="7">
        <f>'gerç aylık-eur'!$K$190</f>
        <v>0</v>
      </c>
      <c r="AE282" s="8"/>
      <c r="AF282" s="7">
        <f>'Bütçe aylık-Eur'!$L$191</f>
        <v>66980.582329182769</v>
      </c>
      <c r="AG282" s="7">
        <f>'gerç aylık-eur'!$L$190</f>
        <v>0</v>
      </c>
      <c r="AH282" s="8"/>
      <c r="AI282" s="7">
        <f>'Bütçe aylık-Eur'!$M$191</f>
        <v>65854.895323643883</v>
      </c>
      <c r="AJ282" s="7">
        <f>'gerç aylık-eur'!$M$190</f>
        <v>0</v>
      </c>
      <c r="AK282" s="8"/>
      <c r="AL282" s="21">
        <f t="shared" si="138"/>
        <v>-8219.3108645409957</v>
      </c>
      <c r="AM282" s="22">
        <f t="shared" si="139"/>
        <v>-0.11851643517204713</v>
      </c>
      <c r="AO282" s="44">
        <f t="shared" si="140"/>
        <v>69351.654499304161</v>
      </c>
      <c r="AP282" s="44">
        <f t="shared" si="140"/>
        <v>61132.343634763165</v>
      </c>
    </row>
    <row r="283" spans="1:42" ht="15.5">
      <c r="A283" s="26" t="s">
        <v>15</v>
      </c>
      <c r="B283" s="7">
        <f>'Bütçe aylık-Eur'!$B$192</f>
        <v>274833.33333300002</v>
      </c>
      <c r="C283" s="7">
        <f>'gerç aylık-eur'!$B$191</f>
        <v>126976.17</v>
      </c>
      <c r="D283" s="7"/>
      <c r="E283" s="7">
        <f>'Bütçe aylık-Eur'!$C$192</f>
        <v>274833.33333400002</v>
      </c>
      <c r="F283" s="7">
        <f>'gerç aylık-eur'!$C$191</f>
        <v>45072.268170999982</v>
      </c>
      <c r="G283" s="7"/>
      <c r="H283" s="7">
        <f>'Bütçe aylık-Eur'!$D$192</f>
        <v>274833.33333299996</v>
      </c>
      <c r="I283" s="7">
        <f>'gerç aylık-eur'!$D$191</f>
        <v>25424.380599000026</v>
      </c>
      <c r="J283" s="7"/>
      <c r="K283" s="7">
        <f>'Bütçe aylık-Eur'!$E$192</f>
        <v>274833.33333300008</v>
      </c>
      <c r="L283" s="7">
        <f>'gerç aylık-eur'!$E$191</f>
        <v>248423.15372199999</v>
      </c>
      <c r="M283" s="7"/>
      <c r="N283" s="7">
        <f>'Bütçe aylık-Eur'!$F$192</f>
        <v>274833.33333399985</v>
      </c>
      <c r="O283" s="7">
        <f>'gerç aylık-eur'!$F$191</f>
        <v>268609.79399899999</v>
      </c>
      <c r="P283" s="7"/>
      <c r="Q283" s="7">
        <f>'Bütçe aylık-Eur'!$G$192</f>
        <v>274833.33333300008</v>
      </c>
      <c r="R283" s="7">
        <f>'gerç aylık-eur'!$G$191</f>
        <v>196786.09893400004</v>
      </c>
      <c r="S283" s="7"/>
      <c r="T283" s="7">
        <f>'Bütçe aylık-Eur'!$H$192</f>
        <v>274833.33333300008</v>
      </c>
      <c r="U283" s="7">
        <f>'gerç aylık-eur'!$H$191</f>
        <v>-95078.014813999995</v>
      </c>
      <c r="V283" s="7"/>
      <c r="W283" s="7">
        <f>'Bütçe aylık-Eur'!$I$192</f>
        <v>274833.33333399985</v>
      </c>
      <c r="X283" s="7">
        <f>'gerç aylık-eur'!$I$191</f>
        <v>1310961.7293890002</v>
      </c>
      <c r="Y283" s="7"/>
      <c r="Z283" s="7">
        <f>'Bütçe aylık-Eur'!$J$192</f>
        <v>274833.33333300008</v>
      </c>
      <c r="AA283" s="7">
        <f>'gerç aylık-eur'!$J$191</f>
        <v>295406.81999999983</v>
      </c>
      <c r="AB283" s="7"/>
      <c r="AC283" s="7">
        <f>'Bütçe aylık-Eur'!$K$192</f>
        <v>274833.33333300008</v>
      </c>
      <c r="AD283" s="7">
        <f>'gerç aylık-eur'!$K$191</f>
        <v>0</v>
      </c>
      <c r="AE283" s="7"/>
      <c r="AF283" s="7">
        <f>'Bütçe aylık-Eur'!$L$192</f>
        <v>274833.33333399985</v>
      </c>
      <c r="AG283" s="7">
        <f>'gerç aylık-eur'!$L$191</f>
        <v>0</v>
      </c>
      <c r="AH283" s="7"/>
      <c r="AI283" s="7">
        <f>'Bütçe aylık-Eur'!$M$192</f>
        <v>274833.33333300008</v>
      </c>
      <c r="AJ283" s="7">
        <f>'gerç aylık-eur'!$M$191</f>
        <v>0</v>
      </c>
      <c r="AK283" s="7"/>
      <c r="AL283" s="21">
        <f t="shared" si="138"/>
        <v>20573.486666999757</v>
      </c>
      <c r="AM283" s="22">
        <f t="shared" si="139"/>
        <v>7.4858047302697628E-2</v>
      </c>
      <c r="AO283" s="44">
        <f t="shared" si="140"/>
        <v>274833.33333300008</v>
      </c>
      <c r="AP283" s="44">
        <f t="shared" si="140"/>
        <v>295406.81999999983</v>
      </c>
    </row>
    <row r="284" spans="1:42" s="1" customFormat="1" ht="15.5">
      <c r="A284" s="26" t="s">
        <v>16</v>
      </c>
      <c r="B284" s="7">
        <f>'Bütçe aylık-Eur'!$B$193</f>
        <v>30000</v>
      </c>
      <c r="C284" s="7">
        <f>'gerç aylık-eur'!$B$192</f>
        <v>9435.4500000000007</v>
      </c>
      <c r="D284" s="8"/>
      <c r="E284" s="7">
        <f>'Bütçe aylık-Eur'!$C$193</f>
        <v>266000</v>
      </c>
      <c r="F284" s="7">
        <f>'gerç aylık-eur'!$C$192</f>
        <v>20371.95</v>
      </c>
      <c r="G284" s="8"/>
      <c r="H284" s="7">
        <f>'Bütçe aylık-Eur'!$D$193</f>
        <v>465000</v>
      </c>
      <c r="I284" s="7">
        <f>'gerç aylık-eur'!$D$192</f>
        <v>5431.965532000002</v>
      </c>
      <c r="J284" s="8"/>
      <c r="K284" s="7">
        <f>'Bütçe aylık-Eur'!$E$193</f>
        <v>261000</v>
      </c>
      <c r="L284" s="7">
        <f>'gerç aylık-eur'!$E$192</f>
        <v>3212165.0591409998</v>
      </c>
      <c r="M284" s="8"/>
      <c r="N284" s="7">
        <f>'Bütçe aylık-Eur'!$F$193</f>
        <v>286000</v>
      </c>
      <c r="O284" s="7">
        <f>'gerç aylık-eur'!$F$192</f>
        <v>1498202.7919520002</v>
      </c>
      <c r="P284" s="8"/>
      <c r="Q284" s="7">
        <f>'Bütçe aylık-Eur'!$G$193</f>
        <v>679000</v>
      </c>
      <c r="R284" s="7">
        <f>'gerç aylık-eur'!$G$192</f>
        <v>459659.44499999937</v>
      </c>
      <c r="S284" s="8"/>
      <c r="T284" s="7">
        <f>'Bütçe aylık-Eur'!$H$193</f>
        <v>51000</v>
      </c>
      <c r="U284" s="7">
        <f>'gerç aylık-eur'!$H$192</f>
        <v>-4568188.7342349999</v>
      </c>
      <c r="V284" s="8"/>
      <c r="W284" s="7">
        <f>'Bütçe aylık-Eur'!$I$193</f>
        <v>439000</v>
      </c>
      <c r="X284" s="7">
        <f>'gerç aylık-eur'!$I$192</f>
        <v>153333.27537599998</v>
      </c>
      <c r="Y284" s="8"/>
      <c r="Z284" s="7">
        <f>'Bütçe aylık-Eur'!$J$193</f>
        <v>351000</v>
      </c>
      <c r="AA284" s="7">
        <f>'gerç aylık-eur'!$J$192</f>
        <v>250000</v>
      </c>
      <c r="AB284" s="8"/>
      <c r="AC284" s="7">
        <f>'Bütçe aylık-Eur'!$K$193</f>
        <v>177000</v>
      </c>
      <c r="AD284" s="7">
        <f>'gerç aylık-eur'!$K$192</f>
        <v>0</v>
      </c>
      <c r="AE284" s="8"/>
      <c r="AF284" s="7">
        <f>'Bütçe aylık-Eur'!$L$193</f>
        <v>56000</v>
      </c>
      <c r="AG284" s="7">
        <f>'gerç aylık-eur'!$L$192</f>
        <v>0</v>
      </c>
      <c r="AH284" s="8"/>
      <c r="AI284" s="7">
        <f>'Bütçe aylık-Eur'!$M$193</f>
        <v>26000</v>
      </c>
      <c r="AJ284" s="7">
        <f>'gerç aylık-eur'!$M$192</f>
        <v>0</v>
      </c>
      <c r="AK284" s="8"/>
      <c r="AL284" s="21">
        <f t="shared" si="138"/>
        <v>-101000</v>
      </c>
      <c r="AM284" s="22">
        <f t="shared" si="139"/>
        <v>-0.28774928774928776</v>
      </c>
      <c r="AO284" s="44">
        <f t="shared" si="140"/>
        <v>351000</v>
      </c>
      <c r="AP284" s="44">
        <f t="shared" si="140"/>
        <v>250000</v>
      </c>
    </row>
    <row r="285" spans="1:42" s="1" customFormat="1" ht="15.5">
      <c r="A285" s="26" t="s">
        <v>17</v>
      </c>
      <c r="B285" s="7">
        <f>'Bütçe aylık-Eur'!$B$194</f>
        <v>335000</v>
      </c>
      <c r="C285" s="7">
        <f>'gerç aylık-eur'!$B$193</f>
        <v>101850.57</v>
      </c>
      <c r="D285" s="8"/>
      <c r="E285" s="7">
        <f>'Bütçe aylık-Eur'!$C$194</f>
        <v>300500</v>
      </c>
      <c r="F285" s="7">
        <f>'gerç aylık-eur'!$C$193</f>
        <v>68531.449999999983</v>
      </c>
      <c r="G285" s="8"/>
      <c r="H285" s="7">
        <f>'Bütçe aylık-Eur'!$D$194</f>
        <v>343000</v>
      </c>
      <c r="I285" s="7">
        <f>'gerç aylık-eur'!$D$193</f>
        <v>155508.17000000001</v>
      </c>
      <c r="J285" s="8"/>
      <c r="K285" s="7">
        <f>'Bütçe aylık-Eur'!$E$194</f>
        <v>138000</v>
      </c>
      <c r="L285" s="7">
        <f>'gerç aylık-eur'!$E$193</f>
        <v>821134.82000000018</v>
      </c>
      <c r="M285" s="8"/>
      <c r="N285" s="7">
        <f>'Bütçe aylık-Eur'!$F$194</f>
        <v>338000</v>
      </c>
      <c r="O285" s="7">
        <f>'gerç aylık-eur'!$F$193</f>
        <v>256688.10000000012</v>
      </c>
      <c r="P285" s="8"/>
      <c r="Q285" s="7">
        <f>'Bütçe aylık-Eur'!$G$194</f>
        <v>208000</v>
      </c>
      <c r="R285" s="7">
        <f>'gerç aylık-eur'!$G$193</f>
        <v>104766.40999999992</v>
      </c>
      <c r="S285" s="8"/>
      <c r="T285" s="7">
        <f>'Bütçe aylık-Eur'!$H$194</f>
        <v>538000</v>
      </c>
      <c r="U285" s="7">
        <f>'gerç aylık-eur'!$H$193</f>
        <v>125199.86927699996</v>
      </c>
      <c r="V285" s="8"/>
      <c r="W285" s="7">
        <f>'Bütçe aylık-Eur'!$I$194</f>
        <v>345900</v>
      </c>
      <c r="X285" s="7">
        <f>'gerç aylık-eur'!$I$193</f>
        <v>292614.41500100004</v>
      </c>
      <c r="Y285" s="8"/>
      <c r="Z285" s="7">
        <f>'Bütçe aylık-Eur'!$J$194</f>
        <v>425900</v>
      </c>
      <c r="AA285" s="7">
        <f>'gerç aylık-eur'!$J$193</f>
        <v>195282.75647899997</v>
      </c>
      <c r="AB285" s="8"/>
      <c r="AC285" s="7">
        <f>'Bütçe aylık-Eur'!$K$194</f>
        <v>323900</v>
      </c>
      <c r="AD285" s="7">
        <f>'gerç aylık-eur'!$K$193</f>
        <v>0</v>
      </c>
      <c r="AE285" s="8"/>
      <c r="AF285" s="7">
        <f>'Bütçe aylık-Eur'!$L$194</f>
        <v>183900</v>
      </c>
      <c r="AG285" s="7">
        <f>'gerç aylık-eur'!$L$193</f>
        <v>0</v>
      </c>
      <c r="AH285" s="8"/>
      <c r="AI285" s="7">
        <f>'Bütçe aylık-Eur'!$M$194</f>
        <v>259900</v>
      </c>
      <c r="AJ285" s="7">
        <f>'gerç aylık-eur'!$M$193</f>
        <v>0</v>
      </c>
      <c r="AK285" s="8"/>
      <c r="AL285" s="21">
        <f t="shared" si="138"/>
        <v>-230617.24352100003</v>
      </c>
      <c r="AM285" s="22">
        <f t="shared" si="139"/>
        <v>-0.54148214022305718</v>
      </c>
      <c r="AO285" s="44">
        <f t="shared" si="140"/>
        <v>425900</v>
      </c>
      <c r="AP285" s="44">
        <f t="shared" si="140"/>
        <v>195282.75647899997</v>
      </c>
    </row>
    <row r="286" spans="1:42" s="1" customFormat="1" ht="15.5">
      <c r="A286" s="26"/>
      <c r="B286" s="7"/>
      <c r="C286" s="8"/>
      <c r="D286" s="8"/>
      <c r="E286" s="7"/>
      <c r="F286" s="8"/>
      <c r="G286" s="8"/>
      <c r="H286" s="7"/>
      <c r="I286" s="8"/>
      <c r="J286" s="8"/>
      <c r="K286" s="7"/>
      <c r="L286" s="8"/>
      <c r="M286" s="8"/>
      <c r="N286" s="7"/>
      <c r="O286" s="8"/>
      <c r="P286" s="8"/>
      <c r="Q286" s="7"/>
      <c r="R286" s="8"/>
      <c r="S286" s="8"/>
      <c r="T286" s="7"/>
      <c r="U286" s="8"/>
      <c r="V286" s="8"/>
      <c r="W286" s="7"/>
      <c r="X286" s="8"/>
      <c r="Y286" s="8"/>
      <c r="Z286" s="7"/>
      <c r="AA286" s="8"/>
      <c r="AB286" s="8"/>
      <c r="AC286" s="7"/>
      <c r="AD286" s="8"/>
      <c r="AE286" s="8"/>
      <c r="AF286" s="7"/>
      <c r="AG286" s="8"/>
      <c r="AH286" s="8"/>
      <c r="AI286" s="7"/>
      <c r="AJ286" s="8"/>
      <c r="AK286" s="8"/>
      <c r="AL286" s="15"/>
      <c r="AM286" s="16"/>
      <c r="AO286" s="44"/>
      <c r="AP286" s="44"/>
    </row>
    <row r="287" spans="1:42" s="1" customFormat="1" ht="15.5">
      <c r="A287" s="26"/>
      <c r="B287" s="7"/>
      <c r="C287" s="8"/>
      <c r="D287" s="8"/>
      <c r="E287" s="7"/>
      <c r="F287" s="8"/>
      <c r="G287" s="8"/>
      <c r="H287" s="7"/>
      <c r="I287" s="8"/>
      <c r="J287" s="8"/>
      <c r="K287" s="7"/>
      <c r="L287" s="8"/>
      <c r="M287" s="8"/>
      <c r="N287" s="7"/>
      <c r="O287" s="8"/>
      <c r="P287" s="8"/>
      <c r="Q287" s="7"/>
      <c r="R287" s="8"/>
      <c r="S287" s="8"/>
      <c r="T287" s="7"/>
      <c r="U287" s="8"/>
      <c r="V287" s="8"/>
      <c r="W287" s="7"/>
      <c r="X287" s="8"/>
      <c r="Y287" s="8"/>
      <c r="Z287" s="7"/>
      <c r="AA287" s="8"/>
      <c r="AB287" s="8"/>
      <c r="AC287" s="7"/>
      <c r="AD287" s="8"/>
      <c r="AE287" s="8"/>
      <c r="AF287" s="7"/>
      <c r="AG287" s="8"/>
      <c r="AH287" s="8"/>
      <c r="AI287" s="7"/>
      <c r="AJ287" s="8"/>
      <c r="AK287" s="8"/>
      <c r="AL287" s="15"/>
      <c r="AM287" s="16"/>
      <c r="AO287" s="44"/>
      <c r="AP287" s="44"/>
    </row>
    <row r="288" spans="1:42" s="44" customFormat="1" ht="15.5">
      <c r="A288" s="31" t="s">
        <v>19</v>
      </c>
      <c r="B288" s="32">
        <f>'Bütçe Değişim eur'!$B$2</f>
        <v>-3809780.3382335203</v>
      </c>
      <c r="C288" s="32">
        <f>'değişim aylık eur'!$B$2</f>
        <v>-2420699.2818680145</v>
      </c>
      <c r="D288" s="18"/>
      <c r="E288" s="32">
        <f>'Bütçe Değişim eur'!$C$2</f>
        <v>1566989.5737942131</v>
      </c>
      <c r="F288" s="32">
        <f>'değişim aylık eur'!$C$2</f>
        <v>-1787206.0525159326</v>
      </c>
      <c r="G288" s="18"/>
      <c r="H288" s="32">
        <f>'Bütçe Değişim eur'!$D$2</f>
        <v>8241640.8371910648</v>
      </c>
      <c r="I288" s="32">
        <f>'değişim aylık eur'!$D$2</f>
        <v>7190577.4689554805</v>
      </c>
      <c r="J288" s="18"/>
      <c r="K288" s="32">
        <f>'Bütçe Değişim eur'!$E$2</f>
        <v>-1038352.8303340951</v>
      </c>
      <c r="L288" s="32">
        <f>'değişim aylık eur'!$E$2</f>
        <v>-7282359.4415887091</v>
      </c>
      <c r="M288" s="18"/>
      <c r="N288" s="32">
        <f>'Bütçe Değişim eur'!$F$2</f>
        <v>4722528.262937597</v>
      </c>
      <c r="O288" s="32">
        <f>'değişim aylık eur'!$F$2</f>
        <v>-3181613.3513675076</v>
      </c>
      <c r="P288" s="18"/>
      <c r="Q288" s="32">
        <f>'Bütçe Değişim eur'!$G$2</f>
        <v>6767825.7182742022</v>
      </c>
      <c r="R288" s="32">
        <f>'değişim aylık eur'!$G$2</f>
        <v>11614610.570748121</v>
      </c>
      <c r="S288" s="18"/>
      <c r="T288" s="32">
        <f>'Bütçe Değişim eur'!$H$2</f>
        <v>-813852.06472253939</v>
      </c>
      <c r="U288" s="32">
        <f>'değişim aylık eur'!$H$2</f>
        <v>9254334.4096636269</v>
      </c>
      <c r="V288" s="18"/>
      <c r="W288" s="32">
        <f>'Bütçe Değişim eur'!$I$2</f>
        <v>4737256.1352482196</v>
      </c>
      <c r="X288" s="32">
        <f>'değişim aylık eur'!$I$2</f>
        <v>3074697.0438685846</v>
      </c>
      <c r="Y288" s="18"/>
      <c r="Z288" s="32">
        <f>'Bütçe Değişim eur'!$J$2</f>
        <v>6732352.0326961009</v>
      </c>
      <c r="AA288" s="32">
        <f>'değişim aylık eur'!$J$2</f>
        <v>4075848.3260691799</v>
      </c>
      <c r="AB288" s="18"/>
      <c r="AC288" s="32">
        <f>'Bütçe Değişim eur'!$K$2</f>
        <v>-84970.568337069533</v>
      </c>
      <c r="AD288" s="32">
        <f>'değişim aylık eur'!$K$2</f>
        <v>0</v>
      </c>
      <c r="AE288" s="18"/>
      <c r="AF288" s="32">
        <f>'Bütçe Değişim eur'!$L$2</f>
        <v>6965564.3561143288</v>
      </c>
      <c r="AG288" s="32">
        <f>'değişim aylık eur'!$L$2</f>
        <v>0</v>
      </c>
      <c r="AH288" s="18"/>
      <c r="AI288" s="32">
        <f>'Bütçe Değişim eur'!$M$2</f>
        <v>6939763.9304515198</v>
      </c>
      <c r="AJ288" s="32">
        <f>'değişim aylık eur'!$M$2</f>
        <v>0</v>
      </c>
      <c r="AK288" s="18"/>
      <c r="AL288" s="33">
        <f>AP288-AO288</f>
        <v>-2656503.706626921</v>
      </c>
      <c r="AM288" s="34">
        <f>AP288/AO288-1</f>
        <v>-0.39458775977926286</v>
      </c>
      <c r="AO288" s="44">
        <f>IF($A$1=$B$1,B288,IF($A$1=$E$1,E288,IF($A$1=$H$1,H288,IF($A$1=$K$1,K288,IF($A$1=$N$1,N288,IF($A$1=$Q$1,Q288,IF($A$1=$T$1,T288,IF($A$1=$W$1,W288,IF($A$1=$Z$1,Z288,IF($A$1=$AC$1,AC288,IF($A$1=$AF$1,AF288,IF($A$1=$AI$1,AI288))))))))))))</f>
        <v>6732352.0326961009</v>
      </c>
      <c r="AP288" s="44">
        <f>IF($A$1=$B$1,C288,IF($A$1=$E$1,F288,IF($A$1=$H$1,I288,IF($A$1=$K$1,L288,IF($A$1=$N$1,O288,IF($A$1=$Q$1,R288,IF($A$1=$T$1,U288,IF($A$1=$W$1,X288,IF($A$1=$Z$1,AA288,IF($A$1=$AC$1,AD288,IF($A$1=$AF$1,AG288,IF($A$1=$AI$1,AJ288))))))))))))</f>
        <v>4075848.3260691799</v>
      </c>
    </row>
    <row r="289" spans="1:42" s="13" customFormat="1" ht="15.5">
      <c r="A289" s="27"/>
      <c r="B289" s="30"/>
      <c r="C289" s="30"/>
      <c r="D289" s="41"/>
      <c r="E289" s="30"/>
      <c r="F289" s="30"/>
      <c r="G289" s="41"/>
      <c r="H289" s="30"/>
      <c r="I289" s="30"/>
      <c r="J289" s="41"/>
      <c r="K289" s="30"/>
      <c r="L289" s="30"/>
      <c r="M289" s="41"/>
      <c r="N289" s="30"/>
      <c r="O289" s="30"/>
      <c r="P289" s="41"/>
      <c r="Q289" s="30"/>
      <c r="R289" s="30"/>
      <c r="S289" s="41"/>
      <c r="T289" s="30"/>
      <c r="U289" s="30"/>
      <c r="V289" s="41"/>
      <c r="W289" s="30"/>
      <c r="X289" s="30"/>
      <c r="Y289" s="41"/>
      <c r="Z289" s="30"/>
      <c r="AA289" s="30"/>
      <c r="AB289" s="41"/>
      <c r="AC289" s="30"/>
      <c r="AD289" s="30"/>
      <c r="AE289" s="41"/>
      <c r="AF289" s="30"/>
      <c r="AG289" s="30"/>
      <c r="AH289" s="41"/>
      <c r="AI289" s="30"/>
      <c r="AJ289" s="30"/>
      <c r="AK289" s="41"/>
      <c r="AL289" s="15"/>
      <c r="AM289" s="22"/>
      <c r="AO289" s="44">
        <f>IF($A$1=$B$1,B289,IF($A$1=$E$1,E289,IF($A$1=$H$1,H289,IF($A$1=$K$1,K289,IF($A$1=$N$1,N289,IF($A$1=$Q$1,Q289,IF($A$1=$T$1,T289,IF($A$1=$W$1,W289,IF($A$1=$Z$1,Z289,IF($A$1=$AC$1,AC289,IF($A$1=$AF$1,AF289,IF($A$1=$AI$1,AI289))))))))))))</f>
        <v>0</v>
      </c>
      <c r="AP289" s="44">
        <f>IF($A$1=$B$1,C289,IF($A$1=$E$1,F289,IF($A$1=$H$1,I289,IF($A$1=$K$1,L289,IF($A$1=$N$1,O289,IF($A$1=$Q$1,R289,IF($A$1=$T$1,U289,IF($A$1=$W$1,X289,IF($A$1=$Z$1,AA289,IF($A$1=$AC$1,AD289,IF($A$1=$AF$1,AG289,IF($A$1=$AI$1,AJ289))))))))))))</f>
        <v>0</v>
      </c>
    </row>
    <row r="290" spans="1:42" s="49" customFormat="1" ht="17">
      <c r="A290" s="47" t="s">
        <v>92</v>
      </c>
      <c r="B290" s="413"/>
      <c r="C290" s="413"/>
      <c r="D290" s="413"/>
      <c r="E290" s="413"/>
      <c r="F290" s="413"/>
      <c r="G290" s="413"/>
      <c r="H290" s="413"/>
      <c r="I290" s="413"/>
      <c r="J290" s="413"/>
      <c r="K290" s="413"/>
      <c r="L290" s="413"/>
      <c r="M290" s="413"/>
      <c r="N290" s="413"/>
      <c r="O290" s="413"/>
      <c r="P290" s="413"/>
      <c r="Q290" s="413"/>
      <c r="R290" s="413"/>
      <c r="S290" s="413"/>
      <c r="T290" s="413"/>
      <c r="U290" s="413"/>
      <c r="V290" s="413"/>
      <c r="W290" s="413"/>
      <c r="X290" s="413"/>
      <c r="Y290" s="413"/>
      <c r="Z290" s="413"/>
      <c r="AA290" s="413"/>
      <c r="AB290" s="413"/>
      <c r="AC290" s="413"/>
      <c r="AD290" s="413"/>
      <c r="AE290" s="413"/>
      <c r="AF290" s="413"/>
      <c r="AG290" s="413"/>
      <c r="AH290" s="413"/>
      <c r="AI290" s="413"/>
      <c r="AJ290" s="413"/>
      <c r="AK290" s="413"/>
      <c r="AL290" s="413"/>
      <c r="AM290" s="48"/>
    </row>
    <row r="291" spans="1:42" ht="15.5">
      <c r="A291" s="26" t="s">
        <v>10</v>
      </c>
      <c r="B291" s="7">
        <f>'Bütçe Değişim eur'!$B$3</f>
        <v>285699.2736404764</v>
      </c>
      <c r="C291" s="7">
        <f>'değişim aylık eur'!$B$3</f>
        <v>342118.89949938818</v>
      </c>
      <c r="D291" s="7"/>
      <c r="E291" s="7">
        <f>'Bütçe Değişim eur'!$C$3</f>
        <v>995713.44717071974</v>
      </c>
      <c r="F291" s="7">
        <f>'değişim aylık eur'!$C$3</f>
        <v>1070955.8844503204</v>
      </c>
      <c r="G291" s="7"/>
      <c r="H291" s="7">
        <f>'Bütçe Değişim eur'!$D$3</f>
        <v>102873.28238043375</v>
      </c>
      <c r="I291" s="7">
        <f>'değişim aylık eur'!$D$3</f>
        <v>-261949.87675399799</v>
      </c>
      <c r="J291" s="7"/>
      <c r="K291" s="7">
        <f>'Bütçe Değişim eur'!$E$3</f>
        <v>259262.7283121089</v>
      </c>
      <c r="L291" s="7">
        <f>'değişim aylık eur'!$E$3</f>
        <v>-8033285.2641261537</v>
      </c>
      <c r="M291" s="7"/>
      <c r="N291" s="7">
        <f>'Bütçe Değişim eur'!$F$3</f>
        <v>900371.79122171365</v>
      </c>
      <c r="O291" s="7">
        <f>'değişim aylık eur'!$F$3</f>
        <v>691097.66326761805</v>
      </c>
      <c r="P291" s="7"/>
      <c r="Q291" s="7">
        <f>'Bütçe Değişim eur'!$G$3</f>
        <v>-745121.61796928151</v>
      </c>
      <c r="R291" s="7">
        <f>'değişim aylık eur'!$G$3</f>
        <v>421756.98801394459</v>
      </c>
      <c r="S291" s="7"/>
      <c r="T291" s="7">
        <f>'Bütçe Değişim eur'!$H$3</f>
        <v>260787.78195136727</v>
      </c>
      <c r="U291" s="7">
        <f>'değişim aylık eur'!$H$3</f>
        <v>7666788.7516475562</v>
      </c>
      <c r="V291" s="7"/>
      <c r="W291" s="7">
        <f>'Bütçe Değişim eur'!$I$3</f>
        <v>948921.30143389502</v>
      </c>
      <c r="X291" s="7">
        <f>'değişim aylık eur'!$I$3</f>
        <v>755966.10789024504</v>
      </c>
      <c r="Y291" s="7"/>
      <c r="Z291" s="7">
        <f>'Bütçe Değişim eur'!$J$3</f>
        <v>154804.63795044541</v>
      </c>
      <c r="AA291" s="7">
        <f>'değişim aylık eur'!$J$3</f>
        <v>-322349.66380113084</v>
      </c>
      <c r="AB291" s="7"/>
      <c r="AC291" s="7">
        <f>'Bütçe Değişim eur'!$K$3</f>
        <v>255877.02950471314</v>
      </c>
      <c r="AD291" s="7">
        <f>'değişim aylık eur'!$K$3</f>
        <v>0</v>
      </c>
      <c r="AE291" s="7"/>
      <c r="AF291" s="7">
        <f>'Bütçe Değişim eur'!$L$3</f>
        <v>1143929.7797268052</v>
      </c>
      <c r="AG291" s="7">
        <f>'değişim aylık eur'!$L$3</f>
        <v>0</v>
      </c>
      <c r="AH291" s="7"/>
      <c r="AI291" s="7">
        <f>'Bütçe Değişim eur'!$M$3</f>
        <v>-1333734.5863125019</v>
      </c>
      <c r="AJ291" s="7">
        <f>'değişim aylık eur'!$M$3</f>
        <v>0</v>
      </c>
      <c r="AK291" s="7"/>
      <c r="AL291" s="21">
        <f t="shared" ref="AL291:AL298" si="141">AP291-AO291</f>
        <v>-477154.30175157625</v>
      </c>
      <c r="AM291" s="22">
        <f t="shared" ref="AM291:AM298" si="142">AP291/AO291-1</f>
        <v>-3.0822997816403817</v>
      </c>
      <c r="AO291" s="44">
        <f t="shared" ref="AO291:AP298" si="143">IF($A$1=$B$1,B291,IF($A$1=$E$1,E291,IF($A$1=$H$1,H291,IF($A$1=$K$1,K291,IF($A$1=$N$1,N291,IF($A$1=$Q$1,Q291,IF($A$1=$T$1,T291,IF($A$1=$W$1,W291,IF($A$1=$Z$1,Z291,IF($A$1=$AC$1,AC291,IF($A$1=$AF$1,AF291,IF($A$1=$AI$1,AI291))))))))))))</f>
        <v>154804.63795044541</v>
      </c>
      <c r="AP291" s="44">
        <f t="shared" si="143"/>
        <v>-322349.66380113084</v>
      </c>
    </row>
    <row r="292" spans="1:42" ht="15.5">
      <c r="A292" s="26" t="s">
        <v>11</v>
      </c>
      <c r="B292" s="7">
        <f>'Bütçe Değişim eur'!$B$4</f>
        <v>-664594.88840917335</v>
      </c>
      <c r="C292" s="7">
        <f>'değişim aylık eur'!$B$4</f>
        <v>-276093.95271020074</v>
      </c>
      <c r="D292" s="7"/>
      <c r="E292" s="7">
        <f>'Bütçe Değişim eur'!$C$4</f>
        <v>-258038.47036068136</v>
      </c>
      <c r="F292" s="7">
        <f>'değişim aylık eur'!$C$4</f>
        <v>7219.3251082545612</v>
      </c>
      <c r="G292" s="7"/>
      <c r="H292" s="7">
        <f>'Bütçe Değişim eur'!$D$4</f>
        <v>-108658.37660562411</v>
      </c>
      <c r="I292" s="7">
        <f>'değişim aylık eur'!$D$4</f>
        <v>193962.18158600113</v>
      </c>
      <c r="J292" s="7"/>
      <c r="K292" s="7">
        <f>'Bütçe Değişim eur'!$E$4</f>
        <v>414635.24671756628</v>
      </c>
      <c r="L292" s="7">
        <f>'değişim aylık eur'!$E$4</f>
        <v>-71078.759231534903</v>
      </c>
      <c r="M292" s="7"/>
      <c r="N292" s="7">
        <f>'Bütçe Değişim eur'!$F$4</f>
        <v>176091.54225750634</v>
      </c>
      <c r="O292" s="7">
        <f>'değişim aylık eur'!$F$4</f>
        <v>-144760.2274653067</v>
      </c>
      <c r="P292" s="7"/>
      <c r="Q292" s="7">
        <f>'Bütçe Değişim eur'!$G$4</f>
        <v>609303.06722732517</v>
      </c>
      <c r="R292" s="7">
        <f>'değişim aylık eur'!$G$4</f>
        <v>41437.23701629843</v>
      </c>
      <c r="S292" s="7"/>
      <c r="T292" s="7">
        <f>'Bütçe Değişim eur'!$H$4</f>
        <v>410633.3581316605</v>
      </c>
      <c r="U292" s="7">
        <f>'değişim aylık eur'!$H$4</f>
        <v>228580.9279335418</v>
      </c>
      <c r="V292" s="7"/>
      <c r="W292" s="7">
        <f>'Bütçe Değişim eur'!$I$4</f>
        <v>277055.06973998481</v>
      </c>
      <c r="X292" s="7">
        <f>'değişim aylık eur'!$I$4</f>
        <v>-67380.831496365077</v>
      </c>
      <c r="Y292" s="7"/>
      <c r="Z292" s="7">
        <f>'Bütçe Değişim eur'!$J$4</f>
        <v>227072.61997866997</v>
      </c>
      <c r="AA292" s="7">
        <f>'değişim aylık eur'!$J$4</f>
        <v>182563.56303267097</v>
      </c>
      <c r="AB292" s="7"/>
      <c r="AC292" s="7">
        <f>'Bütçe Değişim eur'!$K$4</f>
        <v>200069.76763298857</v>
      </c>
      <c r="AD292" s="7">
        <f>'değişim aylık eur'!$K$4</f>
        <v>0</v>
      </c>
      <c r="AE292" s="7"/>
      <c r="AF292" s="7">
        <f>'Bütçe Değişim eur'!$L$4</f>
        <v>-105015.50477146279</v>
      </c>
      <c r="AG292" s="7">
        <f>'değişim aylık eur'!$L$4</f>
        <v>0</v>
      </c>
      <c r="AH292" s="7"/>
      <c r="AI292" s="7">
        <f>'Bütçe Değişim eur'!$M$4</f>
        <v>24764.502206999765</v>
      </c>
      <c r="AJ292" s="7">
        <f>'değişim aylık eur'!$M$4</f>
        <v>0</v>
      </c>
      <c r="AK292" s="7"/>
      <c r="AL292" s="21">
        <f t="shared" si="141"/>
        <v>-44509.056945999007</v>
      </c>
      <c r="AM292" s="22">
        <f t="shared" si="142"/>
        <v>-0.19601243404061641</v>
      </c>
      <c r="AO292" s="44">
        <f t="shared" si="143"/>
        <v>227072.61997866997</v>
      </c>
      <c r="AP292" s="44">
        <f t="shared" si="143"/>
        <v>182563.56303267097</v>
      </c>
    </row>
    <row r="293" spans="1:42" ht="15.5">
      <c r="A293" s="26" t="s">
        <v>12</v>
      </c>
      <c r="B293" s="7">
        <f>'Bütçe Değişim eur'!$B$5</f>
        <v>-554871.04796804884</v>
      </c>
      <c r="C293" s="7">
        <f>'değişim aylık eur'!$B$5</f>
        <v>-17760.80919464046</v>
      </c>
      <c r="D293" s="7"/>
      <c r="E293" s="7">
        <f>'Bütçe Değişim eur'!$C$5</f>
        <v>-154810.92315419725</v>
      </c>
      <c r="F293" s="7">
        <f>'değişim aylık eur'!C5</f>
        <v>-118975.78555186067</v>
      </c>
      <c r="G293" s="7"/>
      <c r="H293" s="7">
        <f>'Bütçe Değişim eur'!$D$5</f>
        <v>66179.890593499484</v>
      </c>
      <c r="I293" s="7">
        <f>'değişim aylık eur'!$D$5</f>
        <v>492519.46298552735</v>
      </c>
      <c r="J293" s="7"/>
      <c r="K293" s="7">
        <f>'Bütçe Değişim eur'!$E$5</f>
        <v>-29474.12431410201</v>
      </c>
      <c r="L293" s="7">
        <f>'değişim aylık eur'!$E$5</f>
        <v>-444223.82641633903</v>
      </c>
      <c r="M293" s="7"/>
      <c r="N293" s="7">
        <f>'Bütçe Değişim eur'!$F$5</f>
        <v>-23013.41273669001</v>
      </c>
      <c r="O293" s="7">
        <f>'değişim aylık eur'!$F$5</f>
        <v>50891.621773610124</v>
      </c>
      <c r="P293" s="7"/>
      <c r="Q293" s="7">
        <f>'Bütçe Değişim eur'!$G$5</f>
        <v>178491.43870319144</v>
      </c>
      <c r="R293" s="7">
        <f>'değişim aylık eur'!$G$5</f>
        <v>65184.108733921719</v>
      </c>
      <c r="S293" s="7"/>
      <c r="T293" s="7">
        <f>'Bütçe Değişim eur'!$H$5</f>
        <v>-71148.739512225788</v>
      </c>
      <c r="U293" s="7">
        <f>'değişim aylık eur'!$H$5</f>
        <v>-280550.89854121441</v>
      </c>
      <c r="V293" s="7"/>
      <c r="W293" s="7">
        <f>'Bütçe Değişim eur'!$I$5</f>
        <v>192686.25680886829</v>
      </c>
      <c r="X293" s="7">
        <f>'değişim aylık eur'!$I$5</f>
        <v>317624.42144830502</v>
      </c>
      <c r="Y293" s="7"/>
      <c r="Z293" s="7">
        <f>'Bütçe Değişim eur'!$J$5</f>
        <v>176078.12498432293</v>
      </c>
      <c r="AA293" s="7">
        <f>'değişim aylık eur'!$J$5</f>
        <v>58366.544396283076</v>
      </c>
      <c r="AB293" s="7"/>
      <c r="AC293" s="7">
        <f>'Bütçe Değişim eur'!$K$5</f>
        <v>-207188.20050765079</v>
      </c>
      <c r="AD293" s="7">
        <f>'değişim aylık eur'!$K$5</f>
        <v>0</v>
      </c>
      <c r="AE293" s="7"/>
      <c r="AF293" s="7">
        <f>'Bütçe Değişim eur'!$L$5</f>
        <v>65329.362274968837</v>
      </c>
      <c r="AG293" s="7">
        <f>'değişim aylık eur'!$L$5</f>
        <v>0</v>
      </c>
      <c r="AH293" s="7"/>
      <c r="AI293" s="7">
        <f>'Bütçe Değişim eur'!$M$5</f>
        <v>46790.901889596695</v>
      </c>
      <c r="AJ293" s="7">
        <f>'değişim aylık eur'!$M$5</f>
        <v>0</v>
      </c>
      <c r="AK293" s="7"/>
      <c r="AL293" s="21">
        <f t="shared" si="141"/>
        <v>-117711.58058803985</v>
      </c>
      <c r="AM293" s="22">
        <f t="shared" si="142"/>
        <v>-0.66851904856733491</v>
      </c>
      <c r="AO293" s="44">
        <f t="shared" si="143"/>
        <v>176078.12498432293</v>
      </c>
      <c r="AP293" s="44">
        <f t="shared" si="143"/>
        <v>58366.544396283076</v>
      </c>
    </row>
    <row r="294" spans="1:42" ht="15.5">
      <c r="A294" s="26" t="s">
        <v>13</v>
      </c>
      <c r="B294" s="7">
        <f>'Bütçe Değişim eur'!$B$6</f>
        <v>-3810637.8477682825</v>
      </c>
      <c r="C294" s="7">
        <f>'değişim aylık eur'!$B$6</f>
        <v>-3437595.3209682051</v>
      </c>
      <c r="D294" s="7"/>
      <c r="E294" s="7">
        <f>'Bütçe Değişim eur'!$C$6</f>
        <v>1845250.4009692168</v>
      </c>
      <c r="F294" s="7">
        <f>'değişim aylık eur'!C6</f>
        <v>-4567902.9894374926</v>
      </c>
      <c r="G294" s="7"/>
      <c r="H294" s="7">
        <f>'Bütçe Değişim eur'!$D$6</f>
        <v>2097402.2072135969</v>
      </c>
      <c r="I294" s="7">
        <f>'değişim aylık eur'!$D$6</f>
        <v>3656377.7574260756</v>
      </c>
      <c r="J294" s="7"/>
      <c r="K294" s="7">
        <f>'Bütçe Değişim eur'!$E$6</f>
        <v>2608837.9564879285</v>
      </c>
      <c r="L294" s="7">
        <f>'değişim aylık eur'!$E$6</f>
        <v>3813299.4986363524</v>
      </c>
      <c r="M294" s="7"/>
      <c r="N294" s="7">
        <f>'Bütçe Değişim eur'!$F$6</f>
        <v>2633902.8734215349</v>
      </c>
      <c r="O294" s="7">
        <f>'değişim aylık eur'!$F$6</f>
        <v>-7900173.6720866952</v>
      </c>
      <c r="P294" s="7"/>
      <c r="Q294" s="7">
        <f>'Bütçe Değişim eur'!$G$6</f>
        <v>1900598.3943457953</v>
      </c>
      <c r="R294" s="7">
        <f>'değişim aylık eur'!$G$6</f>
        <v>8125622.9124264345</v>
      </c>
      <c r="S294" s="7"/>
      <c r="T294" s="7">
        <f>'Bütçe Değişim eur'!$H$6</f>
        <v>-2360194.1608616672</v>
      </c>
      <c r="U294" s="7">
        <f>'değişim aylık eur'!$H$6</f>
        <v>-1502286.8105942244</v>
      </c>
      <c r="V294" s="7"/>
      <c r="W294" s="7">
        <f>'Bütçe Değişim eur'!$I$6</f>
        <v>3714899.6363046519</v>
      </c>
      <c r="X294" s="7">
        <f>'değişim aylık eur'!$I$6</f>
        <v>1252547.7341590959</v>
      </c>
      <c r="Y294" s="7"/>
      <c r="Z294" s="7">
        <f>'Bütçe Değişim eur'!$J$6</f>
        <v>270624.74963387707</v>
      </c>
      <c r="AA294" s="7">
        <f>'değişim aylık eur'!$J$6</f>
        <v>3176511.2462106133</v>
      </c>
      <c r="AB294" s="7"/>
      <c r="AC294" s="7">
        <f>'Bütçe Değişim eur'!$K$6</f>
        <v>4160157.9528071661</v>
      </c>
      <c r="AD294" s="7">
        <f>'değişim aylık eur'!$K$6</f>
        <v>0</v>
      </c>
      <c r="AE294" s="7"/>
      <c r="AF294" s="7">
        <f>'Bütçe Değişim eur'!$L$6</f>
        <v>3924993.2385581206</v>
      </c>
      <c r="AG294" s="7">
        <f>'değişim aylık eur'!$L$6</f>
        <v>0</v>
      </c>
      <c r="AH294" s="7"/>
      <c r="AI294" s="7">
        <f>'Bütçe Değişim eur'!$M$6</f>
        <v>4319897.958811068</v>
      </c>
      <c r="AJ294" s="7">
        <f>'değişim aylık eur'!$M$6</f>
        <v>0</v>
      </c>
      <c r="AK294" s="7"/>
      <c r="AL294" s="21">
        <f t="shared" si="141"/>
        <v>2905886.4965767362</v>
      </c>
      <c r="AM294" s="22">
        <f t="shared" si="142"/>
        <v>10.737696757255399</v>
      </c>
      <c r="AO294" s="44">
        <f t="shared" si="143"/>
        <v>270624.74963387707</v>
      </c>
      <c r="AP294" s="44">
        <f t="shared" si="143"/>
        <v>3176511.2462106133</v>
      </c>
    </row>
    <row r="295" spans="1:42" s="1" customFormat="1" ht="15.5">
      <c r="A295" s="26" t="s">
        <v>14</v>
      </c>
      <c r="B295" s="7">
        <f>'Bütçe Değişim eur'!$B$7</f>
        <v>1442974.5930446924</v>
      </c>
      <c r="C295" s="7">
        <f>'değişim aylık eur'!$B$7</f>
        <v>334452.51804979035</v>
      </c>
      <c r="D295" s="8"/>
      <c r="E295" s="7">
        <f>'Bütçe Değişim eur'!$C$7</f>
        <v>482790.29998784908</v>
      </c>
      <c r="F295" s="7">
        <f>'değişim aylık eur'!C7</f>
        <v>58516.362392885785</v>
      </c>
      <c r="G295" s="8"/>
      <c r="H295" s="7">
        <f>'Bütçe Değişim eur'!$D$7</f>
        <v>343736.22127170046</v>
      </c>
      <c r="I295" s="7">
        <f>'değişim aylık eur'!$D$7</f>
        <v>2247776.4854188072</v>
      </c>
      <c r="J295" s="8"/>
      <c r="K295" s="7">
        <f>'Bütçe Değişim eur'!$E$7</f>
        <v>-208120.305418078</v>
      </c>
      <c r="L295" s="7">
        <f>'değişim aylık eur'!$E$7</f>
        <v>794247.70182694308</v>
      </c>
      <c r="M295" s="8"/>
      <c r="N295" s="7">
        <f>'Bütçe Değişim eur'!$F$7</f>
        <v>124411.70254140662</v>
      </c>
      <c r="O295" s="7">
        <f>'değişim aylık eur'!$F$7</f>
        <v>-715001.18027189327</v>
      </c>
      <c r="P295" s="8"/>
      <c r="Q295" s="7">
        <f>'Bütçe Değişim eur'!$G$7</f>
        <v>947690.08185997803</v>
      </c>
      <c r="R295" s="7">
        <f>'değişim aylık eur'!$G$7</f>
        <v>898950.89131446928</v>
      </c>
      <c r="S295" s="8"/>
      <c r="T295" s="7">
        <f>'Bütçe Değişim eur'!$H$7</f>
        <v>-365422.54087312223</v>
      </c>
      <c r="U295" s="7">
        <f>'değişim aylık eur'!$H$7</f>
        <v>1334692.5708726011</v>
      </c>
      <c r="V295" s="8"/>
      <c r="W295" s="7">
        <f>'Bütçe Değişim eur'!$I$7</f>
        <v>743620.54426638526</v>
      </c>
      <c r="X295" s="7">
        <f>'değişim aylık eur'!$I$7</f>
        <v>309085.93090686854</v>
      </c>
      <c r="Y295" s="8"/>
      <c r="Z295" s="7">
        <f>'Bütçe Değişim eur'!$J$7</f>
        <v>513030.70917050331</v>
      </c>
      <c r="AA295" s="7">
        <f>'değişim aylık eur'!$J$7</f>
        <v>-182646.57010723185</v>
      </c>
      <c r="AB295" s="8"/>
      <c r="AC295" s="7">
        <f>'Bütçe Değişim eur'!$K$7</f>
        <v>-352697.19004466536</v>
      </c>
      <c r="AD295" s="7">
        <f>'değişim aylık eur'!$K$7</f>
        <v>0</v>
      </c>
      <c r="AE295" s="8"/>
      <c r="AF295" s="7">
        <f>'Bütçe Değişim eur'!$L$7</f>
        <v>1243404.6606459334</v>
      </c>
      <c r="AG295" s="7">
        <f>'değişim aylık eur'!$L$7</f>
        <v>0</v>
      </c>
      <c r="AH295" s="8"/>
      <c r="AI295" s="7">
        <f>'Bütçe Değişim eur'!$M$7</f>
        <v>559696.12374098366</v>
      </c>
      <c r="AJ295" s="7">
        <f>'değişim aylık eur'!$M$7</f>
        <v>0</v>
      </c>
      <c r="AK295" s="8"/>
      <c r="AL295" s="21">
        <f t="shared" si="141"/>
        <v>-695677.27927773516</v>
      </c>
      <c r="AM295" s="22">
        <f t="shared" si="142"/>
        <v>-1.3560148873008888</v>
      </c>
      <c r="AO295" s="44">
        <f t="shared" si="143"/>
        <v>513030.70917050331</v>
      </c>
      <c r="AP295" s="44">
        <f t="shared" si="143"/>
        <v>-182646.57010723185</v>
      </c>
    </row>
    <row r="296" spans="1:42" ht="15.5">
      <c r="A296" s="26" t="s">
        <v>15</v>
      </c>
      <c r="B296" s="7">
        <f>'Bütçe Değişim eur'!$B$8</f>
        <v>-2899301.0186640024</v>
      </c>
      <c r="C296" s="7">
        <f>'değişim aylık eur'!$B$8</f>
        <v>1559763.9099999962</v>
      </c>
      <c r="D296" s="7"/>
      <c r="E296" s="7">
        <f>'Bütçe Değişim eur'!$C$8</f>
        <v>811991.10711700167</v>
      </c>
      <c r="F296" s="7">
        <f>'değişim aylık eur'!$C$8</f>
        <v>-2443800.6900000004</v>
      </c>
      <c r="G296" s="7"/>
      <c r="H296" s="7">
        <f>'Bütçe Değişim eur'!$D$8</f>
        <v>2061428.2691250006</v>
      </c>
      <c r="I296" s="7">
        <f>'değişim aylık eur'!$D$8</f>
        <v>-549028.33999999613</v>
      </c>
      <c r="J296" s="7"/>
      <c r="K296" s="7">
        <f>'Bütçe Değişim eur'!$E$8</f>
        <v>-1870589.2065210009</v>
      </c>
      <c r="L296" s="7">
        <f>'değişim aylık eur'!$E$8</f>
        <v>44180.729999994393</v>
      </c>
      <c r="M296" s="7"/>
      <c r="N296" s="7">
        <f>'Bütçe Değişim eur'!$F$8</f>
        <v>1363283.481236004</v>
      </c>
      <c r="O296" s="7">
        <f>'değişim aylık eur'!$F$8</f>
        <v>-687900.63999998965</v>
      </c>
      <c r="P296" s="7"/>
      <c r="Q296" s="7">
        <f>'Bütçe Değişim eur'!$G$8</f>
        <v>2463087.505822002</v>
      </c>
      <c r="R296" s="7">
        <f>'değişim aylık eur'!$G$8</f>
        <v>3450818.4599999874</v>
      </c>
      <c r="S296" s="7"/>
      <c r="T296" s="7">
        <f>'Bütçe Değişim eur'!$H$8</f>
        <v>825676.4962169982</v>
      </c>
      <c r="U296" s="7">
        <f>'değişim aylık eur'!$H$8</f>
        <v>4367757.1199999973</v>
      </c>
      <c r="V296" s="7"/>
      <c r="W296" s="7">
        <f>'Bütçe Değişim eur'!$I$8</f>
        <v>1561923.5537260002</v>
      </c>
      <c r="X296" s="7">
        <f>'değişim aylık eur'!$I$8</f>
        <v>3355490.1400000043</v>
      </c>
      <c r="Y296" s="7"/>
      <c r="Z296" s="7">
        <f>'Bütçe Değişim eur'!$J$8</f>
        <v>3251858.5631499966</v>
      </c>
      <c r="AA296" s="7">
        <f>'değişim aylık eur'!$J$8</f>
        <v>-970021.50999999791</v>
      </c>
      <c r="AB296" s="7"/>
      <c r="AC296" s="7">
        <f>'Bütçe Değişim eur'!$K$8</f>
        <v>762387.67733600037</v>
      </c>
      <c r="AD296" s="7">
        <f>'değişim aylık eur'!$K$8</f>
        <v>0</v>
      </c>
      <c r="AE296" s="7"/>
      <c r="AF296" s="7">
        <f>'Bütçe Değişim eur'!$L$8</f>
        <v>2436458.3478199975</v>
      </c>
      <c r="AG296" s="7">
        <f>'değişim aylık eur'!$L$8</f>
        <v>0</v>
      </c>
      <c r="AH296" s="7"/>
      <c r="AI296" s="7">
        <f>'Bütçe Değişim eur'!$M$8</f>
        <v>4822737.6208510064</v>
      </c>
      <c r="AJ296" s="7">
        <f>'değişim aylık eur'!$M$8</f>
        <v>0</v>
      </c>
      <c r="AK296" s="7"/>
      <c r="AL296" s="21">
        <f t="shared" si="141"/>
        <v>-4221880.073149994</v>
      </c>
      <c r="AM296" s="22">
        <f t="shared" si="142"/>
        <v>-1.2982975708083568</v>
      </c>
      <c r="AO296" s="44">
        <f t="shared" si="143"/>
        <v>3251858.5631499966</v>
      </c>
      <c r="AP296" s="44">
        <f t="shared" si="143"/>
        <v>-970021.50999999791</v>
      </c>
    </row>
    <row r="297" spans="1:42" s="1" customFormat="1" ht="15.5">
      <c r="A297" s="26" t="s">
        <v>16</v>
      </c>
      <c r="B297" s="7">
        <f>'Bütçe Değişim eur'!$B$9</f>
        <v>4111678.8193519996</v>
      </c>
      <c r="C297" s="7">
        <f>'değişim aylık eur'!$B$9</f>
        <v>275897.4500000017</v>
      </c>
      <c r="D297" s="8"/>
      <c r="E297" s="7">
        <f>'Bütçe Değişim eur'!$C$9</f>
        <v>-424093.83142400446</v>
      </c>
      <c r="F297" s="7">
        <f>'değişim aylık eur'!$C$9</f>
        <v>-1130999.5200000033</v>
      </c>
      <c r="G297" s="8"/>
      <c r="H297" s="7">
        <f>'Bütçe Değişim eur'!$D$9</f>
        <v>7480567.2254210021</v>
      </c>
      <c r="I297" s="7">
        <f>'değişim aylık eur'!$D$9</f>
        <v>3831069.2199999969</v>
      </c>
      <c r="J297" s="8"/>
      <c r="K297" s="7">
        <f>'Bütçe Değişim eur'!$E$9</f>
        <v>-1480624.4314789961</v>
      </c>
      <c r="L297" s="7">
        <f>'değişim aylık eur'!$E$9</f>
        <v>1994219.7800000072</v>
      </c>
      <c r="M297" s="8"/>
      <c r="N297" s="7">
        <f>'Bütçe Değişim eur'!$F$9</f>
        <v>1844168.0752319989</v>
      </c>
      <c r="O297" s="7">
        <f>'değişim aylık eur'!$F$9</f>
        <v>696446.36999999173</v>
      </c>
      <c r="P297" s="8"/>
      <c r="Q297" s="7">
        <f>'Bütçe Değişim eur'!$G$9</f>
        <v>4273962.198989002</v>
      </c>
      <c r="R297" s="7">
        <f>'değişim aylık eur'!$G$9</f>
        <v>5571952.8087190008</v>
      </c>
      <c r="S297" s="8"/>
      <c r="T297" s="7">
        <f>'Bütçe Değişim eur'!$H$9</f>
        <v>-278913.37780800561</v>
      </c>
      <c r="U297" s="7">
        <f>'değişim aylık eur'!$H$9</f>
        <v>697757.68128099479</v>
      </c>
      <c r="V297" s="8"/>
      <c r="W297" s="7">
        <f>'Bütçe Değişim eur'!$I$9</f>
        <v>1802198.078245997</v>
      </c>
      <c r="X297" s="7">
        <f>'değişim aylık eur'!$I$9</f>
        <v>-705888.20999999344</v>
      </c>
      <c r="Y297" s="8"/>
      <c r="Z297" s="7">
        <f>'Bütçe Değişim eur'!$J$9</f>
        <v>3553544.7436330034</v>
      </c>
      <c r="AA297" s="7">
        <f>'değişim aylık eur'!$J$9</f>
        <v>4336146.4300000072</v>
      </c>
      <c r="AB297" s="8"/>
      <c r="AC297" s="7">
        <f>'Bütçe Değişim eur'!$K$9</f>
        <v>-2495706.3422659994</v>
      </c>
      <c r="AD297" s="7">
        <f>'değişim aylık eur'!$K$9</f>
        <v>0</v>
      </c>
      <c r="AE297" s="8"/>
      <c r="AF297" s="7">
        <f>'Bütçe Değişim eur'!$L$9</f>
        <v>197494.79767200042</v>
      </c>
      <c r="AG297" s="7">
        <f>'değişim aylık eur'!$L$9</f>
        <v>0</v>
      </c>
      <c r="AH297" s="8"/>
      <c r="AI297" s="7">
        <f>'Bütçe Değişim eur'!$M$9</f>
        <v>2971222.7065180009</v>
      </c>
      <c r="AJ297" s="7">
        <f>'değişim aylık eur'!$M$9</f>
        <v>0</v>
      </c>
      <c r="AK297" s="8"/>
      <c r="AL297" s="21">
        <f t="shared" si="141"/>
        <v>782601.68636700371</v>
      </c>
      <c r="AM297" s="22">
        <f t="shared" si="142"/>
        <v>0.22023127407336451</v>
      </c>
      <c r="AO297" s="44">
        <f t="shared" si="143"/>
        <v>3553544.7436330034</v>
      </c>
      <c r="AP297" s="44">
        <f t="shared" si="143"/>
        <v>4336146.4300000072</v>
      </c>
    </row>
    <row r="298" spans="1:42" s="1" customFormat="1" ht="15.5">
      <c r="A298" s="26" t="s">
        <v>17</v>
      </c>
      <c r="B298" s="7">
        <f>'Bütçe Değişim eur'!$B$10</f>
        <v>-6034748.7347063422</v>
      </c>
      <c r="C298" s="7">
        <f>'değişim aylık eur'!$B$10</f>
        <v>-4904927.105737987</v>
      </c>
      <c r="D298" s="8"/>
      <c r="E298" s="7">
        <f>'Bütçe Değişim eur'!$C$10</f>
        <v>-255624.17630413314</v>
      </c>
      <c r="F298" s="7">
        <f>'değişim aylık eur'!$C$10</f>
        <v>1218173.1457379945</v>
      </c>
      <c r="G298" s="8"/>
      <c r="H298" s="7">
        <f>'Bütçe Değişim eur'!$D$10</f>
        <v>8469981.1790255867</v>
      </c>
      <c r="I298" s="7">
        <f>'değişim aylık eur'!$D$10</f>
        <v>7728919.1299999887</v>
      </c>
      <c r="J298" s="8"/>
      <c r="K298" s="7">
        <f>'Bütçe Değişim eur'!$E$10</f>
        <v>-3256445.7156940242</v>
      </c>
      <c r="L298" s="7">
        <f>'değişim aylık eur'!$E$10</f>
        <v>-3480376.6900000009</v>
      </c>
      <c r="M298" s="8"/>
      <c r="N298" s="7">
        <f>'Bütçe Değişim eur'!$F$10</f>
        <v>3206929.7230567224</v>
      </c>
      <c r="O298" s="7">
        <f>'değişim aylık eur'!$F$10</f>
        <v>-840476.89999998547</v>
      </c>
      <c r="P298" s="8"/>
      <c r="Q298" s="7">
        <f>'Bütçe Değişim eur'!$G$10</f>
        <v>7227543.8947656415</v>
      </c>
      <c r="R298" s="7">
        <f>'değişim aylık eur'!$G$10</f>
        <v>9668235.5199999958</v>
      </c>
      <c r="S298" s="8"/>
      <c r="T298" s="7">
        <f>'Bütçe Değişim eur'!$H$10</f>
        <v>-1356457.5799075561</v>
      </c>
      <c r="U298" s="7">
        <f>'değişim aylık eur'!$H$10</f>
        <v>-799131.49000001326</v>
      </c>
      <c r="V298" s="8"/>
      <c r="W298" s="7">
        <f>'Bütçe Değişim eur'!$I$10</f>
        <v>473841.95562064298</v>
      </c>
      <c r="X298" s="7">
        <f>'değişim aylık eur'!$I$10</f>
        <v>959982.77000002377</v>
      </c>
      <c r="Y298" s="8"/>
      <c r="Z298" s="7">
        <f>'Bütçe Değişim eur'!$J$10</f>
        <v>7846932.858869276</v>
      </c>
      <c r="AA298" s="7">
        <f>'değişim aylık eur'!$J$10</f>
        <v>4033180.1100000013</v>
      </c>
      <c r="AB298" s="8"/>
      <c r="AC298" s="7">
        <f>'Bütçe Değişim eur'!$K$10</f>
        <v>-2908465.0102503034</v>
      </c>
      <c r="AD298" s="7">
        <f>'değişim aylık eur'!$K$10</f>
        <v>0</v>
      </c>
      <c r="AE298" s="8"/>
      <c r="AF298" s="7">
        <f>'Bütçe Değişim eur'!$L$10</f>
        <v>6850950.7525139889</v>
      </c>
      <c r="AG298" s="7">
        <f>'değişim aylık eur'!$L$10</f>
        <v>0</v>
      </c>
      <c r="AH298" s="8"/>
      <c r="AI298" s="7">
        <f>'Bütçe Değişim eur'!$M$10</f>
        <v>7831303.3717475049</v>
      </c>
      <c r="AJ298" s="7">
        <f>'değişim aylık eur'!$M$10</f>
        <v>0</v>
      </c>
      <c r="AK298" s="8"/>
      <c r="AL298" s="21">
        <f t="shared" si="141"/>
        <v>-3813752.7488692747</v>
      </c>
      <c r="AM298" s="22">
        <f t="shared" si="142"/>
        <v>-0.48601827203843662</v>
      </c>
      <c r="AO298" s="44">
        <f t="shared" si="143"/>
        <v>7846932.858869276</v>
      </c>
      <c r="AP298" s="44">
        <f t="shared" si="143"/>
        <v>4033180.1100000013</v>
      </c>
    </row>
    <row r="299" spans="1:42" s="1" customFormat="1" ht="15.5">
      <c r="A299" s="26"/>
      <c r="B299" s="7"/>
      <c r="C299" s="8"/>
      <c r="D299" s="8"/>
      <c r="E299" s="7"/>
      <c r="F299" s="8"/>
      <c r="G299" s="8"/>
      <c r="H299" s="7"/>
      <c r="I299" s="8"/>
      <c r="J299" s="8"/>
      <c r="K299" s="7"/>
      <c r="L299" s="8"/>
      <c r="M299" s="8"/>
      <c r="N299" s="7"/>
      <c r="O299" s="8"/>
      <c r="P299" s="8"/>
      <c r="Q299" s="7"/>
      <c r="R299" s="8"/>
      <c r="S299" s="8"/>
      <c r="T299" s="7"/>
      <c r="U299" s="8"/>
      <c r="V299" s="8"/>
      <c r="W299" s="7"/>
      <c r="X299" s="8"/>
      <c r="Y299" s="8"/>
      <c r="Z299" s="7"/>
      <c r="AA299" s="8"/>
      <c r="AB299" s="8"/>
      <c r="AC299" s="7"/>
      <c r="AD299" s="8"/>
      <c r="AE299" s="8"/>
      <c r="AF299" s="7"/>
      <c r="AG299" s="8"/>
      <c r="AH299" s="8"/>
      <c r="AI299" s="7"/>
      <c r="AJ299" s="8"/>
      <c r="AK299" s="8"/>
      <c r="AL299" s="15"/>
      <c r="AM299" s="16"/>
      <c r="AO299" s="44"/>
      <c r="AP299" s="44"/>
    </row>
    <row r="300" spans="1:42" s="1" customFormat="1" ht="15.5">
      <c r="A300" s="26"/>
      <c r="B300" s="7"/>
      <c r="C300" s="8"/>
      <c r="D300" s="8"/>
      <c r="E300" s="7"/>
      <c r="F300" s="8"/>
      <c r="G300" s="8"/>
      <c r="H300" s="7"/>
      <c r="I300" s="8"/>
      <c r="J300" s="8"/>
      <c r="K300" s="7"/>
      <c r="L300" s="8"/>
      <c r="M300" s="8"/>
      <c r="N300" s="7"/>
      <c r="O300" s="8"/>
      <c r="P300" s="8"/>
      <c r="Q300" s="7"/>
      <c r="R300" s="8"/>
      <c r="S300" s="8"/>
      <c r="T300" s="7"/>
      <c r="U300" s="8"/>
      <c r="V300" s="8"/>
      <c r="W300" s="7"/>
      <c r="X300" s="8"/>
      <c r="Y300" s="8"/>
      <c r="Z300" s="7"/>
      <c r="AA300" s="8"/>
      <c r="AB300" s="8"/>
      <c r="AC300" s="7"/>
      <c r="AD300" s="8"/>
      <c r="AE300" s="8"/>
      <c r="AF300" s="7"/>
      <c r="AG300" s="8"/>
      <c r="AH300" s="8"/>
      <c r="AI300" s="7"/>
      <c r="AJ300" s="8"/>
      <c r="AK300" s="8"/>
      <c r="AL300" s="15"/>
      <c r="AM300" s="16"/>
      <c r="AO300" s="44"/>
      <c r="AP300" s="44"/>
    </row>
    <row r="301" spans="1:42" s="44" customFormat="1" ht="15.5">
      <c r="A301" s="31" t="s">
        <v>20</v>
      </c>
      <c r="B301" s="32">
        <f>'Bütçe Değişim eur'!$B$11</f>
        <v>-4218296.0564112179</v>
      </c>
      <c r="C301" s="32">
        <f>'değişim aylık eur'!$B$11</f>
        <v>-2686018.8769063978</v>
      </c>
      <c r="D301" s="18"/>
      <c r="E301" s="32">
        <f>'Bütçe Değişim eur'!$C$11</f>
        <v>1103452.2943085011</v>
      </c>
      <c r="F301" s="32">
        <f>'değişim aylık eur'!$C$11</f>
        <v>-1986274.3755693072</v>
      </c>
      <c r="G301" s="18"/>
      <c r="H301" s="32">
        <f>'Bütçe Değişim eur'!$D$11</f>
        <v>7672778.376130484</v>
      </c>
      <c r="I301" s="32">
        <f>'değişim aylık eur'!$D$11</f>
        <v>6834324.6582046906</v>
      </c>
      <c r="J301" s="18"/>
      <c r="K301" s="32">
        <f>'Bütçe Değişim eur'!$E$11</f>
        <v>-1660895.6356351187</v>
      </c>
      <c r="L301" s="32">
        <f>'değişim aylık eur'!$E$11</f>
        <v>-9067119.7930985</v>
      </c>
      <c r="M301" s="18"/>
      <c r="N301" s="32">
        <f>'Bütçe Değişim eur'!$F$11</f>
        <v>4154141.7494338118</v>
      </c>
      <c r="O301" s="32">
        <f>'değişim aylık eur'!$F$11</f>
        <v>-4053537.8192042084</v>
      </c>
      <c r="P301" s="18"/>
      <c r="Q301" s="32">
        <f>'Bütçe Değişim eur'!$G$11</f>
        <v>6038833.7935221866</v>
      </c>
      <c r="R301" s="32">
        <f>'değişim aylık eur'!$G$11</f>
        <v>11195448.119382374</v>
      </c>
      <c r="S301" s="18"/>
      <c r="T301" s="32">
        <f>'Bütçe Değişim eur'!$H$11</f>
        <v>-1396993.0855727792</v>
      </c>
      <c r="U301" s="32">
        <f>'değişim aylık eur'!$H$11</f>
        <v>7138941.4253683733</v>
      </c>
      <c r="V301" s="18"/>
      <c r="W301" s="32">
        <f>'Bütçe Değişim eur'!$I$11</f>
        <v>4103870.4871374513</v>
      </c>
      <c r="X301" s="32">
        <f>'değişim aylık eur'!$I$11</f>
        <v>2026111.2967245022</v>
      </c>
      <c r="Y301" s="18"/>
      <c r="Z301" s="32">
        <f>'Bütçe Değişim eur'!$J$11</f>
        <v>6033964.8408395043</v>
      </c>
      <c r="AA301" s="32">
        <f>'değişim aylık eur'!$J$11</f>
        <v>3597391.207855742</v>
      </c>
      <c r="AB301" s="18"/>
      <c r="AC301" s="32">
        <f>'Bütçe Değişim eur'!$K$11</f>
        <v>-635057.89306126162</v>
      </c>
      <c r="AD301" s="32">
        <f>'değişim aylık eur'!$K$11</f>
        <v>0</v>
      </c>
      <c r="AE301" s="18"/>
      <c r="AF301" s="32">
        <f>'Bütçe Değişim eur'!$L$11</f>
        <v>6472440.9780591419</v>
      </c>
      <c r="AG301" s="32">
        <f>'değişim aylık eur'!$L$11</f>
        <v>0</v>
      </c>
      <c r="AH301" s="18"/>
      <c r="AI301" s="32">
        <f>'Bütçe Değişim eur'!$M$11</f>
        <v>6361376.0325609772</v>
      </c>
      <c r="AJ301" s="32">
        <f>'değişim aylık eur'!$M$11</f>
        <v>0</v>
      </c>
      <c r="AK301" s="18"/>
      <c r="AL301" s="33">
        <f>AP301-AO301</f>
        <v>-2436573.6329837623</v>
      </c>
      <c r="AM301" s="34">
        <f>AP301/AO301-1</f>
        <v>-0.40380971670440857</v>
      </c>
      <c r="AO301" s="44">
        <f>IF($A$1=$B$1,B301,IF($A$1=$E$1,E301,IF($A$1=$H$1,H301,IF($A$1=$K$1,K301,IF($A$1=$N$1,N301,IF($A$1=$Q$1,Q301,IF($A$1=$T$1,T301,IF($A$1=$W$1,W301,IF($A$1=$Z$1,Z301,IF($A$1=$AC$1,AC301,IF($A$1=$AF$1,AF301,IF($A$1=$AI$1,AI301))))))))))))</f>
        <v>6033964.8408395043</v>
      </c>
      <c r="AP301" s="44">
        <f>IF($A$1=$B$1,C301,IF($A$1=$E$1,F301,IF($A$1=$H$1,I301,IF($A$1=$K$1,L301,IF($A$1=$N$1,O301,IF($A$1=$Q$1,R301,IF($A$1=$T$1,U301,IF($A$1=$W$1,X301,IF($A$1=$Z$1,AA301,IF($A$1=$AC$1,AD301,IF($A$1=$AF$1,AG301,IF($A$1=$AI$1,AJ301))))))))))))</f>
        <v>3597391.207855742</v>
      </c>
    </row>
    <row r="302" spans="1:42" s="13" customFormat="1" ht="15.5">
      <c r="A302" s="27"/>
      <c r="B302" s="30"/>
      <c r="C302" s="30"/>
      <c r="D302" s="41"/>
      <c r="E302" s="30"/>
      <c r="F302" s="30"/>
      <c r="G302" s="41"/>
      <c r="H302" s="30"/>
      <c r="I302" s="30"/>
      <c r="J302" s="41"/>
      <c r="K302" s="30"/>
      <c r="L302" s="30"/>
      <c r="M302" s="41"/>
      <c r="N302" s="30"/>
      <c r="O302" s="30"/>
      <c r="P302" s="41"/>
      <c r="Q302" s="30"/>
      <c r="R302" s="30"/>
      <c r="S302" s="41"/>
      <c r="T302" s="30"/>
      <c r="U302" s="30"/>
      <c r="V302" s="41"/>
      <c r="W302" s="30"/>
      <c r="X302" s="30"/>
      <c r="Y302" s="41"/>
      <c r="Z302" s="30"/>
      <c r="AA302" s="30"/>
      <c r="AB302" s="41"/>
      <c r="AC302" s="30"/>
      <c r="AD302" s="30"/>
      <c r="AE302" s="41"/>
      <c r="AF302" s="30"/>
      <c r="AG302" s="30"/>
      <c r="AH302" s="41"/>
      <c r="AI302" s="30"/>
      <c r="AJ302" s="30"/>
      <c r="AK302" s="41"/>
      <c r="AL302" s="15"/>
      <c r="AM302" s="22"/>
      <c r="AO302" s="44">
        <f>IF($A$1=$B$1,B302,IF($A$1=$E$1,E302,IF($A$1=$H$1,H302,IF($A$1=$K$1,K302,IF($A$1=$N$1,N302,IF($A$1=$Q$1,Q302,IF($A$1=$T$1,T302,IF($A$1=$W$1,W302,IF($A$1=$Z$1,Z302,IF($A$1=$AC$1,AC302,IF($A$1=$AF$1,AF302,IF($A$1=$AI$1,AI302))))))))))))</f>
        <v>0</v>
      </c>
      <c r="AP302" s="44">
        <f>IF($A$1=$B$1,C302,IF($A$1=$E$1,F302,IF($A$1=$H$1,I302,IF($A$1=$K$1,L302,IF($A$1=$N$1,O302,IF($A$1=$Q$1,R302,IF($A$1=$T$1,U302,IF($A$1=$W$1,X302,IF($A$1=$Z$1,AA302,IF($A$1=$AC$1,AD302,IF($A$1=$AF$1,AG302,IF($A$1=$AI$1,AJ302))))))))))))</f>
        <v>0</v>
      </c>
    </row>
    <row r="303" spans="1:42" s="49" customFormat="1" ht="17">
      <c r="A303" s="47" t="s">
        <v>93</v>
      </c>
      <c r="B303" s="413"/>
      <c r="C303" s="413"/>
      <c r="D303" s="413"/>
      <c r="E303" s="413"/>
      <c r="F303" s="413"/>
      <c r="G303" s="413"/>
      <c r="H303" s="413"/>
      <c r="I303" s="413"/>
      <c r="J303" s="413"/>
      <c r="K303" s="413"/>
      <c r="L303" s="413"/>
      <c r="M303" s="413"/>
      <c r="N303" s="413"/>
      <c r="O303" s="413"/>
      <c r="P303" s="413"/>
      <c r="Q303" s="413"/>
      <c r="R303" s="413"/>
      <c r="S303" s="413"/>
      <c r="T303" s="413"/>
      <c r="U303" s="413"/>
      <c r="V303" s="413"/>
      <c r="W303" s="413"/>
      <c r="X303" s="413"/>
      <c r="Y303" s="413"/>
      <c r="Z303" s="413"/>
      <c r="AA303" s="413"/>
      <c r="AB303" s="413"/>
      <c r="AC303" s="413"/>
      <c r="AD303" s="413"/>
      <c r="AE303" s="413"/>
      <c r="AF303" s="413"/>
      <c r="AG303" s="413"/>
      <c r="AH303" s="413"/>
      <c r="AI303" s="413"/>
      <c r="AJ303" s="413"/>
      <c r="AK303" s="413"/>
      <c r="AL303" s="413"/>
      <c r="AM303" s="48"/>
    </row>
    <row r="304" spans="1:42" ht="15.5">
      <c r="A304" s="26" t="s">
        <v>10</v>
      </c>
      <c r="B304" s="7">
        <f>'Bütçe Değişim eur'!$B$12</f>
        <v>283774.87436724629</v>
      </c>
      <c r="C304" s="7">
        <f>'değişim aylık eur'!$B$12</f>
        <v>342118.89949938818</v>
      </c>
      <c r="D304" s="7"/>
      <c r="E304" s="7">
        <f>'Bütçe Değişim eur'!$C$12</f>
        <v>995713.44717071974</v>
      </c>
      <c r="F304" s="7">
        <f>'değişim aylık eur'!$C$12</f>
        <v>1070545.6236554987</v>
      </c>
      <c r="G304" s="7"/>
      <c r="H304" s="7">
        <f>'Bütçe Değişim eur'!$D$12</f>
        <v>102873.28238043375</v>
      </c>
      <c r="I304" s="7">
        <f>'değişim aylık eur'!$D$12</f>
        <v>-261949.87675399799</v>
      </c>
      <c r="J304" s="7"/>
      <c r="K304" s="7">
        <f>'Bütçe Değişim eur'!$E$12</f>
        <v>259262.7283121089</v>
      </c>
      <c r="L304" s="7">
        <f>'değişim aylık eur'!$E$12</f>
        <v>-8033285.2641261537</v>
      </c>
      <c r="M304" s="7"/>
      <c r="N304" s="7">
        <f>'Bütçe Değişim eur'!$F$12</f>
        <v>899410.33967556269</v>
      </c>
      <c r="O304" s="7">
        <f>'değişim aylık eur'!$F$12</f>
        <v>691097.66326761805</v>
      </c>
      <c r="P304" s="7"/>
      <c r="Q304" s="7">
        <f>'Bütçe Değişim eur'!$G$12</f>
        <v>-747044.1831472927</v>
      </c>
      <c r="R304" s="7">
        <f>'değişim aylık eur'!$G$12</f>
        <v>414622.21228933055</v>
      </c>
      <c r="S304" s="7"/>
      <c r="T304" s="7">
        <f>'Bütçe Değişim eur'!$H$12</f>
        <v>260787.78195136727</v>
      </c>
      <c r="U304" s="7">
        <f>'değişim aylık eur'!$H$12</f>
        <v>7666788.7516475562</v>
      </c>
      <c r="V304" s="7"/>
      <c r="W304" s="7">
        <f>'Bütçe Değişim eur'!$I$12</f>
        <v>943037.86870977154</v>
      </c>
      <c r="X304" s="7">
        <f>'değişim aylık eur'!$I$12</f>
        <v>755966.10789024504</v>
      </c>
      <c r="Y304" s="7"/>
      <c r="Z304" s="7">
        <f>'Bütçe Değişim eur'!$J$12</f>
        <v>152839.67440629847</v>
      </c>
      <c r="AA304" s="7">
        <f>'değişim aylık eur'!$J$12</f>
        <v>-322349.66380113084</v>
      </c>
      <c r="AB304" s="7"/>
      <c r="AC304" s="7">
        <f>'Bütçe Değişim eur'!$K$12</f>
        <v>253605.51026721671</v>
      </c>
      <c r="AD304" s="7">
        <f>'değişim aylık eur'!$K$12</f>
        <v>0</v>
      </c>
      <c r="AE304" s="7"/>
      <c r="AF304" s="7">
        <f>'Bütçe Değişim eur'!$L$12</f>
        <v>1143929.7797268052</v>
      </c>
      <c r="AG304" s="7">
        <f>'değişim aylık eur'!$L$12</f>
        <v>0</v>
      </c>
      <c r="AH304" s="7"/>
      <c r="AI304" s="7">
        <f>'Bütçe Değişim eur'!$M$12</f>
        <v>-1333734.5863125019</v>
      </c>
      <c r="AJ304" s="7">
        <f>'değişim aylık eur'!$M$12</f>
        <v>0</v>
      </c>
      <c r="AK304" s="7"/>
      <c r="AL304" s="21">
        <f t="shared" ref="AL304:AL311" si="144">AP304-AO304</f>
        <v>-475189.33820742927</v>
      </c>
      <c r="AM304" s="22">
        <f t="shared" ref="AM304:AM311" si="145">AP304/AO304-1</f>
        <v>-3.1090705999819046</v>
      </c>
      <c r="AO304" s="44">
        <f t="shared" ref="AO304:AP311" si="146">IF($A$1=$B$1,B304,IF($A$1=$E$1,E304,IF($A$1=$H$1,H304,IF($A$1=$K$1,K304,IF($A$1=$N$1,N304,IF($A$1=$Q$1,Q304,IF($A$1=$T$1,T304,IF($A$1=$W$1,W304,IF($A$1=$Z$1,Z304,IF($A$1=$AC$1,AC304,IF($A$1=$AF$1,AF304,IF($A$1=$AI$1,AI304))))))))))))</f>
        <v>152839.67440629847</v>
      </c>
      <c r="AP304" s="44">
        <f t="shared" si="146"/>
        <v>-322349.66380113084</v>
      </c>
    </row>
    <row r="305" spans="1:42" ht="15.5">
      <c r="A305" s="26" t="s">
        <v>11</v>
      </c>
      <c r="B305" s="7">
        <f>'Bütçe Değişim eur'!$B$13</f>
        <v>-702015.90163737047</v>
      </c>
      <c r="C305" s="7">
        <f>'değişim aylık eur'!$B$13</f>
        <v>-329346.0090691371</v>
      </c>
      <c r="D305" s="7"/>
      <c r="E305" s="7">
        <f>'Bütçe Değişim eur'!$C$13</f>
        <v>-287269.25582919718</v>
      </c>
      <c r="F305" s="7">
        <f>'değişim aylık eur'!$C$13</f>
        <v>-58426.615731669706</v>
      </c>
      <c r="G305" s="7"/>
      <c r="H305" s="7">
        <f>'Bütçe Değişim eur'!$D$13</f>
        <v>-140918.35420758562</v>
      </c>
      <c r="I305" s="7">
        <f>'değişim aylık eur'!$D$13</f>
        <v>112598.88174935617</v>
      </c>
      <c r="J305" s="7"/>
      <c r="K305" s="7">
        <f>'Bütçe Değişim eur'!$E$13</f>
        <v>210360.2966165003</v>
      </c>
      <c r="L305" s="7">
        <f>'değişim aylık eur'!$E$13</f>
        <v>-130484.92952445819</v>
      </c>
      <c r="M305" s="7"/>
      <c r="N305" s="7">
        <f>'Bütçe Değişim eur'!$F$13</f>
        <v>116071.58967598563</v>
      </c>
      <c r="O305" s="7">
        <f>'değişim aylık eur'!$F$13</f>
        <v>-195485.42944346566</v>
      </c>
      <c r="P305" s="7"/>
      <c r="Q305" s="7">
        <f>'Bütçe Değişim eur'!$G$13</f>
        <v>529446.42345240817</v>
      </c>
      <c r="R305" s="7">
        <f>'değişim aylık eur'!$G$13</f>
        <v>-23582.387895342195</v>
      </c>
      <c r="S305" s="7"/>
      <c r="T305" s="7">
        <f>'Bütçe Değişim eur'!$H$13</f>
        <v>352876.43568890216</v>
      </c>
      <c r="U305" s="7">
        <f>'değişim aylık eur'!$H$13</f>
        <v>177816.85921895475</v>
      </c>
      <c r="V305" s="7"/>
      <c r="W305" s="7">
        <f>'Bütçe Değişim eur'!$I$13</f>
        <v>253888.25324189811</v>
      </c>
      <c r="X305" s="7">
        <f>'değişim aylık eur'!$I$13</f>
        <v>-119948.34189972159</v>
      </c>
      <c r="Y305" s="7"/>
      <c r="Z305" s="7">
        <f>'Bütçe Değişim eur'!$J$13</f>
        <v>172515.98510588403</v>
      </c>
      <c r="AA305" s="7">
        <f>'değişim aylık eur'!$J$13</f>
        <v>131817.57566663669</v>
      </c>
      <c r="AB305" s="7"/>
      <c r="AC305" s="7">
        <f>'Bütçe Değişim eur'!$K$13</f>
        <v>183633.80403181282</v>
      </c>
      <c r="AD305" s="7">
        <f>'değişim aylık eur'!$K$13</f>
        <v>0</v>
      </c>
      <c r="AE305" s="7"/>
      <c r="AF305" s="7">
        <f>'Bütçe Değişim eur'!$L$13</f>
        <v>-121198.37069196577</v>
      </c>
      <c r="AG305" s="7">
        <f>'değişim aylık eur'!$L$13</f>
        <v>0</v>
      </c>
      <c r="AH305" s="7"/>
      <c r="AI305" s="7">
        <f>'Bütçe Değişim eur'!$M$13</f>
        <v>8814.3587530861168</v>
      </c>
      <c r="AJ305" s="7">
        <f>'değişim aylık eur'!$M$13</f>
        <v>0</v>
      </c>
      <c r="AK305" s="7"/>
      <c r="AL305" s="21">
        <f t="shared" si="144"/>
        <v>-40698.409439247334</v>
      </c>
      <c r="AM305" s="22">
        <f t="shared" si="145"/>
        <v>-0.23591094711755634</v>
      </c>
      <c r="AO305" s="44">
        <f t="shared" si="146"/>
        <v>172515.98510588403</v>
      </c>
      <c r="AP305" s="44">
        <f t="shared" si="146"/>
        <v>131817.57566663669</v>
      </c>
    </row>
    <row r="306" spans="1:42" ht="15.5">
      <c r="A306" s="26" t="s">
        <v>12</v>
      </c>
      <c r="B306" s="7">
        <f>'Bütçe Değişim eur'!$B$14</f>
        <v>-554871.04796804884</v>
      </c>
      <c r="C306" s="7">
        <f>'değişim aylık eur'!$B$14</f>
        <v>-17760.80919464046</v>
      </c>
      <c r="D306" s="7"/>
      <c r="E306" s="7">
        <f>'Bütçe Değişim eur'!$C$14</f>
        <v>-154810.92315419725</v>
      </c>
      <c r="F306" s="7">
        <f>'değişim aylık eur'!$C$14</f>
        <v>-118975.78555186067</v>
      </c>
      <c r="G306" s="7"/>
      <c r="H306" s="7">
        <f>'Bütçe Değişim eur'!$D$14</f>
        <v>66179.890593499484</v>
      </c>
      <c r="I306" s="7">
        <f>'değişim aylık eur'!$D$14</f>
        <v>492519.46298552735</v>
      </c>
      <c r="J306" s="7"/>
      <c r="K306" s="7">
        <f>'Bütçe Değişim eur'!$E$14</f>
        <v>-29474.12431410201</v>
      </c>
      <c r="L306" s="7">
        <f>'değişim aylık eur'!$E$14</f>
        <v>-444223.82641633903</v>
      </c>
      <c r="M306" s="7"/>
      <c r="N306" s="7">
        <f>'Bütçe Değişim eur'!$F$14</f>
        <v>-23013.41273669001</v>
      </c>
      <c r="O306" s="7">
        <f>'değişim aylık eur'!$F$14</f>
        <v>50891.621773610124</v>
      </c>
      <c r="P306" s="7"/>
      <c r="Q306" s="7">
        <f>'Bütçe Değişim eur'!$G$14</f>
        <v>178491.43870319144</v>
      </c>
      <c r="R306" s="7">
        <f>'değişim aylık eur'!$G$14</f>
        <v>65184.108733921719</v>
      </c>
      <c r="S306" s="7"/>
      <c r="T306" s="7">
        <f>'Bütçe Değişim eur'!$H$14</f>
        <v>-71148.739512225788</v>
      </c>
      <c r="U306" s="7">
        <f>'değişim aylık eur'!$H$14</f>
        <v>-280550.89854121441</v>
      </c>
      <c r="V306" s="7"/>
      <c r="W306" s="7">
        <f>'Bütçe Değişim eur'!$I$14</f>
        <v>192686.25680886829</v>
      </c>
      <c r="X306" s="7">
        <f>'değişim aylık eur'!$I$14</f>
        <v>317624.42144830502</v>
      </c>
      <c r="Y306" s="7"/>
      <c r="Z306" s="7">
        <f>'Bütçe Değişim eur'!$J$14</f>
        <v>176078.12498432293</v>
      </c>
      <c r="AA306" s="7">
        <f>'değişim aylık eur'!$J$14</f>
        <v>58366.544396283076</v>
      </c>
      <c r="AB306" s="7"/>
      <c r="AC306" s="7">
        <f>'Bütçe Değişim eur'!$K$14</f>
        <v>-207188.20050765079</v>
      </c>
      <c r="AD306" s="7">
        <f>'değişim aylık eur'!$K$14</f>
        <v>0</v>
      </c>
      <c r="AE306" s="7"/>
      <c r="AF306" s="7">
        <f>'Bütçe Değişim eur'!$L$14</f>
        <v>65329.362274968837</v>
      </c>
      <c r="AG306" s="7">
        <f>'değişim aylık eur'!$L$14</f>
        <v>0</v>
      </c>
      <c r="AH306" s="7"/>
      <c r="AI306" s="7">
        <f>'Bütçe Değişim eur'!$M$14</f>
        <v>46790.901889596695</v>
      </c>
      <c r="AJ306" s="7">
        <f>'değişim aylık eur'!$M$14</f>
        <v>0</v>
      </c>
      <c r="AK306" s="7"/>
      <c r="AL306" s="21">
        <f t="shared" si="144"/>
        <v>-117711.58058803985</v>
      </c>
      <c r="AM306" s="22">
        <f t="shared" si="145"/>
        <v>-0.66851904856733491</v>
      </c>
      <c r="AO306" s="44">
        <f t="shared" si="146"/>
        <v>176078.12498432293</v>
      </c>
      <c r="AP306" s="44">
        <f t="shared" si="146"/>
        <v>58366.544396283076</v>
      </c>
    </row>
    <row r="307" spans="1:42" ht="15.5">
      <c r="A307" s="26" t="s">
        <v>13</v>
      </c>
      <c r="B307" s="7">
        <f>'Bütçe Değişim eur'!$B$15</f>
        <v>-4120092.2884676103</v>
      </c>
      <c r="C307" s="7">
        <f>'değişim aylık eur'!$B$15</f>
        <v>-3617026.1211118</v>
      </c>
      <c r="D307" s="7"/>
      <c r="E307" s="7">
        <f>'Bütçe Değişim eur'!$C$15</f>
        <v>1536359.2782703431</v>
      </c>
      <c r="F307" s="7">
        <f>'değişim aylık eur'!$C$15</f>
        <v>-4660416.4929033592</v>
      </c>
      <c r="G307" s="7"/>
      <c r="H307" s="7">
        <f>'Bütçe Değişim eur'!$D$15</f>
        <v>1788948.295791399</v>
      </c>
      <c r="I307" s="7">
        <f>'değişim aylık eur'!$D$15</f>
        <v>3489446.3476510011</v>
      </c>
      <c r="J307" s="7"/>
      <c r="K307" s="7">
        <f>'Bütçe Değişim eur'!$E$15</f>
        <v>2177443.4257008061</v>
      </c>
      <c r="L307" s="7">
        <f>'değişim aylık eur'!$E$15</f>
        <v>3813299.4986363528</v>
      </c>
      <c r="M307" s="7"/>
      <c r="N307" s="7">
        <f>'Bütçe Değişim eur'!$F$15</f>
        <v>2202786.3008223753</v>
      </c>
      <c r="O307" s="7">
        <f>'değişim aylık eur'!$F$15</f>
        <v>-7900173.6720866952</v>
      </c>
      <c r="P307" s="7"/>
      <c r="Q307" s="7">
        <f>'Bütçe Değişim eur'!$G$15</f>
        <v>1387508.9258746679</v>
      </c>
      <c r="R307" s="7">
        <f>'değişim aylık eur'!$G$15</f>
        <v>8125622.9124264335</v>
      </c>
      <c r="S307" s="7"/>
      <c r="T307" s="7">
        <f>'Bütçe Değişim eur'!$H$15</f>
        <v>-2873317.1554342899</v>
      </c>
      <c r="U307" s="7">
        <f>'değişim aylık eur'!$H$15</f>
        <v>-1502286.8105942244</v>
      </c>
      <c r="V307" s="7"/>
      <c r="W307" s="7">
        <f>'Bütçe Değişim eur'!$I$15</f>
        <v>3201569.048206389</v>
      </c>
      <c r="X307" s="7">
        <f>'değişim aylık eur'!$I$15</f>
        <v>531584.17961922591</v>
      </c>
      <c r="Y307" s="7"/>
      <c r="Z307" s="7">
        <f>'Bütçe Değişim eur'!$J$15</f>
        <v>-345821.28448272147</v>
      </c>
      <c r="AA307" s="7">
        <f>'değişim aylık eur'!$J$15</f>
        <v>2909055.339205869</v>
      </c>
      <c r="AB307" s="7"/>
      <c r="AC307" s="7">
        <f>'Bütçe Değişim eur'!$K$15</f>
        <v>3543068.966571982</v>
      </c>
      <c r="AD307" s="7">
        <f>'değişim aylık eur'!$K$15</f>
        <v>0</v>
      </c>
      <c r="AE307" s="7"/>
      <c r="AF307" s="7">
        <f>'Bütçe Değişim eur'!$L$15</f>
        <v>3183491.5043875743</v>
      </c>
      <c r="AG307" s="7">
        <f>'değişim aylık eur'!$L$15</f>
        <v>0</v>
      </c>
      <c r="AH307" s="7"/>
      <c r="AI307" s="7">
        <f>'Bütçe Değişim eur'!$M$15</f>
        <v>3453300.5495426501</v>
      </c>
      <c r="AJ307" s="7">
        <f>'değişim aylık eur'!$M$15</f>
        <v>0</v>
      </c>
      <c r="AK307" s="7"/>
      <c r="AL307" s="21">
        <f t="shared" si="144"/>
        <v>3254876.6236885907</v>
      </c>
      <c r="AM307" s="22">
        <f t="shared" si="145"/>
        <v>-9.4120193572157547</v>
      </c>
      <c r="AO307" s="44">
        <f t="shared" si="146"/>
        <v>-345821.28448272147</v>
      </c>
      <c r="AP307" s="44">
        <f t="shared" si="146"/>
        <v>2909055.339205869</v>
      </c>
    </row>
    <row r="308" spans="1:42" s="1" customFormat="1" ht="15.5">
      <c r="A308" s="26" t="s">
        <v>14</v>
      </c>
      <c r="B308" s="7">
        <f>'Bütçe Değişim eur'!$B$16</f>
        <v>1338887.0699160029</v>
      </c>
      <c r="C308" s="7">
        <f>'değişim aylık eur'!$B$16</f>
        <v>221976.66149476956</v>
      </c>
      <c r="D308" s="8"/>
      <c r="E308" s="7">
        <f>'Bütçe Değişim eur'!$C$16</f>
        <v>412983.27175359643</v>
      </c>
      <c r="F308" s="7">
        <f>'değişim aylık eur'!$C$16</f>
        <v>-47524.769516819797</v>
      </c>
      <c r="G308" s="8"/>
      <c r="H308" s="7">
        <f>'Bütçe Değişim eur'!$D$16</f>
        <v>261515.90115994302</v>
      </c>
      <c r="I308" s="7">
        <f>'değişim aylık eur'!$D$16</f>
        <v>1913848.634039518</v>
      </c>
      <c r="J308" s="8"/>
      <c r="K308" s="7">
        <f>'Bütçe Değişim eur'!$E$16</f>
        <v>-284205.08415086067</v>
      </c>
      <c r="L308" s="7">
        <f>'değişim aylık eur'!$E$16</f>
        <v>762585.28164777183</v>
      </c>
      <c r="M308" s="8"/>
      <c r="N308" s="7">
        <f>'Bütçe Değişim eur'!$F$16</f>
        <v>49776.110817996174</v>
      </c>
      <c r="O308" s="7">
        <f>'değişim aylık eur'!$F$16</f>
        <v>-744498.6589672463</v>
      </c>
      <c r="P308" s="8"/>
      <c r="Q308" s="7">
        <f>'Bütçe Değişim eur'!$G$16</f>
        <v>874449.50365002663</v>
      </c>
      <c r="R308" s="7">
        <f>'değişim aylık eur'!$G$16</f>
        <v>792642.71842474164</v>
      </c>
      <c r="S308" s="8"/>
      <c r="T308" s="7">
        <f>'Bütçe Değişim eur'!$H$16</f>
        <v>-437319.12482676329</v>
      </c>
      <c r="U308" s="7">
        <f>'değişim aylık eur'!$H$16</f>
        <v>961586.90024693497</v>
      </c>
      <c r="V308" s="8"/>
      <c r="W308" s="7">
        <f>'Bütçe Değişim eur'!$I$16</f>
        <v>673019.35157690337</v>
      </c>
      <c r="X308" s="7">
        <f>'değişim aylık eur'!$I$16</f>
        <v>296913.31336092483</v>
      </c>
      <c r="Y308" s="8"/>
      <c r="Z308" s="7">
        <f>'Bütçe Değişim eur'!$J$16</f>
        <v>443679.05467119918</v>
      </c>
      <c r="AA308" s="7">
        <f>'değişim aylık eur'!$J$16</f>
        <v>-243778.91374199511</v>
      </c>
      <c r="AB308" s="8"/>
      <c r="AC308" s="7">
        <f>'Bütçe Değişim eur'!$K$16</f>
        <v>-420842.76716955804</v>
      </c>
      <c r="AD308" s="7">
        <f>'değişim aylık eur'!$K$16</f>
        <v>0</v>
      </c>
      <c r="AE308" s="8"/>
      <c r="AF308" s="7">
        <f>'Bütçe Değişim eur'!$L$16</f>
        <v>1176424.0783167505</v>
      </c>
      <c r="AG308" s="7">
        <f>'değişim aylık eur'!$L$16</f>
        <v>0</v>
      </c>
      <c r="AH308" s="8"/>
      <c r="AI308" s="7">
        <f>'Bütçe Değişim eur'!$M$16</f>
        <v>493841.22841733979</v>
      </c>
      <c r="AJ308" s="7">
        <f>'değişim aylık eur'!$M$16</f>
        <v>0</v>
      </c>
      <c r="AK308" s="8"/>
      <c r="AL308" s="21">
        <f t="shared" si="144"/>
        <v>-687457.96841319429</v>
      </c>
      <c r="AM308" s="22">
        <f t="shared" si="145"/>
        <v>-1.5494487764869909</v>
      </c>
      <c r="AO308" s="44">
        <f t="shared" si="146"/>
        <v>443679.05467119918</v>
      </c>
      <c r="AP308" s="44">
        <f t="shared" si="146"/>
        <v>-243778.91374199511</v>
      </c>
    </row>
    <row r="309" spans="1:42" ht="15.5">
      <c r="A309" s="26" t="s">
        <v>15</v>
      </c>
      <c r="B309" s="7">
        <f>'Bütçe Değişim eur'!$B$17</f>
        <v>-3136859.9909959994</v>
      </c>
      <c r="C309" s="7">
        <f>'değişim aylık eur'!$B$17</f>
        <v>1432787.7399999963</v>
      </c>
      <c r="D309" s="7"/>
      <c r="E309" s="7">
        <f>'Bütçe Değişim eur'!$C$17</f>
        <v>574300.00075700146</v>
      </c>
      <c r="F309" s="7">
        <f>'değişim aylık eur'!$C$17</f>
        <v>-2488872.9581710007</v>
      </c>
      <c r="G309" s="7"/>
      <c r="H309" s="7">
        <f>'Bütçe Değişim eur'!$D$17</f>
        <v>1823721.3915119979</v>
      </c>
      <c r="I309" s="7">
        <f>'değişim aylık eur'!$D$17</f>
        <v>-574452.72059899615</v>
      </c>
      <c r="J309" s="7"/>
      <c r="K309" s="7">
        <f>'Bütçe Değişim eur'!$E$17</f>
        <v>-2108678.758939005</v>
      </c>
      <c r="L309" s="7">
        <f>'değişim aylık eur'!$E$17</f>
        <v>-204242.42372200545</v>
      </c>
      <c r="M309" s="7"/>
      <c r="N309" s="7">
        <f>'Bütçe Değişim eur'!$F$17</f>
        <v>1127267.1075340007</v>
      </c>
      <c r="O309" s="7">
        <f>'değişim aylık eur'!$F$17</f>
        <v>-956510.43399898941</v>
      </c>
      <c r="P309" s="7"/>
      <c r="Q309" s="7">
        <f>'Bütçe Değişim eur'!$G$17</f>
        <v>2227060.2292909995</v>
      </c>
      <c r="R309" s="7">
        <f>'değişim aylık eur'!$G$17</f>
        <v>3254032.361065987</v>
      </c>
      <c r="S309" s="7"/>
      <c r="T309" s="7">
        <f>'Bütçe Değişim eur'!$H$17</f>
        <v>590706.00968600786</v>
      </c>
      <c r="U309" s="7">
        <f>'değişim aylık eur'!$H$17</f>
        <v>4272679.1051859986</v>
      </c>
      <c r="V309" s="7"/>
      <c r="W309" s="7">
        <f>'Bütçe Değişim eur'!$I$17</f>
        <v>1327643.0271979901</v>
      </c>
      <c r="X309" s="7">
        <f>'değişim aylık eur'!$I$17</f>
        <v>2044528.4106110036</v>
      </c>
      <c r="Y309" s="7"/>
      <c r="Z309" s="7">
        <f>'Bütçe Değişim eur'!$J$17</f>
        <v>3017578.0366210015</v>
      </c>
      <c r="AA309" s="7">
        <f>'değişim aylık eur'!$J$17</f>
        <v>-1265428.3299999982</v>
      </c>
      <c r="AB309" s="7"/>
      <c r="AC309" s="7">
        <f>'Bütçe Değişim eur'!$K$17</f>
        <v>528107.15080399835</v>
      </c>
      <c r="AD309" s="7">
        <f>'değişim aylık eur'!$K$17</f>
        <v>0</v>
      </c>
      <c r="AE309" s="7"/>
      <c r="AF309" s="7">
        <f>'Bütçe Değişim eur'!$L$17</f>
        <v>2202177.8212900027</v>
      </c>
      <c r="AG309" s="7">
        <f>'değişim aylık eur'!$L$17</f>
        <v>0</v>
      </c>
      <c r="AH309" s="7"/>
      <c r="AI309" s="7">
        <f>'Bütçe Değişim eur'!$M$17</f>
        <v>4547904.2875180058</v>
      </c>
      <c r="AJ309" s="7">
        <f>'değişim aylık eur'!$M$17</f>
        <v>0</v>
      </c>
      <c r="AK309" s="7"/>
      <c r="AL309" s="21">
        <f t="shared" si="144"/>
        <v>-4283006.3666209998</v>
      </c>
      <c r="AM309" s="22">
        <f t="shared" si="145"/>
        <v>-1.4193523132269974</v>
      </c>
      <c r="AO309" s="44">
        <f t="shared" si="146"/>
        <v>3017578.0366210015</v>
      </c>
      <c r="AP309" s="44">
        <f t="shared" si="146"/>
        <v>-1265428.3299999982</v>
      </c>
    </row>
    <row r="310" spans="1:42" s="1" customFormat="1" ht="15.5">
      <c r="A310" s="26" t="s">
        <v>16</v>
      </c>
      <c r="B310" s="7">
        <f>'Bütçe Değişim eur'!$B$18</f>
        <v>4081678.8193519996</v>
      </c>
      <c r="C310" s="7">
        <f>'değişim aylık eur'!$B$18</f>
        <v>266462.00000000169</v>
      </c>
      <c r="D310" s="8"/>
      <c r="E310" s="7">
        <f>'Bütçe Değişim eur'!$C$18</f>
        <v>-690093.8314240044</v>
      </c>
      <c r="F310" s="7">
        <f>'değişim aylık eur'!$C$18</f>
        <v>-1151371.4700000035</v>
      </c>
      <c r="G310" s="8"/>
      <c r="H310" s="7">
        <f>'Bütçe Değişim eur'!$D$18</f>
        <v>7015567.2254210021</v>
      </c>
      <c r="I310" s="7">
        <f>'değişim aylık eur'!$D$18</f>
        <v>3825637.2544679968</v>
      </c>
      <c r="J310" s="8"/>
      <c r="K310" s="7">
        <f>'Bütçe Değişim eur'!$E$18</f>
        <v>-1741624.4314789961</v>
      </c>
      <c r="L310" s="7">
        <f>'değişim aylık eur'!$E$18</f>
        <v>-1217945.2791409919</v>
      </c>
      <c r="M310" s="8"/>
      <c r="N310" s="7">
        <f>'Bütçe Değişim eur'!$F$18</f>
        <v>1558168.0752319989</v>
      </c>
      <c r="O310" s="7">
        <f>'değişim aylık eur'!$F$18</f>
        <v>-801756.42195200897</v>
      </c>
      <c r="P310" s="8"/>
      <c r="Q310" s="7">
        <f>'Bütçe Değişim eur'!$G$18</f>
        <v>3594962.1989890025</v>
      </c>
      <c r="R310" s="7">
        <f>'değişim aylık eur'!$G$18</f>
        <v>5112293.3637190033</v>
      </c>
      <c r="S310" s="8"/>
      <c r="T310" s="7">
        <f>'Bütçe Değişim eur'!$H$18</f>
        <v>-329913.37780800561</v>
      </c>
      <c r="U310" s="7">
        <f>'değişim aylık eur'!$H$18</f>
        <v>-3870431.052954006</v>
      </c>
      <c r="V310" s="8"/>
      <c r="W310" s="7">
        <f>'Bütçe Değişim eur'!$I$18</f>
        <v>1363198.078245997</v>
      </c>
      <c r="X310" s="7">
        <f>'değişim aylık eur'!$I$18</f>
        <v>-859221.48537599249</v>
      </c>
      <c r="Y310" s="8"/>
      <c r="Z310" s="7">
        <f>'Bütçe Değişim eur'!$J$18</f>
        <v>3202544.7436330034</v>
      </c>
      <c r="AA310" s="7">
        <f>'değişim aylık eur'!$J$18</f>
        <v>4086146.4300000058</v>
      </c>
      <c r="AB310" s="8"/>
      <c r="AC310" s="7">
        <f>'Bütçe Değişim eur'!$K$18</f>
        <v>-2672706.3422659994</v>
      </c>
      <c r="AD310" s="7">
        <f>'değişim aylık eur'!$K$18</f>
        <v>0</v>
      </c>
      <c r="AE310" s="8"/>
      <c r="AF310" s="7">
        <f>'Bütçe Değişim eur'!$L$18</f>
        <v>141494.79767200042</v>
      </c>
      <c r="AG310" s="7">
        <f>'değişim aylık eur'!$L$18</f>
        <v>0</v>
      </c>
      <c r="AH310" s="8"/>
      <c r="AI310" s="7">
        <f>'Bütçe Değişim eur'!$M$18</f>
        <v>2945222.7065180009</v>
      </c>
      <c r="AJ310" s="7">
        <f>'değişim aylık eur'!$M$18</f>
        <v>0</v>
      </c>
      <c r="AK310" s="8"/>
      <c r="AL310" s="21">
        <f t="shared" si="144"/>
        <v>883601.68636700232</v>
      </c>
      <c r="AM310" s="22">
        <f t="shared" si="145"/>
        <v>0.27590611750973837</v>
      </c>
      <c r="AO310" s="44">
        <f t="shared" si="146"/>
        <v>3202544.7436330034</v>
      </c>
      <c r="AP310" s="44">
        <f t="shared" si="146"/>
        <v>4086146.4300000058</v>
      </c>
    </row>
    <row r="311" spans="1:42" s="1" customFormat="1" ht="15.5">
      <c r="A311" s="26" t="s">
        <v>17</v>
      </c>
      <c r="B311" s="7">
        <f>'Bütçe Değişim eur'!$B$19</f>
        <v>-6276573.562737003</v>
      </c>
      <c r="C311" s="7">
        <f>'değişim aylık eur'!$B$19</f>
        <v>-5006777.6757379873</v>
      </c>
      <c r="D311" s="8"/>
      <c r="E311" s="7">
        <f>'Bütçe Değişim eur'!$C$19</f>
        <v>-459001.15405399725</v>
      </c>
      <c r="F311" s="7">
        <f>'değişim aylık eur'!$C$19</f>
        <v>1149641.6957379952</v>
      </c>
      <c r="G311" s="8"/>
      <c r="H311" s="7">
        <f>'Bütçe Değişim eur'!$D$19</f>
        <v>8221856.0795259997</v>
      </c>
      <c r="I311" s="7">
        <f>'değişim aylık eur'!$D$19</f>
        <v>7573410.9599999888</v>
      </c>
      <c r="J311" s="8"/>
      <c r="K311" s="7">
        <f>'Bütçe Değişim eur'!$E$19</f>
        <v>-3295546.4917560099</v>
      </c>
      <c r="L311" s="7">
        <f>'değişim aylık eur'!$E$19</f>
        <v>-4301511.5100000016</v>
      </c>
      <c r="M311" s="8"/>
      <c r="N311" s="7">
        <f>'Bütçe Değişim eur'!$F$19</f>
        <v>2966185.4876410132</v>
      </c>
      <c r="O311" s="7">
        <f>'değişim aylık eur'!$F$19</f>
        <v>-1097164.9999999856</v>
      </c>
      <c r="P311" s="8"/>
      <c r="Q311" s="7">
        <f>'Bütçe Değişim eur'!$G$19</f>
        <v>7110869.4284800012</v>
      </c>
      <c r="R311" s="7">
        <f>'değişim aylık eur'!$G$19</f>
        <v>9563469.1099999957</v>
      </c>
      <c r="S311" s="8"/>
      <c r="T311" s="7">
        <f>'Bütçe Değişim eur'!$H$19</f>
        <v>-1798927.7608690052</v>
      </c>
      <c r="U311" s="7">
        <f>'değişim aylık eur'!$H$19</f>
        <v>-924331.35927701369</v>
      </c>
      <c r="V311" s="8"/>
      <c r="W311" s="7">
        <f>'Bütçe Değişim eur'!$I$19</f>
        <v>220215.76571500394</v>
      </c>
      <c r="X311" s="7">
        <f>'değişim aylık eur'!$I$19</f>
        <v>667368.35499902256</v>
      </c>
      <c r="Y311" s="8"/>
      <c r="Z311" s="7">
        <f>'Bütçe Değişim eur'!$J$19</f>
        <v>7513347.0904150121</v>
      </c>
      <c r="AA311" s="7">
        <f>'değişim aylık eur'!$J$19</f>
        <v>3837897.3535210006</v>
      </c>
      <c r="AB311" s="8"/>
      <c r="AC311" s="7">
        <f>'Bütçe Değişim eur'!$K$19</f>
        <v>-3140399.5250720242</v>
      </c>
      <c r="AD311" s="7">
        <f>'değişim aylık eur'!$K$19</f>
        <v>0</v>
      </c>
      <c r="AE311" s="8"/>
      <c r="AF311" s="7">
        <f>'Bütçe Değişim eur'!$L$19</f>
        <v>6757362.3152070064</v>
      </c>
      <c r="AG311" s="7">
        <f>'değişim aylık eur'!$L$19</f>
        <v>0</v>
      </c>
      <c r="AH311" s="8"/>
      <c r="AI311" s="7">
        <f>'Bütçe Değişim eur'!$M$19</f>
        <v>7658494.623580995</v>
      </c>
      <c r="AJ311" s="7">
        <f>'değişim aylık eur'!$M$19</f>
        <v>0</v>
      </c>
      <c r="AK311" s="8"/>
      <c r="AL311" s="21">
        <f t="shared" si="144"/>
        <v>-3675449.7368940115</v>
      </c>
      <c r="AM311" s="22">
        <f t="shared" si="145"/>
        <v>-0.48918939756994406</v>
      </c>
      <c r="AO311" s="44">
        <f t="shared" si="146"/>
        <v>7513347.0904150121</v>
      </c>
      <c r="AP311" s="44">
        <f t="shared" si="146"/>
        <v>3837897.3535210006</v>
      </c>
    </row>
    <row r="312" spans="1:42" s="1" customFormat="1" ht="15.5">
      <c r="A312" s="26"/>
      <c r="B312" s="7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7"/>
      <c r="R312" s="8"/>
      <c r="S312" s="8"/>
      <c r="T312" s="7"/>
      <c r="U312" s="8"/>
      <c r="V312" s="8"/>
      <c r="W312" s="7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15"/>
      <c r="AM312" s="16"/>
      <c r="AO312" s="44"/>
      <c r="AP312" s="44"/>
    </row>
    <row r="313" spans="1:42" s="1" customFormat="1" ht="15.5">
      <c r="A313" s="26"/>
      <c r="B313" s="7"/>
      <c r="C313" s="7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7"/>
      <c r="R313" s="8"/>
      <c r="S313" s="8"/>
      <c r="T313" s="7"/>
      <c r="U313" s="8"/>
      <c r="V313" s="8"/>
      <c r="W313" s="7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15"/>
      <c r="AM313" s="16"/>
      <c r="AO313" s="44"/>
      <c r="AP313" s="44"/>
    </row>
    <row r="314" spans="1:42" s="1" customFormat="1" ht="15.5">
      <c r="A314" s="26"/>
      <c r="B314" s="7"/>
      <c r="C314" s="7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7"/>
      <c r="R314" s="8"/>
      <c r="S314" s="8"/>
      <c r="T314" s="7"/>
      <c r="U314" s="8"/>
      <c r="V314" s="8"/>
      <c r="W314" s="7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>
        <f>AI297-AI145</f>
        <v>1753243.4858410014</v>
      </c>
      <c r="AJ314" s="8">
        <f>AJ297-AJ145</f>
        <v>0</v>
      </c>
      <c r="AK314" s="8"/>
      <c r="AL314" s="15"/>
      <c r="AM314" s="16"/>
      <c r="AO314" s="44"/>
      <c r="AP314" s="44"/>
    </row>
    <row r="315" spans="1:42" s="1" customFormat="1" ht="15.5">
      <c r="A315" s="26"/>
      <c r="B315" s="7"/>
      <c r="C315" s="7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7"/>
      <c r="R315" s="8"/>
      <c r="S315" s="8"/>
      <c r="T315" s="7"/>
      <c r="U315" s="8"/>
      <c r="V315" s="8"/>
      <c r="W315" s="7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15"/>
      <c r="AM315" s="16"/>
      <c r="AO315" s="44"/>
      <c r="AP315" s="44"/>
    </row>
    <row r="316" spans="1:42" s="1" customFormat="1" ht="15.5">
      <c r="A316" s="26"/>
      <c r="B316" s="7"/>
      <c r="C316" s="7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7"/>
      <c r="R316" s="8"/>
      <c r="S316" s="8"/>
      <c r="T316" s="7"/>
      <c r="U316" s="8"/>
      <c r="V316" s="8"/>
      <c r="W316" s="7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15"/>
      <c r="AM316" s="16"/>
      <c r="AO316" s="44"/>
      <c r="AP316" s="44"/>
    </row>
    <row r="317" spans="1:42" s="1" customFormat="1" ht="15.5">
      <c r="A317" s="26"/>
      <c r="B317" s="7"/>
      <c r="C317" s="7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7"/>
      <c r="R317" s="8"/>
      <c r="S317" s="8"/>
      <c r="T317" s="7"/>
      <c r="U317" s="8"/>
      <c r="V317" s="8"/>
      <c r="W317" s="7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15"/>
      <c r="AM317" s="16"/>
      <c r="AO317" s="44"/>
      <c r="AP317" s="44"/>
    </row>
    <row r="318" spans="1:42" s="1" customFormat="1" ht="15.5">
      <c r="A318" s="26"/>
      <c r="B318" s="7"/>
      <c r="C318" s="7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7"/>
      <c r="R318" s="8"/>
      <c r="S318" s="8"/>
      <c r="T318" s="7"/>
      <c r="U318" s="8"/>
      <c r="V318" s="8"/>
      <c r="W318" s="7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15"/>
      <c r="AM318" s="16"/>
      <c r="AO318" s="44"/>
      <c r="AP318" s="44"/>
    </row>
    <row r="319" spans="1:42" s="1" customFormat="1" ht="15.5">
      <c r="A319" s="26"/>
      <c r="B319" s="7"/>
      <c r="C319" s="7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7"/>
      <c r="R319" s="8"/>
      <c r="S319" s="8"/>
      <c r="T319" s="7"/>
      <c r="U319" s="8"/>
      <c r="V319" s="8"/>
      <c r="W319" s="7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15"/>
      <c r="AM319" s="16"/>
      <c r="AO319" s="44"/>
      <c r="AP319" s="44"/>
    </row>
    <row r="320" spans="1:42" s="1" customFormat="1" ht="15.5">
      <c r="A320" s="26"/>
      <c r="B320" s="7"/>
      <c r="C320" s="7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7"/>
      <c r="R320" s="8"/>
      <c r="S320" s="8"/>
      <c r="T320" s="7"/>
      <c r="U320" s="8"/>
      <c r="V320" s="8"/>
      <c r="W320" s="7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15"/>
      <c r="AM320" s="16"/>
      <c r="AO320" s="44"/>
      <c r="AP320" s="44"/>
    </row>
    <row r="321" spans="1:42" s="1" customFormat="1" ht="15.5">
      <c r="A321" s="26"/>
      <c r="B321" s="7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7"/>
      <c r="R321" s="8"/>
      <c r="S321" s="8"/>
      <c r="T321" s="7"/>
      <c r="U321" s="8"/>
      <c r="V321" s="8"/>
      <c r="W321" s="7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15"/>
      <c r="AM321" s="16"/>
      <c r="AO321" s="44"/>
      <c r="AP321" s="44"/>
    </row>
    <row r="322" spans="1:42" s="1" customFormat="1" ht="15.5">
      <c r="A322" s="26"/>
      <c r="B322" s="7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7"/>
      <c r="R322" s="8"/>
      <c r="S322" s="8"/>
      <c r="T322" s="7"/>
      <c r="U322" s="8"/>
      <c r="V322" s="8"/>
      <c r="W322" s="7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15"/>
      <c r="AM322" s="16"/>
      <c r="AO322" s="44"/>
      <c r="AP322" s="44"/>
    </row>
    <row r="323" spans="1:42" s="1" customFormat="1" ht="15.5">
      <c r="A323" s="26"/>
      <c r="B323" s="7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7"/>
      <c r="R323" s="8"/>
      <c r="S323" s="8"/>
      <c r="T323" s="7"/>
      <c r="U323" s="8"/>
      <c r="V323" s="8"/>
      <c r="W323" s="7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15"/>
      <c r="AM323" s="16"/>
      <c r="AO323" s="44"/>
      <c r="AP323" s="44"/>
    </row>
    <row r="324" spans="1:42" s="1" customFormat="1" ht="15.5">
      <c r="A324" s="26"/>
      <c r="B324" s="7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7"/>
      <c r="R324" s="8"/>
      <c r="S324" s="8"/>
      <c r="T324" s="7"/>
      <c r="U324" s="8"/>
      <c r="V324" s="8"/>
      <c r="W324" s="7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15"/>
      <c r="AM324" s="16"/>
      <c r="AO324" s="44"/>
      <c r="AP324" s="44"/>
    </row>
    <row r="325" spans="1:42" s="1" customFormat="1" ht="15.5">
      <c r="A325" s="26"/>
      <c r="B325" s="7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7"/>
      <c r="R325" s="8"/>
      <c r="S325" s="8"/>
      <c r="T325" s="7"/>
      <c r="U325" s="8"/>
      <c r="V325" s="8"/>
      <c r="W325" s="7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15"/>
      <c r="AM325" s="16"/>
      <c r="AO325" s="44"/>
      <c r="AP325" s="44"/>
    </row>
    <row r="326" spans="1:42" s="1" customFormat="1" ht="15.5">
      <c r="A326" s="26"/>
      <c r="B326" s="7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7"/>
      <c r="R326" s="8"/>
      <c r="S326" s="8"/>
      <c r="T326" s="7"/>
      <c r="U326" s="8"/>
      <c r="V326" s="8"/>
      <c r="W326" s="7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15"/>
      <c r="AM326" s="16"/>
      <c r="AO326" s="44"/>
      <c r="AP326" s="44"/>
    </row>
    <row r="327" spans="1:42" s="1" customFormat="1" ht="15.5">
      <c r="A327" s="26"/>
      <c r="B327" s="7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7"/>
      <c r="R327" s="8"/>
      <c r="S327" s="8"/>
      <c r="T327" s="7"/>
      <c r="U327" s="8"/>
      <c r="V327" s="8"/>
      <c r="W327" s="7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15"/>
      <c r="AM327" s="16"/>
      <c r="AO327" s="44"/>
      <c r="AP327" s="44"/>
    </row>
    <row r="328" spans="1:42" s="1" customFormat="1" ht="15.5">
      <c r="A328" s="26"/>
      <c r="B328" s="7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7"/>
      <c r="R328" s="8"/>
      <c r="S328" s="8"/>
      <c r="T328" s="7"/>
      <c r="U328" s="8"/>
      <c r="V328" s="8"/>
      <c r="W328" s="7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15"/>
      <c r="AM328" s="16"/>
      <c r="AO328" s="44"/>
      <c r="AP328" s="44"/>
    </row>
    <row r="329" spans="1:42" s="1" customFormat="1" ht="15.5">
      <c r="A329" s="26"/>
      <c r="B329" s="7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7"/>
      <c r="R329" s="8"/>
      <c r="S329" s="8"/>
      <c r="T329" s="7"/>
      <c r="U329" s="8"/>
      <c r="V329" s="8"/>
      <c r="W329" s="7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15"/>
      <c r="AM329" s="16"/>
      <c r="AO329" s="44"/>
      <c r="AP329" s="44"/>
    </row>
    <row r="330" spans="1:42" s="1" customFormat="1" ht="15.5">
      <c r="A330" s="26"/>
      <c r="B330" s="7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7"/>
      <c r="R330" s="8"/>
      <c r="S330" s="8"/>
      <c r="T330" s="7"/>
      <c r="U330" s="8"/>
      <c r="V330" s="8"/>
      <c r="W330" s="7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15"/>
      <c r="AM330" s="16"/>
      <c r="AO330" s="44"/>
      <c r="AP330" s="44"/>
    </row>
    <row r="331" spans="1:42" s="1" customFormat="1" ht="15.5">
      <c r="A331" s="26"/>
      <c r="B331" s="7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7"/>
      <c r="R331" s="8"/>
      <c r="S331" s="8"/>
      <c r="T331" s="7"/>
      <c r="U331" s="8"/>
      <c r="V331" s="8"/>
      <c r="W331" s="7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15"/>
      <c r="AM331" s="16"/>
      <c r="AO331" s="44"/>
      <c r="AP331" s="44"/>
    </row>
    <row r="332" spans="1:42" s="1" customFormat="1" ht="15.5">
      <c r="A332" s="26"/>
      <c r="B332" s="7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7"/>
      <c r="R332" s="8"/>
      <c r="S332" s="8"/>
      <c r="T332" s="7"/>
      <c r="U332" s="8"/>
      <c r="V332" s="8"/>
      <c r="W332" s="7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15"/>
      <c r="AM332" s="16"/>
      <c r="AO332" s="44"/>
      <c r="AP332" s="44"/>
    </row>
    <row r="333" spans="1:42" s="1" customFormat="1" ht="15.5">
      <c r="A333" s="26"/>
      <c r="B333" s="7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7"/>
      <c r="R333" s="8"/>
      <c r="S333" s="8"/>
      <c r="T333" s="7"/>
      <c r="U333" s="8"/>
      <c r="V333" s="8"/>
      <c r="W333" s="7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15"/>
      <c r="AM333" s="16"/>
      <c r="AO333" s="44"/>
      <c r="AP333" s="44"/>
    </row>
    <row r="334" spans="1:42" s="1" customFormat="1" ht="15.5">
      <c r="A334" s="26"/>
      <c r="B334" s="7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7"/>
      <c r="R334" s="8"/>
      <c r="S334" s="8"/>
      <c r="T334" s="7"/>
      <c r="U334" s="8"/>
      <c r="V334" s="8"/>
      <c r="W334" s="7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15"/>
      <c r="AM334" s="16"/>
      <c r="AO334" s="44"/>
      <c r="AP334" s="44"/>
    </row>
    <row r="335" spans="1:42" s="1" customFormat="1" ht="15.5">
      <c r="A335" s="26"/>
      <c r="B335" s="7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7"/>
      <c r="R335" s="8"/>
      <c r="S335" s="8"/>
      <c r="T335" s="7"/>
      <c r="U335" s="8"/>
      <c r="V335" s="8"/>
      <c r="W335" s="7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15"/>
      <c r="AM335" s="16"/>
      <c r="AO335" s="44"/>
      <c r="AP335" s="44"/>
    </row>
    <row r="336" spans="1:42" s="1" customFormat="1" ht="15.5">
      <c r="A336" s="26"/>
      <c r="B336" s="7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7"/>
      <c r="R336" s="8"/>
      <c r="S336" s="8"/>
      <c r="T336" s="7"/>
      <c r="U336" s="8"/>
      <c r="V336" s="8"/>
      <c r="W336" s="7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15"/>
      <c r="AM336" s="16"/>
      <c r="AO336" s="44"/>
      <c r="AP336" s="44"/>
    </row>
    <row r="337" spans="1:42" s="1" customFormat="1" ht="15.5">
      <c r="A337" s="26"/>
      <c r="B337" s="7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7"/>
      <c r="R337" s="8"/>
      <c r="S337" s="8"/>
      <c r="T337" s="7"/>
      <c r="U337" s="8"/>
      <c r="V337" s="8"/>
      <c r="W337" s="7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15"/>
      <c r="AM337" s="16"/>
      <c r="AO337" s="44"/>
      <c r="AP337" s="44"/>
    </row>
    <row r="338" spans="1:42" s="1" customFormat="1" ht="15.5">
      <c r="A338" s="26"/>
      <c r="B338" s="7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7"/>
      <c r="R338" s="8"/>
      <c r="S338" s="8"/>
      <c r="T338" s="7"/>
      <c r="U338" s="8"/>
      <c r="V338" s="8"/>
      <c r="W338" s="7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15"/>
      <c r="AM338" s="16"/>
      <c r="AO338" s="44"/>
      <c r="AP338" s="44"/>
    </row>
    <row r="339" spans="1:42" s="1" customFormat="1" ht="15.5">
      <c r="A339" s="26"/>
      <c r="B339" s="7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7"/>
      <c r="R339" s="8"/>
      <c r="S339" s="8"/>
      <c r="T339" s="7"/>
      <c r="U339" s="8"/>
      <c r="V339" s="8"/>
      <c r="W339" s="7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15"/>
      <c r="AM339" s="16"/>
      <c r="AO339" s="44"/>
      <c r="AP339" s="44"/>
    </row>
    <row r="340" spans="1:42" s="1" customFormat="1" ht="15.5">
      <c r="A340" s="26"/>
      <c r="B340" s="7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7"/>
      <c r="R340" s="8"/>
      <c r="S340" s="8"/>
      <c r="T340" s="7"/>
      <c r="U340" s="8"/>
      <c r="V340" s="8"/>
      <c r="W340" s="7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15"/>
      <c r="AM340" s="16"/>
      <c r="AO340" s="44"/>
      <c r="AP340" s="44"/>
    </row>
    <row r="341" spans="1:42" s="1" customFormat="1" ht="15.5">
      <c r="A341" s="26"/>
      <c r="B341" s="7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7"/>
      <c r="R341" s="8"/>
      <c r="S341" s="8"/>
      <c r="T341" s="7"/>
      <c r="U341" s="8"/>
      <c r="V341" s="8"/>
      <c r="W341" s="7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15"/>
      <c r="AM341" s="16"/>
      <c r="AO341" s="44"/>
      <c r="AP341" s="44"/>
    </row>
    <row r="342" spans="1:42" s="1" customFormat="1" ht="15.5">
      <c r="A342" s="26"/>
      <c r="B342" s="7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7"/>
      <c r="R342" s="8"/>
      <c r="S342" s="8"/>
      <c r="T342" s="7"/>
      <c r="U342" s="8"/>
      <c r="V342" s="8"/>
      <c r="W342" s="7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15"/>
      <c r="AM342" s="16"/>
      <c r="AO342" s="44"/>
      <c r="AP342" s="44"/>
    </row>
    <row r="343" spans="1:42" s="1" customFormat="1" ht="15.5">
      <c r="A343" s="26"/>
      <c r="B343" s="7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7"/>
      <c r="R343" s="8"/>
      <c r="S343" s="8"/>
      <c r="T343" s="7"/>
      <c r="U343" s="8"/>
      <c r="V343" s="8"/>
      <c r="W343" s="7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15"/>
      <c r="AM343" s="16"/>
      <c r="AO343" s="44"/>
      <c r="AP343" s="44"/>
    </row>
    <row r="344" spans="1:42" s="1" customFormat="1" ht="15.5">
      <c r="A344" s="26"/>
      <c r="B344" s="7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7"/>
      <c r="R344" s="8"/>
      <c r="S344" s="8"/>
      <c r="T344" s="7"/>
      <c r="U344" s="8"/>
      <c r="V344" s="8"/>
      <c r="W344" s="7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15"/>
      <c r="AM344" s="16"/>
      <c r="AO344" s="44"/>
      <c r="AP344" s="44"/>
    </row>
    <row r="345" spans="1:42" s="1" customFormat="1" ht="15.5">
      <c r="A345" s="26"/>
      <c r="B345" s="7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7"/>
      <c r="R345" s="8"/>
      <c r="S345" s="8"/>
      <c r="T345" s="7"/>
      <c r="U345" s="8"/>
      <c r="V345" s="8"/>
      <c r="W345" s="7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15"/>
      <c r="AM345" s="16"/>
      <c r="AO345" s="44"/>
      <c r="AP345" s="44"/>
    </row>
    <row r="346" spans="1:42" s="1" customFormat="1" ht="15.5">
      <c r="A346" s="26"/>
      <c r="B346" s="7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7"/>
      <c r="R346" s="8"/>
      <c r="S346" s="8"/>
      <c r="T346" s="7"/>
      <c r="U346" s="8"/>
      <c r="V346" s="8"/>
      <c r="W346" s="7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15"/>
      <c r="AM346" s="16"/>
      <c r="AO346" s="44"/>
      <c r="AP346" s="44"/>
    </row>
    <row r="347" spans="1:42" s="1" customFormat="1" ht="15.5">
      <c r="A347" s="26"/>
      <c r="B347" s="7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7"/>
      <c r="R347" s="8"/>
      <c r="S347" s="8"/>
      <c r="T347" s="7"/>
      <c r="U347" s="8"/>
      <c r="V347" s="8"/>
      <c r="W347" s="7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15"/>
      <c r="AM347" s="16"/>
      <c r="AO347" s="44"/>
      <c r="AP347" s="44"/>
    </row>
    <row r="348" spans="1:42" s="1" customFormat="1" ht="15.5">
      <c r="A348" s="26"/>
      <c r="B348" s="7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7"/>
      <c r="R348" s="8"/>
      <c r="S348" s="8"/>
      <c r="T348" s="7"/>
      <c r="U348" s="8"/>
      <c r="V348" s="8"/>
      <c r="W348" s="7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15"/>
      <c r="AM348" s="16"/>
      <c r="AO348" s="44"/>
      <c r="AP348" s="44"/>
    </row>
    <row r="349" spans="1:42" s="1" customFormat="1" ht="15.5">
      <c r="A349" s="26"/>
      <c r="B349" s="7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7"/>
      <c r="R349" s="8"/>
      <c r="S349" s="8"/>
      <c r="T349" s="7"/>
      <c r="U349" s="8"/>
      <c r="V349" s="8"/>
      <c r="W349" s="7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15"/>
      <c r="AM349" s="16"/>
      <c r="AO349" s="44"/>
      <c r="AP349" s="44"/>
    </row>
    <row r="350" spans="1:42" s="1" customFormat="1" ht="15.5">
      <c r="A350" s="26"/>
      <c r="B350" s="7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7"/>
      <c r="R350" s="8"/>
      <c r="S350" s="8"/>
      <c r="T350" s="7"/>
      <c r="U350" s="8"/>
      <c r="V350" s="8"/>
      <c r="W350" s="7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15"/>
      <c r="AM350" s="16"/>
      <c r="AO350" s="44"/>
      <c r="AP350" s="44"/>
    </row>
    <row r="351" spans="1:42" s="1" customFormat="1" ht="15.5">
      <c r="A351" s="26"/>
      <c r="B351" s="7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7"/>
      <c r="R351" s="8"/>
      <c r="S351" s="8"/>
      <c r="T351" s="7"/>
      <c r="U351" s="8"/>
      <c r="V351" s="8"/>
      <c r="W351" s="7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15"/>
      <c r="AM351" s="16"/>
      <c r="AO351" s="44"/>
      <c r="AP351" s="44"/>
    </row>
    <row r="352" spans="1:42" s="1" customFormat="1" ht="15.5">
      <c r="A352" s="26"/>
      <c r="B352" s="7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7"/>
      <c r="R352" s="8"/>
      <c r="S352" s="8"/>
      <c r="T352" s="7"/>
      <c r="U352" s="8"/>
      <c r="V352" s="8"/>
      <c r="W352" s="7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15"/>
      <c r="AM352" s="16"/>
      <c r="AO352" s="44"/>
      <c r="AP352" s="44"/>
    </row>
    <row r="353" spans="1:42" s="1" customFormat="1" ht="15.5">
      <c r="A353" s="26"/>
      <c r="B353" s="7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7"/>
      <c r="R353" s="8"/>
      <c r="S353" s="8"/>
      <c r="T353" s="7"/>
      <c r="U353" s="8"/>
      <c r="V353" s="8"/>
      <c r="W353" s="7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15"/>
      <c r="AM353" s="16"/>
      <c r="AO353" s="44"/>
      <c r="AP353" s="44"/>
    </row>
    <row r="354" spans="1:42" s="1" customFormat="1" ht="15.5">
      <c r="A354" s="26"/>
      <c r="B354" s="7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7"/>
      <c r="R354" s="8"/>
      <c r="S354" s="8"/>
      <c r="T354" s="7"/>
      <c r="U354" s="8"/>
      <c r="V354" s="8"/>
      <c r="W354" s="7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15"/>
      <c r="AM354" s="16"/>
      <c r="AO354" s="44"/>
      <c r="AP354" s="44"/>
    </row>
    <row r="355" spans="1:42" s="1" customFormat="1" ht="15.5">
      <c r="A355" s="26"/>
      <c r="B355" s="7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7"/>
      <c r="R355" s="8"/>
      <c r="S355" s="8"/>
      <c r="T355" s="7"/>
      <c r="U355" s="8"/>
      <c r="V355" s="8"/>
      <c r="W355" s="7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15"/>
      <c r="AM355" s="16"/>
      <c r="AO355" s="44"/>
      <c r="AP355" s="44"/>
    </row>
    <row r="356" spans="1:42" s="1" customFormat="1" ht="15.5">
      <c r="A356" s="26"/>
      <c r="B356" s="7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7"/>
      <c r="R356" s="8"/>
      <c r="S356" s="8"/>
      <c r="T356" s="7"/>
      <c r="U356" s="8"/>
      <c r="V356" s="8"/>
      <c r="W356" s="7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15"/>
      <c r="AM356" s="16"/>
      <c r="AO356" s="44"/>
      <c r="AP356" s="44"/>
    </row>
    <row r="357" spans="1:42" s="1" customFormat="1" ht="15.5">
      <c r="A357" s="26"/>
      <c r="B357" s="7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7"/>
      <c r="R357" s="8"/>
      <c r="S357" s="8"/>
      <c r="T357" s="7"/>
      <c r="U357" s="8"/>
      <c r="V357" s="8"/>
      <c r="W357" s="7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15"/>
      <c r="AM357" s="16"/>
      <c r="AO357" s="44"/>
      <c r="AP357" s="44"/>
    </row>
    <row r="358" spans="1:42" s="1" customFormat="1" ht="15.5">
      <c r="A358" s="26"/>
      <c r="B358" s="7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7"/>
      <c r="R358" s="8"/>
      <c r="S358" s="8"/>
      <c r="T358" s="7"/>
      <c r="U358" s="8"/>
      <c r="V358" s="8"/>
      <c r="W358" s="7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15"/>
      <c r="AM358" s="16"/>
      <c r="AO358" s="44"/>
      <c r="AP358" s="44"/>
    </row>
    <row r="359" spans="1:42" s="1" customFormat="1" ht="15.5">
      <c r="A359" s="26"/>
      <c r="B359" s="7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7"/>
      <c r="R359" s="8"/>
      <c r="S359" s="8"/>
      <c r="T359" s="7"/>
      <c r="U359" s="8"/>
      <c r="V359" s="8"/>
      <c r="W359" s="7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15"/>
      <c r="AM359" s="16"/>
      <c r="AO359" s="44"/>
      <c r="AP359" s="44"/>
    </row>
    <row r="360" spans="1:42" s="1" customFormat="1" ht="15.5">
      <c r="A360" s="26"/>
      <c r="B360" s="7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7"/>
      <c r="R360" s="8"/>
      <c r="S360" s="8"/>
      <c r="T360" s="7"/>
      <c r="U360" s="8"/>
      <c r="V360" s="8"/>
      <c r="W360" s="7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15"/>
      <c r="AM360" s="16"/>
      <c r="AO360" s="44"/>
      <c r="AP360" s="44"/>
    </row>
    <row r="361" spans="1:42" s="1" customFormat="1" ht="15.5">
      <c r="A361" s="26"/>
      <c r="B361" s="7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7"/>
      <c r="R361" s="8"/>
      <c r="S361" s="8"/>
      <c r="T361" s="7"/>
      <c r="U361" s="8"/>
      <c r="V361" s="8"/>
      <c r="W361" s="7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15"/>
      <c r="AM361" s="16"/>
      <c r="AO361" s="44"/>
      <c r="AP361" s="44"/>
    </row>
    <row r="362" spans="1:42" s="1" customFormat="1" ht="15.5">
      <c r="A362" s="26"/>
      <c r="B362" s="7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7"/>
      <c r="R362" s="8"/>
      <c r="S362" s="8"/>
      <c r="T362" s="7"/>
      <c r="U362" s="8"/>
      <c r="V362" s="8"/>
      <c r="W362" s="7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15"/>
      <c r="AM362" s="16"/>
      <c r="AO362" s="44"/>
      <c r="AP362" s="44"/>
    </row>
    <row r="363" spans="1:42" s="1" customFormat="1" ht="15.5">
      <c r="A363" s="26"/>
      <c r="B363" s="7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7"/>
      <c r="R363" s="8"/>
      <c r="S363" s="8"/>
      <c r="T363" s="7"/>
      <c r="U363" s="8"/>
      <c r="V363" s="8"/>
      <c r="W363" s="7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15"/>
      <c r="AM363" s="16"/>
      <c r="AO363" s="44"/>
      <c r="AP363" s="44"/>
    </row>
  </sheetData>
  <mergeCells count="13">
    <mergeCell ref="Q1:R1"/>
    <mergeCell ref="B1:C1"/>
    <mergeCell ref="E1:F1"/>
    <mergeCell ref="H1:I1"/>
    <mergeCell ref="K1:L1"/>
    <mergeCell ref="N1:O1"/>
    <mergeCell ref="AL1:AM1"/>
    <mergeCell ref="T1:U1"/>
    <mergeCell ref="W1:X1"/>
    <mergeCell ref="Z1:AA1"/>
    <mergeCell ref="AC1:AD1"/>
    <mergeCell ref="AF1:AG1"/>
    <mergeCell ref="AI1:AJ1"/>
  </mergeCells>
  <pageMargins left="0.7" right="0.7" top="0.75" bottom="0.75" header="0.3" footer="0.3"/>
  <pageSetup paperSize="9" orientation="portrait" r:id="rId1"/>
  <customProperties>
    <customPr name="_pios_id" r:id="rId2"/>
    <customPr name="EpmWorksheetKeyString_GUID" r:id="rId3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32E96-9443-4265-9452-C9ABCC3982C9}">
  <dimension ref="A1:AX363"/>
  <sheetViews>
    <sheetView showGridLines="0" zoomScale="55" zoomScaleNormal="55" workbookViewId="0">
      <pane xSplit="1" ySplit="4" topLeftCell="S251" activePane="bottomRight" state="frozen"/>
      <selection pane="topRight" activeCell="AJ297" sqref="AJ297"/>
      <selection pane="bottomLeft" activeCell="AJ297" sqref="AJ297"/>
      <selection pane="bottomRight" activeCell="AI270" sqref="AI270:AI272"/>
    </sheetView>
  </sheetViews>
  <sheetFormatPr defaultColWidth="9.1796875" defaultRowHeight="14.5"/>
  <cols>
    <col min="1" max="1" width="51.54296875" style="4" bestFit="1" customWidth="1"/>
    <col min="2" max="3" width="14.453125" style="9" customWidth="1"/>
    <col min="4" max="4" width="2.453125" style="9" customWidth="1"/>
    <col min="5" max="6" width="14.453125" style="9" customWidth="1"/>
    <col min="7" max="7" width="2.1796875" style="9" customWidth="1"/>
    <col min="8" max="8" width="14.453125" style="9" customWidth="1"/>
    <col min="9" max="9" width="15.1796875" style="9" customWidth="1"/>
    <col min="10" max="10" width="2.453125" style="9" customWidth="1"/>
    <col min="11" max="12" width="14.453125" style="9" customWidth="1"/>
    <col min="13" max="13" width="2.81640625" style="9" customWidth="1"/>
    <col min="14" max="15" width="14.453125" style="9" customWidth="1"/>
    <col min="16" max="16" width="2.81640625" style="9" customWidth="1"/>
    <col min="17" max="17" width="14.453125" style="9" customWidth="1"/>
    <col min="18" max="18" width="17.1796875" style="9" customWidth="1"/>
    <col min="19" max="19" width="2.81640625" style="9" customWidth="1"/>
    <col min="20" max="21" width="14.453125" style="9" customWidth="1"/>
    <col min="22" max="22" width="5.81640625" style="9" customWidth="1"/>
    <col min="23" max="24" width="14.453125" style="9" customWidth="1"/>
    <col min="25" max="25" width="5.1796875" style="9" customWidth="1"/>
    <col min="26" max="27" width="14.453125" style="9" customWidth="1"/>
    <col min="28" max="28" width="6.54296875" style="9" customWidth="1"/>
    <col min="29" max="30" width="14.453125" style="9" customWidth="1"/>
    <col min="31" max="31" width="6.54296875" style="9" customWidth="1"/>
    <col min="32" max="33" width="14.453125" style="9" customWidth="1"/>
    <col min="34" max="34" width="2.81640625" style="9" customWidth="1"/>
    <col min="35" max="36" width="14.453125" style="9" customWidth="1"/>
    <col min="37" max="37" width="3.81640625" style="9" customWidth="1"/>
    <col min="38" max="38" width="14.453125" style="9" customWidth="1"/>
    <col min="39" max="39" width="10.453125" style="6" customWidth="1"/>
    <col min="40" max="40" width="12.1796875" bestFit="1" customWidth="1"/>
    <col min="41" max="42" width="9.1796875" customWidth="1"/>
    <col min="44" max="44" width="14.26953125" bestFit="1" customWidth="1"/>
    <col min="45" max="45" width="14.453125" bestFit="1" customWidth="1"/>
    <col min="46" max="46" width="12.1796875" customWidth="1"/>
    <col min="48" max="49" width="20.1796875" bestFit="1" customWidth="1"/>
    <col min="50" max="50" width="12.453125" bestFit="1" customWidth="1"/>
  </cols>
  <sheetData>
    <row r="1" spans="1:50" s="42" customFormat="1">
      <c r="A1" s="59" t="str">
        <f>'C-TRY'!A1</f>
        <v>EYLÜL</v>
      </c>
      <c r="B1" s="449" t="s">
        <v>41</v>
      </c>
      <c r="C1" s="450"/>
      <c r="D1" s="39"/>
      <c r="E1" s="449" t="s">
        <v>42</v>
      </c>
      <c r="F1" s="450"/>
      <c r="G1" s="39"/>
      <c r="H1" s="449" t="s">
        <v>43</v>
      </c>
      <c r="I1" s="450"/>
      <c r="J1" s="39"/>
      <c r="K1" s="449" t="s">
        <v>44</v>
      </c>
      <c r="L1" s="450"/>
      <c r="M1" s="39"/>
      <c r="N1" s="449" t="s">
        <v>45</v>
      </c>
      <c r="O1" s="450"/>
      <c r="P1" s="39"/>
      <c r="Q1" s="449" t="s">
        <v>46</v>
      </c>
      <c r="R1" s="450"/>
      <c r="S1" s="39"/>
      <c r="T1" s="449" t="s">
        <v>47</v>
      </c>
      <c r="U1" s="450"/>
      <c r="V1" s="39"/>
      <c r="W1" s="449" t="s">
        <v>48</v>
      </c>
      <c r="X1" s="450"/>
      <c r="Y1" s="39"/>
      <c r="Z1" s="449" t="s">
        <v>49</v>
      </c>
      <c r="AA1" s="450"/>
      <c r="AB1" s="39"/>
      <c r="AC1" s="449" t="s">
        <v>50</v>
      </c>
      <c r="AD1" s="450"/>
      <c r="AE1" s="39"/>
      <c r="AF1" s="449" t="s">
        <v>51</v>
      </c>
      <c r="AG1" s="450"/>
      <c r="AH1" s="39"/>
      <c r="AI1" s="449" t="s">
        <v>52</v>
      </c>
      <c r="AJ1" s="450"/>
      <c r="AK1" s="39"/>
      <c r="AL1" s="448"/>
      <c r="AM1" s="448"/>
    </row>
    <row r="2" spans="1:50" s="1" customFormat="1">
      <c r="A2" s="3"/>
      <c r="B2" s="11" t="s">
        <v>53</v>
      </c>
      <c r="C2" s="11" t="s">
        <v>54</v>
      </c>
      <c r="D2" s="8"/>
      <c r="E2" s="11" t="s">
        <v>53</v>
      </c>
      <c r="F2" s="11" t="s">
        <v>54</v>
      </c>
      <c r="G2" s="8"/>
      <c r="H2" s="11" t="s">
        <v>53</v>
      </c>
      <c r="I2" s="11" t="s">
        <v>54</v>
      </c>
      <c r="J2" s="8"/>
      <c r="K2" s="11" t="s">
        <v>53</v>
      </c>
      <c r="L2" s="11" t="s">
        <v>54</v>
      </c>
      <c r="M2" s="8"/>
      <c r="N2" s="11" t="s">
        <v>53</v>
      </c>
      <c r="O2" s="11" t="s">
        <v>54</v>
      </c>
      <c r="P2" s="8"/>
      <c r="Q2" s="11" t="s">
        <v>53</v>
      </c>
      <c r="R2" s="11" t="s">
        <v>54</v>
      </c>
      <c r="S2" s="8"/>
      <c r="T2" s="11" t="s">
        <v>53</v>
      </c>
      <c r="U2" s="11" t="s">
        <v>54</v>
      </c>
      <c r="V2" s="8"/>
      <c r="W2" s="11" t="s">
        <v>53</v>
      </c>
      <c r="X2" s="11" t="s">
        <v>54</v>
      </c>
      <c r="Y2" s="8"/>
      <c r="Z2" s="11" t="s">
        <v>53</v>
      </c>
      <c r="AA2" s="11" t="s">
        <v>54</v>
      </c>
      <c r="AB2" s="8"/>
      <c r="AC2" s="11" t="s">
        <v>53</v>
      </c>
      <c r="AD2" s="11" t="s">
        <v>54</v>
      </c>
      <c r="AE2" s="8"/>
      <c r="AF2" s="11" t="s">
        <v>53</v>
      </c>
      <c r="AG2" s="11" t="s">
        <v>54</v>
      </c>
      <c r="AH2" s="8"/>
      <c r="AI2" s="11" t="s">
        <v>53</v>
      </c>
      <c r="AJ2" s="11" t="s">
        <v>54</v>
      </c>
      <c r="AK2" s="8"/>
      <c r="AL2" s="11" t="s">
        <v>55</v>
      </c>
      <c r="AM2" s="11" t="s">
        <v>56</v>
      </c>
      <c r="AO2" s="43" t="s">
        <v>53</v>
      </c>
      <c r="AP2" s="43" t="s">
        <v>54</v>
      </c>
    </row>
    <row r="3" spans="1:50" ht="15.5">
      <c r="A3" s="2" t="s">
        <v>57</v>
      </c>
      <c r="B3" s="10">
        <f>'C-TRY'!B3</f>
        <v>37.515625</v>
      </c>
      <c r="C3" s="10">
        <f>'C-TRY'!C3</f>
        <v>37.184399999999997</v>
      </c>
      <c r="D3" s="10">
        <f>'C-TRY'!D3</f>
        <v>0</v>
      </c>
      <c r="E3" s="10">
        <f>'C-TRY'!E3</f>
        <v>37.8984375</v>
      </c>
      <c r="F3" s="10">
        <f>'C-TRY'!F3</f>
        <v>37.644199999999998</v>
      </c>
      <c r="G3" s="10">
        <f>'C-TRY'!G3</f>
        <v>0</v>
      </c>
      <c r="H3" s="10">
        <f>'C-TRY'!H3</f>
        <v>38.28125</v>
      </c>
      <c r="I3" s="10">
        <f>'C-TRY'!I3</f>
        <v>38.66343333333333</v>
      </c>
      <c r="J3" s="10"/>
      <c r="K3" s="10">
        <f>'C-TRY'!K3</f>
        <v>38.6640625</v>
      </c>
      <c r="L3" s="10">
        <f>'C-TRY'!L3</f>
        <v>39.919024999999998</v>
      </c>
      <c r="M3" s="10">
        <f>'C-TRY'!M3</f>
        <v>0</v>
      </c>
      <c r="N3" s="10">
        <f>'C-TRY'!N3</f>
        <v>39.046875</v>
      </c>
      <c r="O3" s="10">
        <f>'C-TRY'!O3</f>
        <v>40.789339999999996</v>
      </c>
      <c r="P3" s="10">
        <f>'C-TRY'!P3</f>
        <v>0</v>
      </c>
      <c r="Q3" s="10">
        <f>'C-TRY'!Q3</f>
        <v>39.4296875</v>
      </c>
      <c r="R3" s="10">
        <f>'C-TRY'!R3</f>
        <v>41.749883333333337</v>
      </c>
      <c r="S3" s="10"/>
      <c r="T3" s="10">
        <f>'C-TRY'!T3</f>
        <v>39.8125</v>
      </c>
      <c r="U3" s="10">
        <f>'C-TRY'!U3</f>
        <v>42.466814285714285</v>
      </c>
      <c r="V3" s="10"/>
      <c r="W3" s="10">
        <f>'C-TRY'!W3</f>
        <v>40.1953125</v>
      </c>
      <c r="X3" s="10">
        <f>'C-TRY'!X3</f>
        <v>43.131475000000002</v>
      </c>
      <c r="Y3" s="10">
        <f>'C-TRY'!Y3</f>
        <v>0</v>
      </c>
      <c r="Z3" s="10">
        <f>'C-TRY'!Z3</f>
        <v>40.578125</v>
      </c>
      <c r="AA3" s="10">
        <f>'C-TRY'!AA3</f>
        <v>43.744411111111113</v>
      </c>
      <c r="AB3" s="10"/>
      <c r="AC3" s="10">
        <f>'C-TRY'!AC3</f>
        <v>40.9609375</v>
      </c>
      <c r="AD3" s="10" t="e">
        <f>'C-TRY'!AD3</f>
        <v>#DIV/0!</v>
      </c>
      <c r="AE3" s="10">
        <f>'C-TRY'!AE3</f>
        <v>0</v>
      </c>
      <c r="AF3" s="10">
        <f>'C-TRY'!AF3</f>
        <v>41.34375</v>
      </c>
      <c r="AG3" s="10" t="e">
        <f>'C-TRY'!AG3</f>
        <v>#DIV/0!</v>
      </c>
      <c r="AH3" s="10">
        <f>'C-TRY'!AH3</f>
        <v>0</v>
      </c>
      <c r="AI3" s="10">
        <f>'C-TRY'!AI3</f>
        <v>41.7265625</v>
      </c>
      <c r="AJ3" s="10" t="e">
        <f>'C-TRY'!AJ3</f>
        <v>#DIV/0!</v>
      </c>
      <c r="AK3" s="10"/>
      <c r="AL3" s="25">
        <f>AP3-AO3</f>
        <v>3.1662861111111127</v>
      </c>
      <c r="AM3" s="22">
        <f>AP3/AO3-1</f>
        <v>7.8029384332349405E-2</v>
      </c>
      <c r="AO3" s="44">
        <f>IF($A$1=$B$1,B3,IF($A$1=$E$1,E3,IF($A$1=$H$1,H3,IF($A$1=$K$1,K3,IF($A$1=$N$1,N3,IF($A$1=$Q$1,Q3,IF($A$1=$T$1,T3,IF($A$1=$W$1,W3,IF($A$1=$Z$1,Z3,IF($A$1=$AC$1,AC3,IF($A$1=$AF$1,AF3,IF($A$1=$AI$1,AI3))))))))))))</f>
        <v>40.578125</v>
      </c>
      <c r="AP3" s="44">
        <f>IF($A$1=$B$1,C3,IF($A$1=$E$1,F3,IF($A$1=$H$1,I3,IF($A$1=$K$1,L3,IF($A$1=$N$1,O3,IF($A$1=$Q$1,R3,IF($A$1=$T$1,U3,IF($A$1=$W$1,X3,IF($A$1=$Z$1,AA3,IF($A$1=$AC$1,AD3,IF($A$1=$AF$1,AG3,IF($A$1=$AI$1,AJ3))))))))))))</f>
        <v>43.744411111111113</v>
      </c>
    </row>
    <row r="4" spans="1:50" ht="15.5">
      <c r="A4" s="2" t="s">
        <v>58</v>
      </c>
      <c r="B4" s="10">
        <f>'C-TRY'!B4</f>
        <v>37.1328125</v>
      </c>
      <c r="C4" s="10">
        <f>'C-TRY'!C4</f>
        <v>36.689261290322584</v>
      </c>
      <c r="D4" s="10">
        <f>'C-TRY'!D4</f>
        <v>0</v>
      </c>
      <c r="E4" s="10">
        <f>'C-TRY'!E4</f>
        <v>37.515625</v>
      </c>
      <c r="F4" s="10">
        <f>'C-TRY'!F4</f>
        <v>37.133484216589864</v>
      </c>
      <c r="G4" s="10">
        <f>'C-TRY'!G4</f>
        <v>0</v>
      </c>
      <c r="H4" s="10">
        <f>'C-TRY'!H4</f>
        <v>37.8984375</v>
      </c>
      <c r="I4" s="10">
        <f>'C-TRY'!I4</f>
        <v>38.03894646697389</v>
      </c>
      <c r="J4" s="10"/>
      <c r="K4" s="10">
        <f>'C-TRY'!K4</f>
        <v>38.28125</v>
      </c>
      <c r="L4" s="10">
        <f>'C-TRY'!L4</f>
        <v>39.197504016897078</v>
      </c>
      <c r="M4" s="10">
        <f>'C-TRY'!M4</f>
        <v>0</v>
      </c>
      <c r="N4" s="10">
        <f>'C-TRY'!N4</f>
        <v>38.6640625</v>
      </c>
      <c r="O4" s="10">
        <f>'C-TRY'!O4</f>
        <v>40.083874826420882</v>
      </c>
      <c r="P4" s="10">
        <f>'C-TRY'!P4</f>
        <v>0</v>
      </c>
      <c r="Q4" s="10">
        <f>'C-TRY'!Q4</f>
        <v>39.046875</v>
      </c>
      <c r="R4" s="10">
        <f>'C-TRY'!R4</f>
        <v>40.941097355350735</v>
      </c>
      <c r="S4" s="10"/>
      <c r="T4" s="10">
        <f>'C-TRY'!T4</f>
        <v>39.4296875</v>
      </c>
      <c r="U4" s="10">
        <f>'C-TRY'!U4</f>
        <v>41.79439865481676</v>
      </c>
      <c r="V4" s="10"/>
      <c r="W4" s="10">
        <f>'C-TRY'!W4</f>
        <v>39.8125</v>
      </c>
      <c r="X4" s="10">
        <f>'C-TRY'!X4</f>
        <v>42.482912129416285</v>
      </c>
      <c r="Y4" s="10">
        <f>'C-TRY'!Y4</f>
        <v>0</v>
      </c>
      <c r="Z4" s="10">
        <f>'C-TRY'!Z4</f>
        <v>40.1953125</v>
      </c>
      <c r="AA4" s="10">
        <f>'C-TRY'!AA4</f>
        <v>43.13347189281447</v>
      </c>
      <c r="AB4" s="10"/>
      <c r="AC4" s="10">
        <f>'C-TRY'!AC4</f>
        <v>40.578125</v>
      </c>
      <c r="AD4" s="10" t="e">
        <f>'C-TRY'!AD4</f>
        <v>#DIV/0!</v>
      </c>
      <c r="AE4" s="10">
        <f>'C-TRY'!AE4</f>
        <v>0</v>
      </c>
      <c r="AF4" s="10">
        <f>'C-TRY'!AF4</f>
        <v>40.9609375</v>
      </c>
      <c r="AG4" s="10" t="e">
        <f>'C-TRY'!AG4</f>
        <v>#DIV/0!</v>
      </c>
      <c r="AH4" s="10">
        <f>'C-TRY'!AH4</f>
        <v>0</v>
      </c>
      <c r="AI4" s="10">
        <f>'C-TRY'!AI4</f>
        <v>41.34375</v>
      </c>
      <c r="AJ4" s="10" t="e">
        <f>'C-TRY'!AJ4</f>
        <v>#DIV/0!</v>
      </c>
      <c r="AK4" s="10"/>
      <c r="AL4" s="25">
        <f>AP4-AO4</f>
        <v>2.9381593928144696</v>
      </c>
      <c r="AM4" s="22">
        <f>AP4/AO4-1</f>
        <v>7.3097065554956764E-2</v>
      </c>
      <c r="AO4" s="44">
        <f>IF($A$1=$B$1,B4,IF($A$1=$E$1,E4,IF($A$1=$H$1,H4,IF($A$1=$K$1,K4,IF($A$1=$N$1,N4,IF($A$1=$Q$1,Q4,IF($A$1=$T$1,T4,IF($A$1=$W$1,W4,IF($A$1=$Z$1,Z4,IF($A$1=$AC$1,AC4,IF($A$1=$AF$1,AF4,IF($A$1=$AI$1,AI4))))))))))))</f>
        <v>40.1953125</v>
      </c>
      <c r="AP4" s="44">
        <f>IF($A$1=$B$1,C4,IF($A$1=$E$1,F4,IF($A$1=$H$1,I4,IF($A$1=$K$1,L4,IF($A$1=$N$1,O4,IF($A$1=$Q$1,R4,IF($A$1=$T$1,U4,IF($A$1=$W$1,X4,IF($A$1=$Z$1,AA4,IF($A$1=$AC$1,AD4,IF($A$1=$AF$1,AG4,IF($A$1=$AI$1,AJ4))))))))))))</f>
        <v>43.13347189281447</v>
      </c>
    </row>
    <row r="5" spans="1:50" ht="15.5">
      <c r="A5" s="2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5"/>
      <c r="AL5" s="25"/>
      <c r="AM5" s="22"/>
      <c r="AO5" s="44"/>
      <c r="AP5" s="44"/>
    </row>
    <row r="6" spans="1:50" s="44" customFormat="1" ht="15.5">
      <c r="A6" s="31" t="s">
        <v>59</v>
      </c>
      <c r="B6" s="32">
        <f>'A -Döviz'!B6</f>
        <v>27601026.295465603</v>
      </c>
      <c r="C6" s="32">
        <f>'A -Döviz'!C6</f>
        <v>30208400.538231172</v>
      </c>
      <c r="D6" s="18"/>
      <c r="E6" s="32">
        <f>B6+'A -Döviz'!E6</f>
        <v>55701089.593492135</v>
      </c>
      <c r="F6" s="32">
        <f>C6+'A -Döviz'!F6</f>
        <v>57299907.757089689</v>
      </c>
      <c r="G6" s="18"/>
      <c r="H6" s="32">
        <f>E6+'A -Döviz'!H6</f>
        <v>86804415.994092643</v>
      </c>
      <c r="I6" s="32">
        <f>F6+'A -Döviz'!I6</f>
        <v>85322096.994066</v>
      </c>
      <c r="J6" s="18"/>
      <c r="K6" s="32">
        <f>H6+'A -Döviz'!K6</f>
        <v>115706273.61902952</v>
      </c>
      <c r="L6" s="32">
        <f>I6+'A -Döviz'!L6</f>
        <v>111924661.27637725</v>
      </c>
      <c r="M6" s="18"/>
      <c r="N6" s="32">
        <f>K6+'A -Döviz'!N6</f>
        <v>145704650.48944283</v>
      </c>
      <c r="O6" s="32">
        <f>L6+'A -Döviz'!O6</f>
        <v>140224114.16415</v>
      </c>
      <c r="P6" s="18"/>
      <c r="Q6" s="32">
        <f>N6+'A -Döviz'!Q6</f>
        <v>174824697.69187969</v>
      </c>
      <c r="R6" s="32">
        <f>O6+'A -Döviz'!R6</f>
        <v>163942615.73248672</v>
      </c>
      <c r="S6" s="18"/>
      <c r="T6" s="32">
        <f>Q6+'A -Döviz'!T6</f>
        <v>204677426.76127976</v>
      </c>
      <c r="U6" s="32">
        <f>R6+'A -Döviz'!U6</f>
        <v>191143348.86872265</v>
      </c>
      <c r="V6" s="18"/>
      <c r="W6" s="32">
        <f>T6+'A -Döviz'!W6</f>
        <v>231006963.60985395</v>
      </c>
      <c r="X6" s="32">
        <f>U6+'A -Döviz'!X6</f>
        <v>213065973.17029482</v>
      </c>
      <c r="Y6" s="18"/>
      <c r="Z6" s="32">
        <f>W6+'A -Döviz'!Z6</f>
        <v>263881025.02633002</v>
      </c>
      <c r="AA6" s="32">
        <f>X6+'A -Döviz'!AA6</f>
        <v>239220314.05838624</v>
      </c>
      <c r="AB6" s="18"/>
      <c r="AC6" s="32">
        <f>Z6+'A -Döviz'!AC6</f>
        <v>296909287.85030943</v>
      </c>
      <c r="AD6" s="32">
        <f>AA6+'A -Döviz'!AD6</f>
        <v>239220314.05838624</v>
      </c>
      <c r="AE6" s="18"/>
      <c r="AF6" s="32">
        <f>AC6+'A -Döviz'!AF6</f>
        <v>328601126.93520856</v>
      </c>
      <c r="AG6" s="32">
        <f>AD6+'A -Döviz'!AG6</f>
        <v>239220314.05838624</v>
      </c>
      <c r="AH6" s="18"/>
      <c r="AI6" s="32">
        <f>AF6+'A -Döviz'!AI6</f>
        <v>357330874.1914534</v>
      </c>
      <c r="AJ6" s="32">
        <f>AG6+'A -Döviz'!AJ6</f>
        <v>239220314.05838624</v>
      </c>
      <c r="AK6" s="18"/>
      <c r="AL6" s="33">
        <f>AP6-AO6</f>
        <v>-24660710.967943788</v>
      </c>
      <c r="AM6" s="113">
        <f>AP6/AO6-1</f>
        <v>-9.3453900163845249E-2</v>
      </c>
      <c r="AO6" s="44">
        <f>IF($A$1=$B$1,B6,IF($A$1=$E$1,E6,IF($A$1=$H$1,H6,IF($A$1=$K$1,K6,IF($A$1=$N$1,N6,IF($A$1=$Q$1,Q6,IF($A$1=$T$1,T6,IF($A$1=$W$1,W6,IF($A$1=$Z$1,Z6,IF($A$1=$AC$1,AC6,IF($A$1=$AF$1,AF6,IF($A$1=$AI$1,AI6))))))))))))</f>
        <v>263881025.02633002</v>
      </c>
      <c r="AP6" s="44">
        <f>IF($A$1=$B$1,C6,IF($A$1=$E$1,F6,IF($A$1=$H$1,I6,IF($A$1=$K$1,L6,IF($A$1=$N$1,O6,IF($A$1=$Q$1,R6,IF($A$1=$T$1,U6,IF($A$1=$W$1,X6,IF($A$1=$Z$1,AA6,IF($A$1=$AC$1,AD6,IF($A$1=$AF$1,AG6,IF($A$1=$AI$1,AJ6))))))))))))</f>
        <v>239220314.05838624</v>
      </c>
    </row>
    <row r="7" spans="1:50" s="46" customFormat="1" ht="15.5">
      <c r="A7" s="17"/>
      <c r="B7" s="28"/>
      <c r="C7" s="28"/>
      <c r="D7" s="40"/>
      <c r="E7" s="28"/>
      <c r="F7" s="28"/>
      <c r="G7" s="40"/>
      <c r="H7" s="28"/>
      <c r="I7" s="28"/>
      <c r="J7" s="40"/>
      <c r="K7" s="28"/>
      <c r="L7" s="28"/>
      <c r="M7" s="40"/>
      <c r="N7" s="28"/>
      <c r="O7" s="28"/>
      <c r="P7" s="40"/>
      <c r="Q7" s="28"/>
      <c r="R7" s="28"/>
      <c r="S7" s="40"/>
      <c r="T7" s="28"/>
      <c r="U7" s="28"/>
      <c r="V7" s="40"/>
      <c r="W7" s="28"/>
      <c r="X7" s="28"/>
      <c r="Y7" s="40"/>
      <c r="Z7" s="28"/>
      <c r="AA7" s="28"/>
      <c r="AB7" s="40"/>
      <c r="AC7" s="28"/>
      <c r="AD7" s="28"/>
      <c r="AE7" s="40"/>
      <c r="AF7" s="28"/>
      <c r="AG7" s="28"/>
      <c r="AH7" s="40"/>
      <c r="AI7" s="28"/>
      <c r="AJ7" s="28"/>
      <c r="AK7" s="40"/>
      <c r="AL7" s="21"/>
      <c r="AM7" s="22"/>
      <c r="AO7" s="44"/>
      <c r="AP7" s="44"/>
    </row>
    <row r="8" spans="1:50" s="51" customFormat="1" ht="17">
      <c r="A8" s="47" t="s">
        <v>60</v>
      </c>
      <c r="B8" s="411"/>
      <c r="C8" s="412"/>
      <c r="D8" s="411"/>
      <c r="E8" s="411"/>
      <c r="F8" s="412"/>
      <c r="G8" s="411"/>
      <c r="H8" s="411"/>
      <c r="I8" s="412"/>
      <c r="J8" s="411"/>
      <c r="K8" s="411"/>
      <c r="L8" s="412"/>
      <c r="M8" s="411"/>
      <c r="N8" s="411"/>
      <c r="O8" s="412"/>
      <c r="P8" s="411"/>
      <c r="Q8" s="411"/>
      <c r="R8" s="412"/>
      <c r="S8" s="411"/>
      <c r="T8" s="411"/>
      <c r="U8" s="412"/>
      <c r="V8" s="411"/>
      <c r="W8" s="411"/>
      <c r="X8" s="412"/>
      <c r="Y8" s="411"/>
      <c r="Z8" s="411"/>
      <c r="AA8" s="412"/>
      <c r="AB8" s="411"/>
      <c r="AC8" s="411"/>
      <c r="AD8" s="412"/>
      <c r="AE8" s="411"/>
      <c r="AF8" s="411"/>
      <c r="AG8" s="412"/>
      <c r="AH8" s="411"/>
      <c r="AI8" s="411"/>
      <c r="AJ8" s="412"/>
      <c r="AK8" s="411"/>
      <c r="AL8" s="411"/>
      <c r="AM8" s="50"/>
      <c r="AR8" s="110">
        <f>SUM(AR9:AR16)</f>
        <v>231006963.60985392</v>
      </c>
      <c r="AS8" s="110">
        <f>SUM(AS9:AS16)</f>
        <v>239220314.05838621</v>
      </c>
      <c r="AT8" s="49"/>
    </row>
    <row r="9" spans="1:50" ht="15.5">
      <c r="A9" s="26" t="s">
        <v>10</v>
      </c>
      <c r="B9" s="14">
        <f>'A -Döviz'!B9</f>
        <v>714880.86352755502</v>
      </c>
      <c r="C9" s="14">
        <f>'A -Döviz'!C9</f>
        <v>754597.33410611225</v>
      </c>
      <c r="D9" s="14"/>
      <c r="E9" s="14">
        <f>B9+'A -Döviz'!E9</f>
        <v>1438379.8727754387</v>
      </c>
      <c r="F9" s="14">
        <f>C9+'A -Döviz'!F9</f>
        <v>1479520.1540759308</v>
      </c>
      <c r="G9" s="75">
        <f t="shared" ref="G9:G16" si="0">F9/E9-1</f>
        <v>2.8601819365776882E-2</v>
      </c>
      <c r="H9" s="14">
        <f>E9+'A -Döviz'!H9</f>
        <v>2248671.7904434563</v>
      </c>
      <c r="I9" s="14">
        <f>F9+'A -Döviz'!I9</f>
        <v>2270871.6697565578</v>
      </c>
      <c r="J9" s="14"/>
      <c r="K9" s="14">
        <f>H9+'A -Döviz'!K9</f>
        <v>2991299.7399249133</v>
      </c>
      <c r="L9" s="14">
        <f>I9+'A -Döviz'!L9</f>
        <v>2959888.8772092024</v>
      </c>
      <c r="M9" s="14"/>
      <c r="N9" s="14">
        <f>K9+'A -Döviz'!N9</f>
        <v>3771059.9357440015</v>
      </c>
      <c r="O9" s="14">
        <f>L9+'A -Döviz'!O9</f>
        <v>3738269.729152563</v>
      </c>
      <c r="P9" s="14"/>
      <c r="Q9" s="14">
        <f>N9+'A -Döviz'!Q9</f>
        <v>4533591.4186078543</v>
      </c>
      <c r="R9" s="14">
        <f>O9+'A -Döviz'!R9</f>
        <v>4406637.2174411397</v>
      </c>
      <c r="S9" s="14"/>
      <c r="T9" s="14">
        <f>Q9+'A -Döviz'!T9</f>
        <v>5290258.4612044711</v>
      </c>
      <c r="U9" s="14">
        <f>R9+'A -Döviz'!U9</f>
        <v>5136567.5924826358</v>
      </c>
      <c r="V9" s="14"/>
      <c r="W9" s="14">
        <f>T9+'A -Döviz'!W9</f>
        <v>5961448.7669537142</v>
      </c>
      <c r="X9" s="14">
        <f>U9+'A -Döviz'!X9</f>
        <v>5740355.3245178405</v>
      </c>
      <c r="Y9" s="14"/>
      <c r="Z9" s="14">
        <f>W9+'A -Döviz'!Z9</f>
        <v>6837407.8802813683</v>
      </c>
      <c r="AA9" s="14">
        <f>X9+'A -Döviz'!AA9</f>
        <v>6530311.493118288</v>
      </c>
      <c r="AB9" s="5">
        <f>Z9/AA9-1</f>
        <v>4.702629996849339E-2</v>
      </c>
      <c r="AC9" s="14">
        <f>Z9+'A -Döviz'!AC9</f>
        <v>7689348.9858849337</v>
      </c>
      <c r="AD9" s="14">
        <f>AA9+'A -Döviz'!AD9</f>
        <v>6530311.493118288</v>
      </c>
      <c r="AE9" s="14"/>
      <c r="AF9" s="14">
        <f>AC9+'A -Döviz'!AF9</f>
        <v>8506008.5601986386</v>
      </c>
      <c r="AG9" s="14">
        <f>AD9+'A -Döviz'!AG9</f>
        <v>6530311.493118288</v>
      </c>
      <c r="AH9" s="14"/>
      <c r="AI9" s="14">
        <f>AF9+'A -Döviz'!AI9</f>
        <v>9233250.8846085686</v>
      </c>
      <c r="AJ9" s="14">
        <f>AG9+'A -Döviz'!AJ9</f>
        <v>6530311.493118288</v>
      </c>
      <c r="AK9" s="14"/>
      <c r="AL9" s="21">
        <f t="shared" ref="AL9:AL16" si="1">AP9-AO9</f>
        <v>-307096.38716308028</v>
      </c>
      <c r="AM9" s="22">
        <f t="shared" ref="AM9:AM16" si="2">AP9/AO9-1</f>
        <v>-4.4914153512579769E-2</v>
      </c>
      <c r="AO9" s="44">
        <f t="shared" ref="AO9:AO18" si="3">IF($A$1=$B$1,B9,IF($A$1=$E$1,E9,IF($A$1=$H$1,H9,IF($A$1=$K$1,K9,IF($A$1=$N$1,N9,IF($A$1=$Q$1,Q9,IF($A$1=$T$1,T9,IF($A$1=$W$1,W9,IF($A$1=$Z$1,Z9,IF($A$1=$AC$1,AC9,IF($A$1=$AF$1,AF9,IF($A$1=$AI$1,AI9))))))))))))</f>
        <v>6837407.8802813683</v>
      </c>
      <c r="AP9" s="44">
        <f t="shared" ref="AP9:AP18" si="4">IF($A$1=$B$1,C9,IF($A$1=$E$1,F9,IF($A$1=$H$1,I9,IF($A$1=$K$1,L9,IF($A$1=$N$1,O9,IF($A$1=$Q$1,R9,IF($A$1=$T$1,U9,IF($A$1=$W$1,X9,IF($A$1=$Z$1,AA9,IF($A$1=$AC$1,AD9,IF($A$1=$AF$1,AG9,IF($A$1=$AI$1,AJ9))))))))))))</f>
        <v>6530311.493118288</v>
      </c>
      <c r="AR9" s="94">
        <f>W9</f>
        <v>5961448.7669537142</v>
      </c>
      <c r="AS9" s="94">
        <f>AD9</f>
        <v>6530311.493118288</v>
      </c>
      <c r="AT9" s="94">
        <f>AS9-AR9</f>
        <v>568862.7261645738</v>
      </c>
      <c r="AV9">
        <v>9233250.790750226</v>
      </c>
      <c r="AW9" s="9">
        <f>AV9-AI9</f>
        <v>-9.3858342617750168E-2</v>
      </c>
    </row>
    <row r="10" spans="1:50" ht="15.5">
      <c r="A10" s="26" t="s">
        <v>11</v>
      </c>
      <c r="B10" s="7">
        <f>'A -Döviz'!B10</f>
        <v>834190.48278605426</v>
      </c>
      <c r="C10" s="14">
        <f>'A -Döviz'!C10</f>
        <v>881940.78190761793</v>
      </c>
      <c r="D10" s="7"/>
      <c r="E10" s="7">
        <f>B10+'A -Döviz'!E10</f>
        <v>1801691.7326946785</v>
      </c>
      <c r="F10" s="14">
        <f>C10+'A -Döviz'!F10</f>
        <v>1818497.4538249914</v>
      </c>
      <c r="G10" s="75">
        <f t="shared" si="0"/>
        <v>9.327745043919089E-3</v>
      </c>
      <c r="H10" s="7">
        <f>E10+'A -Döviz'!H10</f>
        <v>2788307.6631104131</v>
      </c>
      <c r="I10" s="14">
        <f>F10+'A -Döviz'!I10</f>
        <v>2514630.0212154323</v>
      </c>
      <c r="J10" s="14"/>
      <c r="K10" s="7">
        <f>H10+'A -Döviz'!K10</f>
        <v>3849123.7429789896</v>
      </c>
      <c r="L10" s="14">
        <f>I10+'A -Döviz'!L10</f>
        <v>2981646.2174942344</v>
      </c>
      <c r="M10" s="7"/>
      <c r="N10" s="7">
        <f>K10+'A -Döviz'!N10</f>
        <v>4845834.3183327746</v>
      </c>
      <c r="O10" s="14">
        <f>L10+'A -Döviz'!O10</f>
        <v>3686718.0633519823</v>
      </c>
      <c r="P10" s="7"/>
      <c r="Q10" s="7">
        <f>N10+'A -Döviz'!Q10</f>
        <v>5862910.315342606</v>
      </c>
      <c r="R10" s="14">
        <f>O10+'A -Döviz'!R10</f>
        <v>4320356.4918899136</v>
      </c>
      <c r="S10" s="7"/>
      <c r="T10" s="7">
        <f>Q10+'A -Döviz'!T10</f>
        <v>6717133.1596559221</v>
      </c>
      <c r="U10" s="14">
        <f>R10+'A -Döviz'!U10</f>
        <v>5014012.648035856</v>
      </c>
      <c r="V10" s="7"/>
      <c r="W10" s="7">
        <f>T10+'A -Döviz'!W10</f>
        <v>7313632.4334238609</v>
      </c>
      <c r="X10" s="14">
        <f>U10+'A -Döviz'!X10</f>
        <v>5514483.8612862853</v>
      </c>
      <c r="Y10" s="7"/>
      <c r="Z10" s="7">
        <f>W10+'A -Döviz'!Z10</f>
        <v>7944236.5331036644</v>
      </c>
      <c r="AA10" s="14">
        <f>X10+'A -Döviz'!AA10</f>
        <v>5967934.8571496392</v>
      </c>
      <c r="AB10" s="5">
        <f t="shared" ref="AB10:AB16" si="5">Z10/AA10-1</f>
        <v>0.33115335928749268</v>
      </c>
      <c r="AC10" s="7">
        <f>Z10+'A -Döviz'!AC10</f>
        <v>8482664.4591795467</v>
      </c>
      <c r="AD10" s="14">
        <f>AA10+'A -Döviz'!AD10</f>
        <v>5967934.8571496392</v>
      </c>
      <c r="AE10" s="7"/>
      <c r="AF10" s="7">
        <f>AC10+'A -Döviz'!AF10</f>
        <v>8967330.3421456702</v>
      </c>
      <c r="AG10" s="14">
        <f>AD10+'A -Döviz'!AG10</f>
        <v>5967934.8571496392</v>
      </c>
      <c r="AH10" s="7"/>
      <c r="AI10" s="7">
        <f>AF10+'A -Döviz'!AI10</f>
        <v>9399688.2440031078</v>
      </c>
      <c r="AJ10" s="14">
        <f>AG10+'A -Döviz'!AJ10</f>
        <v>5967934.8571496392</v>
      </c>
      <c r="AK10" s="7"/>
      <c r="AL10" s="21">
        <f t="shared" si="1"/>
        <v>-1976301.6759540252</v>
      </c>
      <c r="AM10" s="22">
        <f t="shared" si="2"/>
        <v>-0.24877175644491056</v>
      </c>
      <c r="AO10" s="44">
        <f t="shared" si="3"/>
        <v>7944236.5331036644</v>
      </c>
      <c r="AP10" s="44">
        <f t="shared" si="4"/>
        <v>5967934.8571496392</v>
      </c>
      <c r="AQ10" s="9"/>
      <c r="AR10" s="94">
        <f>W10</f>
        <v>7313632.4334238609</v>
      </c>
      <c r="AS10" s="94">
        <f>AD10</f>
        <v>5967934.8571496392</v>
      </c>
      <c r="AT10" s="94">
        <f t="shared" ref="AT10:AT16" si="6">AS10-AR10</f>
        <v>-1345697.5762742218</v>
      </c>
      <c r="AV10">
        <v>9248211.9851355981</v>
      </c>
      <c r="AW10" s="9">
        <f t="shared" ref="AW10:AW16" si="7">AV10-AI10</f>
        <v>-151476.25886750966</v>
      </c>
    </row>
    <row r="11" spans="1:50" ht="15.5">
      <c r="A11" s="26" t="s">
        <v>12</v>
      </c>
      <c r="B11" s="7">
        <f>'A -Döviz'!B11</f>
        <v>994090.61881676037</v>
      </c>
      <c r="C11" s="14">
        <f>'A -Döviz'!C11</f>
        <v>967950.96851315629</v>
      </c>
      <c r="D11" s="7"/>
      <c r="E11" s="7">
        <f>B11+'A -Döviz'!E11</f>
        <v>1981498.7838515111</v>
      </c>
      <c r="F11" s="14">
        <f>C11+'A -Döviz'!F11</f>
        <v>2006822.3741470813</v>
      </c>
      <c r="G11" s="75">
        <f t="shared" si="0"/>
        <v>1.2780018086283151E-2</v>
      </c>
      <c r="H11" s="7">
        <f>E11+'A -Döviz'!H11</f>
        <v>3273885.4873872977</v>
      </c>
      <c r="I11" s="14">
        <f>F11+'A -Döviz'!I11</f>
        <v>3525867.8001410943</v>
      </c>
      <c r="J11" s="14"/>
      <c r="K11" s="7">
        <f>H11+'A -Döviz'!K11</f>
        <v>4614782.9763811268</v>
      </c>
      <c r="L11" s="14">
        <f>I11+'A -Döviz'!L11</f>
        <v>4791120.971044003</v>
      </c>
      <c r="M11" s="7"/>
      <c r="N11" s="7">
        <f>K11+'A -Döviz'!N11</f>
        <v>6065885.2383942232</v>
      </c>
      <c r="O11" s="14">
        <f>L11+'A -Döviz'!O11</f>
        <v>5538642.9167433362</v>
      </c>
      <c r="P11" s="7"/>
      <c r="Q11" s="7">
        <f>N11+'A -Döviz'!Q11</f>
        <v>7519237.2537193988</v>
      </c>
      <c r="R11" s="14">
        <f>O11+'A -Döviz'!R11</f>
        <v>6438258.8780197445</v>
      </c>
      <c r="S11" s="7"/>
      <c r="T11" s="7">
        <f>Q11+'A -Döviz'!T11</f>
        <v>9302663.8575391918</v>
      </c>
      <c r="U11" s="14">
        <f>R11+'A -Döviz'!U11</f>
        <v>7365456.5942992344</v>
      </c>
      <c r="V11" s="7"/>
      <c r="W11" s="7">
        <f>T11+'A -Döviz'!W11</f>
        <v>10739784.964987336</v>
      </c>
      <c r="X11" s="14">
        <f>U11+'A -Döviz'!X11</f>
        <v>8197111.9463944007</v>
      </c>
      <c r="Y11" s="7"/>
      <c r="Z11" s="7">
        <f>W11+'A -Döviz'!Z11</f>
        <v>12154566.214013847</v>
      </c>
      <c r="AA11" s="14">
        <f>X11+'A -Döviz'!AA11</f>
        <v>9087786.7060811482</v>
      </c>
      <c r="AB11" s="5">
        <f t="shared" si="5"/>
        <v>0.33746165123797889</v>
      </c>
      <c r="AC11" s="7">
        <f>Z11+'A -Döviz'!AC11</f>
        <v>13609964.88659779</v>
      </c>
      <c r="AD11" s="14">
        <f>AA11+'A -Döviz'!AD11</f>
        <v>9087786.7060811482</v>
      </c>
      <c r="AE11" s="7"/>
      <c r="AF11" s="7">
        <f>AC11+'A -Döviz'!AF11</f>
        <v>15340039.146829119</v>
      </c>
      <c r="AG11" s="14">
        <f>AD11+'A -Döviz'!AG11</f>
        <v>9087786.7060811482</v>
      </c>
      <c r="AH11" s="7"/>
      <c r="AI11" s="7">
        <f>AF11+'A -Döviz'!AI11</f>
        <v>16822042.470301583</v>
      </c>
      <c r="AJ11" s="14">
        <f>AG11+'A -Döviz'!AJ11</f>
        <v>9087786.7060811482</v>
      </c>
      <c r="AK11" s="7"/>
      <c r="AL11" s="21">
        <f t="shared" si="1"/>
        <v>-3066779.5079326984</v>
      </c>
      <c r="AM11" s="22">
        <f t="shared" si="2"/>
        <v>-0.25231501099535703</v>
      </c>
      <c r="AO11" s="44">
        <f t="shared" si="3"/>
        <v>12154566.214013847</v>
      </c>
      <c r="AP11" s="44">
        <f t="shared" si="4"/>
        <v>9087786.7060811482</v>
      </c>
      <c r="AR11" s="94">
        <f>W11</f>
        <v>10739784.964987336</v>
      </c>
      <c r="AS11" s="94">
        <f>AD11</f>
        <v>9087786.7060811482</v>
      </c>
      <c r="AT11" s="94">
        <f t="shared" si="6"/>
        <v>-1651998.2589061875</v>
      </c>
      <c r="AV11">
        <v>16822043.287538182</v>
      </c>
      <c r="AW11" s="9">
        <f t="shared" si="7"/>
        <v>0.81723659858107567</v>
      </c>
    </row>
    <row r="12" spans="1:50" ht="15.5">
      <c r="A12" s="26" t="s">
        <v>13</v>
      </c>
      <c r="B12" s="7">
        <f>'A -Döviz'!B12</f>
        <v>19103567.880199067</v>
      </c>
      <c r="C12" s="14">
        <f>'A -Döviz'!C12</f>
        <v>21339706.384310201</v>
      </c>
      <c r="D12" s="72">
        <f>+(C12/B12)-1</f>
        <v>0.11705344876591872</v>
      </c>
      <c r="E12" s="7">
        <f>B12+'A -Döviz'!E12</f>
        <v>38548082.357215695</v>
      </c>
      <c r="F12" s="14">
        <f>C12+'A -Döviz'!F12</f>
        <v>36469375.427586749</v>
      </c>
      <c r="G12" s="75">
        <f t="shared" si="0"/>
        <v>-5.3925041208692903E-2</v>
      </c>
      <c r="H12" s="7">
        <f>E12+'A -Döviz'!H12</f>
        <v>58898997.405880243</v>
      </c>
      <c r="I12" s="14">
        <f>F12+'A -Döviz'!I12</f>
        <v>49219923.924260654</v>
      </c>
      <c r="J12" s="14"/>
      <c r="K12" s="7">
        <f>H12+'A -Döviz'!K12</f>
        <v>78293468.120084554</v>
      </c>
      <c r="L12" s="14">
        <f>I12+'A -Döviz'!L12</f>
        <v>61654940.856127918</v>
      </c>
      <c r="M12" s="7"/>
      <c r="N12" s="7">
        <f>K12+'A -Döviz'!N12</f>
        <v>96936199.676168978</v>
      </c>
      <c r="O12" s="14">
        <f>L12+'A -Döviz'!O12</f>
        <v>75914417.687866196</v>
      </c>
      <c r="P12" s="7"/>
      <c r="Q12" s="7">
        <f>N12+'A -Döviz'!Q12</f>
        <v>115680266.664534</v>
      </c>
      <c r="R12" s="14">
        <f>O12+'A -Döviz'!R12</f>
        <v>84593658.921064332</v>
      </c>
      <c r="S12" s="7"/>
      <c r="T12" s="7">
        <f>Q12+'A -Döviz'!T12</f>
        <v>137569273.18322185</v>
      </c>
      <c r="U12" s="14">
        <f>R12+'A -Döviz'!U12</f>
        <v>100974478.13809355</v>
      </c>
      <c r="V12" s="7"/>
      <c r="W12" s="7">
        <f>T12+'A -Döviz'!W12</f>
        <v>158663045.34896576</v>
      </c>
      <c r="X12" s="14">
        <f>U12+'A -Döviz'!X12</f>
        <v>115269790.4806177</v>
      </c>
      <c r="Y12" s="7"/>
      <c r="Z12" s="7">
        <f>W12+'A -Döviz'!Z12</f>
        <v>181206031.08493537</v>
      </c>
      <c r="AA12" s="14">
        <f>X12+'A -Döviz'!AA12</f>
        <v>126030100.75392762</v>
      </c>
      <c r="AB12" s="5">
        <f t="shared" si="5"/>
        <v>0.43779962089166413</v>
      </c>
      <c r="AC12" s="7">
        <f>Z12+'A -Döviz'!AC12</f>
        <v>206910955.92943943</v>
      </c>
      <c r="AD12" s="14">
        <f>AA12+'A -Döviz'!AD12</f>
        <v>126030100.75392762</v>
      </c>
      <c r="AE12" s="7"/>
      <c r="AF12" s="7">
        <f>AC12+'A -Döviz'!AF12</f>
        <v>232460104.21576512</v>
      </c>
      <c r="AG12" s="14">
        <f>AD12+'A -Döviz'!AG12</f>
        <v>126030100.75392762</v>
      </c>
      <c r="AH12" s="7"/>
      <c r="AI12" s="7">
        <f>AF12+'A -Döviz'!AI12</f>
        <v>258491989.14222342</v>
      </c>
      <c r="AJ12" s="14">
        <f>AG12+'A -Döviz'!AJ12</f>
        <v>126030100.75392762</v>
      </c>
      <c r="AK12" s="7"/>
      <c r="AL12" s="21">
        <f t="shared" si="1"/>
        <v>-55175930.331007749</v>
      </c>
      <c r="AM12" s="22">
        <f t="shared" si="2"/>
        <v>-0.30449279199291956</v>
      </c>
      <c r="AN12" s="94">
        <f>AL12*0.4</f>
        <v>-22070372.132403102</v>
      </c>
      <c r="AO12" s="44">
        <f t="shared" si="3"/>
        <v>181206031.08493537</v>
      </c>
      <c r="AP12" s="44">
        <f t="shared" si="4"/>
        <v>126030100.75392762</v>
      </c>
      <c r="AR12" s="94">
        <f>W12*0.4</f>
        <v>63465218.139586307</v>
      </c>
      <c r="AS12" s="94">
        <f>AD12*0.4</f>
        <v>50412040.301571049</v>
      </c>
      <c r="AT12" s="94">
        <f t="shared" si="6"/>
        <v>-13053177.838015258</v>
      </c>
      <c r="AV12">
        <v>258491992.40129378</v>
      </c>
      <c r="AW12" s="9">
        <f t="shared" si="7"/>
        <v>3.2590703666210175</v>
      </c>
    </row>
    <row r="13" spans="1:50" s="1" customFormat="1" ht="15.5">
      <c r="A13" s="26" t="s">
        <v>14</v>
      </c>
      <c r="B13" s="7">
        <f>'A -Döviz'!B13</f>
        <v>6610337.0335660111</v>
      </c>
      <c r="C13" s="14">
        <f>'A -Döviz'!C13</f>
        <v>6014583.6999505255</v>
      </c>
      <c r="D13" s="8"/>
      <c r="E13" s="7">
        <f>B13+'A -Döviz'!E13</f>
        <v>13441489.087478578</v>
      </c>
      <c r="F13" s="14">
        <f>C13+'A -Döviz'!F13</f>
        <v>11704515.04001746</v>
      </c>
      <c r="G13" s="75">
        <f t="shared" si="0"/>
        <v>-0.1292248229460824</v>
      </c>
      <c r="H13" s="7">
        <f>E13+'A -Döviz'!H13</f>
        <v>20205629.207124449</v>
      </c>
      <c r="I13" s="14">
        <f>F13+'A -Döviz'!I13</f>
        <v>18129618.603121623</v>
      </c>
      <c r="J13" s="14"/>
      <c r="K13" s="7">
        <f>H13+'A -Döviz'!K13</f>
        <v>26930894.960224651</v>
      </c>
      <c r="L13" s="14">
        <f>I13+'A -Döviz'!L13</f>
        <v>23219246.99044659</v>
      </c>
      <c r="M13" s="8"/>
      <c r="N13" s="7">
        <f>K13+'A -Döviz'!N13</f>
        <v>33830827.248396575</v>
      </c>
      <c r="O13" s="14">
        <f>L13+'A -Döviz'!O13</f>
        <v>28841512.859389085</v>
      </c>
      <c r="P13" s="8"/>
      <c r="Q13" s="7">
        <f>N13+'A -Döviz'!Q13</f>
        <v>39481218.253521532</v>
      </c>
      <c r="R13" s="14">
        <f>O13+'A -Döviz'!R13</f>
        <v>33216110.291775472</v>
      </c>
      <c r="S13" s="8"/>
      <c r="T13" s="7">
        <f>Q13+'A -Döviz'!T13</f>
        <v>46365908.215668529</v>
      </c>
      <c r="U13" s="14">
        <f>R13+'A -Döviz'!U13</f>
        <v>38512458.426668786</v>
      </c>
      <c r="V13" s="8"/>
      <c r="W13" s="7">
        <f>T13+'A -Döviz'!W13</f>
        <v>52419152.293104768</v>
      </c>
      <c r="X13" s="14">
        <f>U13+'A -Döviz'!X13</f>
        <v>43084302.824623004</v>
      </c>
      <c r="Y13" s="8"/>
      <c r="Z13" s="7">
        <f>W13+'A -Döviz'!Z13</f>
        <v>58377378.886815384</v>
      </c>
      <c r="AA13" s="14">
        <f>X13+'A -Döviz'!AA13</f>
        <v>48487948.41116523</v>
      </c>
      <c r="AB13" s="5">
        <f t="shared" si="5"/>
        <v>0.20395646340386175</v>
      </c>
      <c r="AC13" s="7">
        <f>Z13+'A -Döviz'!AC13</f>
        <v>65993755.700491361</v>
      </c>
      <c r="AD13" s="14">
        <f>AA13+'A -Döviz'!AD13</f>
        <v>48487948.41116523</v>
      </c>
      <c r="AE13" s="8"/>
      <c r="AF13" s="7">
        <f>AC13+'A -Döviz'!AF13</f>
        <v>72372260.143705666</v>
      </c>
      <c r="AG13" s="14">
        <f>AD13+'A -Döviz'!AG13</f>
        <v>48487948.41116523</v>
      </c>
      <c r="AH13" s="8"/>
      <c r="AI13" s="7">
        <f>AF13+'A -Döviz'!AI13</f>
        <v>78667168.347311899</v>
      </c>
      <c r="AJ13" s="14">
        <f>AG13+'A -Döviz'!AJ13</f>
        <v>48487948.41116523</v>
      </c>
      <c r="AK13" s="8"/>
      <c r="AL13" s="21">
        <f t="shared" si="1"/>
        <v>-9889430.4756501541</v>
      </c>
      <c r="AM13" s="22">
        <f t="shared" si="2"/>
        <v>-0.16940518166847152</v>
      </c>
      <c r="AN13" s="94">
        <f>AL13*0.4</f>
        <v>-3955772.190260062</v>
      </c>
      <c r="AO13" s="44">
        <f t="shared" si="3"/>
        <v>58377378.886815384</v>
      </c>
      <c r="AP13" s="44">
        <f t="shared" si="4"/>
        <v>48487948.41116523</v>
      </c>
      <c r="AR13" s="94">
        <f>W13*0.4</f>
        <v>20967660.917241909</v>
      </c>
      <c r="AS13" s="94">
        <f>AD13*0.4</f>
        <v>19395179.364466093</v>
      </c>
      <c r="AT13" s="94">
        <f t="shared" si="6"/>
        <v>-1572481.5527758151</v>
      </c>
      <c r="AV13" s="139">
        <v>78339112.123745501</v>
      </c>
      <c r="AW13" s="9">
        <f t="shared" si="7"/>
        <v>-328056.22356639802</v>
      </c>
      <c r="AX13" s="139">
        <v>135771921</v>
      </c>
    </row>
    <row r="14" spans="1:50" ht="15.5">
      <c r="A14" s="26" t="s">
        <v>15</v>
      </c>
      <c r="B14" s="7">
        <f>'A -Döviz'!B14</f>
        <v>10048793.329626</v>
      </c>
      <c r="C14" s="14">
        <f>'A -Döviz'!C14</f>
        <v>11605520.09</v>
      </c>
      <c r="D14" s="7"/>
      <c r="E14" s="7">
        <f>B14+'A -Döviz'!E14</f>
        <v>20876072.879884996</v>
      </c>
      <c r="F14" s="14">
        <f>C14+'A -Döviz'!F14</f>
        <v>23148652.82</v>
      </c>
      <c r="G14" s="75">
        <f t="shared" si="0"/>
        <v>0.10886050998148855</v>
      </c>
      <c r="H14" s="7">
        <f>E14+'A -Döviz'!H14</f>
        <v>33467133.588183001</v>
      </c>
      <c r="I14" s="14">
        <f>F14+'A -Döviz'!I14</f>
        <v>35571771.890000001</v>
      </c>
      <c r="J14" s="14"/>
      <c r="K14" s="7">
        <f>H14+'A -Döviz'!K14</f>
        <v>44399588.785549998</v>
      </c>
      <c r="L14" s="14">
        <f>I14+'A -Döviz'!L14</f>
        <v>47664966.630000003</v>
      </c>
      <c r="M14" s="7"/>
      <c r="N14" s="7">
        <f>K14+'A -Döviz'!N14</f>
        <v>56076553.645023003</v>
      </c>
      <c r="O14" s="14">
        <f>L14+'A -Döviz'!O14</f>
        <v>60323060.950000003</v>
      </c>
      <c r="P14" s="7"/>
      <c r="Q14" s="7">
        <f>N14+'A -Döviz'!Q14</f>
        <v>67914651.398016006</v>
      </c>
      <c r="R14" s="14">
        <f>O14+'A -Döviz'!R14</f>
        <v>72800154.420000002</v>
      </c>
      <c r="S14" s="7"/>
      <c r="T14" s="7">
        <f>Q14+'A -Döviz'!T14</f>
        <v>77326942.506733</v>
      </c>
      <c r="U14" s="14">
        <f>R14+'A -Döviz'!U14</f>
        <v>83570932.219999999</v>
      </c>
      <c r="V14" s="7"/>
      <c r="W14" s="7">
        <f>T14+'A -Döviz'!W14</f>
        <v>86731790.354909003</v>
      </c>
      <c r="X14" s="14">
        <f>U14+'A -Döviz'!X14</f>
        <v>93135529.409999996</v>
      </c>
      <c r="Y14" s="7"/>
      <c r="Z14" s="7">
        <f>W14+'A -Döviz'!Z14</f>
        <v>100587601.190093</v>
      </c>
      <c r="AA14" s="14">
        <f>X14+'A -Döviz'!AA14</f>
        <v>104950207.95</v>
      </c>
      <c r="AB14" s="5">
        <f t="shared" si="5"/>
        <v>-4.1568347934912375E-2</v>
      </c>
      <c r="AC14" s="7">
        <f>Z14+'A -Döviz'!AC14</f>
        <v>112585300.045881</v>
      </c>
      <c r="AD14" s="14">
        <f>AA14+'A -Döviz'!AD14</f>
        <v>104950207.95</v>
      </c>
      <c r="AE14" s="7"/>
      <c r="AF14" s="7">
        <f>AC14+'A -Döviz'!AF14</f>
        <v>124013504.958813</v>
      </c>
      <c r="AG14" s="14">
        <f>AD14+'A -Döviz'!AG14</f>
        <v>104950207.95</v>
      </c>
      <c r="AH14" s="7"/>
      <c r="AI14" s="7">
        <f>AF14+'A -Döviz'!AI14</f>
        <v>133999736.311259</v>
      </c>
      <c r="AJ14" s="14">
        <f>AG14+'A -Döviz'!AJ14</f>
        <v>104950207.95</v>
      </c>
      <c r="AK14" s="7"/>
      <c r="AL14" s="21">
        <f t="shared" si="1"/>
        <v>4362606.7599070072</v>
      </c>
      <c r="AM14" s="22">
        <f t="shared" si="2"/>
        <v>4.3371217807077755E-2</v>
      </c>
      <c r="AN14" s="94">
        <f>AL14*0.4</f>
        <v>1745042.7039628029</v>
      </c>
      <c r="AO14" s="44">
        <f t="shared" si="3"/>
        <v>100587601.190093</v>
      </c>
      <c r="AP14" s="44">
        <f t="shared" si="4"/>
        <v>104950207.95</v>
      </c>
      <c r="AR14" s="94">
        <f>W14*0.4</f>
        <v>34692716.141963601</v>
      </c>
      <c r="AS14" s="94">
        <f>AD14*0.4</f>
        <v>41980083.180000007</v>
      </c>
      <c r="AT14" s="94">
        <f t="shared" si="6"/>
        <v>7287367.038036406</v>
      </c>
      <c r="AV14">
        <v>133999736.31125905</v>
      </c>
      <c r="AW14" s="9">
        <f t="shared" si="7"/>
        <v>0</v>
      </c>
      <c r="AX14">
        <f>AX13/30.77</f>
        <v>4412477.1205719858</v>
      </c>
    </row>
    <row r="15" spans="1:50" ht="15.5">
      <c r="A15" s="26" t="s">
        <v>16</v>
      </c>
      <c r="B15" s="7">
        <f>'A -Döviz'!B15</f>
        <v>7577608.2747520003</v>
      </c>
      <c r="C15" s="14">
        <f>'A -Döviz'!C15</f>
        <v>7830554.3300000001</v>
      </c>
      <c r="D15" s="7"/>
      <c r="E15" s="7">
        <f>B15+'A -Döviz'!E15</f>
        <v>13680675.214672999</v>
      </c>
      <c r="F15" s="14">
        <f>C15+'A -Döviz'!F15</f>
        <v>16563383.42</v>
      </c>
      <c r="G15" s="75">
        <f t="shared" si="0"/>
        <v>0.21071388364188315</v>
      </c>
      <c r="H15" s="7">
        <f>E15+'A -Döviz'!H15</f>
        <v>21663746.757181</v>
      </c>
      <c r="I15" s="14">
        <f>F15+'A -Döviz'!I15</f>
        <v>25512814.670000002</v>
      </c>
      <c r="J15" s="14"/>
      <c r="K15" s="7">
        <f>H15+'A -Döviz'!K15</f>
        <v>29658504.237424001</v>
      </c>
      <c r="L15" s="14">
        <f>I15+'A -Döviz'!L15</f>
        <v>34289255.090000004</v>
      </c>
      <c r="M15" s="7"/>
      <c r="N15" s="7">
        <f>K15+'A -Döviz'!N15</f>
        <v>37534029.413162</v>
      </c>
      <c r="O15" s="14">
        <f>L15+'A -Döviz'!O15</f>
        <v>42382920.399999999</v>
      </c>
      <c r="P15" s="7"/>
      <c r="Q15" s="7">
        <f>N15+'A -Döviz'!Q15</f>
        <v>44473922.891703002</v>
      </c>
      <c r="R15" s="14">
        <f>O15+'A -Döviz'!R15</f>
        <v>49626109.049999997</v>
      </c>
      <c r="S15" s="7"/>
      <c r="T15" s="7">
        <f>Q15+'A -Döviz'!T15</f>
        <v>51021535.034584999</v>
      </c>
      <c r="U15" s="14">
        <f>R15+'A -Döviz'!U15</f>
        <v>57673592.409999996</v>
      </c>
      <c r="V15" s="7"/>
      <c r="W15" s="7">
        <f>T15+'A -Döviz'!W15</f>
        <v>56892291.514845997</v>
      </c>
      <c r="X15" s="14">
        <f>U15+'A -Döviz'!X15</f>
        <v>64146362.5</v>
      </c>
      <c r="Y15" s="7"/>
      <c r="Z15" s="7">
        <f>W15+'A -Döviz'!Z15</f>
        <v>65186160.770842001</v>
      </c>
      <c r="AA15" s="14">
        <f>X15+'A -Döviz'!AA15</f>
        <v>73735728.829999998</v>
      </c>
      <c r="AB15" s="5">
        <f>Z15/AA15-1</f>
        <v>-0.11594878351130555</v>
      </c>
      <c r="AC15" s="7">
        <f>Z15+'A -Döviz'!AC15</f>
        <v>73043535.867410004</v>
      </c>
      <c r="AD15" s="14">
        <f>AA15+'A -Döviz'!AD15</f>
        <v>73735728.829999998</v>
      </c>
      <c r="AE15" s="7"/>
      <c r="AF15" s="7">
        <f>AC15+'A -Döviz'!AF15</f>
        <v>80331597.291982993</v>
      </c>
      <c r="AG15" s="14">
        <f>AD15+'A -Döviz'!AG15</f>
        <v>73735728.829999998</v>
      </c>
      <c r="AH15" s="7"/>
      <c r="AI15" s="7">
        <f>AF15+'A -Döviz'!AI15</f>
        <v>85847861.318379998</v>
      </c>
      <c r="AJ15" s="14">
        <f>AG15+'A -Döviz'!AJ15</f>
        <v>73735728.829999998</v>
      </c>
      <c r="AK15" s="7"/>
      <c r="AL15" s="21">
        <f>AP15-AO15</f>
        <v>8549568.0591579974</v>
      </c>
      <c r="AM15" s="22">
        <f t="shared" si="2"/>
        <v>0.13115618342999968</v>
      </c>
      <c r="AN15" s="94">
        <f>AL15*0.4</f>
        <v>3419827.2236631992</v>
      </c>
      <c r="AO15" s="44">
        <f t="shared" si="3"/>
        <v>65186160.770842001</v>
      </c>
      <c r="AP15" s="44">
        <f t="shared" si="4"/>
        <v>73735728.829999998</v>
      </c>
      <c r="AR15" s="94">
        <f>W15*0.4</f>
        <v>22756916.605938401</v>
      </c>
      <c r="AS15" s="94">
        <f>AD15*0.4</f>
        <v>29494291.532000002</v>
      </c>
      <c r="AT15" s="94">
        <f t="shared" si="6"/>
        <v>6737374.9260616004</v>
      </c>
      <c r="AV15">
        <v>85847861.318379551</v>
      </c>
      <c r="AW15" s="9">
        <f t="shared" si="7"/>
        <v>-4.4703483581542969E-7</v>
      </c>
    </row>
    <row r="16" spans="1:50" ht="15.5">
      <c r="A16" s="26" t="s">
        <v>17</v>
      </c>
      <c r="B16" s="7">
        <f>'A -Döviz'!B16</f>
        <v>19304354.307695001</v>
      </c>
      <c r="C16" s="14">
        <f>'A -Döviz'!C16</f>
        <v>22219414.129999999</v>
      </c>
      <c r="D16" s="7"/>
      <c r="E16" s="7">
        <f>B16+'A -Döviz'!E16</f>
        <v>39652478.471174002</v>
      </c>
      <c r="F16" s="14">
        <f>C16+'A -Döviz'!F16</f>
        <v>42101742.729999997</v>
      </c>
      <c r="G16" s="75">
        <f t="shared" si="0"/>
        <v>6.176825139963249E-2</v>
      </c>
      <c r="H16" s="7">
        <f>E16+'A -Döviz'!H16</f>
        <v>61998370.674510002</v>
      </c>
      <c r="I16" s="14">
        <f>F16+'A -Döviz'!I16</f>
        <v>64092689.670000002</v>
      </c>
      <c r="J16" s="14"/>
      <c r="K16" s="7">
        <f>H16+'A -Döviz'!K16</f>
        <v>81345211.796077996</v>
      </c>
      <c r="L16" s="14">
        <f>I16+'A -Döviz'!L16</f>
        <v>86151603.459999993</v>
      </c>
      <c r="M16" s="7"/>
      <c r="N16" s="7">
        <f>K16+'A -Döviz'!N16</f>
        <v>103177067.509679</v>
      </c>
      <c r="O16" s="14">
        <f>L16+'A -Döviz'!O16</f>
        <v>110689296.73999999</v>
      </c>
      <c r="P16" s="7"/>
      <c r="Q16" s="7">
        <f>N16+'A -Döviz'!Q16</f>
        <v>124722337.55275001</v>
      </c>
      <c r="R16" s="14">
        <f>O16+'A -Döviz'!R16</f>
        <v>131707375.18000001</v>
      </c>
      <c r="S16" s="7"/>
      <c r="T16" s="7">
        <f>Q16+'A -Döviz'!T16</f>
        <v>146134769.266992</v>
      </c>
      <c r="U16" s="14">
        <f>R16+'A -Döviz'!U16</f>
        <v>153336818.88999999</v>
      </c>
      <c r="V16" s="7"/>
      <c r="W16" s="7">
        <f>T16+'A -Döviz'!W16</f>
        <v>162773964.099397</v>
      </c>
      <c r="X16" s="14">
        <f>U16+'A -Döviz'!X16</f>
        <v>168399069.88</v>
      </c>
      <c r="Y16" s="7"/>
      <c r="Z16" s="7">
        <f>W16+'A -Döviz'!Z16</f>
        <v>187004864.06464201</v>
      </c>
      <c r="AA16" s="14">
        <f>X16+'A -Döviz'!AA16</f>
        <v>190881716.56</v>
      </c>
      <c r="AB16" s="5">
        <f t="shared" si="5"/>
        <v>-2.0310234868091026E-2</v>
      </c>
      <c r="AC16" s="7">
        <f>Z16+'A -Döviz'!AC16</f>
        <v>209284726.253396</v>
      </c>
      <c r="AD16" s="14">
        <f>AA16+'A -Döviz'!AD16</f>
        <v>190881716.56</v>
      </c>
      <c r="AE16" s="7"/>
      <c r="AF16" s="7">
        <f>AC16+'A -Döviz'!AF16</f>
        <v>230291905.604821</v>
      </c>
      <c r="AG16" s="14">
        <f>AD16+'A -Döviz'!AG16</f>
        <v>190881716.56</v>
      </c>
      <c r="AH16" s="7"/>
      <c r="AI16" s="7">
        <f>AF16+'A -Döviz'!AI16</f>
        <v>247682976.362176</v>
      </c>
      <c r="AJ16" s="14">
        <f>AG16+'A -Döviz'!AJ16</f>
        <v>190881716.56</v>
      </c>
      <c r="AK16" s="7"/>
      <c r="AL16" s="21">
        <f t="shared" si="1"/>
        <v>3876852.4953579903</v>
      </c>
      <c r="AM16" s="22">
        <f t="shared" si="2"/>
        <v>2.073129228348769E-2</v>
      </c>
      <c r="AN16" s="94">
        <f>AL16*0.4</f>
        <v>1550740.9981431961</v>
      </c>
      <c r="AO16" s="44">
        <f t="shared" si="3"/>
        <v>187004864.06464201</v>
      </c>
      <c r="AP16" s="44">
        <f t="shared" si="4"/>
        <v>190881716.56</v>
      </c>
      <c r="AR16" s="94">
        <f>W16*0.4</f>
        <v>65109585.639758803</v>
      </c>
      <c r="AS16" s="94">
        <f>AD16*0.4</f>
        <v>76352686.623999998</v>
      </c>
      <c r="AT16" s="94">
        <f t="shared" si="6"/>
        <v>11243100.984241195</v>
      </c>
      <c r="AV16">
        <v>247682976.36217603</v>
      </c>
      <c r="AW16" s="9">
        <f t="shared" si="7"/>
        <v>0</v>
      </c>
    </row>
    <row r="17" spans="1:48" ht="15.5">
      <c r="A17" s="26"/>
      <c r="B17" s="7"/>
      <c r="C17" s="7"/>
      <c r="D17" s="7"/>
      <c r="E17" s="7"/>
      <c r="F17" s="7"/>
      <c r="G17" s="7"/>
      <c r="H17" s="7"/>
      <c r="I17" s="7"/>
      <c r="J17" s="7"/>
      <c r="K17" s="7"/>
      <c r="L17" s="7">
        <f>L18-L16</f>
        <v>24537396.540000007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21"/>
      <c r="AM17" s="22"/>
      <c r="AO17" s="44">
        <f t="shared" si="3"/>
        <v>0</v>
      </c>
      <c r="AP17" s="44">
        <f t="shared" si="4"/>
        <v>0</v>
      </c>
    </row>
    <row r="18" spans="1:48" ht="15.5">
      <c r="A18" s="26"/>
      <c r="B18" s="7"/>
      <c r="C18" s="7"/>
      <c r="D18" s="7"/>
      <c r="E18" s="7"/>
      <c r="F18" s="7"/>
      <c r="G18" s="7"/>
      <c r="H18" s="7"/>
      <c r="I18" s="7"/>
      <c r="J18" s="7"/>
      <c r="K18" s="7"/>
      <c r="L18" s="7">
        <v>110689000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21"/>
      <c r="AM18" s="22"/>
      <c r="AO18" s="44">
        <f t="shared" si="3"/>
        <v>0</v>
      </c>
      <c r="AP18" s="44">
        <f t="shared" si="4"/>
        <v>0</v>
      </c>
    </row>
    <row r="19" spans="1:48" s="51" customFormat="1" ht="17">
      <c r="A19" s="47" t="s">
        <v>61</v>
      </c>
      <c r="B19" s="411"/>
      <c r="C19" s="412"/>
      <c r="D19" s="411"/>
      <c r="E19" s="411"/>
      <c r="F19" s="412"/>
      <c r="G19" s="411"/>
      <c r="H19" s="411"/>
      <c r="I19" s="412"/>
      <c r="J19" s="411"/>
      <c r="K19" s="411"/>
      <c r="L19" s="412"/>
      <c r="M19" s="411"/>
      <c r="N19" s="411"/>
      <c r="O19" s="412"/>
      <c r="P19" s="411"/>
      <c r="Q19" s="411"/>
      <c r="R19" s="412"/>
      <c r="S19" s="411"/>
      <c r="T19" s="411"/>
      <c r="U19" s="412"/>
      <c r="V19" s="411"/>
      <c r="W19" s="411"/>
      <c r="X19" s="412"/>
      <c r="Y19" s="411"/>
      <c r="Z19" s="411"/>
      <c r="AA19" s="412"/>
      <c r="AB19" s="411"/>
      <c r="AC19" s="411"/>
      <c r="AD19" s="412"/>
      <c r="AE19" s="411"/>
      <c r="AF19" s="411"/>
      <c r="AG19" s="412"/>
      <c r="AH19" s="411"/>
      <c r="AI19" s="411"/>
      <c r="AJ19" s="412"/>
      <c r="AK19" s="411"/>
      <c r="AL19" s="411"/>
      <c r="AM19" s="50"/>
    </row>
    <row r="20" spans="1:48" ht="15.5">
      <c r="A20" s="26" t="s">
        <v>10</v>
      </c>
      <c r="B20" s="56">
        <f>B9/B6</f>
        <v>2.5900517461736494E-2</v>
      </c>
      <c r="C20" s="56">
        <f>C9/C6</f>
        <v>2.4979718245959709E-2</v>
      </c>
      <c r="D20" s="14"/>
      <c r="E20" s="56">
        <f>E9/E6</f>
        <v>2.5823190951429657E-2</v>
      </c>
      <c r="F20" s="56">
        <f>F9/F6</f>
        <v>2.5820637623851506E-2</v>
      </c>
      <c r="G20" s="56"/>
      <c r="H20" s="56">
        <f>H9/H6</f>
        <v>2.5905039100735227E-2</v>
      </c>
      <c r="I20" s="56">
        <f>I9/I6</f>
        <v>2.6615281969857033E-2</v>
      </c>
      <c r="J20" s="56"/>
      <c r="K20" s="56">
        <f>K9/K6</f>
        <v>2.5852528530768897E-2</v>
      </c>
      <c r="L20" s="56">
        <f>L9/L6</f>
        <v>2.6445368191915314E-2</v>
      </c>
      <c r="M20" s="56"/>
      <c r="N20" s="56">
        <f>N9/N6</f>
        <v>2.5881534481407904E-2</v>
      </c>
      <c r="O20" s="56">
        <f>O9/O6</f>
        <v>2.6659250097144111E-2</v>
      </c>
      <c r="P20" s="56"/>
      <c r="Q20" s="127">
        <f>Q9/Q6</f>
        <v>2.5932213688698011E-2</v>
      </c>
      <c r="R20" s="127">
        <f>R9/R6</f>
        <v>2.6879144252716255E-2</v>
      </c>
      <c r="S20" s="56"/>
      <c r="T20" s="56">
        <f>T9/T6</f>
        <v>2.5846809513462507E-2</v>
      </c>
      <c r="U20" s="56">
        <f>U9/U6</f>
        <v>2.6872855492400278E-2</v>
      </c>
      <c r="V20" s="56"/>
      <c r="W20" s="56">
        <f>W9/W6</f>
        <v>2.5806359573739793E-2</v>
      </c>
      <c r="X20" s="56">
        <f>X9/X6</f>
        <v>2.6941680265059553E-2</v>
      </c>
      <c r="Y20" s="56"/>
      <c r="Z20" s="56">
        <f>Z9/Z6</f>
        <v>2.591094937424596E-2</v>
      </c>
      <c r="AA20" s="56">
        <f>AA9/AA6</f>
        <v>2.7298315023215135E-2</v>
      </c>
      <c r="AB20" s="56"/>
      <c r="AC20" s="56">
        <f>AC9/AC6</f>
        <v>2.5897973894847021E-2</v>
      </c>
      <c r="AD20" s="56">
        <f>AD9/AD6</f>
        <v>2.7298315023215135E-2</v>
      </c>
      <c r="AE20" s="56"/>
      <c r="AF20" s="135">
        <f>AF9/AF6</f>
        <v>2.5885512443406193E-2</v>
      </c>
      <c r="AG20" s="135">
        <f>AG9/AG6</f>
        <v>2.7298315023215135E-2</v>
      </c>
      <c r="AH20" s="56"/>
      <c r="AI20" s="56">
        <f>AI9/AI6</f>
        <v>2.5839499330980027E-2</v>
      </c>
      <c r="AJ20" s="56">
        <f>AJ9/AJ6</f>
        <v>2.7298315023215135E-2</v>
      </c>
      <c r="AK20" s="56"/>
      <c r="AL20" s="56">
        <f t="shared" ref="AL20:AL32" si="8">AP20-AO20</f>
        <v>1.3873656489691751E-3</v>
      </c>
      <c r="AM20" s="56"/>
      <c r="AO20" s="44">
        <f t="shared" ref="AO20:AO33" si="9">IF($A$1=$B$1,B20,IF($A$1=$E$1,E20,IF($A$1=$H$1,H20,IF($A$1=$K$1,K20,IF($A$1=$N$1,N20,IF($A$1=$Q$1,Q20,IF($A$1=$T$1,T20,IF($A$1=$W$1,W20,IF($A$1=$Z$1,Z20,IF($A$1=$AC$1,AC20,IF($A$1=$AF$1,AF20,IF($A$1=$AI$1,AI20))))))))))))</f>
        <v>2.591094937424596E-2</v>
      </c>
      <c r="AP20" s="44">
        <f t="shared" ref="AP20:AP33" si="10">IF($A$1=$B$1,C20,IF($A$1=$E$1,F20,IF($A$1=$H$1,I20,IF($A$1=$K$1,L20,IF($A$1=$N$1,O20,IF($A$1=$Q$1,R20,IF($A$1=$T$1,U20,IF($A$1=$W$1,X20,IF($A$1=$Z$1,AA20,IF($A$1=$AC$1,AD20,IF($A$1=$AF$1,AG20,IF($A$1=$AI$1,AJ20))))))))))))</f>
        <v>2.7298315023215135E-2</v>
      </c>
    </row>
    <row r="21" spans="1:48" ht="15.5">
      <c r="A21" s="26" t="s">
        <v>11</v>
      </c>
      <c r="B21" s="56">
        <f>B10/B6</f>
        <v>3.0223169017562876E-2</v>
      </c>
      <c r="C21" s="56">
        <f>C10/C6</f>
        <v>2.919521610525028E-2</v>
      </c>
      <c r="D21" s="7"/>
      <c r="E21" s="56">
        <f>E10/E6</f>
        <v>3.2345717935564046E-2</v>
      </c>
      <c r="F21" s="56">
        <f>F10/F6</f>
        <v>3.1736481348872497E-2</v>
      </c>
      <c r="G21" s="56"/>
      <c r="H21" s="56">
        <f>H10/H6</f>
        <v>3.2121725964957444E-2</v>
      </c>
      <c r="I21" s="56">
        <f>I10/I6</f>
        <v>2.9472201338304194E-2</v>
      </c>
      <c r="J21" s="56"/>
      <c r="K21" s="56">
        <f>K10/K6</f>
        <v>3.3266335718774256E-2</v>
      </c>
      <c r="L21" s="56">
        <f>L10/L6</f>
        <v>2.6639760920353476E-2</v>
      </c>
      <c r="M21" s="56"/>
      <c r="N21" s="56">
        <f>N10/N6</f>
        <v>3.3257924864133863E-2</v>
      </c>
      <c r="O21" s="56">
        <f>O10/O6</f>
        <v>2.6291612432910179E-2</v>
      </c>
      <c r="P21" s="56"/>
      <c r="Q21" s="127">
        <f>Q10/Q6</f>
        <v>3.3535938530125244E-2</v>
      </c>
      <c r="R21" s="127">
        <f>R10/R6</f>
        <v>2.6352858117987168E-2</v>
      </c>
      <c r="S21" s="56"/>
      <c r="T21" s="56">
        <f>T10/T6</f>
        <v>3.2818143485311042E-2</v>
      </c>
      <c r="U21" s="56">
        <f>U10/U6</f>
        <v>2.6231687776274562E-2</v>
      </c>
      <c r="V21" s="56"/>
      <c r="W21" s="56">
        <f>W10/W6</f>
        <v>3.165979206486521E-2</v>
      </c>
      <c r="X21" s="56">
        <f>X10/X6</f>
        <v>2.5881579208702585E-2</v>
      </c>
      <c r="Y21" s="56"/>
      <c r="Z21" s="56">
        <f>Z10/Z6</f>
        <v>3.0105372420434508E-2</v>
      </c>
      <c r="AA21" s="56">
        <f>AA10/AA6</f>
        <v>2.4947441778264082E-2</v>
      </c>
      <c r="AB21" s="56"/>
      <c r="AC21" s="56">
        <f>AC10/AC6</f>
        <v>2.8569885841551002E-2</v>
      </c>
      <c r="AD21" s="56">
        <f>AD10/AD6</f>
        <v>2.4947441778264082E-2</v>
      </c>
      <c r="AE21" s="56"/>
      <c r="AF21" s="135">
        <f>AF10/AF6</f>
        <v>2.7289408365035187E-2</v>
      </c>
      <c r="AG21" s="135">
        <f>AG10/AG6</f>
        <v>2.4947441778264082E-2</v>
      </c>
      <c r="AH21" s="56"/>
      <c r="AI21" s="56">
        <f>AI10/AI6</f>
        <v>2.630527872877526E-2</v>
      </c>
      <c r="AJ21" s="56">
        <f>AJ10/AJ6</f>
        <v>2.4947441778264082E-2</v>
      </c>
      <c r="AK21" s="56"/>
      <c r="AL21" s="56">
        <f t="shared" si="8"/>
        <v>-5.157930642170426E-3</v>
      </c>
      <c r="AM21" s="56"/>
      <c r="AO21" s="44">
        <f t="shared" si="9"/>
        <v>3.0105372420434508E-2</v>
      </c>
      <c r="AP21" s="44">
        <f t="shared" si="10"/>
        <v>2.4947441778264082E-2</v>
      </c>
    </row>
    <row r="22" spans="1:48" ht="15.5">
      <c r="A22" s="26" t="s">
        <v>12</v>
      </c>
      <c r="B22" s="56">
        <f>B11/B6</f>
        <v>3.6016436786630399E-2</v>
      </c>
      <c r="C22" s="56">
        <f>C11/C6</f>
        <v>3.204244353447764E-2</v>
      </c>
      <c r="D22" s="7"/>
      <c r="E22" s="56">
        <f>E11/E6</f>
        <v>3.5573788561633818E-2</v>
      </c>
      <c r="F22" s="56">
        <f>F11/F6</f>
        <v>3.502313446392552E-2</v>
      </c>
      <c r="G22" s="56"/>
      <c r="H22" s="56">
        <f>H11/H6</f>
        <v>3.7715655936330444E-2</v>
      </c>
      <c r="I22" s="56">
        <f>I11/I6</f>
        <v>4.1324204682713223E-2</v>
      </c>
      <c r="J22" s="56"/>
      <c r="K22" s="56">
        <f>K11/K6</f>
        <v>3.9883602090372401E-2</v>
      </c>
      <c r="L22" s="56">
        <f>L11/L6</f>
        <v>4.2806660448256491E-2</v>
      </c>
      <c r="M22" s="56"/>
      <c r="N22" s="56">
        <f>N11/N6</f>
        <v>4.1631377022065146E-2</v>
      </c>
      <c r="O22" s="56">
        <f>O11/O6</f>
        <v>3.9498505301731886E-2</v>
      </c>
      <c r="P22" s="56"/>
      <c r="Q22" s="127">
        <f>Q11/Q6</f>
        <v>4.3010154474693849E-2</v>
      </c>
      <c r="R22" s="127">
        <f>R11/R6</f>
        <v>3.9271417314247138E-2</v>
      </c>
      <c r="S22" s="56"/>
      <c r="T22" s="56">
        <f>T11/T6</f>
        <v>4.545036550801039E-2</v>
      </c>
      <c r="U22" s="56">
        <f>U11/U6</f>
        <v>3.8533679763860545E-2</v>
      </c>
      <c r="V22" s="56"/>
      <c r="W22" s="56">
        <f>W11/W6</f>
        <v>4.6491174106446778E-2</v>
      </c>
      <c r="X22" s="56">
        <f>X11/X6</f>
        <v>3.8472177534621108E-2</v>
      </c>
      <c r="Y22" s="56"/>
      <c r="Z22" s="56">
        <f>Z11/Z6</f>
        <v>4.606078141769028E-2</v>
      </c>
      <c r="AA22" s="56">
        <f>AA11/AA6</f>
        <v>3.7989193107835745E-2</v>
      </c>
      <c r="AB22" s="56"/>
      <c r="AC22" s="56">
        <f>AC11/AC6</f>
        <v>4.5838798055584662E-2</v>
      </c>
      <c r="AD22" s="56">
        <f>AD11/AD6</f>
        <v>3.7989193107835745E-2</v>
      </c>
      <c r="AE22" s="56"/>
      <c r="AF22" s="135">
        <f>AF11/AF6</f>
        <v>4.6682856172473711E-2</v>
      </c>
      <c r="AG22" s="135">
        <f>AG11/AG6</f>
        <v>3.7989193107835745E-2</v>
      </c>
      <c r="AH22" s="56"/>
      <c r="AI22" s="56">
        <f>AI11/AI6</f>
        <v>4.7076935370797386E-2</v>
      </c>
      <c r="AJ22" s="56">
        <f>AJ11/AJ6</f>
        <v>3.7989193107835745E-2</v>
      </c>
      <c r="AK22" s="56"/>
      <c r="AL22" s="56">
        <f t="shared" si="8"/>
        <v>-8.0715883098545355E-3</v>
      </c>
      <c r="AM22" s="56"/>
      <c r="AO22" s="44">
        <f t="shared" si="9"/>
        <v>4.606078141769028E-2</v>
      </c>
      <c r="AP22" s="44">
        <f t="shared" si="10"/>
        <v>3.7989193107835745E-2</v>
      </c>
    </row>
    <row r="23" spans="1:48" ht="15.5">
      <c r="A23" s="26" t="s">
        <v>13</v>
      </c>
      <c r="B23" s="56">
        <f>B12*0.5/B6</f>
        <v>0.34606625992268758</v>
      </c>
      <c r="C23" s="56">
        <f>C12*0.5/C6</f>
        <v>0.35320814747048718</v>
      </c>
      <c r="D23" s="7"/>
      <c r="E23" s="56">
        <f>E12*0.5/E6</f>
        <v>0.34602628636657295</v>
      </c>
      <c r="F23" s="56">
        <f>F12*0.5/F6</f>
        <v>0.31823240957202426</v>
      </c>
      <c r="G23" s="56"/>
      <c r="H23" s="56">
        <f>H12*0.5/H6</f>
        <v>0.33926267881284133</v>
      </c>
      <c r="I23" s="56">
        <f>I12*0.5/I6</f>
        <v>0.28843597179569913</v>
      </c>
      <c r="J23" s="56"/>
      <c r="K23" s="56">
        <f>K12*0.5/K6</f>
        <v>0.33832853514006905</v>
      </c>
      <c r="L23" s="56">
        <f>L12*0.5/L6</f>
        <v>0.27543054476565465</v>
      </c>
      <c r="M23" s="56"/>
      <c r="N23" s="56">
        <f>N12*0.5/N6</f>
        <v>0.33264621050373605</v>
      </c>
      <c r="O23" s="56">
        <f>O12*0.5/O6</f>
        <v>0.27068959622379501</v>
      </c>
      <c r="P23" s="56"/>
      <c r="Q23" s="127">
        <f>Q12*0.5/Q6</f>
        <v>0.33084646560755115</v>
      </c>
      <c r="R23" s="127">
        <f>R12*0.5/R6</f>
        <v>0.25799777118080142</v>
      </c>
      <c r="S23" s="56"/>
      <c r="T23" s="56">
        <f>T12*0.5/T6</f>
        <v>0.33606361815285135</v>
      </c>
      <c r="U23" s="56">
        <f>U12*0.5/U6</f>
        <v>0.26413285823364657</v>
      </c>
      <c r="V23" s="56"/>
      <c r="W23" s="56">
        <f>W12*0.5/W6</f>
        <v>0.3434161526336727</v>
      </c>
      <c r="X23" s="56">
        <f>X12*0.5/X6</f>
        <v>0.27050257900281272</v>
      </c>
      <c r="Y23" s="56"/>
      <c r="Z23" s="56">
        <f>Z12*0.5/Z6</f>
        <v>0.34334797484369073</v>
      </c>
      <c r="AA23" s="56">
        <f>AA12*0.5/AA6</f>
        <v>0.26341847524530798</v>
      </c>
      <c r="AB23" s="56"/>
      <c r="AC23" s="56">
        <f>AC12*0.4/AC6</f>
        <v>0.27875309314507696</v>
      </c>
      <c r="AD23" s="56">
        <f>AD12*0.4/AD6</f>
        <v>0.21073478019624636</v>
      </c>
      <c r="AE23" s="56"/>
      <c r="AF23" s="135">
        <f>AF12*0.4/AF6</f>
        <v>0.28296933292209936</v>
      </c>
      <c r="AG23" s="135">
        <f>AG12*0.4/AG6</f>
        <v>0.21073478019624636</v>
      </c>
      <c r="AH23" s="56"/>
      <c r="AI23" s="56">
        <f>AI12*0.5/AI6</f>
        <v>0.36169836951134349</v>
      </c>
      <c r="AJ23" s="56">
        <f>AJ12*0.5/AJ6</f>
        <v>0.26341847524530798</v>
      </c>
      <c r="AK23" s="56"/>
      <c r="AL23" s="56">
        <f t="shared" si="8"/>
        <v>-7.9929499598382747E-2</v>
      </c>
      <c r="AM23" s="56"/>
      <c r="AO23" s="44">
        <f t="shared" si="9"/>
        <v>0.34334797484369073</v>
      </c>
      <c r="AP23" s="44">
        <f t="shared" si="10"/>
        <v>0.26341847524530798</v>
      </c>
    </row>
    <row r="24" spans="1:48" s="1" customFormat="1" ht="15.5">
      <c r="A24" s="26" t="s">
        <v>14</v>
      </c>
      <c r="B24" s="56">
        <f>B13*0.4/B6</f>
        <v>9.5798423765887028E-2</v>
      </c>
      <c r="C24" s="56">
        <f>C13*0.4/C6</f>
        <v>7.9641206985965163E-2</v>
      </c>
      <c r="D24" s="8"/>
      <c r="E24" s="56">
        <f>E13*0.4/E6</f>
        <v>9.6525861059989185E-2</v>
      </c>
      <c r="F24" s="56">
        <f>F13*0.4/F6</f>
        <v>8.1707042808069896E-2</v>
      </c>
      <c r="G24" s="57"/>
      <c r="H24" s="56">
        <f>H13*0.4/H6</f>
        <v>9.3108761694794498E-2</v>
      </c>
      <c r="I24" s="56">
        <f>I13*0.4/I6</f>
        <v>8.4993778830271871E-2</v>
      </c>
      <c r="J24" s="57"/>
      <c r="K24" s="56">
        <f>K13*0.4/K6</f>
        <v>9.3100898051202946E-2</v>
      </c>
      <c r="L24" s="56">
        <f>L13*0.4/L6</f>
        <v>8.298170117526095E-2</v>
      </c>
      <c r="M24" s="57"/>
      <c r="N24" s="56">
        <f>N13*0.4/N6</f>
        <v>9.2875078824880261E-2</v>
      </c>
      <c r="O24" s="56">
        <f>O13*0.4/O6</f>
        <v>8.2272619174834541E-2</v>
      </c>
      <c r="P24" s="57"/>
      <c r="Q24" s="127">
        <f>Q13*0.4/Q6</f>
        <v>9.0333273901849545E-2</v>
      </c>
      <c r="R24" s="127">
        <f>R13*0.4/R6</f>
        <v>8.1043260517389443E-2</v>
      </c>
      <c r="S24" s="57"/>
      <c r="T24" s="56">
        <f>T13*0.4/T6</f>
        <v>9.0612646346675457E-2</v>
      </c>
      <c r="U24" s="56">
        <f>U13*0.4/U6</f>
        <v>8.0593876071762591E-2</v>
      </c>
      <c r="V24" s="57"/>
      <c r="W24" s="56">
        <f>W13*0.4/W6</f>
        <v>9.0766358682823275E-2</v>
      </c>
      <c r="X24" s="56">
        <f>X13*0.4/X6</f>
        <v>8.0884436277748592E-2</v>
      </c>
      <c r="Y24" s="57"/>
      <c r="Z24" s="56">
        <f>Z13*0.4/Z6</f>
        <v>8.8490453424592386E-2</v>
      </c>
      <c r="AA24" s="56">
        <f>AA13*0.4/AA6</f>
        <v>8.1076640338045597E-2</v>
      </c>
      <c r="AB24" s="57"/>
      <c r="AC24" s="56">
        <f>AC13*0.4/AC6</f>
        <v>8.8907633948807893E-2</v>
      </c>
      <c r="AD24" s="56">
        <f>AD13*0.4/AD6</f>
        <v>8.1076640338045597E-2</v>
      </c>
      <c r="AE24" s="57"/>
      <c r="AF24" s="135">
        <f>AF13*0.4/AF6</f>
        <v>8.8097397374995084E-2</v>
      </c>
      <c r="AG24" s="135">
        <f>AG13*0.4/AG6</f>
        <v>8.1076640338045597E-2</v>
      </c>
      <c r="AH24" s="57"/>
      <c r="AI24" s="56">
        <f>AI13*0.4/AI6</f>
        <v>8.8060869103813319E-2</v>
      </c>
      <c r="AJ24" s="56">
        <f>AJ13*0.4/AJ6</f>
        <v>8.1076640338045597E-2</v>
      </c>
      <c r="AK24" s="57"/>
      <c r="AL24" s="56">
        <f t="shared" si="8"/>
        <v>-7.4138130865467888E-3</v>
      </c>
      <c r="AM24" s="57"/>
      <c r="AO24" s="44">
        <f t="shared" si="9"/>
        <v>8.8490453424592386E-2</v>
      </c>
      <c r="AP24" s="44">
        <f t="shared" si="10"/>
        <v>8.1076640338045597E-2</v>
      </c>
    </row>
    <row r="25" spans="1:48" ht="15.5">
      <c r="A25" s="26" t="s">
        <v>15</v>
      </c>
      <c r="B25" s="56">
        <f>B14*0.4/B6</f>
        <v>0.14562927076775914</v>
      </c>
      <c r="C25" s="56">
        <f>C14*0.4/C6</f>
        <v>0.15367275172761666</v>
      </c>
      <c r="D25" s="7"/>
      <c r="E25" s="56">
        <f>E14*0.4/E6</f>
        <v>0.1499150054854515</v>
      </c>
      <c r="F25" s="56">
        <f>F14*0.4/F6</f>
        <v>0.16159644038614238</v>
      </c>
      <c r="G25" s="56"/>
      <c r="H25" s="56">
        <f>H14*0.4/H6</f>
        <v>0.15421857611695958</v>
      </c>
      <c r="I25" s="56">
        <f>I14*0.4/I6</f>
        <v>0.16676463961017721</v>
      </c>
      <c r="J25" s="56"/>
      <c r="K25" s="56">
        <f>K14*0.4/K6</f>
        <v>0.15349068774520749</v>
      </c>
      <c r="L25" s="56">
        <f>L14*0.4/L6</f>
        <v>0.1703466102516949</v>
      </c>
      <c r="M25" s="56"/>
      <c r="N25" s="56">
        <f>N14*0.4/N6</f>
        <v>0.15394581698430027</v>
      </c>
      <c r="O25" s="56">
        <f>O14*0.4/O6</f>
        <v>0.17207614056847387</v>
      </c>
      <c r="P25" s="56"/>
      <c r="Q25" s="127">
        <f>Q14*0.4/Q6</f>
        <v>0.15538914648709964</v>
      </c>
      <c r="R25" s="127">
        <f>R14*0.4/R6</f>
        <v>0.17762350343071656</v>
      </c>
      <c r="S25" s="56"/>
      <c r="T25" s="56">
        <f>T14*0.4/T6</f>
        <v>0.1511196300057481</v>
      </c>
      <c r="U25" s="56">
        <f>U14*0.4/U6</f>
        <v>0.17488640376892542</v>
      </c>
      <c r="V25" s="56"/>
      <c r="W25" s="56">
        <f>W14*0.4/W6</f>
        <v>0.15018039110091888</v>
      </c>
      <c r="X25" s="56">
        <f>X14*0.4/X6</f>
        <v>0.1748482463421048</v>
      </c>
      <c r="Y25" s="56"/>
      <c r="Z25" s="56">
        <f>Z14*0.4/Z6</f>
        <v>0.15247417078216427</v>
      </c>
      <c r="AA25" s="56">
        <f>AA14*0.4/AA6</f>
        <v>0.17548711674107231</v>
      </c>
      <c r="AB25" s="56"/>
      <c r="AC25" s="56">
        <f>AC14*0.4/AC6</f>
        <v>0.1516763599563006</v>
      </c>
      <c r="AD25" s="56">
        <f>AD14*0.4/AD6</f>
        <v>0.17548711674107231</v>
      </c>
      <c r="AE25" s="56"/>
      <c r="AF25" s="135">
        <f>AF14*0.4/AF6</f>
        <v>0.15095931790065367</v>
      </c>
      <c r="AG25" s="135">
        <f>AG14*0.4/AG6</f>
        <v>0.17548711674107231</v>
      </c>
      <c r="AH25" s="56"/>
      <c r="AI25" s="56">
        <f>AI14*0.4/AI6</f>
        <v>0.15000073712014445</v>
      </c>
      <c r="AJ25" s="56">
        <f>AJ14*0.4/AJ6</f>
        <v>0.17548711674107231</v>
      </c>
      <c r="AK25" s="56"/>
      <c r="AL25" s="56">
        <f t="shared" si="8"/>
        <v>2.3012945958908043E-2</v>
      </c>
      <c r="AM25" s="56"/>
      <c r="AO25" s="44">
        <f t="shared" si="9"/>
        <v>0.15247417078216427</v>
      </c>
      <c r="AP25" s="44">
        <f t="shared" si="10"/>
        <v>0.17548711674107231</v>
      </c>
    </row>
    <row r="26" spans="1:48" ht="15.5">
      <c r="A26" s="26" t="s">
        <v>16</v>
      </c>
      <c r="B26" s="56">
        <f>B15*0.4/B6</f>
        <v>0.10981632630083582</v>
      </c>
      <c r="C26" s="56">
        <f>C15*0.4/C6</f>
        <v>0.10368710941964374</v>
      </c>
      <c r="D26" s="7"/>
      <c r="E26" s="56">
        <f>E15*0.4/E6</f>
        <v>9.8243501622786139E-2</v>
      </c>
      <c r="F26" s="56">
        <f>F15*0.4/F6</f>
        <v>0.11562589936595925</v>
      </c>
      <c r="G26" s="56"/>
      <c r="H26" s="56">
        <f>H15*0.4/H6</f>
        <v>9.9827855572026655E-2</v>
      </c>
      <c r="I26" s="56">
        <f>I15*0.4/I6</f>
        <v>0.11960706812808115</v>
      </c>
      <c r="J26" s="56"/>
      <c r="K26" s="56">
        <f>K15*0.4/K6</f>
        <v>0.10253032375781652</v>
      </c>
      <c r="L26" s="56">
        <f>L15*0.4/L6</f>
        <v>0.12254405668587742</v>
      </c>
      <c r="M26" s="56"/>
      <c r="N26" s="56">
        <f>N15*0.4/N6</f>
        <v>0.10304140406522322</v>
      </c>
      <c r="O26" s="56">
        <f>O15*0.4/O6</f>
        <v>0.12090051886620713</v>
      </c>
      <c r="P26" s="56"/>
      <c r="Q26" s="127">
        <f>Q15*0.4/Q6</f>
        <v>0.10175661329061458</v>
      </c>
      <c r="R26" s="127">
        <f>R15*0.4/R6</f>
        <v>0.12108165733058054</v>
      </c>
      <c r="S26" s="56"/>
      <c r="T26" s="56">
        <f>T15*0.4/T6</f>
        <v>9.9711112929111917E-2</v>
      </c>
      <c r="U26" s="56">
        <f>U15*0.4/U6</f>
        <v>0.12069181114873165</v>
      </c>
      <c r="V26" s="56"/>
      <c r="W26" s="56">
        <f>W15*0.4/W6</f>
        <v>9.8511820814078999E-2</v>
      </c>
      <c r="X26" s="56">
        <f>X15*0.4/X6</f>
        <v>0.12042535285299726</v>
      </c>
      <c r="Y26" s="56"/>
      <c r="Z26" s="56">
        <f>Z15*0.4/Z6</f>
        <v>9.8811440897408578E-2</v>
      </c>
      <c r="AA26" s="56">
        <f>AA15*0.4/AA6</f>
        <v>0.12329342367137501</v>
      </c>
      <c r="AB26" s="56"/>
      <c r="AC26" s="56">
        <f>AC15*0.4/AC6</f>
        <v>9.8405188192342202E-2</v>
      </c>
      <c r="AD26" s="56">
        <f>AD15*0.4/AD6</f>
        <v>0.12329342367137501</v>
      </c>
      <c r="AE26" s="56"/>
      <c r="AF26" s="135">
        <f>AF15*0.4/AF6</f>
        <v>9.7786149476988563E-2</v>
      </c>
      <c r="AG26" s="135">
        <f>AG15*0.4/AG6</f>
        <v>0.12329342367137501</v>
      </c>
      <c r="AH26" s="56"/>
      <c r="AI26" s="56">
        <f>AI15*0.4/AI6</f>
        <v>9.6099013568453961E-2</v>
      </c>
      <c r="AJ26" s="56">
        <f>AJ15*0.4/AJ6</f>
        <v>0.12329342367137501</v>
      </c>
      <c r="AK26" s="56"/>
      <c r="AL26" s="56">
        <f t="shared" si="8"/>
        <v>2.4481982773966432E-2</v>
      </c>
      <c r="AM26" s="56"/>
      <c r="AO26" s="44">
        <f t="shared" si="9"/>
        <v>9.8811440897408578E-2</v>
      </c>
      <c r="AP26" s="44">
        <f t="shared" si="10"/>
        <v>0.12329342367137501</v>
      </c>
    </row>
    <row r="27" spans="1:48" ht="15.5">
      <c r="A27" s="26" t="s">
        <v>17</v>
      </c>
      <c r="B27" s="56">
        <f>B16*0.4/B6</f>
        <v>0.27976284796143819</v>
      </c>
      <c r="C27" s="56">
        <f>C16*0.4/C6</f>
        <v>0.29421503600469728</v>
      </c>
      <c r="D27" s="7"/>
      <c r="E27" s="56">
        <f>E16*0.4/E6</f>
        <v>0.28475190528988731</v>
      </c>
      <c r="F27" s="56">
        <f>F16*0.4/F6</f>
        <v>0.29390443634555957</v>
      </c>
      <c r="G27" s="56"/>
      <c r="H27" s="56">
        <f>H16*0.4/H6</f>
        <v>0.28569224256392312</v>
      </c>
      <c r="I27" s="56">
        <f>I16*0.4/I6</f>
        <v>0.30047404800403599</v>
      </c>
      <c r="J27" s="56"/>
      <c r="K27" s="56">
        <f>K16*0.4/K6</f>
        <v>0.28121279599380217</v>
      </c>
      <c r="L27" s="56">
        <f>L16*0.4/L6</f>
        <v>0.30789140651411773</v>
      </c>
      <c r="M27" s="56"/>
      <c r="N27" s="56">
        <f>N16*0.4/N6</f>
        <v>0.2832498953550005</v>
      </c>
      <c r="O27" s="56">
        <f>O16*0.4/O6</f>
        <v>0.3157496765796623</v>
      </c>
      <c r="P27" s="56"/>
      <c r="Q27" s="127">
        <f>Q16*0.4/Q6</f>
        <v>0.28536548714087817</v>
      </c>
      <c r="R27" s="127">
        <f>R16*0.4/R6</f>
        <v>0.3213499420917218</v>
      </c>
      <c r="S27" s="56"/>
      <c r="T27" s="56">
        <f>T16*0.4/T6</f>
        <v>0.28559039768939937</v>
      </c>
      <c r="U27" s="56">
        <f>U16*0.4/U6</f>
        <v>0.32088339939112775</v>
      </c>
      <c r="V27" s="56"/>
      <c r="W27" s="56">
        <f>W16*0.4/W6</f>
        <v>0.28185118155018879</v>
      </c>
      <c r="X27" s="56">
        <f>X16*0.4/X6</f>
        <v>0.31614446431651588</v>
      </c>
      <c r="Y27" s="56"/>
      <c r="Z27" s="56">
        <f>Z16*0.4/Z6</f>
        <v>0.28346845180851132</v>
      </c>
      <c r="AA27" s="56">
        <f>AA16*0.4/AA6</f>
        <v>0.31917308914394571</v>
      </c>
      <c r="AB27" s="56"/>
      <c r="AC27" s="56">
        <f>AC16*0.4/AC6</f>
        <v>0.28195106696548955</v>
      </c>
      <c r="AD27" s="56">
        <f>AD16*0.4/AD6</f>
        <v>0.31917308914394571</v>
      </c>
      <c r="AE27" s="56"/>
      <c r="AF27" s="135">
        <f>AF16*0.4/AF6</f>
        <v>0.2803300253443482</v>
      </c>
      <c r="AG27" s="135">
        <f>AG16*0.4/AG6</f>
        <v>0.31917308914394571</v>
      </c>
      <c r="AH27" s="56"/>
      <c r="AI27" s="56">
        <f>AI16*0.4/AI6</f>
        <v>0.27725897116796078</v>
      </c>
      <c r="AJ27" s="56">
        <f>AJ16*0.4/AJ6</f>
        <v>0.31917308914394571</v>
      </c>
      <c r="AK27" s="56"/>
      <c r="AL27" s="56">
        <f t="shared" si="8"/>
        <v>3.5704637335434386E-2</v>
      </c>
      <c r="AM27" s="56"/>
      <c r="AO27" s="44">
        <f t="shared" si="9"/>
        <v>0.28346845180851132</v>
      </c>
      <c r="AP27" s="44">
        <f t="shared" si="10"/>
        <v>0.31917308914394571</v>
      </c>
      <c r="AV27">
        <f>135000000*0.0028/31.87</f>
        <v>11860.684028867274</v>
      </c>
    </row>
    <row r="28" spans="1:48" ht="15.5">
      <c r="A28" s="26"/>
      <c r="B28" s="56"/>
      <c r="C28" s="56"/>
      <c r="D28" s="7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>
        <f t="shared" si="8"/>
        <v>0</v>
      </c>
      <c r="AM28" s="56"/>
      <c r="AO28" s="44">
        <f t="shared" si="9"/>
        <v>0</v>
      </c>
      <c r="AP28" s="44">
        <f t="shared" si="10"/>
        <v>0</v>
      </c>
    </row>
    <row r="29" spans="1:48" ht="15.5">
      <c r="A29" s="26"/>
      <c r="B29" s="56"/>
      <c r="C29" s="56"/>
      <c r="D29" s="7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>
        <f t="shared" si="8"/>
        <v>0</v>
      </c>
      <c r="AM29" s="56"/>
      <c r="AO29" s="44">
        <f t="shared" si="9"/>
        <v>0</v>
      </c>
      <c r="AP29" s="44">
        <f t="shared" si="10"/>
        <v>0</v>
      </c>
    </row>
    <row r="30" spans="1:48" s="45" customFormat="1" ht="15.5">
      <c r="A30" s="35" t="s">
        <v>59</v>
      </c>
      <c r="B30" s="36">
        <f>'A -Döviz'!B30</f>
        <v>27601026.295465603</v>
      </c>
      <c r="C30" s="36">
        <f>'A -Döviz'!C30</f>
        <v>30208400.538231172</v>
      </c>
      <c r="D30" s="72">
        <f>+(C30/B30)-1</f>
        <v>9.4466568556326402E-2</v>
      </c>
      <c r="E30" s="36">
        <f>B30+'A -Döviz'!E30</f>
        <v>55701089.593492135</v>
      </c>
      <c r="F30" s="36">
        <f>C30+'A -Döviz'!F30</f>
        <v>57299907.757089689</v>
      </c>
      <c r="G30" s="19"/>
      <c r="H30" s="36">
        <f>E30+'A -Döviz'!H30</f>
        <v>86804415.994092643</v>
      </c>
      <c r="I30" s="36">
        <f>F30+'A -Döviz'!I30</f>
        <v>85322096.994066</v>
      </c>
      <c r="J30" s="19"/>
      <c r="K30" s="36">
        <f>H30+'A -Döviz'!K30</f>
        <v>115706273.61902952</v>
      </c>
      <c r="L30" s="36">
        <f>I30+'A -Döviz'!L30</f>
        <v>111924661.27637725</v>
      </c>
      <c r="M30" s="19"/>
      <c r="N30" s="36">
        <f>K30+'A -Döviz'!N30</f>
        <v>145704650.48944283</v>
      </c>
      <c r="O30" s="36">
        <f>L30+'A -Döviz'!O30</f>
        <v>140224114.16415</v>
      </c>
      <c r="P30" s="19"/>
      <c r="Q30" s="36">
        <f>N30+'A -Döviz'!Q30</f>
        <v>174824697.69187969</v>
      </c>
      <c r="R30" s="36">
        <f>O30+'A -Döviz'!R30</f>
        <v>163942615.73248672</v>
      </c>
      <c r="S30" s="19"/>
      <c r="T30" s="36">
        <f>Q30+'A -Döviz'!T30</f>
        <v>204677426.76127976</v>
      </c>
      <c r="U30" s="36">
        <f>R30+'A -Döviz'!U30</f>
        <v>191143348.86872265</v>
      </c>
      <c r="V30" s="19"/>
      <c r="W30" s="36">
        <f>T30+'A -Döviz'!W30</f>
        <v>231006963.60985395</v>
      </c>
      <c r="X30" s="36">
        <f>U30+'A -Döviz'!X30</f>
        <v>213065973.17029482</v>
      </c>
      <c r="Y30" s="19"/>
      <c r="Z30" s="36">
        <f>W30+'A -Döviz'!Z30</f>
        <v>263881025.02633002</v>
      </c>
      <c r="AA30" s="36">
        <f>X30+'A -Döviz'!AA30</f>
        <v>239220314.05838624</v>
      </c>
      <c r="AB30" s="19"/>
      <c r="AC30" s="36">
        <f>Z30+'A -Döviz'!AC30</f>
        <v>296909287.85030943</v>
      </c>
      <c r="AD30" s="36">
        <f>AA30+'A -Döviz'!AD30</f>
        <v>239220314.05838624</v>
      </c>
      <c r="AE30" s="19"/>
      <c r="AF30" s="36">
        <f>AC30+'A -Döviz'!AF30</f>
        <v>328601126.93520856</v>
      </c>
      <c r="AG30" s="36">
        <f>AD30+'A -Döviz'!AG30</f>
        <v>239220314.05838624</v>
      </c>
      <c r="AH30" s="19"/>
      <c r="AI30" s="36">
        <f>AF30+'A -Döviz'!AI30</f>
        <v>357330874.1914534</v>
      </c>
      <c r="AJ30" s="36">
        <f>AG30+'A -Döviz'!AJ30</f>
        <v>239220314.05838624</v>
      </c>
      <c r="AK30" s="19"/>
      <c r="AL30" s="37">
        <f t="shared" si="8"/>
        <v>-24660710.967943788</v>
      </c>
      <c r="AM30" s="38">
        <f>AP30/AO30-1</f>
        <v>-9.3453900163845249E-2</v>
      </c>
      <c r="AO30" s="44">
        <f t="shared" si="9"/>
        <v>263881025.02633002</v>
      </c>
      <c r="AP30" s="44">
        <f t="shared" si="10"/>
        <v>239220314.05838624</v>
      </c>
    </row>
    <row r="31" spans="1:48" s="45" customFormat="1" ht="15.5">
      <c r="A31" s="35" t="s">
        <v>62</v>
      </c>
      <c r="B31" s="36">
        <f>'A -Döviz'!B31</f>
        <v>-22308743.055338696</v>
      </c>
      <c r="C31" s="36">
        <f>'A -Döviz'!C31</f>
        <v>-24977661.016322665</v>
      </c>
      <c r="D31" s="72">
        <f>+(C31/B31)-1</f>
        <v>0.1196355148456143</v>
      </c>
      <c r="E31" s="36">
        <f>B31+'A -Döviz'!E31</f>
        <v>-44817462.749326304</v>
      </c>
      <c r="F31" s="36">
        <f>C31+'A -Döviz'!F31</f>
        <v>-46816821.828858212</v>
      </c>
      <c r="G31" s="19"/>
      <c r="H31" s="36">
        <f>E31+'A -Döviz'!H31</f>
        <v>-69512322.485373601</v>
      </c>
      <c r="I31" s="36">
        <f>F31+'A -Döviz'!I31</f>
        <v>-69739950.871445566</v>
      </c>
      <c r="J31" s="19"/>
      <c r="K31" s="36">
        <f>H31+'A -Döviz'!K31</f>
        <v>-92841438.275639564</v>
      </c>
      <c r="L31" s="36">
        <f>I31+'A -Döviz'!L31</f>
        <v>-91611382.073053032</v>
      </c>
      <c r="M31" s="19"/>
      <c r="N31" s="36">
        <f>K31+'A -Döviz'!N31</f>
        <v>-116515807.30902125</v>
      </c>
      <c r="O31" s="36">
        <f>L31+'A -Döviz'!O31</f>
        <v>-114241583.02726905</v>
      </c>
      <c r="P31" s="19"/>
      <c r="Q31" s="36">
        <f>N31+'A -Döviz'!Q31</f>
        <v>-139736320.28279513</v>
      </c>
      <c r="R31" s="36">
        <f>O31+'A -Döviz'!R31</f>
        <v>-133601295.30963701</v>
      </c>
      <c r="S31" s="19"/>
      <c r="T31" s="36">
        <f>Q31+'A -Döviz'!T31</f>
        <v>-163499087.54572335</v>
      </c>
      <c r="U31" s="36">
        <f>R31+'A -Döviz'!U31</f>
        <v>-155826296.98291567</v>
      </c>
      <c r="V31" s="84"/>
      <c r="W31" s="36">
        <f>T31+'A -Döviz'!W31</f>
        <v>-185165264.25788227</v>
      </c>
      <c r="X31" s="36">
        <f>U31+'A -Döviz'!X31</f>
        <v>-173581986.34081838</v>
      </c>
      <c r="Y31" s="19"/>
      <c r="Z31" s="36">
        <f>W31+'A -Döviz'!Z31</f>
        <v>-210165568.07834685</v>
      </c>
      <c r="AA31" s="36">
        <f>X31+'A -Döviz'!AA31</f>
        <v>-193384002.20868164</v>
      </c>
      <c r="AB31" s="19"/>
      <c r="AC31" s="36">
        <f>Z31+'A -Döviz'!AC31</f>
        <v>-235861402.95977825</v>
      </c>
      <c r="AD31" s="36">
        <f>AA31+'A -Döviz'!AD31</f>
        <v>-193384002.20868164</v>
      </c>
      <c r="AE31" s="19"/>
      <c r="AF31" s="36">
        <f>AC31+'A -Döviz'!AF31</f>
        <v>-260381949.94507349</v>
      </c>
      <c r="AG31" s="36">
        <f>AD31+'A -Döviz'!AG31</f>
        <v>-193384002.20868164</v>
      </c>
      <c r="AH31" s="19"/>
      <c r="AI31" s="36">
        <f>AF31+'A -Döviz'!AI31</f>
        <v>-282670922.59908473</v>
      </c>
      <c r="AJ31" s="36">
        <f>AG31+'A -Döviz'!AJ31</f>
        <v>-193384002.20868164</v>
      </c>
      <c r="AK31" s="19"/>
      <c r="AL31" s="37">
        <f t="shared" si="8"/>
        <v>16781565.869665205</v>
      </c>
      <c r="AM31" s="38">
        <f>AP31/AO31-1</f>
        <v>-7.9849263716734398E-2</v>
      </c>
      <c r="AO31" s="44">
        <f t="shared" si="9"/>
        <v>-210165568.07834685</v>
      </c>
      <c r="AP31" s="44">
        <f t="shared" si="10"/>
        <v>-193384002.20868164</v>
      </c>
    </row>
    <row r="32" spans="1:48" s="44" customFormat="1" ht="15.5">
      <c r="A32" s="31" t="s">
        <v>63</v>
      </c>
      <c r="B32" s="32">
        <f>'A -Döviz'!B32</f>
        <v>5292283.2401269088</v>
      </c>
      <c r="C32" s="32">
        <f>'A -Döviz'!C32</f>
        <v>5230739.5219085133</v>
      </c>
      <c r="D32" s="72">
        <f>+(C32/B32)-1</f>
        <v>-1.1628953974300082E-2</v>
      </c>
      <c r="E32" s="32">
        <f>B32+'A -Döviz'!E32</f>
        <v>10883626.844165843</v>
      </c>
      <c r="F32" s="32">
        <f>C32+'A -Döviz'!F32</f>
        <v>10483085.928231476</v>
      </c>
      <c r="G32" s="18"/>
      <c r="H32" s="32">
        <f>E32+'A -Döviz'!H32</f>
        <v>17292093.508719053</v>
      </c>
      <c r="I32" s="32">
        <f>F32+'A -Döviz'!I32</f>
        <v>15582146.122620426</v>
      </c>
      <c r="J32" s="18"/>
      <c r="K32" s="32">
        <f>H32+'A -Döviz'!K32</f>
        <v>22864836.19620749</v>
      </c>
      <c r="L32" s="32">
        <f>I32+'A -Döviz'!L32</f>
        <v>20313279.203324206</v>
      </c>
      <c r="M32" s="18"/>
      <c r="N32" s="32">
        <f>K32+'A -Döviz'!N32</f>
        <v>29188843.174938496</v>
      </c>
      <c r="O32" s="32">
        <f>L32+'A -Döviz'!O32</f>
        <v>25982531.136880931</v>
      </c>
      <c r="P32" s="18"/>
      <c r="Q32" s="32">
        <f>N32+'A -Döviz'!Q32</f>
        <v>35088375.334413856</v>
      </c>
      <c r="R32" s="32">
        <f>O32+'A -Döviz'!R32</f>
        <v>30341320.422849692</v>
      </c>
      <c r="S32" s="18"/>
      <c r="T32" s="32">
        <f>Q32+'A -Döviz'!T32</f>
        <v>41178339.615816385</v>
      </c>
      <c r="U32" s="32">
        <f>R32+'A -Döviz'!U32</f>
        <v>35317051.885806978</v>
      </c>
      <c r="V32" s="18"/>
      <c r="W32" s="32">
        <f>T32+'A -Döviz'!W32</f>
        <v>45841700.464508951</v>
      </c>
      <c r="X32" s="32">
        <f>U32+'A -Döviz'!X32</f>
        <v>39483986.829476438</v>
      </c>
      <c r="Y32" s="18"/>
      <c r="Z32" s="32">
        <f>W32+'A -Döviz'!Z32</f>
        <v>53715457.371832497</v>
      </c>
      <c r="AA32" s="32">
        <f>X32+'A -Döviz'!AA32</f>
        <v>45836311.849704593</v>
      </c>
      <c r="AB32" s="18"/>
      <c r="AC32" s="32">
        <f>Z32+'A -Döviz'!AC32</f>
        <v>61047882.719270743</v>
      </c>
      <c r="AD32" s="32">
        <f>AA32+'A -Döviz'!AD32</f>
        <v>45836311.849704593</v>
      </c>
      <c r="AE32" s="18"/>
      <c r="AF32" s="32">
        <f>AC32+'A -Döviz'!AF32</f>
        <v>68219176.955056161</v>
      </c>
      <c r="AG32" s="32">
        <f>AD32+'A -Döviz'!AG32</f>
        <v>45836311.849704593</v>
      </c>
      <c r="AH32" s="18"/>
      <c r="AI32" s="32">
        <f>AF32+'A -Döviz'!AI32</f>
        <v>74659952.248207495</v>
      </c>
      <c r="AJ32" s="32">
        <f>AG32+'A -Döviz'!AJ32</f>
        <v>45836311.849704593</v>
      </c>
      <c r="AK32" s="18"/>
      <c r="AL32" s="33">
        <f t="shared" si="8"/>
        <v>-7879145.522127904</v>
      </c>
      <c r="AM32" s="113">
        <f>AP32/AO32-1</f>
        <v>-0.14668302026335533</v>
      </c>
      <c r="AO32" s="44">
        <f t="shared" si="9"/>
        <v>53715457.371832497</v>
      </c>
      <c r="AP32" s="44">
        <f t="shared" si="10"/>
        <v>45836311.849704593</v>
      </c>
    </row>
    <row r="33" spans="1:48" s="46" customFormat="1" ht="15.5">
      <c r="A33" s="29" t="s">
        <v>64</v>
      </c>
      <c r="B33" s="28">
        <f>B32/B30</f>
        <v>0.19174226289535995</v>
      </c>
      <c r="C33" s="28">
        <f>C32/C30</f>
        <v>0.17315512998738844</v>
      </c>
      <c r="D33" s="40"/>
      <c r="E33" s="77">
        <f>E32/E30</f>
        <v>0.1953934280926066</v>
      </c>
      <c r="F33" s="77">
        <f>F32/F30</f>
        <v>0.18295118331904137</v>
      </c>
      <c r="G33" s="40"/>
      <c r="H33" s="77">
        <f>H32/H30</f>
        <v>0.1992075323667386</v>
      </c>
      <c r="I33" s="77">
        <f>I32/I30</f>
        <v>0.18262732248252334</v>
      </c>
      <c r="J33" s="40"/>
      <c r="K33" s="77">
        <f>K32/K30</f>
        <v>0.19761103249674655</v>
      </c>
      <c r="L33" s="77">
        <f>L32/L30</f>
        <v>0.18149064711631621</v>
      </c>
      <c r="M33" s="40"/>
      <c r="N33" s="73">
        <f>N32/N30</f>
        <v>0.20032883697870305</v>
      </c>
      <c r="O33" s="73">
        <f>O32/O30</f>
        <v>0.18529288840052932</v>
      </c>
      <c r="P33" s="40"/>
      <c r="Q33" s="77">
        <f>Q32/Q30</f>
        <v>0.20070605468030306</v>
      </c>
      <c r="R33" s="77">
        <f>R32/R30</f>
        <v>0.18507280908802337</v>
      </c>
      <c r="S33" s="40"/>
      <c r="T33" s="73">
        <f>T32/T30</f>
        <v>0.2011865219697318</v>
      </c>
      <c r="U33" s="73">
        <f>U32/U30</f>
        <v>0.18476735965352761</v>
      </c>
      <c r="V33" s="40"/>
      <c r="W33" s="73">
        <f>W32/W30</f>
        <v>0.19844293759875861</v>
      </c>
      <c r="X33" s="73">
        <f>X32/X30</f>
        <v>0.18531343246403084</v>
      </c>
      <c r="Y33" s="40"/>
      <c r="Z33" s="77">
        <f>Z32/Z30</f>
        <v>0.20355937819505124</v>
      </c>
      <c r="AA33" s="77">
        <f>AA32/AA30</f>
        <v>0.19160710506599107</v>
      </c>
      <c r="AB33" s="40"/>
      <c r="AC33" s="28">
        <f>AC32/AC30</f>
        <v>0.20561122611310431</v>
      </c>
      <c r="AD33" s="28">
        <f>AD32/AD30</f>
        <v>0.19160710506599107</v>
      </c>
      <c r="AE33" s="40"/>
      <c r="AF33" s="73">
        <f>AF32/AF30</f>
        <v>0.20760481740072417</v>
      </c>
      <c r="AG33" s="73">
        <f>AG32/AG30</f>
        <v>0.19160710506599107</v>
      </c>
      <c r="AH33" s="40"/>
      <c r="AI33" s="28">
        <f>AI32/AI30</f>
        <v>0.20893787142558981</v>
      </c>
      <c r="AJ33" s="28">
        <f>AJ32/AJ30</f>
        <v>0.19160710506599107</v>
      </c>
      <c r="AK33" s="40"/>
      <c r="AL33" s="15"/>
      <c r="AM33" s="124">
        <f>AP33-AO33</f>
        <v>-1.1952273129060165E-2</v>
      </c>
      <c r="AO33" s="44">
        <f t="shared" si="9"/>
        <v>0.20355937819505124</v>
      </c>
      <c r="AP33" s="44">
        <f t="shared" si="10"/>
        <v>0.19160710506599107</v>
      </c>
    </row>
    <row r="34" spans="1:48" ht="15.5">
      <c r="A34" s="2"/>
      <c r="B34" s="7"/>
      <c r="C34" s="7"/>
      <c r="D34" s="7"/>
      <c r="E34" s="7"/>
      <c r="F34" s="73">
        <f>F32/E32-1</f>
        <v>-3.6802154435226386E-2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5"/>
    </row>
    <row r="35" spans="1:48" s="49" customFormat="1" ht="17">
      <c r="A35" s="47" t="s">
        <v>65</v>
      </c>
      <c r="B35" s="413"/>
      <c r="C35" s="413"/>
      <c r="D35" s="413"/>
      <c r="E35" s="413"/>
      <c r="F35" s="413"/>
      <c r="G35" s="413"/>
      <c r="H35" s="413"/>
      <c r="I35" s="413"/>
      <c r="J35" s="413"/>
      <c r="K35" s="413"/>
      <c r="L35" s="413"/>
      <c r="M35" s="413"/>
      <c r="N35" s="413"/>
      <c r="O35" s="413"/>
      <c r="P35" s="413"/>
      <c r="Q35" s="413"/>
      <c r="R35" s="413"/>
      <c r="S35" s="413"/>
      <c r="T35" s="413"/>
      <c r="U35" s="413"/>
      <c r="V35" s="413"/>
      <c r="W35" s="413"/>
      <c r="X35" s="413"/>
      <c r="Y35" s="413"/>
      <c r="Z35" s="413"/>
      <c r="AA35" s="413"/>
      <c r="AB35" s="413"/>
      <c r="AC35" s="413"/>
      <c r="AD35" s="413"/>
      <c r="AE35" s="413"/>
      <c r="AF35" s="413"/>
      <c r="AG35" s="413"/>
      <c r="AH35" s="413"/>
      <c r="AI35" s="413"/>
      <c r="AJ35" s="413"/>
      <c r="AK35" s="413"/>
      <c r="AL35" s="413"/>
      <c r="AM35" s="48"/>
      <c r="AR35" s="110">
        <f>SUM(AR36:AR43)</f>
        <v>45841700.464508951</v>
      </c>
      <c r="AS35" s="110">
        <f>SUM(AS36:AS43)</f>
        <v>39483986.829476438</v>
      </c>
    </row>
    <row r="36" spans="1:48" ht="15.5">
      <c r="A36" s="26" t="s">
        <v>10</v>
      </c>
      <c r="B36" s="7">
        <f>'A -Döviz'!B36</f>
        <v>714880.86352755502</v>
      </c>
      <c r="C36" s="7">
        <f>'A -Döviz'!C36</f>
        <v>754597.33410611225</v>
      </c>
      <c r="D36" s="72">
        <f t="shared" ref="D36:D43" si="11">+(C36/B36)-1</f>
        <v>5.5556768413939084E-2</v>
      </c>
      <c r="E36" s="7">
        <f>B36+'A -Döviz'!E36</f>
        <v>1438379.8727754387</v>
      </c>
      <c r="F36" s="7">
        <f>C36+'A -Döviz'!F36</f>
        <v>1479520.1540759308</v>
      </c>
      <c r="G36" s="7"/>
      <c r="H36" s="7">
        <f>E36+'A -Döviz'!H36</f>
        <v>2248671.7904434563</v>
      </c>
      <c r="I36" s="7">
        <f>F36+'A -Döviz'!I36</f>
        <v>2270871.6697565578</v>
      </c>
      <c r="J36" s="7"/>
      <c r="K36" s="7">
        <f>H36+'A -Döviz'!K36</f>
        <v>2991299.7399249133</v>
      </c>
      <c r="L36" s="7">
        <f>I36+'A -Döviz'!L36</f>
        <v>2959888.8772092024</v>
      </c>
      <c r="M36" s="7"/>
      <c r="N36" s="7">
        <f>K36+'A -Döviz'!N36</f>
        <v>3771059.9357440015</v>
      </c>
      <c r="O36" s="7">
        <f>L36+'A -Döviz'!O36</f>
        <v>3738269.729152563</v>
      </c>
      <c r="P36" s="7"/>
      <c r="Q36" s="7">
        <f>N36+'A -Döviz'!Q36</f>
        <v>4533591.4186078543</v>
      </c>
      <c r="R36" s="7">
        <f>O36+'A -Döviz'!R36</f>
        <v>4406637.2174411397</v>
      </c>
      <c r="S36" s="7"/>
      <c r="T36" s="7">
        <f>Q36+'A -Döviz'!T36</f>
        <v>5290258.4612044711</v>
      </c>
      <c r="U36" s="7">
        <f>R36+'A -Döviz'!U36</f>
        <v>5136567.5924826358</v>
      </c>
      <c r="V36" s="7"/>
      <c r="W36" s="7">
        <f>T36+'A -Döviz'!W36</f>
        <v>5961448.7669537142</v>
      </c>
      <c r="X36" s="7">
        <f>U36+'A -Döviz'!X36</f>
        <v>5740355.3245178405</v>
      </c>
      <c r="Y36" s="7"/>
      <c r="Z36" s="7">
        <f>W36+'A -Döviz'!Z36</f>
        <v>6837407.8802813683</v>
      </c>
      <c r="AA36" s="7">
        <f>X36+'A -Döviz'!AA36</f>
        <v>6530311.493118288</v>
      </c>
      <c r="AB36" s="5">
        <f>Z36/AA36-1</f>
        <v>4.702629996849339E-2</v>
      </c>
      <c r="AC36" s="7">
        <f>Z36+'A -Döviz'!AC36</f>
        <v>7689348.9858849337</v>
      </c>
      <c r="AD36" s="7">
        <f>AA36+'A -Döviz'!AD36</f>
        <v>6530311.493118288</v>
      </c>
      <c r="AE36" s="7"/>
      <c r="AF36" s="7">
        <f>AC36+'A -Döviz'!AF36</f>
        <v>8506008.5601986386</v>
      </c>
      <c r="AG36" s="7">
        <f>AD36+'A -Döviz'!AG36</f>
        <v>6530311.493118288</v>
      </c>
      <c r="AH36" s="7"/>
      <c r="AI36" s="7">
        <f>AF36+'A -Döviz'!AI36</f>
        <v>9233250.8846085686</v>
      </c>
      <c r="AJ36" s="7">
        <f>AG36+'A -Döviz'!AJ36</f>
        <v>6530311.493118288</v>
      </c>
      <c r="AK36" s="7"/>
      <c r="AL36" s="21">
        <f t="shared" ref="AL36:AL70" si="12">AP36-AO36</f>
        <v>-307096.38716308028</v>
      </c>
      <c r="AM36" s="22">
        <f t="shared" ref="AM36:AM70" si="13">AP36/AO36-1</f>
        <v>-4.4914153512579769E-2</v>
      </c>
      <c r="AO36" s="44">
        <f t="shared" ref="AO36:AO70" si="14">IF($A$1=$B$1,B36,IF($A$1=$E$1,E36,IF($A$1=$H$1,H36,IF($A$1=$K$1,K36,IF($A$1=$N$1,N36,IF($A$1=$Q$1,Q36,IF($A$1=$T$1,T36,IF($A$1=$W$1,W36,IF($A$1=$Z$1,Z36,IF($A$1=$AC$1,AC36,IF($A$1=$AF$1,AF36,IF($A$1=$AI$1,AI36))))))))))))</f>
        <v>6837407.8802813683</v>
      </c>
      <c r="AP36" s="44">
        <f t="shared" ref="AP36:AP70" si="15">IF($A$1=$B$1,C36,IF($A$1=$E$1,F36,IF($A$1=$H$1,I36,IF($A$1=$K$1,L36,IF($A$1=$N$1,O36,IF($A$1=$Q$1,R36,IF($A$1=$T$1,U36,IF($A$1=$W$1,X36,IF($A$1=$Z$1,AA36,IF($A$1=$AC$1,AD36,IF($A$1=$AF$1,AG36,IF($A$1=$AI$1,AJ36))))))))))))</f>
        <v>6530311.493118288</v>
      </c>
      <c r="AR36" s="94">
        <f t="shared" ref="AR36:AS38" si="16">W36</f>
        <v>5961448.7669537142</v>
      </c>
      <c r="AS36" s="94">
        <f t="shared" si="16"/>
        <v>5740355.3245178405</v>
      </c>
      <c r="AT36" s="94">
        <f>AS36-AR36</f>
        <v>-221093.44243587367</v>
      </c>
      <c r="AV36" s="405">
        <f t="shared" ref="AV36:AV38" si="17">F36/SUM($F$36:$F$43)</f>
        <v>6.4175902630340995E-2</v>
      </c>
    </row>
    <row r="37" spans="1:48" ht="15.5">
      <c r="A37" s="26" t="s">
        <v>11</v>
      </c>
      <c r="B37" s="7">
        <f>'A -Döviz'!B37</f>
        <v>142793.68868275476</v>
      </c>
      <c r="C37" s="7">
        <f>'A -Döviz'!C37</f>
        <v>114810.92773067288</v>
      </c>
      <c r="D37" s="72">
        <f t="shared" si="11"/>
        <v>-0.195966370854466</v>
      </c>
      <c r="E37" s="7">
        <f>B37+'A -Döviz'!E37</f>
        <v>390750.6231211744</v>
      </c>
      <c r="F37" s="7">
        <f>C37+'A -Döviz'!F37</f>
        <v>315886.85701869125</v>
      </c>
      <c r="G37" s="7"/>
      <c r="H37" s="7">
        <f>E37+'A -Döviz'!H37</f>
        <v>661746.48220231174</v>
      </c>
      <c r="I37" s="7">
        <f>F37+'A -Döviz'!I37</f>
        <v>499951.71254137473</v>
      </c>
      <c r="J37" s="7"/>
      <c r="K37" s="7">
        <f>H37+'A -Döviz'!K37</f>
        <v>1005017.6001343783</v>
      </c>
      <c r="L37" s="7">
        <f>I37+'A -Döviz'!L37</f>
        <v>618753.88716105977</v>
      </c>
      <c r="M37" s="7"/>
      <c r="N37" s="7">
        <f>K37+'A -Döviz'!N37</f>
        <v>1375606.2258900264</v>
      </c>
      <c r="O37" s="7">
        <f>L37+'A -Döviz'!O37</f>
        <v>795540.75829884724</v>
      </c>
      <c r="P37" s="7"/>
      <c r="Q37" s="7">
        <f>N37+'A -Döviz'!Q37</f>
        <v>1730140.7899970408</v>
      </c>
      <c r="R37" s="7">
        <f>O37+'A -Döviz'!R37</f>
        <v>976988.95197630371</v>
      </c>
      <c r="S37" s="7"/>
      <c r="T37" s="7">
        <f>Q37+'A -Döviz'!T37</f>
        <v>2024375.7892149258</v>
      </c>
      <c r="U37" s="7">
        <f>R37+'A -Döviz'!U37</f>
        <v>1169819.9483866028</v>
      </c>
      <c r="V37" s="7"/>
      <c r="W37" s="7">
        <f>T37+'A -Döviz'!W37</f>
        <v>2190985.0377752027</v>
      </c>
      <c r="X37" s="7">
        <f>U37+'A -Döviz'!X37</f>
        <v>1298181.8421438197</v>
      </c>
      <c r="Y37" s="7"/>
      <c r="Z37" s="7">
        <f>W37+'A -Döviz'!Z37</f>
        <v>2393014.2932166262</v>
      </c>
      <c r="AA37" s="7">
        <f>X37+'A -Döviz'!AA37</f>
        <v>1401884.4551834501</v>
      </c>
      <c r="AB37" s="5">
        <f t="shared" ref="AB37:AB43" si="18">Z37/AA37-1</f>
        <v>0.70699823681508556</v>
      </c>
      <c r="AC37" s="7">
        <f>Z37+'A -Döviz'!AC37</f>
        <v>2539244.5018748399</v>
      </c>
      <c r="AD37" s="7">
        <f>AA37+'A -Döviz'!AD37</f>
        <v>1401884.4551834501</v>
      </c>
      <c r="AE37" s="7"/>
      <c r="AF37" s="7">
        <f>AC37+'A -Döviz'!AF37</f>
        <v>2660101.8227811093</v>
      </c>
      <c r="AG37" s="7">
        <f>AD37+'A -Döviz'!AG37</f>
        <v>1401884.4551834501</v>
      </c>
      <c r="AH37" s="7"/>
      <c r="AI37" s="7">
        <f>AF37+'A -Döviz'!AI37</f>
        <v>2739594.8381665689</v>
      </c>
      <c r="AJ37" s="7">
        <f>AG37+'A -Döviz'!AJ37</f>
        <v>1401884.4551834501</v>
      </c>
      <c r="AK37" s="7"/>
      <c r="AL37" s="21">
        <f t="shared" si="12"/>
        <v>-991129.83803317603</v>
      </c>
      <c r="AM37" s="22">
        <f t="shared" si="13"/>
        <v>-0.41417631346485839</v>
      </c>
      <c r="AO37" s="44">
        <f t="shared" si="14"/>
        <v>2393014.2932166262</v>
      </c>
      <c r="AP37" s="44">
        <f t="shared" si="15"/>
        <v>1401884.4551834501</v>
      </c>
      <c r="AR37" s="94">
        <f t="shared" si="16"/>
        <v>2190985.0377752027</v>
      </c>
      <c r="AS37" s="94">
        <f t="shared" si="16"/>
        <v>1298181.8421438197</v>
      </c>
      <c r="AT37" s="94">
        <f t="shared" ref="AT37:AT43" si="19">AS37-AR37</f>
        <v>-892803.19563138299</v>
      </c>
      <c r="AV37" s="405">
        <f t="shared" si="17"/>
        <v>1.3701958788724671E-2</v>
      </c>
    </row>
    <row r="38" spans="1:48" ht="15.5">
      <c r="A38" s="26" t="s">
        <v>12</v>
      </c>
      <c r="B38" s="7">
        <f>'A -Döviz'!B38</f>
        <v>166073.61759417551</v>
      </c>
      <c r="C38" s="7">
        <f>'A -Döviz'!C38</f>
        <v>155750.77799419372</v>
      </c>
      <c r="D38" s="72">
        <f t="shared" si="11"/>
        <v>-6.215821482980588E-2</v>
      </c>
      <c r="E38" s="7">
        <f>B38+'A -Döviz'!E38</f>
        <v>333784.62645217474</v>
      </c>
      <c r="F38" s="7">
        <f>C38+'A -Döviz'!F38</f>
        <v>306977.13537667657</v>
      </c>
      <c r="G38" s="7"/>
      <c r="H38" s="7">
        <f>E38+'A -Döviz'!H38</f>
        <v>578485.14512981102</v>
      </c>
      <c r="I38" s="7">
        <f>F38+'A -Döviz'!I38</f>
        <v>492864.28833625221</v>
      </c>
      <c r="J38" s="7"/>
      <c r="K38" s="7">
        <f>H38+'A -Döviz'!K38</f>
        <v>839468.89679720881</v>
      </c>
      <c r="L38" s="7">
        <f>I38+'A -Döviz'!L38</f>
        <v>656684.14418168471</v>
      </c>
      <c r="M38" s="7"/>
      <c r="N38" s="7">
        <f>K38+'A -Döviz'!N38</f>
        <v>1126019.8031906181</v>
      </c>
      <c r="O38" s="7">
        <f>L38+'A -Döviz'!O38</f>
        <v>812095.85319590941</v>
      </c>
      <c r="P38" s="7"/>
      <c r="Q38" s="7">
        <f>N38+'A -Döviz'!Q38</f>
        <v>1418084.9829962132</v>
      </c>
      <c r="R38" s="7">
        <f>O38+'A -Döviz'!R38</f>
        <v>954648.06899697252</v>
      </c>
      <c r="S38" s="7"/>
      <c r="T38" s="7">
        <f>Q38+'A -Döviz'!T38</f>
        <v>1742238.6333386328</v>
      </c>
      <c r="U38" s="7">
        <f>R38+'A -Döviz'!U38</f>
        <v>1127133.3881581537</v>
      </c>
      <c r="V38" s="7"/>
      <c r="W38" s="7">
        <f>T38+'A -Döviz'!W38</f>
        <v>2033339.8220337578</v>
      </c>
      <c r="X38" s="7">
        <f>U38+'A -Döviz'!X38</f>
        <v>1257512.9540762659</v>
      </c>
      <c r="Y38" s="7"/>
      <c r="Z38" s="7">
        <f>W38+'A -Döviz'!Z38</f>
        <v>2321460.3070691274</v>
      </c>
      <c r="AA38" s="7">
        <f>X38+'A -Döviz'!AA38</f>
        <v>1427848.7850331021</v>
      </c>
      <c r="AB38" s="5">
        <f t="shared" si="18"/>
        <v>0.62584464923945604</v>
      </c>
      <c r="AC38" s="7">
        <f>Z38+'A -Döviz'!AC38</f>
        <v>2603152.7075287467</v>
      </c>
      <c r="AD38" s="7">
        <f>AA38+'A -Döviz'!AD38</f>
        <v>1427848.7850331021</v>
      </c>
      <c r="AE38" s="7"/>
      <c r="AF38" s="7">
        <f>AC38+'A -Döviz'!AF38</f>
        <v>2898730.3187611448</v>
      </c>
      <c r="AG38" s="7">
        <f>AD38+'A -Döviz'!AG38</f>
        <v>1427848.7850331021</v>
      </c>
      <c r="AH38" s="7"/>
      <c r="AI38" s="7">
        <f>AF38+'A -Döviz'!AI38</f>
        <v>3171439.369007091</v>
      </c>
      <c r="AJ38" s="7">
        <f>AG38+'A -Döviz'!AJ38</f>
        <v>1427848.7850331021</v>
      </c>
      <c r="AK38" s="7"/>
      <c r="AL38" s="21">
        <f t="shared" si="12"/>
        <v>-893611.5220360253</v>
      </c>
      <c r="AM38" s="22">
        <f t="shared" si="13"/>
        <v>-0.38493508560748169</v>
      </c>
      <c r="AO38" s="44">
        <f t="shared" si="14"/>
        <v>2321460.3070691274</v>
      </c>
      <c r="AP38" s="44">
        <f t="shared" si="15"/>
        <v>1427848.7850331021</v>
      </c>
      <c r="AR38" s="94">
        <f t="shared" si="16"/>
        <v>2033339.8220337578</v>
      </c>
      <c r="AS38" s="94">
        <f t="shared" si="16"/>
        <v>1257512.9540762659</v>
      </c>
      <c r="AT38" s="94">
        <f t="shared" si="19"/>
        <v>-775826.86795749189</v>
      </c>
      <c r="AV38" s="405">
        <f t="shared" si="17"/>
        <v>1.3315489279008191E-2</v>
      </c>
    </row>
    <row r="39" spans="1:48" ht="15.5">
      <c r="A39" s="26" t="s">
        <v>13</v>
      </c>
      <c r="B39" s="7">
        <f>'A -Döviz'!B39</f>
        <v>3474138.3306522504</v>
      </c>
      <c r="C39" s="7">
        <f>'A -Döviz'!C39</f>
        <v>3182076.8322878215</v>
      </c>
      <c r="D39" s="72">
        <f t="shared" si="11"/>
        <v>-8.4067319884063463E-2</v>
      </c>
      <c r="E39" s="7">
        <f>B39+'A -Döviz'!E39</f>
        <v>6899014.0744621195</v>
      </c>
      <c r="F39" s="7">
        <f>C39+'A -Döviz'!F39</f>
        <v>6077941.9913865114</v>
      </c>
      <c r="G39" s="7"/>
      <c r="H39" s="7">
        <f>E39+'A -Döviz'!H39</f>
        <v>10579554.201167617</v>
      </c>
      <c r="I39" s="7">
        <f>F39+'A -Döviz'!I39</f>
        <v>7832956.699613682</v>
      </c>
      <c r="J39" s="7"/>
      <c r="K39" s="7">
        <f>H39+'A -Döviz'!K39</f>
        <v>13946994.115230978</v>
      </c>
      <c r="L39" s="7">
        <f>I39+'A -Döviz'!L39</f>
        <v>9194421.9991142508</v>
      </c>
      <c r="M39" s="7"/>
      <c r="N39" s="7">
        <f>K39+'A -Döviz'!N39</f>
        <v>17334745.006248683</v>
      </c>
      <c r="O39" s="7">
        <f>L39+'A -Döviz'!O39</f>
        <v>10942874.487408064</v>
      </c>
      <c r="P39" s="7"/>
      <c r="Q39" s="7">
        <f>N39+'A -Döviz'!Q39</f>
        <v>21030959.656453319</v>
      </c>
      <c r="R39" s="7">
        <f>O39+'A -Döviz'!R39</f>
        <v>11823770.559744142</v>
      </c>
      <c r="S39" s="7"/>
      <c r="T39" s="7">
        <f>Q39+'A -Döviz'!T39</f>
        <v>25224812.110614121</v>
      </c>
      <c r="U39" s="7">
        <f>R39+'A -Döviz'!U39</f>
        <v>13057442.18477501</v>
      </c>
      <c r="V39" s="7"/>
      <c r="W39" s="7">
        <f>T39+'A -Döviz'!W39</f>
        <v>29603621.134777971</v>
      </c>
      <c r="X39" s="7">
        <f>U39+'A -Döviz'!X39</f>
        <v>15428221.596964004</v>
      </c>
      <c r="Y39" s="7"/>
      <c r="Z39" s="7">
        <f>W39+'A -Döviz'!Z39</f>
        <v>34484785.45539844</v>
      </c>
      <c r="AA39" s="7">
        <f>X39+'A -Döviz'!AA39</f>
        <v>17075642.557771672</v>
      </c>
      <c r="AB39" s="5">
        <f t="shared" si="18"/>
        <v>1.0195307637019675</v>
      </c>
      <c r="AC39" s="7">
        <f>Z39+'A -Döviz'!AC39</f>
        <v>40091107.277516723</v>
      </c>
      <c r="AD39" s="7">
        <f>AA39+'A -Döviz'!AD39</f>
        <v>17075642.557771672</v>
      </c>
      <c r="AE39" s="7"/>
      <c r="AF39" s="7">
        <f>AC39+'A -Döviz'!AF39</f>
        <v>45771266.09690354</v>
      </c>
      <c r="AG39" s="7">
        <f>AD39+'A -Döviz'!AG39</f>
        <v>17075642.557771672</v>
      </c>
      <c r="AH39" s="7"/>
      <c r="AI39" s="7">
        <f>AF39+'A -Döviz'!AI39</f>
        <v>52273164.655342884</v>
      </c>
      <c r="AJ39" s="7">
        <f>AG39+'A -Döviz'!AJ39</f>
        <v>17075642.557771672</v>
      </c>
      <c r="AK39" s="7"/>
      <c r="AL39" s="21">
        <f t="shared" si="12"/>
        <v>-17409142.897626769</v>
      </c>
      <c r="AM39" s="22">
        <f t="shared" si="13"/>
        <v>-0.50483547070760282</v>
      </c>
      <c r="AO39" s="44">
        <f t="shared" si="14"/>
        <v>34484785.45539844</v>
      </c>
      <c r="AP39" s="44">
        <f t="shared" si="15"/>
        <v>17075642.557771672</v>
      </c>
      <c r="AR39" s="94">
        <f t="shared" ref="AR39:AS43" si="20">W39*0.4</f>
        <v>11841448.453911189</v>
      </c>
      <c r="AS39" s="94">
        <f t="shared" si="20"/>
        <v>6171288.6387856016</v>
      </c>
      <c r="AT39" s="94">
        <f t="shared" si="19"/>
        <v>-5670159.8151255874</v>
      </c>
      <c r="AV39" s="405">
        <f>F39/SUM($F$36:$F$43)</f>
        <v>0.26363778307278363</v>
      </c>
    </row>
    <row r="40" spans="1:48" s="1" customFormat="1" ht="15.5">
      <c r="A40" s="26" t="s">
        <v>14</v>
      </c>
      <c r="B40" s="7">
        <f>'A -Döviz'!B40</f>
        <v>1305194.2756808002</v>
      </c>
      <c r="C40" s="7">
        <f>'A -Döviz'!C40</f>
        <v>1207657.0429060124</v>
      </c>
      <c r="D40" s="72">
        <f t="shared" si="11"/>
        <v>-7.4730049458661352E-2</v>
      </c>
      <c r="E40" s="7">
        <f>B40+'A -Döviz'!E40</f>
        <v>2639133.9142935118</v>
      </c>
      <c r="F40" s="7">
        <f>C40+'A -Döviz'!F40</f>
        <v>2532799.9430139367</v>
      </c>
      <c r="G40" s="8"/>
      <c r="H40" s="7">
        <f>E40+'A -Döviz'!H40</f>
        <v>3925790.3733860552</v>
      </c>
      <c r="I40" s="7">
        <f>F40+'A -Döviz'!I40</f>
        <v>3719639.9303519172</v>
      </c>
      <c r="J40" s="8"/>
      <c r="K40" s="7">
        <f>H40+'A -Döviz'!K40</f>
        <v>5092148.099097495</v>
      </c>
      <c r="L40" s="7">
        <f>I40+'A -Döviz'!L40</f>
        <v>4683208.5778164016</v>
      </c>
      <c r="M40" s="8"/>
      <c r="N40" s="7">
        <f>K40+'A -Döviz'!N40</f>
        <v>6325510.6300409138</v>
      </c>
      <c r="O40" s="7">
        <f>L40+'A -Döviz'!O40</f>
        <v>5930202.2331759604</v>
      </c>
      <c r="P40" s="8"/>
      <c r="Q40" s="7">
        <f>N40+'A -Döviz'!Q40</f>
        <v>7428599.5083735138</v>
      </c>
      <c r="R40" s="7">
        <f>O40+'A -Döviz'!R40</f>
        <v>6885190.9813440433</v>
      </c>
      <c r="S40" s="8"/>
      <c r="T40" s="7">
        <f>Q40+'A -Döviz'!T40</f>
        <v>8668659.6144997329</v>
      </c>
      <c r="U40" s="7">
        <f>R40+'A -Döviz'!U40</f>
        <v>7981727.0871739741</v>
      </c>
      <c r="V40" s="8"/>
      <c r="W40" s="7">
        <f>T40+'A -Döviz'!W40</f>
        <v>9933510.8642946798</v>
      </c>
      <c r="X40" s="7">
        <f>U40+'A -Döviz'!X40</f>
        <v>9090584.0948822722</v>
      </c>
      <c r="Y40" s="8"/>
      <c r="Z40" s="7">
        <f>W40+'A -Döviz'!Z40</f>
        <v>11170299.309220962</v>
      </c>
      <c r="AA40" s="7">
        <f>X40+'A -Döviz'!AA40</f>
        <v>10273605.463152708</v>
      </c>
      <c r="AB40" s="5">
        <f t="shared" si="18"/>
        <v>8.7281320008280927E-2</v>
      </c>
      <c r="AC40" s="7">
        <f>Z40+'A -Döviz'!AC40</f>
        <v>12583358.734580798</v>
      </c>
      <c r="AD40" s="7">
        <f>AA40+'A -Döviz'!AD40</f>
        <v>10273605.463152708</v>
      </c>
      <c r="AE40" s="8"/>
      <c r="AF40" s="7">
        <f>AC40+'A -Döviz'!AF40</f>
        <v>13869022.341957597</v>
      </c>
      <c r="AG40" s="7">
        <f>AD40+'A -Döviz'!AG40</f>
        <v>10273605.463152708</v>
      </c>
      <c r="AH40" s="8"/>
      <c r="AI40" s="7">
        <f>AF40+'A -Döviz'!AI40</f>
        <v>15070440.141994249</v>
      </c>
      <c r="AJ40" s="7">
        <f>AG40+'A -Döviz'!AJ40</f>
        <v>10273605.463152708</v>
      </c>
      <c r="AK40" s="8"/>
      <c r="AL40" s="21">
        <f t="shared" si="12"/>
        <v>-896693.84606825374</v>
      </c>
      <c r="AM40" s="22">
        <f t="shared" si="13"/>
        <v>-8.0274827132702065E-2</v>
      </c>
      <c r="AO40" s="44">
        <f t="shared" si="14"/>
        <v>11170299.309220962</v>
      </c>
      <c r="AP40" s="44">
        <f t="shared" si="15"/>
        <v>10273605.463152708</v>
      </c>
      <c r="AR40" s="94">
        <f t="shared" si="20"/>
        <v>3973404.345717872</v>
      </c>
      <c r="AS40" s="94">
        <f t="shared" si="20"/>
        <v>3636233.6379529089</v>
      </c>
      <c r="AT40" s="94">
        <f t="shared" si="19"/>
        <v>-337170.70776496315</v>
      </c>
      <c r="AV40" s="405">
        <f t="shared" ref="AV40:AV43" si="21">F40/SUM($F$36:$F$43)</f>
        <v>0.10986313506930007</v>
      </c>
    </row>
    <row r="41" spans="1:48" ht="15.5">
      <c r="A41" s="26" t="s">
        <v>15</v>
      </c>
      <c r="B41" s="7">
        <f>'A -Döviz'!B41</f>
        <v>1290276.9061810011</v>
      </c>
      <c r="C41" s="7">
        <f>'A -Döviz'!C41</f>
        <v>1395842.6800000004</v>
      </c>
      <c r="D41" s="72">
        <f t="shared" si="11"/>
        <v>8.1816370821869544E-2</v>
      </c>
      <c r="E41" s="7">
        <f>B41+'A -Döviz'!E41</f>
        <v>3040079.3188899979</v>
      </c>
      <c r="F41" s="7">
        <f>C41+'A -Döviz'!F41</f>
        <v>3466637.8200000003</v>
      </c>
      <c r="G41" s="7"/>
      <c r="H41" s="7">
        <f>E41+'A -Döviz'!H41</f>
        <v>5826233.4523290042</v>
      </c>
      <c r="I41" s="7">
        <f>F41+'A -Döviz'!I41</f>
        <v>5869348.7100000018</v>
      </c>
      <c r="J41" s="7"/>
      <c r="K41" s="7">
        <f>H41+'A -Döviz'!K41</f>
        <v>7205739.0182269979</v>
      </c>
      <c r="L41" s="7">
        <f>I41+'A -Döviz'!L41</f>
        <v>8132176.9200000018</v>
      </c>
      <c r="M41" s="7"/>
      <c r="N41" s="7">
        <f>K41+'A -Döviz'!N41</f>
        <v>9084906.8941030074</v>
      </c>
      <c r="O41" s="7">
        <f>L41+'A -Döviz'!O41</f>
        <v>10527017.050000004</v>
      </c>
      <c r="P41" s="7"/>
      <c r="Q41" s="7">
        <f>N41+'A -Döviz'!Q41</f>
        <v>11215775.936288007</v>
      </c>
      <c r="R41" s="7">
        <f>O41+'A -Döviz'!R41</f>
        <v>12764309.450000003</v>
      </c>
      <c r="S41" s="7"/>
      <c r="T41" s="7">
        <f>Q41+'A -Döviz'!T41</f>
        <v>12383804.061954997</v>
      </c>
      <c r="U41" s="7">
        <f>R41+'A -Döviz'!U41</f>
        <v>14805426.959999993</v>
      </c>
      <c r="V41" s="7"/>
      <c r="W41" s="7">
        <f>T41+'A -Döviz'!W41</f>
        <v>13062381.973027006</v>
      </c>
      <c r="X41" s="7">
        <f>U41+'A -Döviz'!X41</f>
        <v>16326603.450000003</v>
      </c>
      <c r="Y41" s="7"/>
      <c r="Z41" s="7">
        <f>W41+'A -Döviz'!Z41</f>
        <v>16284936.447395995</v>
      </c>
      <c r="AA41" s="7">
        <f>X41+'A -Döviz'!AA41</f>
        <v>19353674.019999996</v>
      </c>
      <c r="AB41" s="5">
        <f t="shared" si="18"/>
        <v>-0.15856098275876618</v>
      </c>
      <c r="AC41" s="7">
        <f>Z41+'A -Döviz'!AC41</f>
        <v>18430490.605467007</v>
      </c>
      <c r="AD41" s="7">
        <f>AA41+'A -Döviz'!AD41</f>
        <v>19353674.019999996</v>
      </c>
      <c r="AE41" s="7"/>
      <c r="AF41" s="7">
        <f>AC41+'A -Döviz'!AF41</f>
        <v>20567040.911362991</v>
      </c>
      <c r="AG41" s="7">
        <f>AD41+'A -Döviz'!AG41</f>
        <v>19353674.019999996</v>
      </c>
      <c r="AH41" s="7"/>
      <c r="AI41" s="7">
        <f>AF41+'A -Döviz'!AI41</f>
        <v>22238460.655240998</v>
      </c>
      <c r="AJ41" s="7">
        <f>AG41+'A -Döviz'!AJ41</f>
        <v>19353674.019999996</v>
      </c>
      <c r="AK41" s="7"/>
      <c r="AL41" s="21">
        <f t="shared" si="12"/>
        <v>3068737.5726040006</v>
      </c>
      <c r="AM41" s="22">
        <f t="shared" si="13"/>
        <v>0.18844025474196435</v>
      </c>
      <c r="AO41" s="44">
        <f t="shared" si="14"/>
        <v>16284936.447395995</v>
      </c>
      <c r="AP41" s="44">
        <f t="shared" si="15"/>
        <v>19353674.019999996</v>
      </c>
      <c r="AR41" s="94">
        <f t="shared" si="20"/>
        <v>5224952.7892108029</v>
      </c>
      <c r="AS41" s="94">
        <f t="shared" si="20"/>
        <v>6530641.3800000018</v>
      </c>
      <c r="AT41" s="94">
        <f t="shared" si="19"/>
        <v>1305688.5907891989</v>
      </c>
      <c r="AV41" s="405">
        <f t="shared" si="21"/>
        <v>0.15036943604862846</v>
      </c>
    </row>
    <row r="42" spans="1:48" ht="15.5">
      <c r="A42" s="26" t="s">
        <v>16</v>
      </c>
      <c r="B42" s="7">
        <f>'A -Döviz'!B42</f>
        <v>1688820.5658540002</v>
      </c>
      <c r="C42" s="7">
        <f>'A -Döviz'!C42</f>
        <v>1769605.4200000002</v>
      </c>
      <c r="D42" s="72">
        <f t="shared" si="11"/>
        <v>4.7835072463810802E-2</v>
      </c>
      <c r="E42" s="7">
        <f>B42+'A -Döviz'!E42</f>
        <v>3179661.3047729996</v>
      </c>
      <c r="F42" s="7">
        <f>C42+'A -Döviz'!F42</f>
        <v>4205699.49</v>
      </c>
      <c r="G42" s="7"/>
      <c r="H42" s="7">
        <f>E42+'A -Döviz'!H42</f>
        <v>5292393.5179910026</v>
      </c>
      <c r="I42" s="7">
        <f>F42+'A -Döviz'!I42</f>
        <v>6486137.5</v>
      </c>
      <c r="J42" s="7"/>
      <c r="K42" s="7">
        <f>H42+'A -Döviz'!K42</f>
        <v>7380115.1399210049</v>
      </c>
      <c r="L42" s="7">
        <f>I42+'A -Döviz'!L42</f>
        <v>9200537.3700000048</v>
      </c>
      <c r="M42" s="7"/>
      <c r="N42" s="7">
        <f>K42+'A -Döviz'!N42</f>
        <v>9535116.8778960016</v>
      </c>
      <c r="O42" s="7">
        <f>L42+'A -Döviz'!O42</f>
        <v>11340799.049999997</v>
      </c>
      <c r="P42" s="7"/>
      <c r="Q42" s="7">
        <f>N42+'A -Döviz'!Q42</f>
        <v>11292512.914797002</v>
      </c>
      <c r="R42" s="7">
        <f>O42+'A -Döviz'!R42</f>
        <v>13325548.899999999</v>
      </c>
      <c r="S42" s="7"/>
      <c r="T42" s="7">
        <f>Q42+'A -Döviz'!T42</f>
        <v>12824449.258112</v>
      </c>
      <c r="U42" s="7">
        <f>R42+'A -Döviz'!U42</f>
        <v>15922963.799999997</v>
      </c>
      <c r="V42" s="7"/>
      <c r="W42" s="7">
        <f>T42+'A -Döviz'!W42</f>
        <v>13832561.712137001</v>
      </c>
      <c r="X42" s="7">
        <f>U42+'A -Döviz'!X42</f>
        <v>17724620.380000003</v>
      </c>
      <c r="Y42" s="7"/>
      <c r="Z42" s="7">
        <f>W42+'A -Döviz'!Z42</f>
        <v>16243789.065835999</v>
      </c>
      <c r="AA42" s="7">
        <f>X42+'A -Döviz'!AA42</f>
        <v>21124559.789999999</v>
      </c>
      <c r="AB42" s="5">
        <f t="shared" si="18"/>
        <v>-0.23104721578503484</v>
      </c>
      <c r="AC42" s="7">
        <f>Z42+'A -Döviz'!AC42</f>
        <v>18435895.218311004</v>
      </c>
      <c r="AD42" s="7">
        <f>AA42+'A -Döviz'!AD42</f>
        <v>21124559.789999999</v>
      </c>
      <c r="AE42" s="7"/>
      <c r="AF42" s="7">
        <f>AC42+'A -Döviz'!AF42</f>
        <v>20482777.516087994</v>
      </c>
      <c r="AG42" s="7">
        <f>AD42+'A -Döviz'!AG42</f>
        <v>21124559.789999999</v>
      </c>
      <c r="AH42" s="7"/>
      <c r="AI42" s="7">
        <f>AF42+'A -Döviz'!AI42</f>
        <v>21762395.079829</v>
      </c>
      <c r="AJ42" s="7">
        <f>AG42+'A -Döviz'!AJ42</f>
        <v>21124559.789999999</v>
      </c>
      <c r="AK42" s="7"/>
      <c r="AL42" s="21">
        <f t="shared" si="12"/>
        <v>4880770.7241639998</v>
      </c>
      <c r="AM42" s="22">
        <f t="shared" si="13"/>
        <v>0.30046996451272912</v>
      </c>
      <c r="AO42" s="44">
        <f t="shared" si="14"/>
        <v>16243789.065835999</v>
      </c>
      <c r="AP42" s="44">
        <f t="shared" si="15"/>
        <v>21124559.789999999</v>
      </c>
      <c r="AR42" s="94">
        <f t="shared" si="20"/>
        <v>5533024.6848548008</v>
      </c>
      <c r="AS42" s="94">
        <f t="shared" si="20"/>
        <v>7089848.1520000016</v>
      </c>
      <c r="AT42" s="94">
        <f t="shared" si="19"/>
        <v>1556823.4671452008</v>
      </c>
      <c r="AV42" s="405">
        <f t="shared" si="21"/>
        <v>0.18242709314851482</v>
      </c>
    </row>
    <row r="43" spans="1:48" ht="15.5">
      <c r="A43" s="26" t="s">
        <v>17</v>
      </c>
      <c r="B43" s="7">
        <f>'A -Döviz'!B43</f>
        <v>2912907.5974380039</v>
      </c>
      <c r="C43" s="7">
        <f>'A -Döviz'!C43</f>
        <v>2958769.2300000018</v>
      </c>
      <c r="D43" s="72">
        <f t="shared" si="11"/>
        <v>1.5744279908616043E-2</v>
      </c>
      <c r="E43" s="7">
        <f>B43+'A -Döviz'!E43</f>
        <v>6043890.6921240054</v>
      </c>
      <c r="F43" s="7">
        <f>C43+'A -Döviz'!F43</f>
        <v>4668675.2099999953</v>
      </c>
      <c r="G43" s="7"/>
      <c r="H43" s="7">
        <f>E43+'A -Döviz'!H43</f>
        <v>8884003.6824850012</v>
      </c>
      <c r="I43" s="7">
        <f>F43+'A -Döviz'!I43</f>
        <v>6888063.2900000019</v>
      </c>
      <c r="J43" s="7"/>
      <c r="K43" s="7">
        <f>H43+'A -Döviz'!K43</f>
        <v>11447628.525900992</v>
      </c>
      <c r="L43" s="7">
        <f>I43+'A -Döviz'!L43</f>
        <v>8984535.8699999917</v>
      </c>
      <c r="M43" s="7"/>
      <c r="N43" s="7">
        <f>K43+'A -Döviz'!N43</f>
        <v>15010113.616996009</v>
      </c>
      <c r="O43" s="7">
        <f>L43+'A -Döviz'!O43</f>
        <v>12850669.170000004</v>
      </c>
      <c r="P43" s="7"/>
      <c r="Q43" s="7">
        <f>N43+'A -Döviz'!Q43</f>
        <v>17548547.341120008</v>
      </c>
      <c r="R43" s="7">
        <f>O43+'A -Döviz'!R43</f>
        <v>15208795.57000001</v>
      </c>
      <c r="S43" s="7"/>
      <c r="T43" s="7">
        <f>Q43+'A -Döviz'!T43</f>
        <v>21201941.784965012</v>
      </c>
      <c r="U43" s="7">
        <f>R43+'A -Döviz'!U43</f>
        <v>17941267.359999985</v>
      </c>
      <c r="V43" s="7"/>
      <c r="W43" s="7">
        <f>T43+'A -Döviz'!W43</f>
        <v>22707741.410129011</v>
      </c>
      <c r="X43" s="7">
        <f>U43+'A -Döviz'!X43</f>
        <v>19399812.25</v>
      </c>
      <c r="Y43" s="7"/>
      <c r="Z43" s="7">
        <f>W43+'A -Döviz'!Z43</f>
        <v>27225126.950312018</v>
      </c>
      <c r="AA43" s="7">
        <f>X43+'A -Döviz'!AA43</f>
        <v>23363185.960000008</v>
      </c>
      <c r="AB43" s="5">
        <f t="shared" si="18"/>
        <v>0.16530027184323326</v>
      </c>
      <c r="AC43" s="7">
        <f>Z43+'A -Döviz'!AC43</f>
        <v>30999489.474079996</v>
      </c>
      <c r="AD43" s="7">
        <f>AA43+'A -Döviz'!AD43</f>
        <v>23363185.960000008</v>
      </c>
      <c r="AE43" s="7"/>
      <c r="AF43" s="7">
        <f>AC43+'A -Döviz'!AF43</f>
        <v>34695733.766975999</v>
      </c>
      <c r="AG43" s="7">
        <f>AD43+'A -Döviz'!AG43</f>
        <v>23363185.960000008</v>
      </c>
      <c r="AH43" s="7"/>
      <c r="AI43" s="7">
        <f>AF43+'A -Döviz'!AI43</f>
        <v>37444707.358655989</v>
      </c>
      <c r="AJ43" s="7">
        <f>AG43+'A -Döviz'!AJ43</f>
        <v>23363185.960000008</v>
      </c>
      <c r="AK43" s="7"/>
      <c r="AL43" s="21">
        <f t="shared" si="12"/>
        <v>-3861940.99031201</v>
      </c>
      <c r="AM43" s="22">
        <f t="shared" si="13"/>
        <v>-0.1418520838253704</v>
      </c>
      <c r="AO43" s="44">
        <f t="shared" si="14"/>
        <v>27225126.950312018</v>
      </c>
      <c r="AP43" s="44">
        <f t="shared" si="15"/>
        <v>23363185.960000008</v>
      </c>
      <c r="AR43" s="94">
        <f t="shared" si="20"/>
        <v>9083096.5640516039</v>
      </c>
      <c r="AS43" s="94">
        <f t="shared" si="20"/>
        <v>7759924.9000000004</v>
      </c>
      <c r="AT43" s="94">
        <f t="shared" si="19"/>
        <v>-1323171.6640516035</v>
      </c>
      <c r="AV43" s="405">
        <f t="shared" si="21"/>
        <v>0.2025092019626992</v>
      </c>
    </row>
    <row r="44" spans="1:48" ht="15.5">
      <c r="A44" s="26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21"/>
      <c r="AM44" s="22"/>
      <c r="AO44" s="44">
        <f t="shared" si="14"/>
        <v>0</v>
      </c>
      <c r="AP44" s="44">
        <f t="shared" si="15"/>
        <v>0</v>
      </c>
    </row>
    <row r="45" spans="1:48" ht="15.75" hidden="1" customHeight="1">
      <c r="A45" s="26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21">
        <f t="shared" si="12"/>
        <v>0</v>
      </c>
      <c r="AM45" s="22" t="e">
        <f t="shared" si="13"/>
        <v>#DIV/0!</v>
      </c>
      <c r="AO45" s="44">
        <f t="shared" si="14"/>
        <v>0</v>
      </c>
      <c r="AP45" s="44">
        <f t="shared" si="15"/>
        <v>0</v>
      </c>
    </row>
    <row r="46" spans="1:48" s="1" customFormat="1" ht="15.75" hidden="1" customHeight="1">
      <c r="A46" s="27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15">
        <f t="shared" si="12"/>
        <v>0</v>
      </c>
      <c r="AM46" s="16" t="e">
        <f t="shared" si="13"/>
        <v>#DIV/0!</v>
      </c>
      <c r="AO46" s="44">
        <f t="shared" si="14"/>
        <v>0</v>
      </c>
      <c r="AP46" s="44">
        <f t="shared" si="15"/>
        <v>0</v>
      </c>
    </row>
    <row r="47" spans="1:48" ht="15.75" hidden="1" customHeight="1">
      <c r="A47" s="26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21">
        <f t="shared" si="12"/>
        <v>0</v>
      </c>
      <c r="AM47" s="22" t="e">
        <f t="shared" si="13"/>
        <v>#DIV/0!</v>
      </c>
      <c r="AO47" s="44">
        <f t="shared" si="14"/>
        <v>0</v>
      </c>
      <c r="AP47" s="44">
        <f t="shared" si="15"/>
        <v>0</v>
      </c>
    </row>
    <row r="48" spans="1:48" s="1" customFormat="1" ht="15.75" hidden="1" customHeight="1">
      <c r="A48" s="27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15">
        <f t="shared" si="12"/>
        <v>0</v>
      </c>
      <c r="AM48" s="16" t="e">
        <f t="shared" si="13"/>
        <v>#DIV/0!</v>
      </c>
      <c r="AO48" s="44">
        <f t="shared" si="14"/>
        <v>0</v>
      </c>
      <c r="AP48" s="44">
        <f t="shared" si="15"/>
        <v>0</v>
      </c>
    </row>
    <row r="49" spans="1:42" ht="15.75" hidden="1" customHeight="1">
      <c r="A49" s="26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21"/>
      <c r="AM49" s="22"/>
      <c r="AO49" s="44">
        <f t="shared" si="14"/>
        <v>0</v>
      </c>
      <c r="AP49" s="44">
        <f t="shared" si="15"/>
        <v>0</v>
      </c>
    </row>
    <row r="50" spans="1:42" ht="15.75" hidden="1" customHeight="1">
      <c r="A50" s="26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21">
        <f t="shared" si="12"/>
        <v>0</v>
      </c>
      <c r="AM50" s="22" t="e">
        <f t="shared" si="13"/>
        <v>#DIV/0!</v>
      </c>
      <c r="AO50" s="44">
        <f t="shared" si="14"/>
        <v>0</v>
      </c>
      <c r="AP50" s="44">
        <f t="shared" si="15"/>
        <v>0</v>
      </c>
    </row>
    <row r="51" spans="1:42" ht="15.75" hidden="1" customHeight="1">
      <c r="A51" s="26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21">
        <f t="shared" si="12"/>
        <v>0</v>
      </c>
      <c r="AM51" s="22" t="e">
        <f t="shared" si="13"/>
        <v>#DIV/0!</v>
      </c>
      <c r="AO51" s="44">
        <f t="shared" si="14"/>
        <v>0</v>
      </c>
      <c r="AP51" s="44">
        <f t="shared" si="15"/>
        <v>0</v>
      </c>
    </row>
    <row r="52" spans="1:42" ht="15.75" hidden="1" customHeight="1">
      <c r="A52" s="26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21">
        <f t="shared" si="12"/>
        <v>0</v>
      </c>
      <c r="AM52" s="22" t="e">
        <f t="shared" si="13"/>
        <v>#DIV/0!</v>
      </c>
      <c r="AO52" s="44">
        <f t="shared" si="14"/>
        <v>0</v>
      </c>
      <c r="AP52" s="44">
        <f t="shared" si="15"/>
        <v>0</v>
      </c>
    </row>
    <row r="53" spans="1:42" ht="15.75" hidden="1" customHeight="1">
      <c r="A53" s="26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21">
        <f t="shared" si="12"/>
        <v>0</v>
      </c>
      <c r="AM53" s="22" t="e">
        <f t="shared" si="13"/>
        <v>#DIV/0!</v>
      </c>
      <c r="AO53" s="44">
        <f t="shared" si="14"/>
        <v>0</v>
      </c>
      <c r="AP53" s="44">
        <f t="shared" si="15"/>
        <v>0</v>
      </c>
    </row>
    <row r="54" spans="1:42" s="1" customFormat="1" ht="15.75" hidden="1" customHeight="1">
      <c r="A54" s="27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15">
        <f t="shared" si="12"/>
        <v>0</v>
      </c>
      <c r="AM54" s="16" t="e">
        <f t="shared" si="13"/>
        <v>#DIV/0!</v>
      </c>
      <c r="AO54" s="44">
        <f t="shared" si="14"/>
        <v>0</v>
      </c>
      <c r="AP54" s="44">
        <f t="shared" si="15"/>
        <v>0</v>
      </c>
    </row>
    <row r="55" spans="1:42" ht="15.75" hidden="1" customHeight="1">
      <c r="A55" s="26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21">
        <f t="shared" si="12"/>
        <v>0</v>
      </c>
      <c r="AM55" s="22" t="e">
        <f t="shared" si="13"/>
        <v>#DIV/0!</v>
      </c>
      <c r="AO55" s="44">
        <f t="shared" si="14"/>
        <v>0</v>
      </c>
      <c r="AP55" s="44">
        <f t="shared" si="15"/>
        <v>0</v>
      </c>
    </row>
    <row r="56" spans="1:42" ht="15.75" hidden="1" customHeight="1">
      <c r="A56" s="26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21">
        <f t="shared" si="12"/>
        <v>0</v>
      </c>
      <c r="AM56" s="22" t="e">
        <f t="shared" si="13"/>
        <v>#DIV/0!</v>
      </c>
      <c r="AO56" s="44">
        <f t="shared" si="14"/>
        <v>0</v>
      </c>
      <c r="AP56" s="44">
        <f t="shared" si="15"/>
        <v>0</v>
      </c>
    </row>
    <row r="57" spans="1:42" ht="15.75" hidden="1" customHeight="1">
      <c r="A57" s="26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21">
        <f t="shared" si="12"/>
        <v>0</v>
      </c>
      <c r="AM57" s="22" t="e">
        <f t="shared" si="13"/>
        <v>#DIV/0!</v>
      </c>
      <c r="AO57" s="44">
        <f t="shared" si="14"/>
        <v>0</v>
      </c>
      <c r="AP57" s="44">
        <f t="shared" si="15"/>
        <v>0</v>
      </c>
    </row>
    <row r="58" spans="1:42" ht="15.75" hidden="1" customHeight="1">
      <c r="A58" s="26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21">
        <f t="shared" si="12"/>
        <v>0</v>
      </c>
      <c r="AM58" s="22" t="e">
        <f t="shared" si="13"/>
        <v>#DIV/0!</v>
      </c>
      <c r="AO58" s="44">
        <f t="shared" si="14"/>
        <v>0</v>
      </c>
      <c r="AP58" s="44">
        <f t="shared" si="15"/>
        <v>0</v>
      </c>
    </row>
    <row r="59" spans="1:42" ht="15.75" hidden="1" customHeight="1">
      <c r="A59" s="26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21">
        <f t="shared" si="12"/>
        <v>0</v>
      </c>
      <c r="AM59" s="22" t="e">
        <f t="shared" si="13"/>
        <v>#DIV/0!</v>
      </c>
      <c r="AO59" s="44">
        <f t="shared" si="14"/>
        <v>0</v>
      </c>
      <c r="AP59" s="44">
        <f t="shared" si="15"/>
        <v>0</v>
      </c>
    </row>
    <row r="60" spans="1:42" s="1" customFormat="1" ht="15.75" hidden="1" customHeight="1">
      <c r="A60" s="27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15">
        <f t="shared" si="12"/>
        <v>0</v>
      </c>
      <c r="AM60" s="16" t="e">
        <f t="shared" si="13"/>
        <v>#DIV/0!</v>
      </c>
      <c r="AO60" s="44">
        <f t="shared" si="14"/>
        <v>0</v>
      </c>
      <c r="AP60" s="44">
        <f t="shared" si="15"/>
        <v>0</v>
      </c>
    </row>
    <row r="61" spans="1:42" ht="15.75" hidden="1" customHeight="1">
      <c r="A61" s="26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21">
        <f t="shared" si="12"/>
        <v>0</v>
      </c>
      <c r="AM61" s="22" t="e">
        <f t="shared" si="13"/>
        <v>#DIV/0!</v>
      </c>
      <c r="AO61" s="44">
        <f t="shared" si="14"/>
        <v>0</v>
      </c>
      <c r="AP61" s="44">
        <f t="shared" si="15"/>
        <v>0</v>
      </c>
    </row>
    <row r="62" spans="1:42" s="1" customFormat="1" ht="15.75" hidden="1" customHeight="1">
      <c r="A62" s="27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15">
        <f t="shared" si="12"/>
        <v>0</v>
      </c>
      <c r="AM62" s="16" t="e">
        <f t="shared" si="13"/>
        <v>#DIV/0!</v>
      </c>
      <c r="AO62" s="44">
        <f t="shared" si="14"/>
        <v>0</v>
      </c>
      <c r="AP62" s="44">
        <f t="shared" si="15"/>
        <v>0</v>
      </c>
    </row>
    <row r="63" spans="1:42" ht="15.75" hidden="1" customHeight="1">
      <c r="A63" s="26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21">
        <f t="shared" si="12"/>
        <v>0</v>
      </c>
      <c r="AM63" s="22" t="e">
        <f t="shared" si="13"/>
        <v>#DIV/0!</v>
      </c>
      <c r="AO63" s="44">
        <f t="shared" si="14"/>
        <v>0</v>
      </c>
      <c r="AP63" s="44">
        <f t="shared" si="15"/>
        <v>0</v>
      </c>
    </row>
    <row r="64" spans="1:42" ht="15.75" hidden="1" customHeight="1">
      <c r="A64" s="26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21">
        <f t="shared" si="12"/>
        <v>0</v>
      </c>
      <c r="AM64" s="22" t="e">
        <f t="shared" si="13"/>
        <v>#DIV/0!</v>
      </c>
      <c r="AO64" s="44">
        <f t="shared" si="14"/>
        <v>0</v>
      </c>
      <c r="AP64" s="44">
        <f t="shared" si="15"/>
        <v>0</v>
      </c>
    </row>
    <row r="65" spans="1:43" ht="15.75" hidden="1" customHeight="1">
      <c r="A65" s="26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21">
        <f t="shared" si="12"/>
        <v>0</v>
      </c>
      <c r="AM65" s="22" t="e">
        <f t="shared" si="13"/>
        <v>#DIV/0!</v>
      </c>
      <c r="AO65" s="44">
        <f t="shared" si="14"/>
        <v>0</v>
      </c>
      <c r="AP65" s="44">
        <f t="shared" si="15"/>
        <v>0</v>
      </c>
    </row>
    <row r="66" spans="1:43" ht="15.75" hidden="1" customHeight="1">
      <c r="A66" s="26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21">
        <f t="shared" si="12"/>
        <v>0</v>
      </c>
      <c r="AM66" s="22" t="e">
        <f t="shared" si="13"/>
        <v>#DIV/0!</v>
      </c>
      <c r="AO66" s="44">
        <f t="shared" si="14"/>
        <v>0</v>
      </c>
      <c r="AP66" s="44">
        <f t="shared" si="15"/>
        <v>0</v>
      </c>
    </row>
    <row r="67" spans="1:43" ht="15.75" hidden="1" customHeight="1">
      <c r="A67" s="26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21">
        <f t="shared" si="12"/>
        <v>0</v>
      </c>
      <c r="AM67" s="22" t="e">
        <f t="shared" si="13"/>
        <v>#DIV/0!</v>
      </c>
      <c r="AO67" s="44">
        <f t="shared" si="14"/>
        <v>0</v>
      </c>
      <c r="AP67" s="44">
        <f t="shared" si="15"/>
        <v>0</v>
      </c>
    </row>
    <row r="68" spans="1:43" s="1" customFormat="1" ht="15.75" hidden="1" customHeight="1">
      <c r="A68" s="27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15">
        <f t="shared" si="12"/>
        <v>0</v>
      </c>
      <c r="AM68" s="16" t="e">
        <f t="shared" si="13"/>
        <v>#DIV/0!</v>
      </c>
      <c r="AO68" s="44">
        <f t="shared" si="14"/>
        <v>0</v>
      </c>
      <c r="AP68" s="44">
        <f t="shared" si="15"/>
        <v>0</v>
      </c>
    </row>
    <row r="69" spans="1:43" ht="15.75" hidden="1" customHeight="1">
      <c r="A69" s="26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21">
        <f t="shared" si="12"/>
        <v>0</v>
      </c>
      <c r="AM69" s="22" t="e">
        <f t="shared" si="13"/>
        <v>#DIV/0!</v>
      </c>
      <c r="AO69" s="44">
        <f t="shared" si="14"/>
        <v>0</v>
      </c>
      <c r="AP69" s="44">
        <f t="shared" si="15"/>
        <v>0</v>
      </c>
    </row>
    <row r="70" spans="1:43" ht="15.75" hidden="1" customHeight="1">
      <c r="A70" s="26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21">
        <f t="shared" si="12"/>
        <v>0</v>
      </c>
      <c r="AM70" s="22" t="e">
        <f t="shared" si="13"/>
        <v>#DIV/0!</v>
      </c>
      <c r="AO70" s="44">
        <f t="shared" si="14"/>
        <v>0</v>
      </c>
      <c r="AP70" s="44">
        <f t="shared" si="15"/>
        <v>0</v>
      </c>
    </row>
    <row r="71" spans="1:43" ht="15.75" hidden="1" customHeight="1">
      <c r="A71" s="26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21"/>
      <c r="AM71" s="22"/>
      <c r="AO71" s="44"/>
      <c r="AP71" s="44"/>
    </row>
    <row r="72" spans="1:43" ht="15.75" hidden="1" customHeight="1">
      <c r="A72" s="26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21"/>
      <c r="AM72" s="22"/>
      <c r="AO72" s="44"/>
      <c r="AP72" s="44"/>
    </row>
    <row r="73" spans="1:43" s="1" customFormat="1" ht="15.75" hidden="1" customHeight="1">
      <c r="A73" s="27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21">
        <f>AP73-AO73</f>
        <v>0</v>
      </c>
      <c r="AM73" s="22" t="e">
        <f>AP73/AO73-1</f>
        <v>#DIV/0!</v>
      </c>
      <c r="AN73"/>
      <c r="AO73" s="44">
        <f t="shared" ref="AO73:AP75" si="22">IF($A$1=$B$1,B73,IF($A$1=$E$1,E73,IF($A$1=$H$1,H73,IF($A$1=$K$1,K73,IF($A$1=$N$1,N73,IF($A$1=$Q$1,Q73,IF($A$1=$T$1,T73,IF($A$1=$W$1,W73,IF($A$1=$Z$1,Z73,IF($A$1=$AC$1,AC73,IF($A$1=$AF$1,AF73,IF($A$1=$AI$1,AI73))))))))))))</f>
        <v>0</v>
      </c>
      <c r="AP73" s="44">
        <f t="shared" si="22"/>
        <v>0</v>
      </c>
      <c r="AQ73"/>
    </row>
    <row r="74" spans="1:43" ht="15.75" hidden="1" customHeight="1">
      <c r="A74" s="26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21">
        <f>AP74-AO74</f>
        <v>0</v>
      </c>
      <c r="AM74" s="22" t="e">
        <f>AP74/AO74-1</f>
        <v>#DIV/0!</v>
      </c>
      <c r="AO74" s="44">
        <f t="shared" si="22"/>
        <v>0</v>
      </c>
      <c r="AP74" s="44">
        <f t="shared" si="22"/>
        <v>0</v>
      </c>
    </row>
    <row r="75" spans="1:43" s="1" customFormat="1" ht="15.75" hidden="1" customHeight="1">
      <c r="A75" s="27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21">
        <f>AP75-AO75</f>
        <v>0</v>
      </c>
      <c r="AM75" s="22" t="e">
        <f>AP75/AO75-1</f>
        <v>#DIV/0!</v>
      </c>
      <c r="AN75"/>
      <c r="AO75" s="44">
        <f t="shared" si="22"/>
        <v>0</v>
      </c>
      <c r="AP75" s="44">
        <f t="shared" si="22"/>
        <v>0</v>
      </c>
      <c r="AQ75"/>
    </row>
    <row r="76" spans="1:43" ht="15.75" hidden="1" customHeight="1">
      <c r="A76" s="2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15"/>
      <c r="AM76" s="16"/>
    </row>
    <row r="77" spans="1:43">
      <c r="A77" s="2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5"/>
    </row>
    <row r="78" spans="1:43" s="49" customFormat="1" ht="17">
      <c r="A78" s="47" t="s">
        <v>66</v>
      </c>
      <c r="B78" s="413"/>
      <c r="C78" s="413"/>
      <c r="D78" s="413"/>
      <c r="E78" s="413"/>
      <c r="F78" s="413"/>
      <c r="G78" s="413"/>
      <c r="H78" s="413"/>
      <c r="I78" s="413"/>
      <c r="J78" s="413"/>
      <c r="K78" s="413"/>
      <c r="L78" s="413"/>
      <c r="M78" s="413"/>
      <c r="N78" s="413"/>
      <c r="O78" s="413"/>
      <c r="P78" s="413"/>
      <c r="Q78" s="413"/>
      <c r="R78" s="413"/>
      <c r="S78" s="413"/>
      <c r="T78" s="413"/>
      <c r="U78" s="413"/>
      <c r="V78" s="413"/>
      <c r="W78" s="413"/>
      <c r="X78" s="413"/>
      <c r="Y78" s="413"/>
      <c r="Z78" s="413"/>
      <c r="AA78" s="413"/>
      <c r="AB78" s="413"/>
      <c r="AC78" s="413"/>
      <c r="AD78" s="413"/>
      <c r="AE78" s="413"/>
      <c r="AF78" s="413"/>
      <c r="AG78" s="413"/>
      <c r="AH78" s="413"/>
      <c r="AI78" s="413"/>
      <c r="AJ78" s="413"/>
      <c r="AK78" s="413"/>
      <c r="AL78" s="413"/>
      <c r="AM78" s="48"/>
    </row>
    <row r="79" spans="1:43" s="13" customFormat="1" ht="15.5">
      <c r="A79" s="26" t="s">
        <v>10</v>
      </c>
      <c r="B79" s="12">
        <f t="shared" ref="B79:B86" si="23">B36/B9</f>
        <v>1</v>
      </c>
      <c r="C79" s="12">
        <f t="shared" ref="C79:C87" si="24">IFERROR((C36/C9),"")</f>
        <v>1</v>
      </c>
      <c r="D79" s="41"/>
      <c r="E79" s="12">
        <f t="shared" ref="E79:E86" si="25">E36/E9</f>
        <v>1</v>
      </c>
      <c r="F79" s="12">
        <f t="shared" ref="F79:F87" si="26">IFERROR((F36/F9),"")</f>
        <v>1</v>
      </c>
      <c r="G79" s="41"/>
      <c r="H79" s="12">
        <f t="shared" ref="H79:H86" si="27">H36/H9</f>
        <v>1</v>
      </c>
      <c r="I79" s="12">
        <f t="shared" ref="I79:I87" si="28">IFERROR((I36/I9),"")</f>
        <v>1</v>
      </c>
      <c r="J79" s="41"/>
      <c r="K79" s="116">
        <f t="shared" ref="K79:K86" si="29">K36/K9</f>
        <v>1</v>
      </c>
      <c r="L79" s="116">
        <f t="shared" ref="L79:L87" si="30">IFERROR((L36/L9),"")</f>
        <v>1</v>
      </c>
      <c r="M79" s="41"/>
      <c r="N79" s="12">
        <f t="shared" ref="N79:N86" si="31">N36/N9</f>
        <v>1</v>
      </c>
      <c r="O79" s="12">
        <f t="shared" ref="O79:O87" si="32">IFERROR((O36/O9),"")</f>
        <v>1</v>
      </c>
      <c r="P79" s="41"/>
      <c r="Q79" s="12">
        <f t="shared" ref="Q79:Q86" si="33">Q36/Q9</f>
        <v>1</v>
      </c>
      <c r="R79" s="12">
        <f t="shared" ref="R79:R87" si="34">IFERROR((R36/R9),"")</f>
        <v>1</v>
      </c>
      <c r="S79" s="41"/>
      <c r="T79" s="12">
        <f t="shared" ref="T79:T86" si="35">T36/T9</f>
        <v>1</v>
      </c>
      <c r="U79" s="12">
        <f t="shared" ref="U79:U87" si="36">IFERROR((U36/U9),"")</f>
        <v>1</v>
      </c>
      <c r="V79" s="41"/>
      <c r="W79" s="58">
        <f t="shared" ref="W79:W86" si="37">W36/W9</f>
        <v>1</v>
      </c>
      <c r="X79" s="58">
        <f t="shared" ref="X79:X87" si="38">IFERROR((X36/X9),"")</f>
        <v>1</v>
      </c>
      <c r="Y79" s="41"/>
      <c r="Z79" s="12">
        <f t="shared" ref="Z79:Z86" si="39">Z36/Z9</f>
        <v>1</v>
      </c>
      <c r="AA79" s="12">
        <f t="shared" ref="AA79:AA86" si="40">IFERROR((AA36/AA9),"")</f>
        <v>1</v>
      </c>
      <c r="AB79" s="41"/>
      <c r="AC79" s="12">
        <f t="shared" ref="AC79:AC86" si="41">AC36/AC9</f>
        <v>1</v>
      </c>
      <c r="AD79" s="12">
        <f t="shared" ref="AD79:AD86" si="42">IFERROR((AD36/AD9),"")</f>
        <v>1</v>
      </c>
      <c r="AE79" s="41"/>
      <c r="AF79" s="12">
        <f t="shared" ref="AF79:AF86" si="43">AF36/AF9</f>
        <v>1</v>
      </c>
      <c r="AG79" s="12">
        <f t="shared" ref="AG79:AG86" si="44">IFERROR((AG36/AG9),"")</f>
        <v>1</v>
      </c>
      <c r="AH79" s="41"/>
      <c r="AI79" s="12">
        <f t="shared" ref="AI79:AI86" si="45">AI36/AI9</f>
        <v>1</v>
      </c>
      <c r="AJ79" s="12">
        <f t="shared" ref="AJ79:AJ87" si="46">IFERROR((AJ36/AJ9),"")</f>
        <v>1</v>
      </c>
      <c r="AK79" s="41"/>
      <c r="AL79" s="15"/>
      <c r="AM79" s="124">
        <f>AP79-AO79</f>
        <v>0</v>
      </c>
      <c r="AO79" s="44">
        <f t="shared" ref="AO79:AO88" si="47">IF($A$1=$B$1,B79,IF($A$1=$E$1,E79,IF($A$1=$H$1,H79,IF($A$1=$K$1,K79,IF($A$1=$N$1,N79,IF($A$1=$Q$1,Q79,IF($A$1=$T$1,T79,IF($A$1=$W$1,W79,IF($A$1=$Z$1,Z79,IF($A$1=$AC$1,AC79,IF($A$1=$AF$1,AF79,IF($A$1=$AI$1,AI79))))))))))))</f>
        <v>1</v>
      </c>
      <c r="AP79" s="44">
        <f t="shared" ref="AP79:AP89" si="48">IF($A$1=$B$1,C79,IF($A$1=$E$1,F79,IF($A$1=$H$1,I79,IF($A$1=$K$1,L79,IF($A$1=$N$1,O79,IF($A$1=$Q$1,R79,IF($A$1=$T$1,U79,IF($A$1=$W$1,X79,IF($A$1=$Z$1,AA79,IF($A$1=$AC$1,AD79,IF($A$1=$AF$1,AG79,IF($A$1=$AI$1,AJ79))))))))))))</f>
        <v>1</v>
      </c>
    </row>
    <row r="80" spans="1:43" s="13" customFormat="1" ht="15.5">
      <c r="A80" s="26" t="s">
        <v>11</v>
      </c>
      <c r="B80" s="12">
        <f t="shared" si="23"/>
        <v>0.17117635795345942</v>
      </c>
      <c r="C80" s="12">
        <f t="shared" si="24"/>
        <v>0.13017986024224829</v>
      </c>
      <c r="D80" s="41"/>
      <c r="E80" s="12">
        <f t="shared" si="25"/>
        <v>0.21687984466507651</v>
      </c>
      <c r="F80" s="12">
        <f t="shared" si="26"/>
        <v>0.17370761578701202</v>
      </c>
      <c r="G80" s="41"/>
      <c r="H80" s="111">
        <f t="shared" si="27"/>
        <v>0.23732907632729464</v>
      </c>
      <c r="I80" s="111">
        <f t="shared" si="28"/>
        <v>0.19881720504542688</v>
      </c>
      <c r="J80" s="41"/>
      <c r="K80" s="116">
        <f t="shared" si="29"/>
        <v>0.26110295933394839</v>
      </c>
      <c r="L80" s="116">
        <f t="shared" si="30"/>
        <v>0.20752089350193212</v>
      </c>
      <c r="M80" s="41"/>
      <c r="N80" s="12">
        <f t="shared" si="31"/>
        <v>0.28387396999642123</v>
      </c>
      <c r="O80" s="12">
        <f t="shared" si="32"/>
        <v>0.21578562413192445</v>
      </c>
      <c r="P80" s="41"/>
      <c r="Q80" s="12">
        <f t="shared" si="33"/>
        <v>0.29509931022984409</v>
      </c>
      <c r="R80" s="12">
        <f t="shared" si="34"/>
        <v>0.22613618894882581</v>
      </c>
      <c r="S80" s="41"/>
      <c r="T80" s="12">
        <f t="shared" si="35"/>
        <v>0.30137496772784272</v>
      </c>
      <c r="U80" s="12">
        <f t="shared" si="36"/>
        <v>0.23331013112718363</v>
      </c>
      <c r="V80" s="41"/>
      <c r="W80" s="58">
        <f t="shared" si="37"/>
        <v>0.29957549244096998</v>
      </c>
      <c r="X80" s="58">
        <f t="shared" si="38"/>
        <v>0.23541311839853879</v>
      </c>
      <c r="Y80" s="41"/>
      <c r="Z80" s="12">
        <f t="shared" si="39"/>
        <v>0.30122646565782957</v>
      </c>
      <c r="AA80" s="12">
        <f t="shared" si="40"/>
        <v>0.23490277436657675</v>
      </c>
      <c r="AB80" s="41"/>
      <c r="AC80" s="12">
        <f t="shared" si="41"/>
        <v>0.29934515435500775</v>
      </c>
      <c r="AD80" s="12">
        <f t="shared" si="42"/>
        <v>0.23490277436657675</v>
      </c>
      <c r="AE80" s="41"/>
      <c r="AF80" s="12">
        <f t="shared" si="43"/>
        <v>0.29664367445892598</v>
      </c>
      <c r="AG80" s="12">
        <f t="shared" si="44"/>
        <v>0.23490277436657675</v>
      </c>
      <c r="AH80" s="41"/>
      <c r="AI80" s="12">
        <f t="shared" si="45"/>
        <v>0.29145592567013046</v>
      </c>
      <c r="AJ80" s="12">
        <f t="shared" si="46"/>
        <v>0.23490277436657675</v>
      </c>
      <c r="AK80" s="41"/>
      <c r="AL80" s="15"/>
      <c r="AM80" s="124">
        <f t="shared" ref="AM80:AM86" si="49">AP80-AO80</f>
        <v>-6.6323691291252818E-2</v>
      </c>
      <c r="AO80" s="44">
        <f t="shared" si="47"/>
        <v>0.30122646565782957</v>
      </c>
      <c r="AP80" s="44">
        <f t="shared" si="48"/>
        <v>0.23490277436657675</v>
      </c>
    </row>
    <row r="81" spans="1:46" s="13" customFormat="1" ht="15.5">
      <c r="A81" s="26" t="s">
        <v>12</v>
      </c>
      <c r="B81" s="12">
        <f t="shared" si="23"/>
        <v>0.16706084380098921</v>
      </c>
      <c r="C81" s="12">
        <f t="shared" si="24"/>
        <v>0.160907714399458</v>
      </c>
      <c r="D81" s="41"/>
      <c r="E81" s="12">
        <f t="shared" si="25"/>
        <v>0.16845058355442713</v>
      </c>
      <c r="F81" s="12">
        <f t="shared" si="26"/>
        <v>0.15296676942180534</v>
      </c>
      <c r="G81" s="41"/>
      <c r="H81" s="111">
        <f t="shared" si="27"/>
        <v>0.17669681708735244</v>
      </c>
      <c r="I81" s="111">
        <f t="shared" si="28"/>
        <v>0.13978524331415071</v>
      </c>
      <c r="J81" s="41"/>
      <c r="K81" s="116">
        <f t="shared" si="29"/>
        <v>0.18190864036156976</v>
      </c>
      <c r="L81" s="116">
        <f t="shared" si="30"/>
        <v>0.13706273503642943</v>
      </c>
      <c r="M81" s="41"/>
      <c r="N81" s="12">
        <f t="shared" si="31"/>
        <v>0.18563157048594295</v>
      </c>
      <c r="O81" s="12">
        <f t="shared" si="32"/>
        <v>0.14662361618239386</v>
      </c>
      <c r="P81" s="41"/>
      <c r="Q81" s="12">
        <f t="shared" si="33"/>
        <v>0.18859425964977444</v>
      </c>
      <c r="R81" s="12">
        <f t="shared" si="34"/>
        <v>0.14827736614570547</v>
      </c>
      <c r="S81" s="41"/>
      <c r="T81" s="12">
        <f t="shared" si="35"/>
        <v>0.1872838425658758</v>
      </c>
      <c r="U81" s="12">
        <f t="shared" si="36"/>
        <v>0.15302966947501123</v>
      </c>
      <c r="V81" s="41"/>
      <c r="W81" s="58">
        <f t="shared" si="37"/>
        <v>0.18932779647475517</v>
      </c>
      <c r="X81" s="58">
        <f t="shared" si="38"/>
        <v>0.15340926930117116</v>
      </c>
      <c r="Y81" s="41"/>
      <c r="Z81" s="12">
        <f t="shared" si="39"/>
        <v>0.19099491221599946</v>
      </c>
      <c r="AA81" s="12">
        <f t="shared" si="40"/>
        <v>0.1571173302381369</v>
      </c>
      <c r="AB81" s="41"/>
      <c r="AC81" s="12">
        <f t="shared" si="41"/>
        <v>0.19126814280705182</v>
      </c>
      <c r="AD81" s="12">
        <f t="shared" si="42"/>
        <v>0.1571173302381369</v>
      </c>
      <c r="AE81" s="41"/>
      <c r="AF81" s="12">
        <f t="shared" si="43"/>
        <v>0.18896498835599976</v>
      </c>
      <c r="AG81" s="12">
        <f t="shared" si="44"/>
        <v>0.1571173302381369</v>
      </c>
      <c r="AH81" s="41"/>
      <c r="AI81" s="12">
        <f t="shared" si="45"/>
        <v>0.18852879337369988</v>
      </c>
      <c r="AJ81" s="12">
        <f t="shared" si="46"/>
        <v>0.1571173302381369</v>
      </c>
      <c r="AK81" s="41"/>
      <c r="AL81" s="15"/>
      <c r="AM81" s="124">
        <f t="shared" si="49"/>
        <v>-3.3877581977862559E-2</v>
      </c>
      <c r="AO81" s="44">
        <f t="shared" si="47"/>
        <v>0.19099491221599946</v>
      </c>
      <c r="AP81" s="44">
        <f t="shared" si="48"/>
        <v>0.1571173302381369</v>
      </c>
    </row>
    <row r="82" spans="1:46" s="13" customFormat="1" ht="15.5">
      <c r="A82" s="26" t="s">
        <v>13</v>
      </c>
      <c r="B82" s="12">
        <f t="shared" si="23"/>
        <v>0.18185808810369974</v>
      </c>
      <c r="C82" s="12">
        <f t="shared" si="24"/>
        <v>0.14911530528964592</v>
      </c>
      <c r="D82" s="41"/>
      <c r="E82" s="12">
        <f t="shared" si="25"/>
        <v>0.17897165442707721</v>
      </c>
      <c r="F82" s="12">
        <f t="shared" si="26"/>
        <v>0.16665879028980948</v>
      </c>
      <c r="G82" s="41"/>
      <c r="H82" s="111">
        <f t="shared" si="27"/>
        <v>0.1796219743480964</v>
      </c>
      <c r="I82" s="111">
        <f t="shared" si="28"/>
        <v>0.15914199119175787</v>
      </c>
      <c r="J82" s="41"/>
      <c r="K82" s="116">
        <f t="shared" si="29"/>
        <v>0.17813739064208306</v>
      </c>
      <c r="L82" s="116">
        <f t="shared" si="30"/>
        <v>0.14912709138055091</v>
      </c>
      <c r="M82" s="41"/>
      <c r="N82" s="12">
        <f t="shared" si="31"/>
        <v>0.17882633179512089</v>
      </c>
      <c r="O82" s="12">
        <f t="shared" si="32"/>
        <v>0.14414751269516912</v>
      </c>
      <c r="P82" s="41"/>
      <c r="Q82" s="12">
        <f t="shared" si="33"/>
        <v>0.18180248250500555</v>
      </c>
      <c r="R82" s="12">
        <f t="shared" si="34"/>
        <v>0.13977135769451807</v>
      </c>
      <c r="S82" s="41"/>
      <c r="T82" s="12">
        <f t="shared" si="35"/>
        <v>0.18336080090369028</v>
      </c>
      <c r="U82" s="12">
        <f t="shared" si="36"/>
        <v>0.12931428243597895</v>
      </c>
      <c r="V82" s="41"/>
      <c r="W82" s="58">
        <f t="shared" si="37"/>
        <v>0.18658170256134529</v>
      </c>
      <c r="X82" s="58">
        <f t="shared" si="38"/>
        <v>0.13384444903244808</v>
      </c>
      <c r="Y82" s="41"/>
      <c r="Z82" s="12">
        <f t="shared" si="39"/>
        <v>0.19030705131019973</v>
      </c>
      <c r="AA82" s="12">
        <f t="shared" si="40"/>
        <v>0.13548860514768354</v>
      </c>
      <c r="AB82" s="41"/>
      <c r="AC82" s="12">
        <f t="shared" si="41"/>
        <v>0.19376019552675863</v>
      </c>
      <c r="AD82" s="12">
        <f t="shared" si="42"/>
        <v>0.13548860514768354</v>
      </c>
      <c r="AE82" s="41"/>
      <c r="AF82" s="12">
        <f t="shared" si="43"/>
        <v>0.19689944754743596</v>
      </c>
      <c r="AG82" s="12">
        <f t="shared" si="44"/>
        <v>0.13548860514768354</v>
      </c>
      <c r="AH82" s="41"/>
      <c r="AI82" s="12">
        <f t="shared" si="45"/>
        <v>0.20222353825666126</v>
      </c>
      <c r="AJ82" s="12">
        <f t="shared" si="46"/>
        <v>0.13548860514768354</v>
      </c>
      <c r="AK82" s="41"/>
      <c r="AL82" s="15"/>
      <c r="AM82" s="124">
        <f t="shared" si="49"/>
        <v>-5.4818446162516188E-2</v>
      </c>
      <c r="AO82" s="44">
        <f t="shared" si="47"/>
        <v>0.19030705131019973</v>
      </c>
      <c r="AP82" s="44">
        <f t="shared" si="48"/>
        <v>0.13548860514768354</v>
      </c>
    </row>
    <row r="83" spans="1:46" s="13" customFormat="1" ht="15.5">
      <c r="A83" s="26" t="s">
        <v>14</v>
      </c>
      <c r="B83" s="12">
        <f t="shared" si="23"/>
        <v>0.19744746282273906</v>
      </c>
      <c r="C83" s="30">
        <f t="shared" si="24"/>
        <v>0.20078813483233199</v>
      </c>
      <c r="D83" s="41"/>
      <c r="E83" s="12">
        <f t="shared" si="25"/>
        <v>0.19634237673502986</v>
      </c>
      <c r="F83" s="30">
        <f t="shared" si="26"/>
        <v>0.21639512054573418</v>
      </c>
      <c r="G83" s="41"/>
      <c r="H83" s="111">
        <f t="shared" si="27"/>
        <v>0.19429191405738716</v>
      </c>
      <c r="I83" s="108">
        <f t="shared" si="28"/>
        <v>0.20516923228111683</v>
      </c>
      <c r="J83" s="41"/>
      <c r="K83" s="116">
        <f t="shared" si="29"/>
        <v>0.18908202295609924</v>
      </c>
      <c r="L83" s="117">
        <f t="shared" si="30"/>
        <v>0.20169511008446042</v>
      </c>
      <c r="M83" s="41"/>
      <c r="N83" s="12">
        <f t="shared" si="31"/>
        <v>0.18697475481746353</v>
      </c>
      <c r="O83" s="30">
        <f t="shared" si="32"/>
        <v>0.20561342472177005</v>
      </c>
      <c r="P83" s="41"/>
      <c r="Q83" s="12">
        <f t="shared" si="33"/>
        <v>0.18815527577371347</v>
      </c>
      <c r="R83" s="30">
        <f t="shared" si="34"/>
        <v>0.20728468568003466</v>
      </c>
      <c r="S83" s="41"/>
      <c r="T83" s="12">
        <f t="shared" si="35"/>
        <v>0.18696192845350787</v>
      </c>
      <c r="U83" s="30">
        <f t="shared" si="36"/>
        <v>0.20725052134420102</v>
      </c>
      <c r="V83" s="41"/>
      <c r="W83" s="58">
        <f t="shared" si="37"/>
        <v>0.18950155486587938</v>
      </c>
      <c r="X83" s="109">
        <f t="shared" si="38"/>
        <v>0.21099526971310151</v>
      </c>
      <c r="Y83" s="41"/>
      <c r="Z83" s="12">
        <f>Z40/Z13</f>
        <v>0.19134636604494401</v>
      </c>
      <c r="AA83" s="30">
        <f>IFERROR((AA40/AA13),"")</f>
        <v>0.2118795659497737</v>
      </c>
      <c r="AB83" s="41"/>
      <c r="AC83" s="12">
        <f>AC40/AC13</f>
        <v>0.19067499039893418</v>
      </c>
      <c r="AD83" s="30">
        <f>IFERROR((AD40/AD13),"")</f>
        <v>0.2118795659497737</v>
      </c>
      <c r="AE83" s="41"/>
      <c r="AF83" s="12">
        <f>AF40/AF13</f>
        <v>0.19163450629313819</v>
      </c>
      <c r="AG83" s="30">
        <f>IFERROR((AG40/AG13),"")</f>
        <v>0.2118795659497737</v>
      </c>
      <c r="AH83" s="41"/>
      <c r="AI83" s="12">
        <f>AI40/AI13</f>
        <v>0.19157216992302245</v>
      </c>
      <c r="AJ83" s="30">
        <f>IFERROR((AJ40/AJ13),"")</f>
        <v>0.2118795659497737</v>
      </c>
      <c r="AK83" s="41"/>
      <c r="AL83" s="15"/>
      <c r="AM83" s="124">
        <f t="shared" si="49"/>
        <v>2.0533199904829685E-2</v>
      </c>
      <c r="AO83" s="44">
        <f t="shared" si="47"/>
        <v>0.19134636604494401</v>
      </c>
      <c r="AP83" s="44">
        <f t="shared" si="48"/>
        <v>0.2118795659497737</v>
      </c>
    </row>
    <row r="84" spans="1:46" s="13" customFormat="1" ht="15.5">
      <c r="A84" s="26" t="s">
        <v>15</v>
      </c>
      <c r="B84" s="12">
        <f t="shared" si="23"/>
        <v>0.12840117851533356</v>
      </c>
      <c r="C84" s="12">
        <f t="shared" si="24"/>
        <v>0.12027403073497246</v>
      </c>
      <c r="D84" s="41"/>
      <c r="E84" s="12">
        <f t="shared" si="25"/>
        <v>0.14562505775783369</v>
      </c>
      <c r="F84" s="12">
        <f t="shared" si="26"/>
        <v>0.14975548888118839</v>
      </c>
      <c r="G84" s="41"/>
      <c r="H84" s="111">
        <f t="shared" si="27"/>
        <v>0.17408821215528911</v>
      </c>
      <c r="I84" s="111">
        <f t="shared" si="28"/>
        <v>0.16500017846032583</v>
      </c>
      <c r="J84" s="41"/>
      <c r="K84" s="116">
        <f t="shared" si="29"/>
        <v>0.16229292241941057</v>
      </c>
      <c r="L84" s="116">
        <f t="shared" si="30"/>
        <v>0.1706111950759589</v>
      </c>
      <c r="M84" s="41"/>
      <c r="N84" s="12">
        <f t="shared" si="31"/>
        <v>0.16200900917721298</v>
      </c>
      <c r="O84" s="12">
        <f t="shared" si="32"/>
        <v>0.17451065785148961</v>
      </c>
      <c r="P84" s="41"/>
      <c r="Q84" s="12">
        <f t="shared" si="33"/>
        <v>0.16514515948197378</v>
      </c>
      <c r="R84" s="12">
        <f t="shared" si="34"/>
        <v>0.17533354910705151</v>
      </c>
      <c r="S84" s="41"/>
      <c r="T84" s="12">
        <f t="shared" si="35"/>
        <v>0.16014863203568042</v>
      </c>
      <c r="U84" s="12">
        <f t="shared" si="36"/>
        <v>0.17716000727411765</v>
      </c>
      <c r="V84" s="41"/>
      <c r="W84" s="58">
        <f t="shared" si="37"/>
        <v>0.15060662208834108</v>
      </c>
      <c r="X84" s="58">
        <f t="shared" si="38"/>
        <v>0.17529941101346239</v>
      </c>
      <c r="Y84" s="41"/>
      <c r="Z84" s="12">
        <f t="shared" si="39"/>
        <v>0.16189804960772761</v>
      </c>
      <c r="AA84" s="12">
        <f t="shared" si="40"/>
        <v>0.18440815314268269</v>
      </c>
      <c r="AB84" s="41"/>
      <c r="AC84" s="12">
        <f t="shared" si="41"/>
        <v>0.16370246024974996</v>
      </c>
      <c r="AD84" s="12">
        <f t="shared" si="42"/>
        <v>0.18440815314268269</v>
      </c>
      <c r="AE84" s="41"/>
      <c r="AF84" s="12">
        <f t="shared" si="43"/>
        <v>0.1658451707996936</v>
      </c>
      <c r="AG84" s="12">
        <f t="shared" si="44"/>
        <v>0.18440815314268269</v>
      </c>
      <c r="AH84" s="41"/>
      <c r="AI84" s="12">
        <f t="shared" si="45"/>
        <v>0.16595898818475857</v>
      </c>
      <c r="AJ84" s="12">
        <f t="shared" si="46"/>
        <v>0.18440815314268269</v>
      </c>
      <c r="AK84" s="41"/>
      <c r="AL84" s="15"/>
      <c r="AM84" s="124">
        <f t="shared" si="49"/>
        <v>2.2510103534955084E-2</v>
      </c>
      <c r="AO84" s="44">
        <f t="shared" si="47"/>
        <v>0.16189804960772761</v>
      </c>
      <c r="AP84" s="44">
        <f t="shared" si="48"/>
        <v>0.18440815314268269</v>
      </c>
    </row>
    <row r="85" spans="1:46" s="13" customFormat="1" ht="15.5">
      <c r="A85" s="26" t="s">
        <v>16</v>
      </c>
      <c r="B85" s="12">
        <f t="shared" si="23"/>
        <v>0.22286986930705016</v>
      </c>
      <c r="C85" s="12">
        <f t="shared" si="24"/>
        <v>0.22598724757203748</v>
      </c>
      <c r="D85" s="41"/>
      <c r="E85" s="12">
        <f t="shared" si="25"/>
        <v>0.23241991019293423</v>
      </c>
      <c r="F85" s="12">
        <f t="shared" si="26"/>
        <v>0.25391548232359884</v>
      </c>
      <c r="G85" s="41"/>
      <c r="H85" s="111">
        <f t="shared" si="27"/>
        <v>0.24429723894536867</v>
      </c>
      <c r="I85" s="111">
        <f t="shared" si="28"/>
        <v>0.2542305732980108</v>
      </c>
      <c r="J85" s="41"/>
      <c r="K85" s="116">
        <f t="shared" si="29"/>
        <v>0.24883639042755742</v>
      </c>
      <c r="L85" s="116">
        <f t="shared" si="30"/>
        <v>0.2683212961568015</v>
      </c>
      <c r="M85" s="41"/>
      <c r="N85" s="12">
        <f t="shared" si="31"/>
        <v>0.2540392552298778</v>
      </c>
      <c r="O85" s="12">
        <f t="shared" si="32"/>
        <v>0.26757946226848489</v>
      </c>
      <c r="P85" s="41"/>
      <c r="Q85" s="12">
        <f t="shared" si="33"/>
        <v>0.25391312887543183</v>
      </c>
      <c r="R85" s="12">
        <f t="shared" si="34"/>
        <v>0.26851891383574022</v>
      </c>
      <c r="S85" s="41"/>
      <c r="T85" s="12">
        <f t="shared" si="35"/>
        <v>0.25135365389181125</v>
      </c>
      <c r="U85" s="12">
        <f t="shared" si="36"/>
        <v>0.27608760152834039</v>
      </c>
      <c r="V85" s="41"/>
      <c r="W85" s="58">
        <f t="shared" si="37"/>
        <v>0.24313595645075053</v>
      </c>
      <c r="X85" s="58">
        <f>IFERROR((X42/X15),"")</f>
        <v>0.27631528412854278</v>
      </c>
      <c r="Y85" s="41"/>
      <c r="Z85" s="12">
        <f>Z42/Z15</f>
        <v>0.24919076186953326</v>
      </c>
      <c r="AA85" s="12">
        <f>IFERROR((AA42/AA15),"")</f>
        <v>0.28649014697750291</v>
      </c>
      <c r="AB85" s="41"/>
      <c r="AC85" s="12">
        <f>AC42/AC15</f>
        <v>0.25239598548153785</v>
      </c>
      <c r="AD85" s="12">
        <f>IFERROR((AD42/AD15),"")</f>
        <v>0.28649014697750291</v>
      </c>
      <c r="AE85" s="41"/>
      <c r="AF85" s="12">
        <f>AF42/AF15</f>
        <v>0.25497784441704552</v>
      </c>
      <c r="AG85" s="12">
        <f>IFERROR((AG42/AG15),"")</f>
        <v>0.28649014697750291</v>
      </c>
      <c r="AH85" s="41"/>
      <c r="AI85" s="12">
        <f>AI42/AI15</f>
        <v>0.25349956010109337</v>
      </c>
      <c r="AJ85" s="12">
        <f>IFERROR((AJ42/AJ15),"")</f>
        <v>0.28649014697750291</v>
      </c>
      <c r="AK85" s="41"/>
      <c r="AL85" s="15"/>
      <c r="AM85" s="124">
        <f t="shared" si="49"/>
        <v>3.7299385107969651E-2</v>
      </c>
      <c r="AO85" s="44">
        <f t="shared" si="47"/>
        <v>0.24919076186953326</v>
      </c>
      <c r="AP85" s="44">
        <f t="shared" si="48"/>
        <v>0.28649014697750291</v>
      </c>
    </row>
    <row r="86" spans="1:46" s="13" customFormat="1" ht="15.5">
      <c r="A86" s="26" t="s">
        <v>17</v>
      </c>
      <c r="B86" s="12">
        <f t="shared" si="23"/>
        <v>0.15089381136549465</v>
      </c>
      <c r="C86" s="12">
        <f t="shared" si="24"/>
        <v>0.13316144218245424</v>
      </c>
      <c r="D86" s="41"/>
      <c r="E86" s="12">
        <f t="shared" si="25"/>
        <v>0.15242151121821321</v>
      </c>
      <c r="F86" s="12">
        <f t="shared" si="26"/>
        <v>0.11089030779415424</v>
      </c>
      <c r="G86" s="41"/>
      <c r="H86" s="111">
        <f t="shared" si="27"/>
        <v>0.14329414766600582</v>
      </c>
      <c r="I86" s="111">
        <f t="shared" si="28"/>
        <v>0.10747034217888521</v>
      </c>
      <c r="J86" s="41"/>
      <c r="K86" s="116">
        <f t="shared" si="29"/>
        <v>0.14072897805710713</v>
      </c>
      <c r="L86" s="116">
        <f t="shared" si="30"/>
        <v>0.10428750608421923</v>
      </c>
      <c r="M86" s="41"/>
      <c r="N86" s="12">
        <f t="shared" si="31"/>
        <v>0.14547916488892182</v>
      </c>
      <c r="O86" s="12">
        <f t="shared" si="32"/>
        <v>0.1160967640817627</v>
      </c>
      <c r="P86" s="41"/>
      <c r="Q86" s="12">
        <f t="shared" si="33"/>
        <v>0.14070091761788889</v>
      </c>
      <c r="R86" s="12">
        <f t="shared" si="34"/>
        <v>0.11547413764198598</v>
      </c>
      <c r="S86" s="41"/>
      <c r="T86" s="12">
        <f t="shared" si="35"/>
        <v>0.14508485483169659</v>
      </c>
      <c r="U86" s="12">
        <f t="shared" si="36"/>
        <v>0.11700560563259502</v>
      </c>
      <c r="V86" s="41"/>
      <c r="W86" s="58">
        <f t="shared" si="37"/>
        <v>0.13950475148631666</v>
      </c>
      <c r="X86" s="58">
        <f t="shared" si="38"/>
        <v>0.11520142162200879</v>
      </c>
      <c r="Y86" s="41"/>
      <c r="Z86" s="12">
        <f t="shared" si="39"/>
        <v>0.14558512735209445</v>
      </c>
      <c r="AA86" s="12">
        <f t="shared" si="40"/>
        <v>0.12239614343920802</v>
      </c>
      <c r="AB86" s="41"/>
      <c r="AC86" s="12">
        <f t="shared" si="41"/>
        <v>0.14812112679712086</v>
      </c>
      <c r="AD86" s="12">
        <f t="shared" si="42"/>
        <v>0.12239614343920802</v>
      </c>
      <c r="AE86" s="41"/>
      <c r="AF86" s="12">
        <f t="shared" si="43"/>
        <v>0.15065980576196886</v>
      </c>
      <c r="AG86" s="12">
        <f t="shared" si="44"/>
        <v>0.12239614343920802</v>
      </c>
      <c r="AH86" s="41"/>
      <c r="AI86" s="12">
        <f t="shared" si="45"/>
        <v>0.15117997978150194</v>
      </c>
      <c r="AJ86" s="12">
        <f t="shared" si="46"/>
        <v>0.12239614343920802</v>
      </c>
      <c r="AK86" s="41"/>
      <c r="AL86" s="15"/>
      <c r="AM86" s="124">
        <f t="shared" si="49"/>
        <v>-2.3188983912886429E-2</v>
      </c>
      <c r="AO86" s="44">
        <f t="shared" si="47"/>
        <v>0.14558512735209445</v>
      </c>
      <c r="AP86" s="44">
        <f t="shared" si="48"/>
        <v>0.12239614343920802</v>
      </c>
      <c r="AR86" s="271"/>
      <c r="AS86" s="271"/>
    </row>
    <row r="87" spans="1:46" s="13" customFormat="1" ht="15.5">
      <c r="A87" s="26"/>
      <c r="B87" s="12"/>
      <c r="C87" s="12" t="str">
        <f t="shared" si="24"/>
        <v/>
      </c>
      <c r="D87" s="41"/>
      <c r="E87" s="12"/>
      <c r="F87" s="12" t="str">
        <f t="shared" si="26"/>
        <v/>
      </c>
      <c r="G87" s="41"/>
      <c r="H87" s="12"/>
      <c r="I87" s="12" t="str">
        <f t="shared" si="28"/>
        <v/>
      </c>
      <c r="J87" s="41"/>
      <c r="K87" s="12"/>
      <c r="L87" s="12">
        <f t="shared" si="30"/>
        <v>0</v>
      </c>
      <c r="M87" s="41"/>
      <c r="N87" s="12"/>
      <c r="O87" s="12" t="str">
        <f t="shared" si="32"/>
        <v/>
      </c>
      <c r="P87" s="41"/>
      <c r="Q87" s="12"/>
      <c r="R87" s="12" t="str">
        <f t="shared" si="34"/>
        <v/>
      </c>
      <c r="S87" s="41"/>
      <c r="T87" s="12"/>
      <c r="U87" s="12" t="str">
        <f t="shared" si="36"/>
        <v/>
      </c>
      <c r="V87" s="41"/>
      <c r="W87" s="12"/>
      <c r="X87" s="12" t="str">
        <f t="shared" si="38"/>
        <v/>
      </c>
      <c r="Y87" s="41"/>
      <c r="Z87" s="12"/>
      <c r="AA87" s="294">
        <f>AA88-Z88</f>
        <v>1929908.020292379</v>
      </c>
      <c r="AB87" s="41"/>
      <c r="AC87" s="12"/>
      <c r="AD87" s="294">
        <f>AD88-AC88</f>
        <v>4809232.6039605029</v>
      </c>
      <c r="AE87" s="41"/>
      <c r="AF87" s="12"/>
      <c r="AG87" s="294">
        <f>AG88-AF88</f>
        <v>7629746.4541574121</v>
      </c>
      <c r="AH87" s="41"/>
      <c r="AI87" s="12"/>
      <c r="AJ87" s="12" t="str">
        <f t="shared" si="46"/>
        <v/>
      </c>
      <c r="AK87" s="41"/>
      <c r="AL87" s="15"/>
      <c r="AM87" s="22"/>
      <c r="AO87" s="44">
        <f t="shared" si="47"/>
        <v>0</v>
      </c>
      <c r="AP87" s="44">
        <f t="shared" si="48"/>
        <v>1929908.020292379</v>
      </c>
      <c r="AR87" s="271"/>
      <c r="AS87" s="271"/>
    </row>
    <row r="88" spans="1:46" s="44" customFormat="1" ht="15.5">
      <c r="A88" s="31" t="s">
        <v>67</v>
      </c>
      <c r="B88" s="32">
        <f>'A -Döviz'!B88</f>
        <v>-2743941.9655314544</v>
      </c>
      <c r="C88" s="32">
        <f>'A -Döviz'!C88</f>
        <v>-2658838.1060562544</v>
      </c>
      <c r="D88" s="18"/>
      <c r="E88" s="32">
        <f>B88+'A -Döviz'!E88</f>
        <v>-5521627.1383040622</v>
      </c>
      <c r="F88" s="32">
        <f>C88+'A -Döviz'!F88</f>
        <v>-5544549.6854451466</v>
      </c>
      <c r="G88" s="7">
        <f>F88-E88</f>
        <v>-22922.547141084448</v>
      </c>
      <c r="H88" s="32">
        <f>E88+'A -Döviz'!H88</f>
        <v>-8532302.1185932364</v>
      </c>
      <c r="I88" s="32">
        <f>F88+'A -Döviz'!I88</f>
        <v>-8347831.64074184</v>
      </c>
      <c r="J88" s="18"/>
      <c r="K88" s="32">
        <f>H88+'A -Döviz'!K88</f>
        <v>-11641752.382658374</v>
      </c>
      <c r="L88" s="32">
        <f>I88+'A -Döviz'!L88</f>
        <v>-11497338.584146606</v>
      </c>
      <c r="M88" s="18"/>
      <c r="N88" s="32">
        <f>K88+'A -Döviz'!N88</f>
        <v>-14558891.791060485</v>
      </c>
      <c r="O88" s="32">
        <f>L88+'A -Döviz'!O88</f>
        <v>-14351195.471151838</v>
      </c>
      <c r="P88" s="18"/>
      <c r="Q88" s="32">
        <f>N88+'A -Döviz'!Q88</f>
        <v>-17429729.210815836</v>
      </c>
      <c r="R88" s="32">
        <f>O88+'A -Döviz'!R88</f>
        <v>-16834752.388881709</v>
      </c>
      <c r="S88" s="18"/>
      <c r="T88" s="32">
        <f>Q88+'A -Döviz'!T88</f>
        <v>-20243936.210602306</v>
      </c>
      <c r="U88" s="32">
        <f>R88+'A -Döviz'!U88</f>
        <v>-19314741.197375461</v>
      </c>
      <c r="V88" s="18"/>
      <c r="W88" s="32">
        <f>T88+'A -Döviz'!W88</f>
        <v>-22896034.549962871</v>
      </c>
      <c r="X88" s="32">
        <f>U88+'A -Döviz'!X88</f>
        <v>-21539893.631799113</v>
      </c>
      <c r="Y88" s="18"/>
      <c r="Z88" s="32">
        <f>W88+'A -Döviz'!Z88</f>
        <v>-25829239.598103706</v>
      </c>
      <c r="AA88" s="32">
        <f>X88+'A -Döviz'!AA88</f>
        <v>-23899331.577811327</v>
      </c>
      <c r="AB88" s="18"/>
      <c r="AC88" s="32">
        <f>Z88+'A -Döviz'!AC88</f>
        <v>-28708564.18177183</v>
      </c>
      <c r="AD88" s="32">
        <f>AA88+'A -Döviz'!AD88</f>
        <v>-23899331.577811327</v>
      </c>
      <c r="AE88" s="18"/>
      <c r="AF88" s="32">
        <f>AC88+'A -Döviz'!AF88</f>
        <v>-31529078.031968739</v>
      </c>
      <c r="AG88" s="32">
        <f>AD88+'A -Döviz'!AG88</f>
        <v>-23899331.577811327</v>
      </c>
      <c r="AH88" s="18"/>
      <c r="AI88" s="32">
        <f>AF88+'A -Döviz'!AI88</f>
        <v>-34861555.870865881</v>
      </c>
      <c r="AJ88" s="32">
        <f>AG88+'A -Döviz'!AJ88</f>
        <v>-23899331.577811327</v>
      </c>
      <c r="AK88" s="18"/>
      <c r="AL88" s="33">
        <f>AP88-AO88</f>
        <v>1929908.020292379</v>
      </c>
      <c r="AM88" s="34">
        <f>AP88/AO88-1</f>
        <v>-7.4717957257791956E-2</v>
      </c>
      <c r="AO88" s="44">
        <f t="shared" si="47"/>
        <v>-25829239.598103706</v>
      </c>
      <c r="AP88" s="44">
        <f t="shared" si="48"/>
        <v>-23899331.577811327</v>
      </c>
      <c r="AR88" s="272"/>
      <c r="AS88" s="272"/>
    </row>
    <row r="89" spans="1:46" s="13" customFormat="1" ht="15.5">
      <c r="A89" s="27"/>
      <c r="B89" s="109">
        <f t="shared" ref="B89:C89" si="50">-B88/B6</f>
        <v>9.9414490467053362E-2</v>
      </c>
      <c r="C89" s="109">
        <f t="shared" si="50"/>
        <v>8.8016513906165939E-2</v>
      </c>
      <c r="D89" s="41"/>
      <c r="E89" s="109">
        <f>-E88/E6</f>
        <v>9.9129607312909443E-2</v>
      </c>
      <c r="F89" s="109">
        <f>-F88/F6</f>
        <v>9.6763675588275658E-2</v>
      </c>
      <c r="G89" s="41"/>
      <c r="H89" s="109">
        <f>-H88/H6</f>
        <v>9.8293410777326021E-2</v>
      </c>
      <c r="I89" s="109">
        <f>-I88/I6</f>
        <v>9.7839035078127731E-2</v>
      </c>
      <c r="J89" s="41"/>
      <c r="K89" s="109">
        <f>-K88/K30</f>
        <v>0.10061470323544949</v>
      </c>
      <c r="L89" s="109">
        <f>-L88/L30</f>
        <v>0.10272390778790079</v>
      </c>
      <c r="M89" s="41"/>
      <c r="N89" s="108">
        <f>-N88/N30</f>
        <v>9.9920570428981365E-2</v>
      </c>
      <c r="O89" s="108">
        <f>-O88/O30</f>
        <v>0.10234470409527391</v>
      </c>
      <c r="P89" s="41"/>
      <c r="Q89" s="108">
        <f>-Q88/Q30</f>
        <v>9.9698323182774287E-2</v>
      </c>
      <c r="R89" s="108">
        <f>-R88/R30</f>
        <v>0.10268685975068134</v>
      </c>
      <c r="S89" s="41"/>
      <c r="T89" s="117">
        <f>-T88/T30</f>
        <v>9.8906540554730041E-2</v>
      </c>
      <c r="U89" s="117">
        <f>-U88/U30</f>
        <v>0.10104846081063923</v>
      </c>
      <c r="V89" s="41"/>
      <c r="W89" s="109">
        <f>-W88/W30</f>
        <v>9.9114044841660379E-2</v>
      </c>
      <c r="X89" s="109">
        <f>-X88/X30</f>
        <v>0.1010949487208038</v>
      </c>
      <c r="Y89" s="41"/>
      <c r="Z89" s="109">
        <f>-Z88/Z30</f>
        <v>9.7882140618206506E-2</v>
      </c>
      <c r="AA89" s="109">
        <f>-AA88/AA30</f>
        <v>9.9905109112005605E-2</v>
      </c>
      <c r="AB89" s="41"/>
      <c r="AC89" s="109">
        <f>-AC88/AC30</f>
        <v>9.6691364522909828E-2</v>
      </c>
      <c r="AD89" s="109">
        <f>-AD88/AD30</f>
        <v>9.9905109112005605E-2</v>
      </c>
      <c r="AE89" s="41"/>
      <c r="AF89" s="109">
        <f>-AF88/AF30</f>
        <v>9.5949391062756267E-2</v>
      </c>
      <c r="AG89" s="109">
        <f>-AG88/AG30</f>
        <v>9.9905109112005605E-2</v>
      </c>
      <c r="AH89" s="41"/>
      <c r="AI89" s="30">
        <f>-AI88/AI30</f>
        <v>9.7560995673123665E-2</v>
      </c>
      <c r="AJ89" s="30">
        <f>-AJ88/AJ30</f>
        <v>9.9905109112005605E-2</v>
      </c>
      <c r="AK89" s="41"/>
      <c r="AL89" s="15"/>
      <c r="AM89" s="113">
        <f>AP89/AO89-1</f>
        <v>2.0667391221957265E-2</v>
      </c>
      <c r="AO89" s="44">
        <f>IF($A$1=$B$1,B89,IF($A$1=$E$1,E89,IF($A$1=$H$1,H89,IF($A$1=$K$1,K89,IF($A$1=$N$1,N89,IF($A$1=$Q$1,Q89,IF($A$1=$T$1,T89,IF($A$1=$W$1,W89,IF($A$1=$Z$1,Z89,IF($A$1=$AC$1,AC89,IF($A$1=$AF$1,AF89,IF($A$1=$AI$1,AI89))))))))))))</f>
        <v>9.7882140618206506E-2</v>
      </c>
      <c r="AP89" s="44">
        <f t="shared" si="48"/>
        <v>9.9905109112005605E-2</v>
      </c>
    </row>
    <row r="90" spans="1:46" s="49" customFormat="1" ht="17">
      <c r="A90" s="47" t="s">
        <v>68</v>
      </c>
      <c r="B90" s="413"/>
      <c r="C90" s="413"/>
      <c r="D90" s="413"/>
      <c r="E90" s="413"/>
      <c r="F90" s="413"/>
      <c r="G90" s="413"/>
      <c r="H90" s="413"/>
      <c r="I90" s="413"/>
      <c r="J90" s="413"/>
      <c r="K90" s="413"/>
      <c r="L90" s="413"/>
      <c r="M90" s="413"/>
      <c r="N90" s="413"/>
      <c r="O90" s="413"/>
      <c r="P90" s="413"/>
      <c r="Q90" s="413"/>
      <c r="R90" s="413"/>
      <c r="S90" s="413"/>
      <c r="T90" s="413"/>
      <c r="U90" s="413"/>
      <c r="V90" s="413"/>
      <c r="W90" s="413"/>
      <c r="X90" s="413"/>
      <c r="Y90" s="413"/>
      <c r="Z90" s="413"/>
      <c r="AA90" s="413"/>
      <c r="AB90" s="413"/>
      <c r="AC90" s="413"/>
      <c r="AD90" s="413"/>
      <c r="AE90" s="413"/>
      <c r="AF90" s="413"/>
      <c r="AG90" s="413"/>
      <c r="AH90" s="413"/>
      <c r="AI90" s="413"/>
      <c r="AJ90" s="413"/>
      <c r="AK90" s="413"/>
      <c r="AL90" s="413"/>
      <c r="AM90" s="48"/>
      <c r="AR90" s="110">
        <f>SUM(AR91:AR98)</f>
        <v>-31529078.031968739</v>
      </c>
      <c r="AS90" s="110">
        <f>SUM(AS91:AS98)</f>
        <v>-23899331.577811323</v>
      </c>
      <c r="AT90" s="110">
        <f>AS90-AR90</f>
        <v>7629746.4541574158</v>
      </c>
    </row>
    <row r="91" spans="1:46" ht="15.5">
      <c r="A91" s="26" t="s">
        <v>10</v>
      </c>
      <c r="B91" s="7">
        <f>'A -Döviz'!B91</f>
        <v>-378639.3301026047</v>
      </c>
      <c r="C91" s="7">
        <f>'A -Döviz'!C91</f>
        <v>-379095.49200077966</v>
      </c>
      <c r="D91" s="7"/>
      <c r="E91" s="7">
        <f>B91+'A -Döviz'!E91</f>
        <v>-738209.9067529646</v>
      </c>
      <c r="F91" s="7">
        <f>C91+'A -Döviz'!F91</f>
        <v>-793711.6435602433</v>
      </c>
      <c r="G91" s="7">
        <f>F91-E91</f>
        <v>-55501.736807278707</v>
      </c>
      <c r="H91" s="7">
        <f>E91+'A -Döviz'!H91</f>
        <v>-1212286.944416275</v>
      </c>
      <c r="I91" s="7">
        <f>F91+'A -Döviz'!I91</f>
        <v>-1245778.2503651383</v>
      </c>
      <c r="J91" s="7"/>
      <c r="K91" s="7">
        <f>H91+'A -Döviz'!K91</f>
        <v>-1617862.7267997577</v>
      </c>
      <c r="L91" s="7">
        <f>I91+'A -Döviz'!L91</f>
        <v>-1800800.5475099569</v>
      </c>
      <c r="M91" s="7"/>
      <c r="N91" s="7">
        <f>K91+'A -Döviz'!N91</f>
        <v>-2046797.1431342047</v>
      </c>
      <c r="O91" s="7">
        <f>L91+'A -Döviz'!O91</f>
        <v>-2155617.9385224162</v>
      </c>
      <c r="P91" s="7"/>
      <c r="Q91" s="7">
        <f>N91+'A -Döviz'!Q91</f>
        <v>-2451420.9517062819</v>
      </c>
      <c r="R91" s="7">
        <f>O91+'A -Döviz'!R91</f>
        <v>-2526385.2823404409</v>
      </c>
      <c r="S91" s="7"/>
      <c r="T91" s="7">
        <f>Q91+'A -Döviz'!T91</f>
        <v>-2817514.4752379861</v>
      </c>
      <c r="U91" s="7">
        <f>R91+'A -Döviz'!U91</f>
        <v>-2908326.614727274</v>
      </c>
      <c r="V91" s="7"/>
      <c r="W91" s="7">
        <f>T91+'A -Döviz'!W91</f>
        <v>-3165234.4702185239</v>
      </c>
      <c r="X91" s="7">
        <f>U91+'A -Döviz'!X91</f>
        <v>-3221293.4976797355</v>
      </c>
      <c r="Y91" s="7"/>
      <c r="Z91" s="7">
        <f>W91+'A -Döviz'!Z91</f>
        <v>-3558852.1607876234</v>
      </c>
      <c r="AA91" s="7">
        <f>X91+'A -Döviz'!AA91</f>
        <v>-3532683.3936103657</v>
      </c>
      <c r="AB91" s="5">
        <f>Z91/AA91-1</f>
        <v>7.4076174571968689E-3</v>
      </c>
      <c r="AC91" s="7">
        <f>Z91+'A -Döviz'!AC91</f>
        <v>-3973902.2328236089</v>
      </c>
      <c r="AD91" s="7">
        <f>AA91+'A -Döviz'!AD91</f>
        <v>-3532683.3936103657</v>
      </c>
      <c r="AE91" s="7"/>
      <c r="AF91" s="7">
        <f>AC91+'A -Döviz'!AF91</f>
        <v>-4404258.7025707345</v>
      </c>
      <c r="AG91" s="7">
        <f>AD91+'A -Döviz'!AG91</f>
        <v>-3532683.3936103657</v>
      </c>
      <c r="AH91" s="7"/>
      <c r="AI91" s="7">
        <f>AF91+'A -Döviz'!AI91</f>
        <v>-5346784.8807264464</v>
      </c>
      <c r="AJ91" s="7">
        <f>AG91+'A -Döviz'!AJ91</f>
        <v>-3532683.3936103657</v>
      </c>
      <c r="AK91" s="7"/>
      <c r="AL91" s="21">
        <f t="shared" ref="AL91:AL98" si="51">AP91-AO91</f>
        <v>26168.767177257687</v>
      </c>
      <c r="AM91" s="22">
        <f t="shared" ref="AM91:AM98" si="52">AP91/AO91-1</f>
        <v>-7.3531481486058814E-3</v>
      </c>
      <c r="AO91" s="44">
        <f t="shared" ref="AO91:AP99" si="53">IF($A$1=$B$1,B91,IF($A$1=$E$1,E91,IF($A$1=$H$1,H91,IF($A$1=$K$1,K91,IF($A$1=$N$1,N91,IF($A$1=$Q$1,Q91,IF($A$1=$T$1,T91,IF($A$1=$W$1,W91,IF($A$1=$Z$1,Z91,IF($A$1=$AC$1,AC91,IF($A$1=$AF$1,AF91,IF($A$1=$AI$1,AI91))))))))))))</f>
        <v>-3558852.1607876234</v>
      </c>
      <c r="AP91" s="44">
        <f t="shared" si="53"/>
        <v>-3532683.3936103657</v>
      </c>
      <c r="AR91" s="94">
        <f t="shared" ref="AR91:AS93" si="54">AF91</f>
        <v>-4404258.7025707345</v>
      </c>
      <c r="AS91" s="94">
        <f t="shared" si="54"/>
        <v>-3532683.3936103657</v>
      </c>
      <c r="AT91" s="94">
        <f>AS91-AR91</f>
        <v>871575.30896036886</v>
      </c>
    </row>
    <row r="92" spans="1:46" ht="15.5">
      <c r="A92" s="26" t="s">
        <v>11</v>
      </c>
      <c r="B92" s="7">
        <f>'A -Döviz'!B92</f>
        <v>-172335.83968486081</v>
      </c>
      <c r="C92" s="7">
        <f>'A -Döviz'!C92</f>
        <v>-126365.65144000031</v>
      </c>
      <c r="D92" s="7"/>
      <c r="E92" s="7">
        <f>B92+'A -Döviz'!E92</f>
        <v>-336835.06268018513</v>
      </c>
      <c r="F92" s="7">
        <f>C92+'A -Döviz'!F92</f>
        <v>-289038.64129914739</v>
      </c>
      <c r="G92" s="7">
        <f t="shared" ref="G92:G98" si="55">F92-E92</f>
        <v>47796.421381037741</v>
      </c>
      <c r="H92" s="7">
        <f>E92+'A -Döviz'!H92</f>
        <v>-504757.4656885314</v>
      </c>
      <c r="I92" s="7">
        <f>F92+'A -Döviz'!I92</f>
        <v>-452585.52942776156</v>
      </c>
      <c r="J92" s="7"/>
      <c r="K92" s="7">
        <f>H92+'A -Döviz'!K92</f>
        <v>-677246.63412815938</v>
      </c>
      <c r="L92" s="7">
        <f>I92+'A -Döviz'!L92</f>
        <v>-590899.76936979231</v>
      </c>
      <c r="M92" s="7"/>
      <c r="N92" s="7">
        <f>K92+'A -Döviz'!N92</f>
        <v>-835256.26387663744</v>
      </c>
      <c r="O92" s="7">
        <f>L92+'A -Döviz'!O92</f>
        <v>-739396.31351301761</v>
      </c>
      <c r="P92" s="7"/>
      <c r="Q92" s="7">
        <f>N92+'A -Döviz'!Q92</f>
        <v>-996983.12456605094</v>
      </c>
      <c r="R92" s="7">
        <f>O92+'A -Döviz'!R92</f>
        <v>-899569.39710634563</v>
      </c>
      <c r="S92" s="7"/>
      <c r="T92" s="7">
        <f>Q92+'A -Döviz'!T92</f>
        <v>-1145499.7782499839</v>
      </c>
      <c r="U92" s="7">
        <f>R92+'A -Döviz'!U92</f>
        <v>-1042390.9713113941</v>
      </c>
      <c r="V92" s="7"/>
      <c r="W92" s="7">
        <f>T92+'A -Döviz'!W92</f>
        <v>-1277796.1163574483</v>
      </c>
      <c r="X92" s="7">
        <f>U92+'A -Döviz'!X92</f>
        <v>-1155815.6982734059</v>
      </c>
      <c r="Y92" s="7"/>
      <c r="Z92" s="7">
        <f>W92+'A -Döviz'!Z92</f>
        <v>-1416501.4447712835</v>
      </c>
      <c r="AA92" s="7">
        <f>X92+'A -Döviz'!AA92</f>
        <v>-1294509.5693446863</v>
      </c>
      <c r="AB92" s="5">
        <f t="shared" ref="AB92:AB98" si="56">Z92/AA92-1</f>
        <v>9.4237909332993697E-2</v>
      </c>
      <c r="AC92" s="7">
        <f>Z92+'A -Döviz'!AC92</f>
        <v>-1541552.8944732149</v>
      </c>
      <c r="AD92" s="7">
        <f>AA92+'A -Döviz'!AD92</f>
        <v>-1294509.5693446863</v>
      </c>
      <c r="AE92" s="7"/>
      <c r="AF92" s="7">
        <f>AC92+'A -Döviz'!AF92</f>
        <v>-1668688.9236819062</v>
      </c>
      <c r="AG92" s="7">
        <f>AD92+'A -Döviz'!AG92</f>
        <v>-1294509.5693446863</v>
      </c>
      <c r="AH92" s="7"/>
      <c r="AI92" s="7">
        <f>AF92+'A -Döviz'!AI92</f>
        <v>-1793803.1577145746</v>
      </c>
      <c r="AJ92" s="7">
        <f>AG92+'A -Döviz'!AJ92</f>
        <v>-1294509.5693446863</v>
      </c>
      <c r="AK92" s="7"/>
      <c r="AL92" s="21">
        <f t="shared" si="51"/>
        <v>121991.87542659719</v>
      </c>
      <c r="AM92" s="22">
        <f t="shared" si="52"/>
        <v>-8.6121956230192698E-2</v>
      </c>
      <c r="AO92" s="44">
        <f t="shared" si="53"/>
        <v>-1416501.4447712835</v>
      </c>
      <c r="AP92" s="44">
        <f t="shared" si="53"/>
        <v>-1294509.5693446863</v>
      </c>
      <c r="AR92" s="94">
        <f t="shared" si="54"/>
        <v>-1668688.9236819062</v>
      </c>
      <c r="AS92" s="94">
        <f t="shared" si="54"/>
        <v>-1294509.5693446863</v>
      </c>
      <c r="AT92" s="94">
        <f t="shared" ref="AT92:AT98" si="57">AS92-AR92</f>
        <v>374179.35433721985</v>
      </c>
    </row>
    <row r="93" spans="1:46" ht="15.5">
      <c r="A93" s="26" t="s">
        <v>12</v>
      </c>
      <c r="B93" s="7">
        <f>'A -Döviz'!B93</f>
        <v>-210929.61338291212</v>
      </c>
      <c r="C93" s="7">
        <f>'A -Döviz'!C93</f>
        <v>-121903.78336071088</v>
      </c>
      <c r="D93" s="7"/>
      <c r="E93" s="7">
        <f>B93+'A -Döviz'!E93</f>
        <v>-376882.78002546169</v>
      </c>
      <c r="F93" s="7">
        <f>C93+'A -Döviz'!F93</f>
        <v>-241628.84935902787</v>
      </c>
      <c r="G93" s="7">
        <f t="shared" si="55"/>
        <v>135253.93066643382</v>
      </c>
      <c r="H93" s="7">
        <f>E93+'A -Döviz'!H93</f>
        <v>-569204.85743305692</v>
      </c>
      <c r="I93" s="7">
        <f>F93+'A -Döviz'!I93</f>
        <v>-418872.72765709169</v>
      </c>
      <c r="J93" s="7"/>
      <c r="K93" s="7">
        <f>H93+'A -Döviz'!K93</f>
        <v>-781256.84215419355</v>
      </c>
      <c r="L93" s="7">
        <f>I93+'A -Döviz'!L93</f>
        <v>-560572.36353520351</v>
      </c>
      <c r="M93" s="7"/>
      <c r="N93" s="7">
        <f>K93+'A -Döviz'!N93</f>
        <v>-964072.46173367172</v>
      </c>
      <c r="O93" s="7">
        <f>L93+'A -Döviz'!O93</f>
        <v>-683189.08004132868</v>
      </c>
      <c r="P93" s="7"/>
      <c r="Q93" s="7">
        <f>N93+'A -Döviz'!Q93</f>
        <v>-1152766.2543559773</v>
      </c>
      <c r="R93" s="7">
        <f>O93+'A -Döviz'!R93</f>
        <v>-809979.78855507518</v>
      </c>
      <c r="S93" s="7"/>
      <c r="T93" s="7">
        <f>Q93+'A -Döviz'!T93</f>
        <v>-1351119.5026879287</v>
      </c>
      <c r="U93" s="7">
        <f>R93+'A -Döviz'!U93</f>
        <v>-953930.67638325074</v>
      </c>
      <c r="V93" s="7"/>
      <c r="W93" s="7">
        <f>T93+'A -Döviz'!W93</f>
        <v>-1544423.0205124943</v>
      </c>
      <c r="X93" s="7">
        <f>U93+'A -Döviz'!X93</f>
        <v>-1062235.9757686772</v>
      </c>
      <c r="Y93" s="7"/>
      <c r="Z93" s="7">
        <f>W93+'A -Döviz'!Z93</f>
        <v>-1757695.8085393934</v>
      </c>
      <c r="AA93" s="7">
        <f>X93+'A -Döviz'!AA93</f>
        <v>-1177760.0363250517</v>
      </c>
      <c r="AB93" s="5">
        <f t="shared" si="56"/>
        <v>0.49240571451541792</v>
      </c>
      <c r="AC93" s="7">
        <f>Z93+'A -Döviz'!AC93</f>
        <v>-1945145.6149978677</v>
      </c>
      <c r="AD93" s="7">
        <f>AA93+'A -Döviz'!AD93</f>
        <v>-1177760.0363250517</v>
      </c>
      <c r="AE93" s="7"/>
      <c r="AF93" s="7">
        <f>AC93+'A -Döviz'!AF93</f>
        <v>-2128071.1004754282</v>
      </c>
      <c r="AG93" s="7">
        <f>AD93+'A -Döviz'!AG93</f>
        <v>-1177760.0363250517</v>
      </c>
      <c r="AH93" s="7"/>
      <c r="AI93" s="7">
        <f>AF93+'A -Döviz'!AI93</f>
        <v>-2353642.1923957351</v>
      </c>
      <c r="AJ93" s="7">
        <f>AG93+'A -Döviz'!AJ93</f>
        <v>-1177760.0363250517</v>
      </c>
      <c r="AK93" s="7"/>
      <c r="AL93" s="21">
        <f t="shared" si="51"/>
        <v>579935.77221434168</v>
      </c>
      <c r="AM93" s="22">
        <f t="shared" si="52"/>
        <v>-0.32994092003681541</v>
      </c>
      <c r="AO93" s="44">
        <f t="shared" si="53"/>
        <v>-1757695.8085393934</v>
      </c>
      <c r="AP93" s="44">
        <f t="shared" si="53"/>
        <v>-1177760.0363250517</v>
      </c>
      <c r="AR93" s="94">
        <f t="shared" si="54"/>
        <v>-2128071.1004754282</v>
      </c>
      <c r="AS93" s="94">
        <f t="shared" si="54"/>
        <v>-1177760.0363250517</v>
      </c>
      <c r="AT93" s="94">
        <f t="shared" si="57"/>
        <v>950311.06415037648</v>
      </c>
    </row>
    <row r="94" spans="1:46" ht="15.5">
      <c r="A94" s="26" t="s">
        <v>13</v>
      </c>
      <c r="B94" s="7">
        <f>'A -Döviz'!B94</f>
        <v>-2063199.3176160427</v>
      </c>
      <c r="C94" s="7">
        <f>'A -Döviz'!C94</f>
        <v>-2081641.7654548122</v>
      </c>
      <c r="D94" s="7"/>
      <c r="E94" s="7">
        <f>B94+'A -Döviz'!E94</f>
        <v>-4337607.0695385514</v>
      </c>
      <c r="F94" s="7">
        <f>C94+'A -Döviz'!F94</f>
        <v>-4354362.796252422</v>
      </c>
      <c r="G94" s="7">
        <f t="shared" si="55"/>
        <v>-16755.726713870652</v>
      </c>
      <c r="H94" s="7">
        <f>E94+'A -Döviz'!H94</f>
        <v>-6729011.9438223448</v>
      </c>
      <c r="I94" s="7">
        <f>F94+'A -Döviz'!I94</f>
        <v>-6654507.1859425716</v>
      </c>
      <c r="J94" s="7"/>
      <c r="K94" s="7">
        <f>H94+'A -Döviz'!K94</f>
        <v>-8984202.859036535</v>
      </c>
      <c r="L94" s="7">
        <f>I94+'A -Döviz'!L94</f>
        <v>-8723313.6987613663</v>
      </c>
      <c r="M94" s="7"/>
      <c r="N94" s="7">
        <f>K94+'A -Döviz'!N94</f>
        <v>-11080768.416494695</v>
      </c>
      <c r="O94" s="7">
        <f>L94+'A -Döviz'!O94</f>
        <v>-10665757.065234672</v>
      </c>
      <c r="P94" s="7"/>
      <c r="Q94" s="7">
        <f>N94+'A -Döviz'!Q94</f>
        <v>-13222047.970729416</v>
      </c>
      <c r="R94" s="7">
        <f>O94+'A -Döviz'!R94</f>
        <v>-12426900.567303095</v>
      </c>
      <c r="S94" s="7"/>
      <c r="T94" s="7">
        <f>Q94+'A -Döviz'!T94</f>
        <v>-15414415.855177801</v>
      </c>
      <c r="U94" s="7">
        <f>R94+'A -Döviz'!U94</f>
        <v>-14104781.657330777</v>
      </c>
      <c r="V94" s="7"/>
      <c r="W94" s="7">
        <f>T94+'A -Döviz'!W94</f>
        <v>-17610253.548575483</v>
      </c>
      <c r="X94" s="7">
        <f>U94+'A -Döviz'!X94</f>
        <v>-15790575.792538742</v>
      </c>
      <c r="Y94" s="7"/>
      <c r="Z94" s="7">
        <f>W94+'A -Döviz'!Z94</f>
        <v>-19801574.768236563</v>
      </c>
      <c r="AA94" s="7">
        <f>X94+'A -Döviz'!AA94</f>
        <v>-17382463.426346589</v>
      </c>
      <c r="AB94" s="5">
        <f t="shared" si="56"/>
        <v>0.13916964946541044</v>
      </c>
      <c r="AC94" s="7">
        <f>Z94+'A -Döviz'!AC94</f>
        <v>-22074657.72510777</v>
      </c>
      <c r="AD94" s="7">
        <f>AA94+'A -Döviz'!AD94</f>
        <v>-17382463.426346589</v>
      </c>
      <c r="AE94" s="7"/>
      <c r="AF94" s="7">
        <f>AC94+'A -Döviz'!AF94</f>
        <v>-24284851.512337856</v>
      </c>
      <c r="AG94" s="7">
        <f>AD94+'A -Döviz'!AG94</f>
        <v>-17382463.426346589</v>
      </c>
      <c r="AH94" s="7"/>
      <c r="AI94" s="7">
        <f>AF94+'A -Döviz'!AI94</f>
        <v>-26622301.064558748</v>
      </c>
      <c r="AJ94" s="7">
        <f>AG94+'A -Döviz'!AJ94</f>
        <v>-17382463.426346589</v>
      </c>
      <c r="AK94" s="7"/>
      <c r="AL94" s="21">
        <f t="shared" si="51"/>
        <v>2419111.3418899737</v>
      </c>
      <c r="AM94" s="22">
        <f t="shared" si="52"/>
        <v>-0.12216762405030723</v>
      </c>
      <c r="AO94" s="44">
        <f t="shared" si="53"/>
        <v>-19801574.768236563</v>
      </c>
      <c r="AP94" s="44">
        <f t="shared" si="53"/>
        <v>-17382463.426346589</v>
      </c>
      <c r="AR94" s="94">
        <f>AF94*0.4</f>
        <v>-9713940.6049351431</v>
      </c>
      <c r="AS94" s="94">
        <f>AG94*0.4</f>
        <v>-6952985.3705386361</v>
      </c>
      <c r="AT94" s="94">
        <f t="shared" si="57"/>
        <v>2760955.234396507</v>
      </c>
    </row>
    <row r="95" spans="1:46" s="1" customFormat="1" ht="15.5">
      <c r="A95" s="26" t="s">
        <v>14</v>
      </c>
      <c r="B95" s="7">
        <f>'A -Döviz'!B95</f>
        <v>-871043.92881764914</v>
      </c>
      <c r="C95" s="7">
        <f>'A -Döviz'!C95</f>
        <v>-958807.09268209711</v>
      </c>
      <c r="D95" s="8"/>
      <c r="E95" s="7">
        <f>B95+'A -Döviz'!E95</f>
        <v>-1729312.8267130747</v>
      </c>
      <c r="F95" s="7">
        <f>C95+'A -Döviz'!F95</f>
        <v>-1839233.7818143996</v>
      </c>
      <c r="G95" s="7">
        <f t="shared" si="55"/>
        <v>-109920.95510132494</v>
      </c>
      <c r="H95" s="7">
        <f>E95+'A -Döviz'!H95</f>
        <v>-2573347.8876610859</v>
      </c>
      <c r="I95" s="7">
        <f>F95+'A -Döviz'!I95</f>
        <v>-2581809.6272870502</v>
      </c>
      <c r="J95" s="8"/>
      <c r="K95" s="7">
        <f>H95+'A -Döviz'!K95</f>
        <v>-3739367.8048061179</v>
      </c>
      <c r="L95" s="7">
        <f>I95+'A -Döviz'!L95</f>
        <v>-3660763.6405677665</v>
      </c>
      <c r="M95" s="8"/>
      <c r="N95" s="7">
        <f>K95+'A -Döviz'!N95</f>
        <v>-4794042.9416132281</v>
      </c>
      <c r="O95" s="7">
        <f>L95+'A -Döviz'!O95</f>
        <v>-4881671.8924530167</v>
      </c>
      <c r="P95" s="8"/>
      <c r="Q95" s="7">
        <f>N95+'A -Döviz'!Q95</f>
        <v>-5804666.4912733929</v>
      </c>
      <c r="R95" s="7">
        <f>O95+'A -Döviz'!R95</f>
        <v>-5771001.2748965286</v>
      </c>
      <c r="S95" s="8"/>
      <c r="T95" s="7">
        <f>Q95+'A -Döviz'!T95</f>
        <v>-6802508.8810152141</v>
      </c>
      <c r="U95" s="7">
        <f>R95+'A -Döviz'!U95</f>
        <v>-6569609.0900530806</v>
      </c>
      <c r="V95" s="8"/>
      <c r="W95" s="7">
        <f>T95+'A -Döviz'!W95</f>
        <v>-7783848.2955525229</v>
      </c>
      <c r="X95" s="7">
        <f>U95+'A -Döviz'!X95</f>
        <v>-7365862.2476544939</v>
      </c>
      <c r="Y95" s="8"/>
      <c r="Z95" s="7">
        <f>W95+'A -Döviz'!Z95</f>
        <v>-8747598.4016649425</v>
      </c>
      <c r="AA95" s="7">
        <f>X95+'A -Döviz'!AA95</f>
        <v>-8152190.6899814643</v>
      </c>
      <c r="AB95" s="5">
        <f t="shared" si="56"/>
        <v>7.3036528992777017E-2</v>
      </c>
      <c r="AC95" s="7">
        <f>Z95+'A -Döviz'!AC95</f>
        <v>-9715436.5783320684</v>
      </c>
      <c r="AD95" s="7">
        <f>AA95+'A -Döviz'!AD95</f>
        <v>-8152190.6899814643</v>
      </c>
      <c r="AE95" s="8"/>
      <c r="AF95" s="7">
        <f>AC95+'A -Döviz'!AF95</f>
        <v>-10665934.24903081</v>
      </c>
      <c r="AG95" s="7">
        <f>AD95+'A -Döviz'!AG95</f>
        <v>-8152190.6899814643</v>
      </c>
      <c r="AH95" s="8"/>
      <c r="AI95" s="7">
        <f>AF95+'A -Döviz'!AI95</f>
        <v>-11639587.739917068</v>
      </c>
      <c r="AJ95" s="7">
        <f>AG95+'A -Döviz'!AJ95</f>
        <v>-8152190.6899814643</v>
      </c>
      <c r="AK95" s="8"/>
      <c r="AL95" s="21">
        <f t="shared" si="51"/>
        <v>595407.71168347821</v>
      </c>
      <c r="AM95" s="22">
        <f t="shared" si="52"/>
        <v>-6.8065277387465928E-2</v>
      </c>
      <c r="AO95" s="44">
        <f t="shared" si="53"/>
        <v>-8747598.4016649425</v>
      </c>
      <c r="AP95" s="44">
        <f t="shared" si="53"/>
        <v>-8152190.6899814643</v>
      </c>
      <c r="AR95" s="94">
        <f t="shared" ref="AR95:AS98" si="58">AF95*0.4</f>
        <v>-4266373.6996123241</v>
      </c>
      <c r="AS95" s="94">
        <f t="shared" si="58"/>
        <v>-3260876.2759925858</v>
      </c>
      <c r="AT95" s="94">
        <f t="shared" si="57"/>
        <v>1005497.4236197383</v>
      </c>
    </row>
    <row r="96" spans="1:46" ht="15.5">
      <c r="A96" s="26" t="s">
        <v>15</v>
      </c>
      <c r="B96" s="7">
        <f>'A -Döviz'!B96</f>
        <v>-706181.53968199994</v>
      </c>
      <c r="C96" s="7">
        <f>'A -Döviz'!C96</f>
        <v>-671544.15</v>
      </c>
      <c r="D96" s="7"/>
      <c r="E96" s="7">
        <f>B96+'A -Döviz'!E96</f>
        <v>-1382311.664816</v>
      </c>
      <c r="F96" s="7">
        <f>C96+'A -Döviz'!F96</f>
        <v>-1489355.14</v>
      </c>
      <c r="G96" s="7">
        <f t="shared" si="55"/>
        <v>-107043.47518399986</v>
      </c>
      <c r="H96" s="7">
        <f>E96+'A -Döviz'!H96</f>
        <v>-2103347.729731</v>
      </c>
      <c r="I96" s="7">
        <f>F96+'A -Döviz'!I96</f>
        <v>-2197259.94</v>
      </c>
      <c r="J96" s="7"/>
      <c r="K96" s="7">
        <f>H96+'A -Döviz'!K96</f>
        <v>-3037316.5451179999</v>
      </c>
      <c r="L96" s="7">
        <f>I96+'A -Döviz'!L96</f>
        <v>-3149612.57</v>
      </c>
      <c r="M96" s="7"/>
      <c r="N96" s="7">
        <f>K96+'A -Döviz'!N96</f>
        <v>-3776360.7083979999</v>
      </c>
      <c r="O96" s="7">
        <f>L96+'A -Döviz'!O96</f>
        <v>-3977626.92</v>
      </c>
      <c r="P96" s="7"/>
      <c r="Q96" s="7">
        <f>N96+'A -Döviz'!Q96</f>
        <v>-4482739.6269220002</v>
      </c>
      <c r="R96" s="7">
        <f>O96+'A -Döviz'!R96</f>
        <v>-4625762.72</v>
      </c>
      <c r="S96" s="7"/>
      <c r="T96" s="7">
        <f>Q96+'A -Döviz'!T96</f>
        <v>-5156442.4565479998</v>
      </c>
      <c r="U96" s="7">
        <f>R96+'A -Döviz'!U96</f>
        <v>-5233088.01</v>
      </c>
      <c r="V96" s="7"/>
      <c r="W96" s="7">
        <f>T96+'A -Döviz'!W96</f>
        <v>-5728040.0995100001</v>
      </c>
      <c r="X96" s="7">
        <f>U96+'A -Döviz'!X96</f>
        <v>-5683383.9699999997</v>
      </c>
      <c r="Y96" s="7"/>
      <c r="Z96" s="7">
        <f>W96+'A -Döviz'!Z96</f>
        <v>-6495832.4690410001</v>
      </c>
      <c r="AA96" s="7">
        <f>X96+'A -Döviz'!AA96</f>
        <v>-6278374.3300000001</v>
      </c>
      <c r="AB96" s="5">
        <f t="shared" si="56"/>
        <v>3.4636058255067548E-2</v>
      </c>
      <c r="AC96" s="7">
        <f>Z96+'A -Döviz'!AC96</f>
        <v>-7196555.05595</v>
      </c>
      <c r="AD96" s="7">
        <f>AA96+'A -Döviz'!AD96</f>
        <v>-6278374.3300000001</v>
      </c>
      <c r="AE96" s="7"/>
      <c r="AF96" s="7">
        <f>AC96+'A -Döviz'!AF96</f>
        <v>-7871915.4548939997</v>
      </c>
      <c r="AG96" s="7">
        <f>AD96+'A -Döviz'!AG96</f>
        <v>-6278374.3300000001</v>
      </c>
      <c r="AH96" s="7"/>
      <c r="AI96" s="7">
        <f>AF96+'A -Döviz'!AI96</f>
        <v>-8458303.1924249995</v>
      </c>
      <c r="AJ96" s="7">
        <f>AG96+'A -Döviz'!AJ96</f>
        <v>-6278374.3300000001</v>
      </c>
      <c r="AK96" s="7"/>
      <c r="AL96" s="21">
        <f t="shared" si="51"/>
        <v>217458.13904100005</v>
      </c>
      <c r="AM96" s="22">
        <f t="shared" si="52"/>
        <v>-3.3476562099992724E-2</v>
      </c>
      <c r="AO96" s="44">
        <f t="shared" si="53"/>
        <v>-6495832.4690410001</v>
      </c>
      <c r="AP96" s="44">
        <f t="shared" si="53"/>
        <v>-6278374.3300000001</v>
      </c>
      <c r="AR96" s="94">
        <f t="shared" si="58"/>
        <v>-3148766.1819576002</v>
      </c>
      <c r="AS96" s="94">
        <f t="shared" si="58"/>
        <v>-2511349.7320000003</v>
      </c>
      <c r="AT96" s="94">
        <f t="shared" si="57"/>
        <v>637416.44995759986</v>
      </c>
    </row>
    <row r="97" spans="1:46" ht="15.5">
      <c r="A97" s="26" t="s">
        <v>16</v>
      </c>
      <c r="B97" s="7">
        <f>'A -Döviz'!B97</f>
        <v>-400769.22487699997</v>
      </c>
      <c r="C97" s="7">
        <f>'A -Döviz'!C97</f>
        <v>-411416.13</v>
      </c>
      <c r="D97" s="7"/>
      <c r="E97" s="7">
        <f>B97+'A -Döviz'!E97</f>
        <v>-766903.38023500005</v>
      </c>
      <c r="F97" s="7">
        <f>C97+'A -Döviz'!F97</f>
        <v>-899140.67</v>
      </c>
      <c r="G97" s="7">
        <f t="shared" si="55"/>
        <v>-132237.28976499999</v>
      </c>
      <c r="H97" s="7">
        <f>E97+'A -Döviz'!H97</f>
        <v>-1205441.2750649999</v>
      </c>
      <c r="I97" s="7">
        <f>F97+'A -Döviz'!I97</f>
        <v>-1178529.57</v>
      </c>
      <c r="J97" s="7"/>
      <c r="K97" s="7">
        <f>H97+'A -Döviz'!K97</f>
        <v>-1663394.7394300001</v>
      </c>
      <c r="L97" s="7">
        <f>I97+'A -Döviz'!L97</f>
        <v>-1866166.85</v>
      </c>
      <c r="M97" s="7"/>
      <c r="N97" s="7">
        <f>K97+'A -Döviz'!N97</f>
        <v>-2093878.4834779999</v>
      </c>
      <c r="O97" s="7">
        <f>L97+'A -Döviz'!O97</f>
        <v>-2357476.1800000002</v>
      </c>
      <c r="P97" s="7"/>
      <c r="Q97" s="7">
        <f>N97+'A -Döviz'!Q97</f>
        <v>-2487847.682424</v>
      </c>
      <c r="R97" s="7">
        <f>O97+'A -Döviz'!R97</f>
        <v>-2742317.53</v>
      </c>
      <c r="S97" s="7"/>
      <c r="T97" s="7">
        <f>Q97+'A -Döviz'!T97</f>
        <v>-2857454.366382</v>
      </c>
      <c r="U97" s="7">
        <f>R97+'A -Döviz'!U97</f>
        <v>-3195729.05</v>
      </c>
      <c r="V97" s="7"/>
      <c r="W97" s="7">
        <f>T97+'A -Döviz'!W97</f>
        <v>-3208783.2605209998</v>
      </c>
      <c r="X97" s="7">
        <f>U97+'A -Döviz'!X97</f>
        <v>-3540937.75</v>
      </c>
      <c r="Y97" s="7"/>
      <c r="Z97" s="7">
        <f>W97+'A -Döviz'!Z97</f>
        <v>-3642687.7108649998</v>
      </c>
      <c r="AA97" s="7">
        <f>X97+'A -Döviz'!AA97</f>
        <v>-4062843.41</v>
      </c>
      <c r="AB97" s="5">
        <f t="shared" si="56"/>
        <v>-0.10341419954824205</v>
      </c>
      <c r="AC97" s="7">
        <f>Z97+'A -Döviz'!AC97</f>
        <v>-4054553.846924</v>
      </c>
      <c r="AD97" s="7">
        <f>AA97+'A -Döviz'!AD97</f>
        <v>-4062843.41</v>
      </c>
      <c r="AE97" s="7"/>
      <c r="AF97" s="76">
        <f>AC97+'A -Döviz'!AF97</f>
        <v>-4439613.0990970004</v>
      </c>
      <c r="AG97" s="7">
        <f>AD97+'A -Döviz'!AG97</f>
        <v>-4062843.41</v>
      </c>
      <c r="AH97" s="7"/>
      <c r="AI97" s="7">
        <f>AF97+'A -Döviz'!AI97</f>
        <v>-4774475.4667079998</v>
      </c>
      <c r="AJ97" s="7">
        <f>AG97+'A -Döviz'!AJ97</f>
        <v>-4062843.41</v>
      </c>
      <c r="AK97" s="7"/>
      <c r="AL97" s="21">
        <f t="shared" si="51"/>
        <v>-420155.69913500035</v>
      </c>
      <c r="AM97" s="22">
        <f t="shared" si="52"/>
        <v>0.1153422232385739</v>
      </c>
      <c r="AO97" s="44">
        <f t="shared" si="53"/>
        <v>-3642687.7108649998</v>
      </c>
      <c r="AP97" s="44">
        <f t="shared" si="53"/>
        <v>-4062843.41</v>
      </c>
      <c r="AR97" s="94">
        <f t="shared" si="58"/>
        <v>-1775845.2396388003</v>
      </c>
      <c r="AS97" s="94">
        <f t="shared" si="58"/>
        <v>-1625137.3640000001</v>
      </c>
      <c r="AT97" s="94">
        <f t="shared" si="57"/>
        <v>150707.87563880021</v>
      </c>
    </row>
    <row r="98" spans="1:46" ht="15.5">
      <c r="A98" s="26" t="s">
        <v>17</v>
      </c>
      <c r="B98" s="7">
        <f>'A -Döviz'!B98</f>
        <v>-913898.94490999996</v>
      </c>
      <c r="C98" s="7">
        <f>'A -Döviz'!C98</f>
        <v>-955273.81</v>
      </c>
      <c r="D98" s="7"/>
      <c r="E98" s="7">
        <f>B98+'A -Döviz'!E98</f>
        <v>-1958113.5308109999</v>
      </c>
      <c r="F98" s="7">
        <f>C98+'A -Döviz'!F98</f>
        <v>-1968333.99</v>
      </c>
      <c r="G98" s="7">
        <f t="shared" si="55"/>
        <v>-10220.459189000074</v>
      </c>
      <c r="H98" s="7">
        <f>E98+'A -Döviz'!H98</f>
        <v>-3003983.2913589999</v>
      </c>
      <c r="I98" s="7">
        <f>F98+'A -Döviz'!I98</f>
        <v>-2964381.51</v>
      </c>
      <c r="J98" s="7"/>
      <c r="K98" s="7">
        <f>H98+'A -Döviz'!K98</f>
        <v>-3989183.50055</v>
      </c>
      <c r="L98" s="7">
        <f>I98+'A -Döviz'!L98</f>
        <v>-3962808</v>
      </c>
      <c r="M98" s="7"/>
      <c r="N98" s="7">
        <f>K98+'A -Döviz'!N98</f>
        <v>-5036864.255806</v>
      </c>
      <c r="O98" s="7">
        <f>L98+'A -Döviz'!O98</f>
        <v>-5049948.29</v>
      </c>
      <c r="P98" s="7"/>
      <c r="Q98" s="7">
        <f>N98+'A -Döviz'!Q98</f>
        <v>-6074095.4291200005</v>
      </c>
      <c r="R98" s="7">
        <f>O98+'A -Döviz'!R98</f>
        <v>-5931062.71</v>
      </c>
      <c r="S98" s="7"/>
      <c r="T98" s="7">
        <f>Q98+'A -Döviz'!T98</f>
        <v>-7093684.5769429998</v>
      </c>
      <c r="U98" s="7">
        <f>R98+'A -Döviz'!U98</f>
        <v>-6922024.5300000003</v>
      </c>
      <c r="V98" s="7"/>
      <c r="W98" s="7">
        <f>T98+'A -Döviz'!W98</f>
        <v>-7940527.1530269999</v>
      </c>
      <c r="X98" s="7">
        <f>U98+'A -Döviz'!X98</f>
        <v>-7870611.3899999997</v>
      </c>
      <c r="Y98" s="7"/>
      <c r="Z98" s="7">
        <f>W98+'A -Döviz'!Z98</f>
        <v>-9052782.1102060005</v>
      </c>
      <c r="AA98" s="7">
        <f>X98+'A -Döviz'!AA98</f>
        <v>-8860074.5899999999</v>
      </c>
      <c r="AB98" s="5">
        <f t="shared" si="56"/>
        <v>2.1750101339271133E-2</v>
      </c>
      <c r="AC98" s="7">
        <f>Z98+'A -Döviz'!AC98</f>
        <v>-10078705.392379001</v>
      </c>
      <c r="AD98" s="7">
        <f>AA98+'A -Döviz'!AD98</f>
        <v>-8860074.5899999999</v>
      </c>
      <c r="AE98" s="7"/>
      <c r="AF98" s="7">
        <f>AC98+'A -Döviz'!AF98</f>
        <v>-11057833.947742</v>
      </c>
      <c r="AG98" s="7">
        <f>AD98+'A -Döviz'!AG98</f>
        <v>-8860074.5899999999</v>
      </c>
      <c r="AH98" s="7"/>
      <c r="AI98" s="7">
        <f>AF98+'A -Döviz'!AI98</f>
        <v>-10192021.259020001</v>
      </c>
      <c r="AJ98" s="7">
        <f>AG98+'A -Döviz'!AJ98</f>
        <v>-8860074.5899999999</v>
      </c>
      <c r="AK98" s="7"/>
      <c r="AL98" s="21">
        <f t="shared" si="51"/>
        <v>192707.52020600066</v>
      </c>
      <c r="AM98" s="22">
        <f t="shared" si="52"/>
        <v>-2.1287104655787981E-2</v>
      </c>
      <c r="AO98" s="44">
        <f t="shared" si="53"/>
        <v>-9052782.1102060005</v>
      </c>
      <c r="AP98" s="44">
        <f t="shared" si="53"/>
        <v>-8860074.5899999999</v>
      </c>
      <c r="AR98" s="94">
        <f t="shared" si="58"/>
        <v>-4423133.5790968006</v>
      </c>
      <c r="AS98" s="94">
        <f t="shared" si="58"/>
        <v>-3544029.8360000001</v>
      </c>
      <c r="AT98" s="94">
        <f t="shared" si="57"/>
        <v>879103.74309680052</v>
      </c>
    </row>
    <row r="99" spans="1:46" ht="15.5">
      <c r="A99" s="26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>
        <f>AA92-Z92</f>
        <v>121991.87542659719</v>
      </c>
      <c r="AB99" s="7"/>
      <c r="AC99" s="7"/>
      <c r="AD99" s="7">
        <f>AD92-AC92</f>
        <v>247043.32512852852</v>
      </c>
      <c r="AE99" s="7"/>
      <c r="AF99" s="7"/>
      <c r="AG99" s="7"/>
      <c r="AH99" s="7"/>
      <c r="AI99" s="7"/>
      <c r="AJ99" s="7"/>
      <c r="AK99" s="7"/>
      <c r="AL99" s="21"/>
      <c r="AM99" s="22"/>
      <c r="AO99" s="44">
        <f t="shared" si="53"/>
        <v>0</v>
      </c>
      <c r="AP99" s="44">
        <f t="shared" si="53"/>
        <v>121991.87542659719</v>
      </c>
    </row>
    <row r="100" spans="1:46">
      <c r="A100" s="2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5"/>
    </row>
    <row r="101" spans="1:46" s="49" customFormat="1" ht="17">
      <c r="A101" s="47" t="s">
        <v>69</v>
      </c>
      <c r="B101" s="413"/>
      <c r="C101" s="413"/>
      <c r="D101" s="413"/>
      <c r="E101" s="413"/>
      <c r="F101" s="413"/>
      <c r="G101" s="413"/>
      <c r="H101" s="413"/>
      <c r="I101" s="413"/>
      <c r="J101" s="413"/>
      <c r="K101" s="413"/>
      <c r="L101" s="413"/>
      <c r="M101" s="413"/>
      <c r="N101" s="413"/>
      <c r="O101" s="413"/>
      <c r="P101" s="413"/>
      <c r="Q101" s="413"/>
      <c r="R101" s="413"/>
      <c r="S101" s="413"/>
      <c r="T101" s="413"/>
      <c r="U101" s="413"/>
      <c r="V101" s="413"/>
      <c r="W101" s="413"/>
      <c r="X101" s="413"/>
      <c r="Y101" s="413"/>
      <c r="Z101" s="413"/>
      <c r="AA101" s="413"/>
      <c r="AB101" s="413"/>
      <c r="AC101" s="413"/>
      <c r="AD101" s="413"/>
      <c r="AE101" s="413"/>
      <c r="AF101" s="413"/>
      <c r="AG101" s="413"/>
      <c r="AH101" s="413"/>
      <c r="AI101" s="413"/>
      <c r="AJ101" s="413"/>
      <c r="AK101" s="413"/>
      <c r="AL101" s="413"/>
      <c r="AM101" s="48"/>
    </row>
    <row r="102" spans="1:46" s="13" customFormat="1" ht="15.5">
      <c r="A102" s="26" t="s">
        <v>10</v>
      </c>
      <c r="B102" s="12">
        <f t="shared" ref="B102:C109" si="59">B91*-1/B9</f>
        <v>0.52965374990487502</v>
      </c>
      <c r="C102" s="12">
        <f t="shared" si="59"/>
        <v>0.50238117054819975</v>
      </c>
      <c r="D102" s="41"/>
      <c r="E102" s="12">
        <f t="shared" ref="E102:F109" si="60">E91*-1/E9</f>
        <v>0.51322319001067851</v>
      </c>
      <c r="F102" s="12">
        <f t="shared" si="60"/>
        <v>0.53646558404334455</v>
      </c>
      <c r="G102" s="41"/>
      <c r="H102" s="111">
        <f t="shared" ref="H102:I109" si="61">H91*-1/H9</f>
        <v>0.53911244387390223</v>
      </c>
      <c r="I102" s="111">
        <f t="shared" si="61"/>
        <v>0.54859033513711863</v>
      </c>
      <c r="J102" s="41"/>
      <c r="K102" s="118">
        <f t="shared" ref="K102:L109" si="62">K91*-1/K9</f>
        <v>0.54085610519271088</v>
      </c>
      <c r="L102" s="118">
        <f t="shared" si="62"/>
        <v>0.60840140363913997</v>
      </c>
      <c r="M102" s="41"/>
      <c r="N102" s="12">
        <f t="shared" ref="N102:O109" si="63">N91*-1/N9</f>
        <v>0.54276441584331037</v>
      </c>
      <c r="O102" s="12">
        <f t="shared" si="63"/>
        <v>0.57663520684770875</v>
      </c>
      <c r="P102" s="41"/>
      <c r="Q102" s="12">
        <f t="shared" ref="Q102:R109" si="64">Q91*-1/Q9</f>
        <v>0.54072383798076096</v>
      </c>
      <c r="R102" s="12">
        <f t="shared" si="64"/>
        <v>0.57331365340019314</v>
      </c>
      <c r="S102" s="41"/>
      <c r="T102" s="12">
        <f t="shared" ref="T102:U109" si="65">T91*-1/T9</f>
        <v>0.5325854106939989</v>
      </c>
      <c r="U102" s="12">
        <f t="shared" si="65"/>
        <v>0.5662003979045479</v>
      </c>
      <c r="V102" s="41"/>
      <c r="W102" s="111">
        <f t="shared" ref="W102:X109" si="66">W91*-1/W9</f>
        <v>0.53095054473410341</v>
      </c>
      <c r="X102" s="111">
        <f t="shared" si="66"/>
        <v>0.5611662197845404</v>
      </c>
      <c r="Y102" s="41"/>
      <c r="Z102" s="12">
        <f>Z91*-1/Z9</f>
        <v>0.52049727368921739</v>
      </c>
      <c r="AA102" s="12">
        <f>AA91*-1/AA9</f>
        <v>0.54096705759490116</v>
      </c>
      <c r="AB102" s="41"/>
      <c r="AC102" s="12">
        <f>AC91*-1/AC9</f>
        <v>0.51680607033421955</v>
      </c>
      <c r="AD102" s="12">
        <f>AD91*-1/AD9</f>
        <v>0.54096705759490116</v>
      </c>
      <c r="AE102" s="41"/>
      <c r="AF102" s="12">
        <f>AF91*-1/AF9</f>
        <v>0.51778206798182236</v>
      </c>
      <c r="AG102" s="12">
        <f>AG91*-1/AG9</f>
        <v>0.54096705759490116</v>
      </c>
      <c r="AH102" s="41"/>
      <c r="AI102" s="12">
        <f>AI91*-1/AI9</f>
        <v>0.57907934567653807</v>
      </c>
      <c r="AJ102" s="12">
        <f>AJ91*-1/AJ9</f>
        <v>0.54096705759490116</v>
      </c>
      <c r="AK102" s="41"/>
      <c r="AL102" s="15"/>
      <c r="AM102" s="22">
        <f>AP102-AO102</f>
        <v>2.0469783905683769E-2</v>
      </c>
      <c r="AO102" s="44">
        <f t="shared" ref="AO102:AP109" si="67">IF($A$1=$B$1,B102,IF($A$1=$E$1,E102,IF($A$1=$H$1,H102,IF($A$1=$K$1,K102,IF($A$1=$N$1,N102,IF($A$1=$Q$1,Q102,IF($A$1=$T$1,T102,IF($A$1=$W$1,W102,IF($A$1=$Z$1,Z102,IF($A$1=$AC$1,AC102,IF($A$1=$AF$1,AF102,IF($A$1=$AI$1,AI102))))))))))))</f>
        <v>0.52049727368921739</v>
      </c>
      <c r="AP102" s="44">
        <f t="shared" si="67"/>
        <v>0.54096705759490116</v>
      </c>
    </row>
    <row r="103" spans="1:46" s="13" customFormat="1" ht="15.5">
      <c r="A103" s="26" t="s">
        <v>11</v>
      </c>
      <c r="B103" s="12">
        <f t="shared" si="59"/>
        <v>0.20659051288776206</v>
      </c>
      <c r="C103" s="12">
        <f t="shared" si="59"/>
        <v>0.14328133365901763</v>
      </c>
      <c r="D103" s="41"/>
      <c r="E103" s="12">
        <f t="shared" si="60"/>
        <v>0.18695488055351281</v>
      </c>
      <c r="F103" s="12">
        <f t="shared" si="60"/>
        <v>0.15894366015810979</v>
      </c>
      <c r="G103" s="41"/>
      <c r="H103" s="111">
        <f t="shared" si="61"/>
        <v>0.18102646001606018</v>
      </c>
      <c r="I103" s="111">
        <f t="shared" si="61"/>
        <v>0.1799809616561433</v>
      </c>
      <c r="J103" s="41"/>
      <c r="K103" s="118">
        <f t="shared" si="62"/>
        <v>0.17594826234503216</v>
      </c>
      <c r="L103" s="118">
        <f t="shared" si="62"/>
        <v>0.19817903475697479</v>
      </c>
      <c r="M103" s="41"/>
      <c r="N103" s="12">
        <f t="shared" si="63"/>
        <v>0.17236583197173982</v>
      </c>
      <c r="O103" s="12">
        <f t="shared" si="63"/>
        <v>0.20055678270140212</v>
      </c>
      <c r="P103" s="41"/>
      <c r="Q103" s="12">
        <f t="shared" si="64"/>
        <v>0.17004918563346488</v>
      </c>
      <c r="R103" s="12">
        <f t="shared" si="64"/>
        <v>0.20821647444950417</v>
      </c>
      <c r="S103" s="41"/>
      <c r="T103" s="12">
        <f t="shared" si="65"/>
        <v>0.17053402858380448</v>
      </c>
      <c r="U103" s="12">
        <f t="shared" si="65"/>
        <v>0.20789556079794314</v>
      </c>
      <c r="V103" s="41"/>
      <c r="W103" s="111">
        <f t="shared" si="66"/>
        <v>0.1747142925200646</v>
      </c>
      <c r="X103" s="111">
        <f t="shared" si="66"/>
        <v>0.20959635159831716</v>
      </c>
      <c r="Y103" s="41"/>
      <c r="Z103" s="12">
        <f t="shared" ref="Z103:AA109" si="68">Z92*-1/Z10</f>
        <v>0.17830554753357564</v>
      </c>
      <c r="AA103" s="12">
        <f t="shared" si="68"/>
        <v>0.21691080756249415</v>
      </c>
      <c r="AB103" s="41"/>
      <c r="AC103" s="12">
        <f t="shared" ref="AC103:AD109" si="69">AC92*-1/AC10</f>
        <v>0.18172979750543095</v>
      </c>
      <c r="AD103" s="12">
        <f t="shared" si="69"/>
        <v>0.21691080756249415</v>
      </c>
      <c r="AE103" s="41"/>
      <c r="AF103" s="12">
        <f t="shared" ref="AF103:AG109" si="70">AF92*-1/AF10</f>
        <v>0.18608536320327287</v>
      </c>
      <c r="AG103" s="12">
        <f t="shared" si="70"/>
        <v>0.21691080756249415</v>
      </c>
      <c r="AH103" s="41"/>
      <c r="AI103" s="58">
        <f t="shared" ref="AI103:AJ109" si="71">AI92*-1/AI10</f>
        <v>0.19083645235351293</v>
      </c>
      <c r="AJ103" s="12">
        <f t="shared" si="71"/>
        <v>0.21691080756249415</v>
      </c>
      <c r="AK103" s="41"/>
      <c r="AL103" s="15"/>
      <c r="AM103" s="22">
        <f t="shared" ref="AM103:AM109" si="72">AP103-AO103</f>
        <v>3.8605260028918509E-2</v>
      </c>
      <c r="AO103" s="44">
        <f t="shared" si="67"/>
        <v>0.17830554753357564</v>
      </c>
      <c r="AP103" s="44">
        <f t="shared" si="67"/>
        <v>0.21691080756249415</v>
      </c>
    </row>
    <row r="104" spans="1:46" s="13" customFormat="1" ht="15.5">
      <c r="A104" s="26" t="s">
        <v>12</v>
      </c>
      <c r="B104" s="12">
        <f t="shared" si="59"/>
        <v>0.2121834864853428</v>
      </c>
      <c r="C104" s="12">
        <f t="shared" si="59"/>
        <v>0.12594003965713679</v>
      </c>
      <c r="D104" s="41"/>
      <c r="E104" s="12">
        <f t="shared" si="60"/>
        <v>0.19020086365781208</v>
      </c>
      <c r="F104" s="12">
        <f t="shared" si="60"/>
        <v>0.12040370511701239</v>
      </c>
      <c r="G104" s="41"/>
      <c r="H104" s="111">
        <f t="shared" si="61"/>
        <v>0.17386217680060245</v>
      </c>
      <c r="I104" s="111">
        <f t="shared" si="61"/>
        <v>0.11879989591224313</v>
      </c>
      <c r="J104" s="41"/>
      <c r="K104" s="118">
        <f t="shared" si="62"/>
        <v>0.16929438418940526</v>
      </c>
      <c r="L104" s="118">
        <f t="shared" si="62"/>
        <v>0.11700233972866118</v>
      </c>
      <c r="M104" s="41"/>
      <c r="N104" s="12">
        <f t="shared" si="63"/>
        <v>0.15893351486960927</v>
      </c>
      <c r="O104" s="12">
        <f t="shared" si="63"/>
        <v>0.12334954433983202</v>
      </c>
      <c r="P104" s="41"/>
      <c r="Q104" s="12">
        <f t="shared" si="64"/>
        <v>0.15330893486380687</v>
      </c>
      <c r="R104" s="12">
        <f t="shared" si="64"/>
        <v>0.12580727241651485</v>
      </c>
      <c r="S104" s="41"/>
      <c r="T104" s="12">
        <f t="shared" si="65"/>
        <v>0.14524006492967453</v>
      </c>
      <c r="U104" s="12">
        <f t="shared" si="65"/>
        <v>0.12951412640481522</v>
      </c>
      <c r="V104" s="41"/>
      <c r="W104" s="111">
        <f t="shared" si="66"/>
        <v>0.14380390534330548</v>
      </c>
      <c r="X104" s="111">
        <f t="shared" si="66"/>
        <v>0.12958661327492479</v>
      </c>
      <c r="Y104" s="41"/>
      <c r="Z104" s="12">
        <f t="shared" si="68"/>
        <v>0.14461197360649722</v>
      </c>
      <c r="AA104" s="12">
        <f t="shared" si="68"/>
        <v>0.12959811606680274</v>
      </c>
      <c r="AB104" s="41"/>
      <c r="AC104" s="12">
        <f t="shared" si="69"/>
        <v>0.1429206931248824</v>
      </c>
      <c r="AD104" s="12">
        <f t="shared" si="69"/>
        <v>0.12959811606680274</v>
      </c>
      <c r="AE104" s="41"/>
      <c r="AF104" s="12">
        <f t="shared" si="70"/>
        <v>0.13872657560429458</v>
      </c>
      <c r="AG104" s="12">
        <f t="shared" si="70"/>
        <v>0.12959811606680274</v>
      </c>
      <c r="AH104" s="41"/>
      <c r="AI104" s="111">
        <f t="shared" si="71"/>
        <v>0.13991417490182684</v>
      </c>
      <c r="AJ104" s="111">
        <f t="shared" si="71"/>
        <v>0.12959811606680274</v>
      </c>
      <c r="AK104" s="41"/>
      <c r="AL104" s="15"/>
      <c r="AM104" s="22">
        <f t="shared" si="72"/>
        <v>-1.5013857539694475E-2</v>
      </c>
      <c r="AO104" s="44">
        <f t="shared" si="67"/>
        <v>0.14461197360649722</v>
      </c>
      <c r="AP104" s="44">
        <f t="shared" si="67"/>
        <v>0.12959811606680274</v>
      </c>
    </row>
    <row r="105" spans="1:46" s="13" customFormat="1" ht="15.5">
      <c r="A105" s="26" t="s">
        <v>13</v>
      </c>
      <c r="B105" s="12">
        <f t="shared" si="59"/>
        <v>0.10800073214357817</v>
      </c>
      <c r="C105" s="12">
        <f t="shared" si="59"/>
        <v>9.7547816636564311E-2</v>
      </c>
      <c r="D105" s="41"/>
      <c r="E105" s="12">
        <f t="shared" si="60"/>
        <v>0.11252458758760041</v>
      </c>
      <c r="F105" s="12">
        <f t="shared" si="60"/>
        <v>0.119397789109342</v>
      </c>
      <c r="G105" s="41"/>
      <c r="H105" s="111">
        <f t="shared" si="61"/>
        <v>0.11424662965740986</v>
      </c>
      <c r="I105" s="111">
        <f t="shared" si="61"/>
        <v>0.13519946101872263</v>
      </c>
      <c r="J105" s="41"/>
      <c r="K105" s="118">
        <f t="shared" si="62"/>
        <v>0.11475034986643828</v>
      </c>
      <c r="L105" s="118">
        <f t="shared" si="62"/>
        <v>0.14148604438883913</v>
      </c>
      <c r="M105" s="41"/>
      <c r="N105" s="12">
        <f t="shared" si="63"/>
        <v>0.11430991160693106</v>
      </c>
      <c r="O105" s="12">
        <f t="shared" si="63"/>
        <v>0.14049712017931262</v>
      </c>
      <c r="P105" s="41"/>
      <c r="Q105" s="12">
        <f t="shared" si="64"/>
        <v>0.11429821482926367</v>
      </c>
      <c r="R105" s="12">
        <f t="shared" si="64"/>
        <v>0.1469010884007137</v>
      </c>
      <c r="S105" s="41"/>
      <c r="T105" s="12">
        <f t="shared" si="65"/>
        <v>0.11204839204644258</v>
      </c>
      <c r="U105" s="12">
        <f t="shared" si="65"/>
        <v>0.13968660118293416</v>
      </c>
      <c r="V105" s="41"/>
      <c r="W105" s="111">
        <f t="shared" si="66"/>
        <v>0.11099152616063332</v>
      </c>
      <c r="X105" s="111">
        <f t="shared" si="66"/>
        <v>0.13698798034333101</v>
      </c>
      <c r="Y105" s="41"/>
      <c r="Z105" s="12">
        <f t="shared" si="68"/>
        <v>0.10927657677660363</v>
      </c>
      <c r="AA105" s="12">
        <f t="shared" si="68"/>
        <v>0.13792310981553255</v>
      </c>
      <c r="AB105" s="41"/>
      <c r="AC105" s="12">
        <f t="shared" si="69"/>
        <v>0.10668675143831266</v>
      </c>
      <c r="AD105" s="12">
        <f t="shared" si="69"/>
        <v>0.13792310981553255</v>
      </c>
      <c r="AE105" s="41"/>
      <c r="AF105" s="12">
        <f t="shared" si="70"/>
        <v>0.10446890056367311</v>
      </c>
      <c r="AG105" s="12">
        <f t="shared" si="70"/>
        <v>0.13792310981553255</v>
      </c>
      <c r="AH105" s="41"/>
      <c r="AI105" s="12">
        <f t="shared" si="71"/>
        <v>0.10299081667057404</v>
      </c>
      <c r="AJ105" s="12">
        <f t="shared" si="71"/>
        <v>0.13792310981553255</v>
      </c>
      <c r="AK105" s="41"/>
      <c r="AL105" s="15"/>
      <c r="AM105" s="22">
        <f t="shared" si="72"/>
        <v>2.8646533038928917E-2</v>
      </c>
      <c r="AO105" s="44">
        <f t="shared" si="67"/>
        <v>0.10927657677660363</v>
      </c>
      <c r="AP105" s="44">
        <f t="shared" si="67"/>
        <v>0.13792310981553255</v>
      </c>
    </row>
    <row r="106" spans="1:46" s="13" customFormat="1" ht="15.5">
      <c r="A106" s="26" t="s">
        <v>14</v>
      </c>
      <c r="B106" s="12">
        <f t="shared" si="59"/>
        <v>0.13176997245294103</v>
      </c>
      <c r="C106" s="12">
        <f t="shared" si="59"/>
        <v>0.15941370849822639</v>
      </c>
      <c r="D106" s="41"/>
      <c r="E106" s="12">
        <f t="shared" si="60"/>
        <v>0.12865485479015984</v>
      </c>
      <c r="F106" s="12">
        <f t="shared" si="60"/>
        <v>0.15713882852267719</v>
      </c>
      <c r="G106" s="41"/>
      <c r="H106" s="111">
        <f t="shared" si="61"/>
        <v>0.12735796847908754</v>
      </c>
      <c r="I106" s="111">
        <f t="shared" si="61"/>
        <v>0.14240838066182512</v>
      </c>
      <c r="J106" s="41"/>
      <c r="K106" s="118">
        <f t="shared" si="62"/>
        <v>0.13885048418661705</v>
      </c>
      <c r="L106" s="118">
        <f t="shared" si="62"/>
        <v>0.15766073904437833</v>
      </c>
      <c r="M106" s="41"/>
      <c r="N106" s="12">
        <f t="shared" si="63"/>
        <v>0.14170634688929884</v>
      </c>
      <c r="O106" s="12">
        <f t="shared" si="63"/>
        <v>0.1692585238594318</v>
      </c>
      <c r="P106" s="41"/>
      <c r="Q106" s="12">
        <f t="shared" si="64"/>
        <v>0.14702348985281488</v>
      </c>
      <c r="R106" s="12">
        <f t="shared" si="64"/>
        <v>0.17374103181267034</v>
      </c>
      <c r="S106" s="41"/>
      <c r="T106" s="12">
        <f t="shared" si="65"/>
        <v>0.14671359071354129</v>
      </c>
      <c r="U106" s="12">
        <f t="shared" si="65"/>
        <v>0.17058399693081688</v>
      </c>
      <c r="V106" s="41"/>
      <c r="W106" s="111">
        <f t="shared" si="66"/>
        <v>0.14849244894363567</v>
      </c>
      <c r="X106" s="111">
        <f t="shared" si="66"/>
        <v>0.17096394196368075</v>
      </c>
      <c r="Y106" s="41"/>
      <c r="Z106" s="12">
        <f>Z95*-1/Z13</f>
        <v>0.14984568626531125</v>
      </c>
      <c r="AA106" s="12">
        <f>AA95*-1/AA13</f>
        <v>0.16812818354063985</v>
      </c>
      <c r="AB106" s="41"/>
      <c r="AC106" s="12">
        <f>AC95*-1/AC13</f>
        <v>0.147217512857201</v>
      </c>
      <c r="AD106" s="12">
        <f>AD95*-1/AD13</f>
        <v>0.16812818354063985</v>
      </c>
      <c r="AE106" s="41"/>
      <c r="AF106" s="12">
        <f>AF95*-1/AF13</f>
        <v>0.14737600052633487</v>
      </c>
      <c r="AG106" s="12">
        <f>AG95*-1/AG13</f>
        <v>0.16812818354063985</v>
      </c>
      <c r="AH106" s="41"/>
      <c r="AI106" s="12">
        <f>AI95*-1/AI13</f>
        <v>0.14795991751640059</v>
      </c>
      <c r="AJ106" s="12">
        <f>AJ95*-1/AJ13</f>
        <v>0.16812818354063985</v>
      </c>
      <c r="AK106" s="41"/>
      <c r="AL106" s="15"/>
      <c r="AM106" s="22">
        <f t="shared" si="72"/>
        <v>1.8282497275328602E-2</v>
      </c>
      <c r="AO106" s="44">
        <f t="shared" si="67"/>
        <v>0.14984568626531125</v>
      </c>
      <c r="AP106" s="44">
        <f t="shared" si="67"/>
        <v>0.16812818354063985</v>
      </c>
    </row>
    <row r="107" spans="1:46" s="13" customFormat="1" ht="15.5">
      <c r="A107" s="26" t="s">
        <v>15</v>
      </c>
      <c r="B107" s="12">
        <f t="shared" si="59"/>
        <v>7.0275257587398596E-2</v>
      </c>
      <c r="C107" s="12">
        <f t="shared" si="59"/>
        <v>5.7864201241497312E-2</v>
      </c>
      <c r="D107" s="41"/>
      <c r="E107" s="12">
        <f t="shared" si="60"/>
        <v>6.62151197099871E-2</v>
      </c>
      <c r="F107" s="12">
        <f t="shared" si="60"/>
        <v>6.4338739346128382E-2</v>
      </c>
      <c r="G107" s="41"/>
      <c r="H107" s="111">
        <f t="shared" si="61"/>
        <v>6.2848158901594037E-2</v>
      </c>
      <c r="I107" s="111">
        <f t="shared" si="61"/>
        <v>6.1769763586550425E-2</v>
      </c>
      <c r="J107" s="41"/>
      <c r="K107" s="118">
        <f t="shared" si="62"/>
        <v>6.8408663868222697E-2</v>
      </c>
      <c r="L107" s="118">
        <f t="shared" si="62"/>
        <v>6.6078144865786087E-2</v>
      </c>
      <c r="M107" s="41"/>
      <c r="N107" s="12">
        <f t="shared" si="63"/>
        <v>6.7342952855184338E-2</v>
      </c>
      <c r="O107" s="12">
        <f t="shared" si="63"/>
        <v>6.5938744774522245E-2</v>
      </c>
      <c r="P107" s="41"/>
      <c r="Q107" s="12">
        <f t="shared" si="64"/>
        <v>6.6005486808004943E-2</v>
      </c>
      <c r="R107" s="12">
        <f t="shared" si="64"/>
        <v>6.354056192398938E-2</v>
      </c>
      <c r="S107" s="41"/>
      <c r="T107" s="12">
        <f t="shared" si="65"/>
        <v>6.6683645950426904E-2</v>
      </c>
      <c r="U107" s="12">
        <f t="shared" si="65"/>
        <v>6.2618519035110509E-2</v>
      </c>
      <c r="V107" s="41"/>
      <c r="W107" s="111">
        <f t="shared" si="66"/>
        <v>6.6043143766209525E-2</v>
      </c>
      <c r="X107" s="111">
        <f t="shared" si="66"/>
        <v>6.1022726836937623E-2</v>
      </c>
      <c r="Y107" s="41"/>
      <c r="Z107" s="12">
        <f t="shared" si="68"/>
        <v>6.4578858549027437E-2</v>
      </c>
      <c r="AA107" s="12">
        <f t="shared" si="68"/>
        <v>5.9822409622962543E-2</v>
      </c>
      <c r="AB107" s="41"/>
      <c r="AC107" s="12">
        <f t="shared" si="69"/>
        <v>6.392091199310429E-2</v>
      </c>
      <c r="AD107" s="12">
        <f t="shared" si="69"/>
        <v>5.9822409622962543E-2</v>
      </c>
      <c r="AE107" s="41"/>
      <c r="AF107" s="12">
        <f t="shared" si="70"/>
        <v>6.3476275890342729E-2</v>
      </c>
      <c r="AG107" s="12">
        <f t="shared" si="70"/>
        <v>5.9822409622962543E-2</v>
      </c>
      <c r="AH107" s="41"/>
      <c r="AI107" s="12">
        <f t="shared" si="71"/>
        <v>6.3121789827837976E-2</v>
      </c>
      <c r="AJ107" s="12">
        <f t="shared" si="71"/>
        <v>5.9822409622962543E-2</v>
      </c>
      <c r="AK107" s="41"/>
      <c r="AL107" s="15"/>
      <c r="AM107" s="22">
        <f t="shared" si="72"/>
        <v>-4.7564489260648948E-3</v>
      </c>
      <c r="AO107" s="44">
        <f t="shared" si="67"/>
        <v>6.4578858549027437E-2</v>
      </c>
      <c r="AP107" s="44">
        <f t="shared" si="67"/>
        <v>5.9822409622962543E-2</v>
      </c>
    </row>
    <row r="108" spans="1:46" s="13" customFormat="1" ht="15.5">
      <c r="A108" s="26" t="s">
        <v>16</v>
      </c>
      <c r="B108" s="12">
        <f t="shared" si="59"/>
        <v>5.2888617403506033E-2</v>
      </c>
      <c r="C108" s="12">
        <f t="shared" si="59"/>
        <v>5.2539847456750867E-2</v>
      </c>
      <c r="D108" s="41"/>
      <c r="E108" s="12">
        <f t="shared" si="60"/>
        <v>5.6057421742785732E-2</v>
      </c>
      <c r="F108" s="12">
        <f t="shared" si="60"/>
        <v>5.4284843090349713E-2</v>
      </c>
      <c r="G108" s="41"/>
      <c r="H108" s="111">
        <f t="shared" si="61"/>
        <v>5.5643249922381309E-2</v>
      </c>
      <c r="I108" s="111">
        <f t="shared" si="61"/>
        <v>4.6193631915721511E-2</v>
      </c>
      <c r="J108" s="41"/>
      <c r="K108" s="118">
        <f t="shared" si="62"/>
        <v>5.608491669418305E-2</v>
      </c>
      <c r="L108" s="118">
        <f t="shared" si="62"/>
        <v>5.44242458782443E-2</v>
      </c>
      <c r="M108" s="41"/>
      <c r="N108" s="12">
        <f t="shared" si="63"/>
        <v>5.5786136373190534E-2</v>
      </c>
      <c r="O108" s="12">
        <f t="shared" si="63"/>
        <v>5.5623259505260529E-2</v>
      </c>
      <c r="P108" s="41"/>
      <c r="Q108" s="12">
        <f t="shared" si="64"/>
        <v>5.5939470158323491E-2</v>
      </c>
      <c r="R108" s="12">
        <f t="shared" si="64"/>
        <v>5.52595716750032E-2</v>
      </c>
      <c r="S108" s="41"/>
      <c r="T108" s="12">
        <f t="shared" si="65"/>
        <v>5.6004868619595076E-2</v>
      </c>
      <c r="U108" s="12">
        <f t="shared" si="65"/>
        <v>5.5410611970928551E-2</v>
      </c>
      <c r="V108" s="41"/>
      <c r="W108" s="111">
        <f t="shared" si="66"/>
        <v>5.640101980570901E-2</v>
      </c>
      <c r="X108" s="111">
        <f t="shared" si="66"/>
        <v>5.5200912600461172E-2</v>
      </c>
      <c r="Y108" s="41"/>
      <c r="Z108" s="12">
        <f>Z97*-1/Z15</f>
        <v>5.588130467862109E-2</v>
      </c>
      <c r="AA108" s="12">
        <f>AA97*-1/AA15</f>
        <v>5.5100064439140638E-2</v>
      </c>
      <c r="AB108" s="41"/>
      <c r="AC108" s="12">
        <f>AC97*-1/AC15</f>
        <v>5.5508729126748493E-2</v>
      </c>
      <c r="AD108" s="12">
        <f>AD97*-1/AD15</f>
        <v>5.5100064439140638E-2</v>
      </c>
      <c r="AE108" s="41"/>
      <c r="AF108" s="12">
        <f>AF97*-1/AF15</f>
        <v>5.5266087676064037E-2</v>
      </c>
      <c r="AG108" s="12">
        <f>AG97*-1/AG15</f>
        <v>5.5100064439140638E-2</v>
      </c>
      <c r="AH108" s="41"/>
      <c r="AI108" s="12">
        <f>AI97*-1/AI15</f>
        <v>5.5615543513671505E-2</v>
      </c>
      <c r="AJ108" s="12">
        <f>AJ97*-1/AJ15</f>
        <v>5.5100064439140638E-2</v>
      </c>
      <c r="AK108" s="41"/>
      <c r="AL108" s="15"/>
      <c r="AM108" s="22">
        <f t="shared" si="72"/>
        <v>-7.8124023948045185E-4</v>
      </c>
      <c r="AO108" s="44">
        <f t="shared" si="67"/>
        <v>5.588130467862109E-2</v>
      </c>
      <c r="AP108" s="44">
        <f t="shared" si="67"/>
        <v>5.5100064439140638E-2</v>
      </c>
    </row>
    <row r="109" spans="1:46" s="13" customFormat="1" ht="15.5">
      <c r="A109" s="26" t="s">
        <v>17</v>
      </c>
      <c r="B109" s="12">
        <f t="shared" si="59"/>
        <v>4.7341596115737801E-2</v>
      </c>
      <c r="C109" s="12">
        <f t="shared" si="59"/>
        <v>4.2992754192839738E-2</v>
      </c>
      <c r="D109" s="41"/>
      <c r="E109" s="12">
        <f t="shared" si="60"/>
        <v>4.9381869842877076E-2</v>
      </c>
      <c r="F109" s="12">
        <f t="shared" si="60"/>
        <v>4.6751841191539203E-2</v>
      </c>
      <c r="G109" s="41"/>
      <c r="H109" s="111">
        <f t="shared" si="61"/>
        <v>4.8452616716814091E-2</v>
      </c>
      <c r="I109" s="111">
        <f t="shared" si="61"/>
        <v>4.6251476186488456E-2</v>
      </c>
      <c r="J109" s="41"/>
      <c r="K109" s="118">
        <f t="shared" si="62"/>
        <v>4.9040175966968663E-2</v>
      </c>
      <c r="L109" s="118">
        <f t="shared" si="62"/>
        <v>4.5998075959664791E-2</v>
      </c>
      <c r="M109" s="41"/>
      <c r="N109" s="12">
        <f t="shared" si="63"/>
        <v>4.8817672156979006E-2</v>
      </c>
      <c r="O109" s="12">
        <f t="shared" si="63"/>
        <v>4.5622733531878075E-2</v>
      </c>
      <c r="P109" s="41"/>
      <c r="Q109" s="12">
        <f t="shared" si="64"/>
        <v>4.870094281668691E-2</v>
      </c>
      <c r="R109" s="12">
        <f t="shared" si="64"/>
        <v>4.5032122930809437E-2</v>
      </c>
      <c r="S109" s="41"/>
      <c r="T109" s="12">
        <f t="shared" si="65"/>
        <v>4.8542072584948311E-2</v>
      </c>
      <c r="U109" s="12">
        <f t="shared" si="65"/>
        <v>4.514261206217985E-2</v>
      </c>
      <c r="V109" s="41"/>
      <c r="W109" s="111">
        <f t="shared" si="66"/>
        <v>4.8782538392799488E-2</v>
      </c>
      <c r="X109" s="111">
        <f t="shared" si="66"/>
        <v>4.6737855473955661E-2</v>
      </c>
      <c r="Y109" s="41"/>
      <c r="Z109" s="12">
        <f t="shared" si="68"/>
        <v>4.840934034248822E-2</v>
      </c>
      <c r="AA109" s="12">
        <f t="shared" si="68"/>
        <v>4.6416570165404007E-2</v>
      </c>
      <c r="AB109" s="41"/>
      <c r="AC109" s="12">
        <f t="shared" si="69"/>
        <v>4.8157864039136765E-2</v>
      </c>
      <c r="AD109" s="12">
        <f t="shared" si="69"/>
        <v>4.6416570165404007E-2</v>
      </c>
      <c r="AE109" s="41"/>
      <c r="AF109" s="12">
        <f t="shared" si="70"/>
        <v>4.8016598406707148E-2</v>
      </c>
      <c r="AG109" s="12">
        <f t="shared" si="70"/>
        <v>4.6416570165404007E-2</v>
      </c>
      <c r="AH109" s="41"/>
      <c r="AI109" s="12">
        <f t="shared" si="71"/>
        <v>4.1149462141946536E-2</v>
      </c>
      <c r="AJ109" s="12">
        <f t="shared" si="71"/>
        <v>4.6416570165404007E-2</v>
      </c>
      <c r="AK109" s="41"/>
      <c r="AL109" s="15"/>
      <c r="AM109" s="22">
        <f t="shared" si="72"/>
        <v>-1.9927701770842132E-3</v>
      </c>
      <c r="AO109" s="44">
        <f t="shared" si="67"/>
        <v>4.840934034248822E-2</v>
      </c>
      <c r="AP109" s="44">
        <f t="shared" si="67"/>
        <v>4.6416570165404007E-2</v>
      </c>
    </row>
    <row r="110" spans="1:46" s="13" customFormat="1" ht="15.5">
      <c r="A110" s="26"/>
      <c r="B110" s="12"/>
      <c r="C110" s="30"/>
      <c r="D110" s="41"/>
      <c r="E110" s="12"/>
      <c r="F110" s="30"/>
      <c r="G110" s="41"/>
      <c r="H110" s="12"/>
      <c r="I110" s="30"/>
      <c r="J110" s="41"/>
      <c r="K110" s="12"/>
      <c r="L110" s="30"/>
      <c r="M110" s="41"/>
      <c r="N110" s="12"/>
      <c r="O110" s="30"/>
      <c r="P110" s="41"/>
      <c r="Q110" s="12"/>
      <c r="R110" s="30"/>
      <c r="S110" s="41"/>
      <c r="T110" s="12"/>
      <c r="U110" s="30"/>
      <c r="V110" s="41"/>
      <c r="W110" s="12"/>
      <c r="X110" s="30"/>
      <c r="Y110" s="41"/>
      <c r="Z110" s="12"/>
      <c r="AA110" s="30"/>
      <c r="AB110" s="41"/>
      <c r="AC110" s="12"/>
      <c r="AD110" s="30"/>
      <c r="AE110" s="41"/>
      <c r="AF110" s="12"/>
      <c r="AG110" s="30"/>
      <c r="AH110" s="41"/>
      <c r="AI110" s="12"/>
      <c r="AJ110" s="30"/>
      <c r="AK110" s="41"/>
      <c r="AL110" s="15"/>
      <c r="AM110" s="22"/>
      <c r="AO110" s="44"/>
      <c r="AP110" s="44"/>
    </row>
    <row r="111" spans="1:46" s="13" customFormat="1" ht="15.5">
      <c r="A111" s="26"/>
      <c r="B111" s="12"/>
      <c r="C111" s="30"/>
      <c r="D111" s="41"/>
      <c r="E111" s="12"/>
      <c r="F111" s="30"/>
      <c r="G111" s="41"/>
      <c r="H111" s="12"/>
      <c r="I111" s="30"/>
      <c r="J111" s="41"/>
      <c r="K111" s="12"/>
      <c r="L111" s="30"/>
      <c r="M111" s="41"/>
      <c r="N111" s="12"/>
      <c r="O111" s="30"/>
      <c r="P111" s="41"/>
      <c r="Q111" s="12"/>
      <c r="R111" s="30"/>
      <c r="S111" s="41"/>
      <c r="T111" s="12"/>
      <c r="U111" s="30"/>
      <c r="V111" s="41"/>
      <c r="W111" s="12"/>
      <c r="X111" s="30"/>
      <c r="Y111" s="41"/>
      <c r="Z111" s="12"/>
      <c r="AA111" s="30"/>
      <c r="AB111" s="41"/>
      <c r="AC111" s="12"/>
      <c r="AD111" s="30"/>
      <c r="AE111" s="41"/>
      <c r="AF111" s="12"/>
      <c r="AG111" s="30"/>
      <c r="AH111" s="41"/>
      <c r="AI111" s="12"/>
      <c r="AJ111" s="30"/>
      <c r="AK111" s="41"/>
      <c r="AL111" s="15"/>
      <c r="AM111" s="22"/>
      <c r="AO111" s="44"/>
      <c r="AP111" s="44"/>
    </row>
    <row r="112" spans="1:46" s="44" customFormat="1" ht="15.5">
      <c r="A112" s="31" t="s">
        <v>70</v>
      </c>
      <c r="B112" s="32">
        <f>'A -Döviz'!B112</f>
        <v>2548341.2745954632</v>
      </c>
      <c r="C112" s="32">
        <f>'A -Döviz'!C112</f>
        <v>2571901.4158522584</v>
      </c>
      <c r="D112" s="72">
        <f>+(C112/B112)-1</f>
        <v>9.2452849591486697E-3</v>
      </c>
      <c r="E112" s="32">
        <f>B112+'A -Döviz'!E112</f>
        <v>5361999.7058618441</v>
      </c>
      <c r="F112" s="32">
        <f>C112+'A -Döviz'!F112</f>
        <v>4938536.2427863292</v>
      </c>
      <c r="G112" s="18"/>
      <c r="H112" s="32">
        <f>E112+'A -Döviz'!H112</f>
        <v>8759791.3901258521</v>
      </c>
      <c r="I112" s="32">
        <f>F112+'A -Döviz'!I112</f>
        <v>7234314.4818785861</v>
      </c>
      <c r="J112" s="18"/>
      <c r="K112" s="32">
        <f>H112+'A -Döviz'!K112</f>
        <v>11223083.813549146</v>
      </c>
      <c r="L112" s="32">
        <f>I112+'A -Döviz'!L112</f>
        <v>8815940.6191776022</v>
      </c>
      <c r="M112" s="18"/>
      <c r="N112" s="32">
        <f>K112+'A -Döviz'!N112</f>
        <v>14629951.383877955</v>
      </c>
      <c r="O112" s="32">
        <f>L112+'A -Döviz'!O112</f>
        <v>11631335.665729094</v>
      </c>
      <c r="P112" s="18"/>
      <c r="Q112" s="32">
        <f>N112+'A -Döviz'!Q112</f>
        <v>17658646.123598784</v>
      </c>
      <c r="R112" s="32">
        <f>O112+'A -Döviz'!R112</f>
        <v>13506568.033967985</v>
      </c>
      <c r="S112" s="18"/>
      <c r="T112" s="32">
        <f>Q112+'A -Döviz'!T112</f>
        <v>20934403.405213218</v>
      </c>
      <c r="U112" s="32">
        <f>R112+'A -Döviz'!U112</f>
        <v>16002310.688431516</v>
      </c>
      <c r="V112" s="18"/>
      <c r="W112" s="32">
        <f>T112+'A -Döviz'!W112</f>
        <v>22945665.914545674</v>
      </c>
      <c r="X112" s="32">
        <f>U112+'A -Döviz'!X112</f>
        <v>17944093.197677329</v>
      </c>
      <c r="Y112" s="18"/>
      <c r="Z112" s="32">
        <f>W112+'A -Döviz'!Z112</f>
        <v>27886217.773728788</v>
      </c>
      <c r="AA112" s="32">
        <f>X112+'A -Döviz'!AA112</f>
        <v>21936980.271893274</v>
      </c>
      <c r="AB112" s="18"/>
      <c r="AC112" s="32">
        <f>Z112+'A -Döviz'!AC112</f>
        <v>32339318.537499707</v>
      </c>
      <c r="AD112" s="32">
        <f>AA112+'A -Döviz'!AD112</f>
        <v>21936980.271893274</v>
      </c>
      <c r="AE112" s="18"/>
      <c r="AF112" s="32">
        <f>AC112+'A -Döviz'!AF112</f>
        <v>36690098.923088171</v>
      </c>
      <c r="AG112" s="32">
        <f>AD112+'A -Döviz'!AG112</f>
        <v>21936980.271893274</v>
      </c>
      <c r="AH112" s="18"/>
      <c r="AI112" s="32">
        <f>AF112+'A -Döviz'!AI112</f>
        <v>39798396.377341546</v>
      </c>
      <c r="AJ112" s="32">
        <f>AG112+'A -Döviz'!AJ112</f>
        <v>21936980.271893274</v>
      </c>
      <c r="AK112" s="18"/>
      <c r="AL112" s="33">
        <f>AP112-AO112</f>
        <v>-5949237.5018355139</v>
      </c>
      <c r="AM112" s="113">
        <f>AP112/AO112-1</f>
        <v>-0.21333970601922958</v>
      </c>
      <c r="AO112" s="44">
        <f>IF($A$1=$B$1,B112,IF($A$1=$E$1,E112,IF($A$1=$H$1,H112,IF($A$1=$K$1,K112,IF($A$1=$N$1,N112,IF($A$1=$Q$1,Q112,IF($A$1=$T$1,T112,IF($A$1=$W$1,W112,IF($A$1=$Z$1,Z112,IF($A$1=$AC$1,AC112,IF($A$1=$AF$1,AF112,IF($A$1=$AI$1,AI112))))))))))))</f>
        <v>27886217.773728788</v>
      </c>
      <c r="AP112" s="44">
        <f>IF($A$1=$B$1,C112,IF($A$1=$E$1,F112,IF($A$1=$H$1,I112,IF($A$1=$K$1,L112,IF($A$1=$N$1,O112,IF($A$1=$Q$1,R112,IF($A$1=$T$1,U112,IF($A$1=$W$1,X112,IF($A$1=$Z$1,AA112,IF($A$1=$AC$1,AD112,IF($A$1=$AF$1,AG112,IF($A$1=$AI$1,AJ112))))))))))))</f>
        <v>21936980.271893274</v>
      </c>
    </row>
    <row r="113" spans="1:48" s="13" customFormat="1" ht="15.5">
      <c r="A113" s="27"/>
      <c r="B113" s="30"/>
      <c r="C113" s="30"/>
      <c r="D113" s="41"/>
      <c r="E113" s="109">
        <f>E112/E30</f>
        <v>9.6263820779698278E-2</v>
      </c>
      <c r="F113" s="109">
        <f>F112/F30</f>
        <v>8.6187507730765708E-2</v>
      </c>
      <c r="G113" s="41"/>
      <c r="H113" s="109">
        <f>H112/H6</f>
        <v>0.100914121589413</v>
      </c>
      <c r="I113" s="109">
        <f>I112/I6</f>
        <v>8.4788287404395604E-2</v>
      </c>
      <c r="J113" s="41"/>
      <c r="K113" s="109">
        <f>-K112/$K$6</f>
        <v>-9.6996329261297309E-2</v>
      </c>
      <c r="L113" s="109">
        <f>-L112/$L$6</f>
        <v>-7.8766739328415464E-2</v>
      </c>
      <c r="M113" s="41"/>
      <c r="N113" s="109">
        <f>-N112/$N$6</f>
        <v>-0.10040826654972131</v>
      </c>
      <c r="O113" s="109">
        <f>-O112/$O$6</f>
        <v>-8.294818430525544E-2</v>
      </c>
      <c r="P113" s="41"/>
      <c r="Q113" s="109">
        <f>-Q112/$Q$6</f>
        <v>-0.10100773149753313</v>
      </c>
      <c r="R113" s="109">
        <f>-R112/$R$6</f>
        <v>-8.2385949337342043E-2</v>
      </c>
      <c r="S113" s="41"/>
      <c r="T113" s="109">
        <f>-T112/$T$6</f>
        <v>-0.10227998141499756</v>
      </c>
      <c r="U113" s="109">
        <f>-U112/$U$6</f>
        <v>-8.3718898842888384E-2</v>
      </c>
      <c r="V113" s="41"/>
      <c r="W113" s="109">
        <f>-W112/$W$6</f>
        <v>-9.9328892757096485E-2</v>
      </c>
      <c r="X113" s="109">
        <f>-X112/$X$6</f>
        <v>-8.4218483743227074E-2</v>
      </c>
      <c r="Y113" s="41"/>
      <c r="Z113" s="109">
        <f>-Z112/$W$6</f>
        <v>-0.12071591842064824</v>
      </c>
      <c r="AA113" s="109">
        <f>-AA112/$X$6</f>
        <v>-0.10295862800373082</v>
      </c>
      <c r="AB113" s="41"/>
      <c r="AC113" s="109">
        <f>-AC112/$AC$6</f>
        <v>-0.10891986159019715</v>
      </c>
      <c r="AD113" s="109">
        <f>-AD112/$AD$6</f>
        <v>-9.1701995953985496E-2</v>
      </c>
      <c r="AE113" s="41"/>
      <c r="AF113" s="109">
        <f>-AF112/$AC$6</f>
        <v>-0.12357342940913976</v>
      </c>
      <c r="AG113" s="109">
        <f>-AG112/$AD$6</f>
        <v>-9.1701995953985496E-2</v>
      </c>
      <c r="AH113" s="41"/>
      <c r="AI113" s="30"/>
      <c r="AJ113" s="30"/>
      <c r="AK113" s="41"/>
      <c r="AL113" s="15"/>
      <c r="AM113" s="22"/>
      <c r="AO113" s="44">
        <f>IF($A$1=$B$1,B113,IF($A$1=$E$1,E113,IF($A$1=$H$1,H113,IF($A$1=$K$1,K113,IF($A$1=$N$1,N113,IF($A$1=$Q$1,Q113,IF($A$1=$T$1,T113,IF($A$1=$W$1,W113,IF($A$1=$Z$1,Z113,IF($A$1=$AC$1,AC113,IF($A$1=$AF$1,AF113,IF($A$1=$AI$1,AI113))))))))))))</f>
        <v>-0.12071591842064824</v>
      </c>
      <c r="AP113" s="44">
        <f>IF($A$1=$B$1,C113,IF($A$1=$E$1,F113,IF($A$1=$H$1,I113,IF($A$1=$K$1,L113,IF($A$1=$N$1,O113,IF($A$1=$Q$1,R113,IF($A$1=$T$1,U113,IF($A$1=$W$1,X113,IF($A$1=$Z$1,AA113,IF($A$1=$AC$1,AD113,IF($A$1=$AF$1,AG113,IF($A$1=$AI$1,AJ113))))))))))))</f>
        <v>-0.10295862800373082</v>
      </c>
      <c r="AR113" s="295">
        <f>AC113-AD113</f>
        <v>-1.7217865636211652E-2</v>
      </c>
    </row>
    <row r="114" spans="1:48" s="49" customFormat="1" ht="17">
      <c r="A114" s="47" t="s">
        <v>71</v>
      </c>
      <c r="B114" s="413"/>
      <c r="C114" s="413"/>
      <c r="D114" s="413"/>
      <c r="E114" s="413"/>
      <c r="F114" s="413"/>
      <c r="G114" s="413"/>
      <c r="H114" s="413"/>
      <c r="I114" s="413"/>
      <c r="J114" s="413"/>
      <c r="K114" s="413"/>
      <c r="L114" s="413"/>
      <c r="M114" s="413"/>
      <c r="N114" s="413"/>
      <c r="O114" s="414">
        <f>N113-O113</f>
        <v>-1.7460082244465866E-2</v>
      </c>
      <c r="P114" s="413"/>
      <c r="Q114" s="413"/>
      <c r="R114" s="413"/>
      <c r="S114" s="413"/>
      <c r="T114" s="413"/>
      <c r="U114" s="413"/>
      <c r="V114" s="413"/>
      <c r="W114" s="413"/>
      <c r="X114" s="413"/>
      <c r="Y114" s="413"/>
      <c r="Z114" s="413"/>
      <c r="AA114" s="413"/>
      <c r="AB114" s="413"/>
      <c r="AC114" s="413"/>
      <c r="AD114" s="413"/>
      <c r="AE114" s="413"/>
      <c r="AF114" s="413"/>
      <c r="AG114" s="413"/>
      <c r="AH114" s="413"/>
      <c r="AI114" s="413"/>
      <c r="AJ114" s="413"/>
      <c r="AK114" s="413"/>
      <c r="AL114" s="413"/>
      <c r="AM114" s="48"/>
      <c r="AR114" s="110">
        <f>SUM(AR115:AR122)</f>
        <v>22945665.914545678</v>
      </c>
      <c r="AS114" s="110">
        <f>SUM(AS115:AS122)</f>
        <v>17944093.197677329</v>
      </c>
    </row>
    <row r="115" spans="1:48" ht="15.5">
      <c r="A115" s="26" t="s">
        <v>10</v>
      </c>
      <c r="B115" s="7">
        <f>'A -Döviz'!B115</f>
        <v>336241.53342495038</v>
      </c>
      <c r="C115" s="7">
        <f>'A -Döviz'!C115</f>
        <v>375501.84210533259</v>
      </c>
      <c r="D115" s="7"/>
      <c r="E115" s="7">
        <f>B115+'A -Döviz'!E115</f>
        <v>700169.96602247423</v>
      </c>
      <c r="F115" s="7">
        <f>C115+'A -Döviz'!F115</f>
        <v>685808.51051568752</v>
      </c>
      <c r="G115" s="7"/>
      <c r="H115" s="7">
        <f>E115+'A -Döviz'!H115</f>
        <v>1036384.8460271815</v>
      </c>
      <c r="I115" s="7">
        <f>F115+'A -Döviz'!I115</f>
        <v>1025093.4193914195</v>
      </c>
      <c r="J115" s="7"/>
      <c r="K115" s="7">
        <f>H115+'A -Döviz'!K115</f>
        <v>1373437.0131251558</v>
      </c>
      <c r="L115" s="7">
        <f>I115+'A -Döviz'!L115</f>
        <v>1159088.3296992453</v>
      </c>
      <c r="M115" s="7"/>
      <c r="N115" s="7">
        <f>K115+'A -Döviz'!N115</f>
        <v>1724262.7926097722</v>
      </c>
      <c r="O115" s="7">
        <f>L115+'A -Döviz'!O115</f>
        <v>1582651.7906301471</v>
      </c>
      <c r="P115" s="7"/>
      <c r="Q115" s="7">
        <f>N115+'A -Döviz'!Q115</f>
        <v>2082170.466901548</v>
      </c>
      <c r="R115" s="7">
        <f>O115+'A -Döviz'!R115</f>
        <v>1880251.9351006993</v>
      </c>
      <c r="S115" s="7"/>
      <c r="T115" s="7">
        <f>Q115+'A -Döviz'!T115</f>
        <v>2472743.9859664608</v>
      </c>
      <c r="U115" s="7">
        <f>R115+'A -Döviz'!U115</f>
        <v>2228240.9777553626</v>
      </c>
      <c r="V115" s="7"/>
      <c r="W115" s="7">
        <f>T115+'A -Döviz'!W115</f>
        <v>2796214.2967351903</v>
      </c>
      <c r="X115" s="7">
        <f>U115+'A -Döviz'!X115</f>
        <v>2519061.8268381055</v>
      </c>
      <c r="Y115" s="7"/>
      <c r="Z115" s="7">
        <f>W115+'A -Döviz'!Z115</f>
        <v>3278555.7194937449</v>
      </c>
      <c r="AA115" s="7">
        <f>X115+'A -Döviz'!AA115</f>
        <v>2997628.0995079228</v>
      </c>
      <c r="AB115" s="7"/>
      <c r="AC115" s="7">
        <f>Z115+'A -Döviz'!AC115</f>
        <v>3715446.7530613248</v>
      </c>
      <c r="AD115" s="7">
        <f>AA115+'A -Döviz'!AD115</f>
        <v>2997628.0995079228</v>
      </c>
      <c r="AE115" s="7"/>
      <c r="AF115" s="7">
        <f>AC115+'A -Döviz'!AF115</f>
        <v>4101749.8576279045</v>
      </c>
      <c r="AG115" s="7">
        <f>AD115+'A -Döviz'!AG115</f>
        <v>2997628.0995079228</v>
      </c>
      <c r="AH115" s="7"/>
      <c r="AI115" s="7">
        <f>AF115+'A -Döviz'!AI115</f>
        <v>3886466.0038821218</v>
      </c>
      <c r="AJ115" s="7">
        <f>AG115+'A -Döviz'!AJ115</f>
        <v>2997628.0995079228</v>
      </c>
      <c r="AK115" s="7"/>
      <c r="AL115" s="21">
        <f t="shared" ref="AL115:AL122" si="73">AP115-AO115</f>
        <v>-280927.61998582212</v>
      </c>
      <c r="AM115" s="22">
        <f t="shared" ref="AM115:AM122" si="74">AP115/AO115-1</f>
        <v>-8.5686394870605143E-2</v>
      </c>
      <c r="AO115" s="44">
        <f t="shared" ref="AO115:AP123" si="75">IF($A$1=$B$1,B115,IF($A$1=$E$1,E115,IF($A$1=$H$1,H115,IF($A$1=$K$1,K115,IF($A$1=$N$1,N115,IF($A$1=$Q$1,Q115,IF($A$1=$T$1,T115,IF($A$1=$W$1,W115,IF($A$1=$Z$1,Z115,IF($A$1=$AC$1,AC115,IF($A$1=$AF$1,AF115,IF($A$1=$AI$1,AI115))))))))))))</f>
        <v>3278555.7194937449</v>
      </c>
      <c r="AP115" s="44">
        <f t="shared" si="75"/>
        <v>2997628.0995079228</v>
      </c>
      <c r="AR115" s="94">
        <f t="shared" ref="AR115:AS117" si="76">W115</f>
        <v>2796214.2967351903</v>
      </c>
      <c r="AS115" s="94">
        <f t="shared" si="76"/>
        <v>2519061.8268381055</v>
      </c>
      <c r="AT115" s="94">
        <f>AS115-AR115</f>
        <v>-277152.46989708487</v>
      </c>
    </row>
    <row r="116" spans="1:48" ht="15.5">
      <c r="A116" s="26" t="s">
        <v>11</v>
      </c>
      <c r="B116" s="7">
        <f>'A -Döviz'!B116</f>
        <v>-29542.151002105951</v>
      </c>
      <c r="C116" s="7">
        <f>'A -Döviz'!C116</f>
        <v>-11554.723709327431</v>
      </c>
      <c r="D116" s="7"/>
      <c r="E116" s="7">
        <f>B116+'A -Döviz'!E116</f>
        <v>53915.560441015652</v>
      </c>
      <c r="F116" s="7">
        <f>C116+'A -Döviz'!F116</f>
        <v>26848.215719543863</v>
      </c>
      <c r="G116" s="7"/>
      <c r="H116" s="7">
        <f>E116+'A -Döviz'!H116</f>
        <v>156989.01651378084</v>
      </c>
      <c r="I116" s="7">
        <f>F116+'A -Döviz'!I116</f>
        <v>47366.183113613195</v>
      </c>
      <c r="J116" s="7"/>
      <c r="K116" s="7">
        <f>H116+'A -Döviz'!K116</f>
        <v>327770.96600621927</v>
      </c>
      <c r="L116" s="7">
        <f>I116+'A -Döviz'!L116</f>
        <v>27854.117791267403</v>
      </c>
      <c r="M116" s="7"/>
      <c r="N116" s="7">
        <f>K116+'A -Döviz'!N116</f>
        <v>540349.9620133643</v>
      </c>
      <c r="O116" s="7">
        <f>L116+'A -Döviz'!O116</f>
        <v>56144.444785829604</v>
      </c>
      <c r="P116" s="7"/>
      <c r="Q116" s="7">
        <f>N116+'A -Döviz'!Q116</f>
        <v>733157.66543096502</v>
      </c>
      <c r="R116" s="7">
        <f>O116+'A -Döviz'!R116</f>
        <v>77419.554869958141</v>
      </c>
      <c r="S116" s="7"/>
      <c r="T116" s="7">
        <f>Q116+'A -Döviz'!T116</f>
        <v>878876.01096489304</v>
      </c>
      <c r="U116" s="7">
        <f>R116+'A -Döviz'!U116</f>
        <v>127428.97707520871</v>
      </c>
      <c r="V116" s="7"/>
      <c r="W116" s="7">
        <f>T116+'A -Döviz'!W116</f>
        <v>913188.92141772911</v>
      </c>
      <c r="X116" s="7">
        <f>U116+'A -Döviz'!X116</f>
        <v>142366.14387041365</v>
      </c>
      <c r="Y116" s="7"/>
      <c r="Z116" s="7">
        <f>W116+'A -Döviz'!Z116</f>
        <v>976512.84844531724</v>
      </c>
      <c r="AA116" s="7">
        <f>X116+'A -Döviz'!AA116</f>
        <v>107374.88583876356</v>
      </c>
      <c r="AB116" s="7"/>
      <c r="AC116" s="7">
        <f>Z116+'A -Döviz'!AC116</f>
        <v>997691.60740162234</v>
      </c>
      <c r="AD116" s="7">
        <f>AA116+'A -Döviz'!AD116</f>
        <v>107374.88583876356</v>
      </c>
      <c r="AE116" s="7"/>
      <c r="AF116" s="7">
        <f>AC116+'A -Döviz'!AF116</f>
        <v>991412.8990992005</v>
      </c>
      <c r="AG116" s="7">
        <f>AD116+'A -Döviz'!AG116</f>
        <v>107374.88583876356</v>
      </c>
      <c r="AH116" s="7"/>
      <c r="AI116" s="7">
        <f>AF116+'A -Döviz'!AI116</f>
        <v>945791.68045199174</v>
      </c>
      <c r="AJ116" s="7">
        <f>AG116+'A -Döviz'!AJ116</f>
        <v>107374.88583876356</v>
      </c>
      <c r="AK116" s="7"/>
      <c r="AL116" s="21">
        <f t="shared" si="73"/>
        <v>-869137.96260655369</v>
      </c>
      <c r="AM116" s="22">
        <f t="shared" si="74"/>
        <v>-0.89004252631216008</v>
      </c>
      <c r="AO116" s="44">
        <f t="shared" si="75"/>
        <v>976512.84844531724</v>
      </c>
      <c r="AP116" s="44">
        <f t="shared" si="75"/>
        <v>107374.88583876356</v>
      </c>
      <c r="AR116" s="94">
        <f t="shared" si="76"/>
        <v>913188.92141772911</v>
      </c>
      <c r="AS116" s="94">
        <f t="shared" si="76"/>
        <v>142366.14387041365</v>
      </c>
      <c r="AT116" s="94">
        <f t="shared" ref="AT116:AT122" si="77">AS116-AR116</f>
        <v>-770822.77754731546</v>
      </c>
    </row>
    <row r="117" spans="1:48" ht="15.5">
      <c r="A117" s="26" t="s">
        <v>12</v>
      </c>
      <c r="B117" s="7">
        <f>'A -Döviz'!B117</f>
        <v>-44855.99578873664</v>
      </c>
      <c r="C117" s="7">
        <f>'A -Döviz'!C117</f>
        <v>33846.994633482842</v>
      </c>
      <c r="D117" s="7"/>
      <c r="E117" s="7">
        <f>B117+'A -Döviz'!E117</f>
        <v>-43098.153573260526</v>
      </c>
      <c r="F117" s="7">
        <f>C117+'A -Döviz'!F117</f>
        <v>65348.286017648701</v>
      </c>
      <c r="G117" s="7"/>
      <c r="H117" s="7">
        <f>E117+'A -Döviz'!H117</f>
        <v>9280.2876967806806</v>
      </c>
      <c r="I117" s="7">
        <f>F117+'A -Döviz'!I117</f>
        <v>73991.560679160524</v>
      </c>
      <c r="J117" s="7"/>
      <c r="K117" s="7">
        <f>H117+'A -Döviz'!K117</f>
        <v>58212.054643042</v>
      </c>
      <c r="L117" s="7">
        <f>I117+'A -Döviz'!L117</f>
        <v>96111.78064648126</v>
      </c>
      <c r="M117" s="7"/>
      <c r="N117" s="7">
        <f>K117+'A -Döviz'!N117</f>
        <v>161947.34145694808</v>
      </c>
      <c r="O117" s="7">
        <f>L117+'A -Döviz'!O117</f>
        <v>128906.77315458076</v>
      </c>
      <c r="P117" s="7"/>
      <c r="Q117" s="7">
        <f>N117+'A -Döviz'!Q117</f>
        <v>265318.72864026192</v>
      </c>
      <c r="R117" s="7">
        <f>O117+'A -Döviz'!R117</f>
        <v>144668.2804418974</v>
      </c>
      <c r="S117" s="7"/>
      <c r="T117" s="7">
        <f>Q117+'A -Döviz'!T117</f>
        <v>391119.13065073011</v>
      </c>
      <c r="U117" s="7">
        <f>R117+'A -Döviz'!U117</f>
        <v>173202.71177490309</v>
      </c>
      <c r="V117" s="7"/>
      <c r="W117" s="7">
        <f>T117+'A -Döviz'!W117</f>
        <v>488916.80152128986</v>
      </c>
      <c r="X117" s="7">
        <f>U117+'A -Döviz'!X117</f>
        <v>195276.97830758902</v>
      </c>
      <c r="Y117" s="7"/>
      <c r="Z117" s="7">
        <f>W117+'A -Döviz'!Z117</f>
        <v>563764.49852976005</v>
      </c>
      <c r="AA117" s="7">
        <f>X117+'A -Döviz'!AA117</f>
        <v>250088.74870805093</v>
      </c>
      <c r="AB117" s="7"/>
      <c r="AC117" s="7">
        <f>Z117+'A -Döviz'!AC117</f>
        <v>658007.09253088222</v>
      </c>
      <c r="AD117" s="7">
        <f>AA117+'A -Döviz'!AD117</f>
        <v>250088.74870805093</v>
      </c>
      <c r="AE117" s="7"/>
      <c r="AF117" s="7">
        <f>AC117+'A -Döviz'!AF117</f>
        <v>770659.21828569751</v>
      </c>
      <c r="AG117" s="7">
        <f>AD117+'A -Döviz'!AG117</f>
        <v>250088.74870805093</v>
      </c>
      <c r="AH117" s="7"/>
      <c r="AI117" s="7">
        <f>AF117+'A -Döviz'!AI117</f>
        <v>817797.17661133676</v>
      </c>
      <c r="AJ117" s="7">
        <f>AG117+'A -Döviz'!AJ117</f>
        <v>250088.74870805093</v>
      </c>
      <c r="AK117" s="7"/>
      <c r="AL117" s="21">
        <f t="shared" si="73"/>
        <v>-313675.74982170912</v>
      </c>
      <c r="AM117" s="22">
        <f t="shared" si="74"/>
        <v>-0.556395002948471</v>
      </c>
      <c r="AO117" s="44">
        <f t="shared" si="75"/>
        <v>563764.49852976005</v>
      </c>
      <c r="AP117" s="44">
        <f t="shared" si="75"/>
        <v>250088.74870805093</v>
      </c>
      <c r="AR117" s="94">
        <f t="shared" si="76"/>
        <v>488916.80152128986</v>
      </c>
      <c r="AS117" s="94">
        <f t="shared" si="76"/>
        <v>195276.97830758902</v>
      </c>
      <c r="AT117" s="94">
        <f t="shared" si="77"/>
        <v>-293639.82321370085</v>
      </c>
    </row>
    <row r="118" spans="1:48" ht="15.5">
      <c r="A118" s="26" t="s">
        <v>13</v>
      </c>
      <c r="B118" s="7">
        <f>'A -Döviz'!B118</f>
        <v>1410939.0130362373</v>
      </c>
      <c r="C118" s="7">
        <f>'A -Döviz'!C118</f>
        <v>1100435.066833009</v>
      </c>
      <c r="D118" s="7"/>
      <c r="E118" s="7">
        <f>B118+'A -Döviz'!E118</f>
        <v>2561407.0049235993</v>
      </c>
      <c r="F118" s="7">
        <f>C118+'A -Döviz'!F118</f>
        <v>1723579.1951340893</v>
      </c>
      <c r="G118" s="7"/>
      <c r="H118" s="7">
        <f>E118+'A -Döviz'!H118</f>
        <v>3850542.257345303</v>
      </c>
      <c r="I118" s="7">
        <f>F118+'A -Döviz'!I118</f>
        <v>1178449.5136711104</v>
      </c>
      <c r="J118" s="7"/>
      <c r="K118" s="7">
        <f>H118+'A -Döviz'!K118</f>
        <v>4962791.2561944444</v>
      </c>
      <c r="L118" s="7">
        <f>I118+'A -Döviz'!L118</f>
        <v>471108.30035288504</v>
      </c>
      <c r="M118" s="7"/>
      <c r="N118" s="7">
        <f>K118+'A -Döviz'!N118</f>
        <v>6253976.5897539901</v>
      </c>
      <c r="O118" s="7">
        <f>L118+'A -Döviz'!O118</f>
        <v>277117.42217339145</v>
      </c>
      <c r="P118" s="7"/>
      <c r="Q118" s="7">
        <f>N118+'A -Döviz'!Q118</f>
        <v>7808911.6857239027</v>
      </c>
      <c r="R118" s="7">
        <f>O118+'A -Döviz'!R118</f>
        <v>-603130.0075589536</v>
      </c>
      <c r="S118" s="7"/>
      <c r="T118" s="7">
        <f>Q118+'A -Döviz'!T118</f>
        <v>9810396.2554363161</v>
      </c>
      <c r="U118" s="7">
        <f>R118+'A -Döviz'!U118</f>
        <v>-1047339.4725557687</v>
      </c>
      <c r="V118" s="7"/>
      <c r="W118" s="7">
        <f>T118+'A -Döviz'!W118</f>
        <v>11993367.586202504</v>
      </c>
      <c r="X118" s="7">
        <f>U118+'A -Döviz'!X118</f>
        <v>-362354.1955747403</v>
      </c>
      <c r="Y118" s="7"/>
      <c r="Z118" s="7">
        <f>W118+'A -Döviz'!Z118</f>
        <v>14683210.687161893</v>
      </c>
      <c r="AA118" s="7">
        <f>X118+'A -Döviz'!AA118</f>
        <v>-306820.8685749193</v>
      </c>
      <c r="AB118" s="7"/>
      <c r="AC118" s="7">
        <f>Z118+'A -Döviz'!AC118</f>
        <v>18016449.552408967</v>
      </c>
      <c r="AD118" s="7">
        <f>AA118+'A -Döviz'!AD118</f>
        <v>-306820.8685749193</v>
      </c>
      <c r="AE118" s="7"/>
      <c r="AF118" s="7">
        <f>AC118+'A -Döviz'!AF118</f>
        <v>21486414.584565632</v>
      </c>
      <c r="AG118" s="7">
        <f>AD118+'A -Döviz'!AG118</f>
        <v>-306820.8685749193</v>
      </c>
      <c r="AH118" s="7"/>
      <c r="AI118" s="7">
        <f>AF118+'A -Döviz'!AI118</f>
        <v>25650863.590784047</v>
      </c>
      <c r="AJ118" s="7">
        <f>AG118+'A -Döviz'!AJ118</f>
        <v>-306820.8685749193</v>
      </c>
      <c r="AK118" s="7"/>
      <c r="AL118" s="21">
        <f t="shared" si="73"/>
        <v>-14990031.555736812</v>
      </c>
      <c r="AM118" s="22">
        <f t="shared" si="74"/>
        <v>-1.0208960339201008</v>
      </c>
      <c r="AO118" s="44">
        <f t="shared" si="75"/>
        <v>14683210.687161893</v>
      </c>
      <c r="AP118" s="44">
        <f t="shared" si="75"/>
        <v>-306820.8685749193</v>
      </c>
      <c r="AR118" s="94">
        <f t="shared" ref="AR118:AS122" si="78">W118*0.4</f>
        <v>4797347.034481002</v>
      </c>
      <c r="AS118" s="94">
        <f t="shared" si="78"/>
        <v>-144941.67822989612</v>
      </c>
      <c r="AT118" s="94">
        <f t="shared" si="77"/>
        <v>-4942288.7127108984</v>
      </c>
      <c r="AV118" s="404">
        <f>F118/SUM($F$115:$F$122)</f>
        <v>0.15417549342847392</v>
      </c>
    </row>
    <row r="119" spans="1:48" s="1" customFormat="1" ht="15.5">
      <c r="A119" s="26" t="s">
        <v>14</v>
      </c>
      <c r="B119" s="7">
        <f>'A -Döviz'!B119</f>
        <v>434150.3468631506</v>
      </c>
      <c r="C119" s="7">
        <f>'A -Döviz'!C119</f>
        <v>248849.95022391537</v>
      </c>
      <c r="D119" s="8"/>
      <c r="E119" s="7">
        <f>B119+'A -Döviz'!E119</f>
        <v>909821.08758043684</v>
      </c>
      <c r="F119" s="7">
        <f>C119+'A -Döviz'!F119</f>
        <v>693566.16119953711</v>
      </c>
      <c r="G119" s="8"/>
      <c r="H119" s="7">
        <f>E119+'A -Döviz'!H119</f>
        <v>1352442.4857249688</v>
      </c>
      <c r="I119" s="7">
        <f>F119+'A -Döviz'!I119</f>
        <v>1137830.3030648669</v>
      </c>
      <c r="J119" s="8"/>
      <c r="K119" s="7">
        <f>H119+'A -Döviz'!K119</f>
        <v>1352780.2942913768</v>
      </c>
      <c r="L119" s="7">
        <f>I119+'A -Döviz'!L119</f>
        <v>1022444.9372486356</v>
      </c>
      <c r="M119" s="8"/>
      <c r="N119" s="7">
        <f>K119+'A -Döviz'!N119</f>
        <v>1531467.6884276855</v>
      </c>
      <c r="O119" s="7">
        <f>L119+'A -Döviz'!O119</f>
        <v>1048530.3407229446</v>
      </c>
      <c r="P119" s="8"/>
      <c r="Q119" s="7">
        <f>N119+'A -Döviz'!Q119</f>
        <v>1623933.0171001209</v>
      </c>
      <c r="R119" s="7">
        <f>O119+'A -Döviz'!R119</f>
        <v>1114189.7064475159</v>
      </c>
      <c r="S119" s="8"/>
      <c r="T119" s="7">
        <f>Q119+'A -Döviz'!T119</f>
        <v>1866150.733484518</v>
      </c>
      <c r="U119" s="7">
        <f>R119+'A -Döviz'!U119</f>
        <v>1412117.9971208952</v>
      </c>
      <c r="V119" s="8"/>
      <c r="W119" s="7">
        <f>T119+'A -Döviz'!W119</f>
        <v>2149662.5687421556</v>
      </c>
      <c r="X119" s="7">
        <f>U119+'A -Döviz'!X119</f>
        <v>1724721.8472277808</v>
      </c>
      <c r="Y119" s="8"/>
      <c r="Z119" s="7">
        <f>W119+'A -Döviz'!Z119</f>
        <v>2422700.9075560165</v>
      </c>
      <c r="AA119" s="7">
        <f>X119+'A -Döviz'!AA119</f>
        <v>2121414.7731712465</v>
      </c>
      <c r="AB119" s="8"/>
      <c r="AC119" s="7">
        <f>Z119+'A -Döviz'!AC119</f>
        <v>2867922.1562487264</v>
      </c>
      <c r="AD119" s="7">
        <f>AA119+'A -Döviz'!AD119</f>
        <v>2121414.7731712465</v>
      </c>
      <c r="AE119" s="8"/>
      <c r="AF119" s="7">
        <f>AC119+'A -Döviz'!AF119</f>
        <v>3203088.092926784</v>
      </c>
      <c r="AG119" s="7">
        <f>AD119+'A -Döviz'!AG119</f>
        <v>2121414.7731712465</v>
      </c>
      <c r="AH119" s="8"/>
      <c r="AI119" s="7">
        <f>AF119+'A -Döviz'!AI119</f>
        <v>3430852.402077178</v>
      </c>
      <c r="AJ119" s="7">
        <f>AG119+'A -Döviz'!AJ119</f>
        <v>2121414.7731712465</v>
      </c>
      <c r="AK119" s="8"/>
      <c r="AL119" s="21">
        <f t="shared" si="73"/>
        <v>-301286.13438476995</v>
      </c>
      <c r="AM119" s="22">
        <f t="shared" si="74"/>
        <v>-0.12435960767798726</v>
      </c>
      <c r="AO119" s="44">
        <f t="shared" si="75"/>
        <v>2422700.9075560165</v>
      </c>
      <c r="AP119" s="44">
        <f t="shared" si="75"/>
        <v>2121414.7731712465</v>
      </c>
      <c r="AR119" s="94">
        <f t="shared" si="78"/>
        <v>859865.02749686223</v>
      </c>
      <c r="AS119" s="94">
        <f t="shared" si="78"/>
        <v>689888.73889111239</v>
      </c>
      <c r="AT119" s="94">
        <f t="shared" si="77"/>
        <v>-169976.28860574984</v>
      </c>
      <c r="AV119" s="404">
        <f t="shared" ref="AV119:AV122" si="79">F119/SUM($F$115:$F$122)</f>
        <v>6.2040030089776182E-2</v>
      </c>
    </row>
    <row r="120" spans="1:48" ht="15.5">
      <c r="A120" s="26" t="s">
        <v>15</v>
      </c>
      <c r="B120" s="7">
        <f>'A -Döviz'!B120</f>
        <v>584095.366499</v>
      </c>
      <c r="C120" s="7">
        <f>'A -Döviz'!C120</f>
        <v>724298.53000000026</v>
      </c>
      <c r="D120" s="7"/>
      <c r="E120" s="7">
        <f>B120+'A -Döviz'!E120</f>
        <v>1657767.654074</v>
      </c>
      <c r="F120" s="7">
        <f>C120+'A -Döviz'!F120</f>
        <v>1977282.68</v>
      </c>
      <c r="G120" s="7"/>
      <c r="H120" s="7">
        <f>E120+'A -Döviz'!H120</f>
        <v>3722885.722598</v>
      </c>
      <c r="I120" s="7">
        <f>F120+'A -Döviz'!I120</f>
        <v>3672088.7700000014</v>
      </c>
      <c r="J120" s="7"/>
      <c r="K120" s="7">
        <f>H120+'A -Döviz'!K120</f>
        <v>4168422.4731089999</v>
      </c>
      <c r="L120" s="7">
        <f>I120+'A -Döviz'!L120</f>
        <v>4982564.3500000015</v>
      </c>
      <c r="M120" s="7"/>
      <c r="N120" s="7">
        <f>K120+'A -Döviz'!N120</f>
        <v>5308546.1857059998</v>
      </c>
      <c r="O120" s="7">
        <f>L120+'A -Döviz'!O120</f>
        <v>6549390.1300000045</v>
      </c>
      <c r="P120" s="7"/>
      <c r="Q120" s="7">
        <f>N120+'A -Döviz'!Q120</f>
        <v>6733036.3093659999</v>
      </c>
      <c r="R120" s="7">
        <f>O120+'A -Döviz'!R120</f>
        <v>8138546.7300000023</v>
      </c>
      <c r="S120" s="7"/>
      <c r="T120" s="7">
        <f>Q120+'A -Döviz'!T120</f>
        <v>7227361.6054060003</v>
      </c>
      <c r="U120" s="7">
        <f>R120+'A -Döviz'!U120</f>
        <v>9572338.9499999937</v>
      </c>
      <c r="V120" s="7"/>
      <c r="W120" s="7">
        <f>T120+'A -Döviz'!W120</f>
        <v>7334341.8735170001</v>
      </c>
      <c r="X120" s="7">
        <f>U120+'A -Döviz'!X120</f>
        <v>10643219.480000002</v>
      </c>
      <c r="Y120" s="7"/>
      <c r="Z120" s="7">
        <f>W120+'A -Döviz'!Z120</f>
        <v>9789103.9783549998</v>
      </c>
      <c r="AA120" s="7">
        <f>X120+'A -Döviz'!AA120</f>
        <v>13075299.689999996</v>
      </c>
      <c r="AB120" s="7"/>
      <c r="AC120" s="7">
        <f>Z120+'A -Döviz'!AC120</f>
        <v>11233935.549518</v>
      </c>
      <c r="AD120" s="7">
        <f>AA120+'A -Döviz'!AD120</f>
        <v>13075299.689999996</v>
      </c>
      <c r="AE120" s="7"/>
      <c r="AF120" s="7">
        <f>AC120+'A -Döviz'!AF120</f>
        <v>12695125.45647</v>
      </c>
      <c r="AG120" s="7">
        <f>AD120+'A -Döviz'!AG120</f>
        <v>13075299.689999996</v>
      </c>
      <c r="AH120" s="7"/>
      <c r="AI120" s="7">
        <f>AF120+'A -Döviz'!AI120</f>
        <v>13780157.462817</v>
      </c>
      <c r="AJ120" s="7">
        <f>AG120+'A -Döviz'!AJ120</f>
        <v>13075299.689999996</v>
      </c>
      <c r="AK120" s="7"/>
      <c r="AL120" s="21">
        <f t="shared" si="73"/>
        <v>3286195.711644996</v>
      </c>
      <c r="AM120" s="22">
        <f t="shared" si="74"/>
        <v>0.33569933662071705</v>
      </c>
      <c r="AO120" s="44">
        <f t="shared" si="75"/>
        <v>9789103.9783549998</v>
      </c>
      <c r="AP120" s="44">
        <f t="shared" si="75"/>
        <v>13075299.689999996</v>
      </c>
      <c r="AR120" s="94">
        <f t="shared" si="78"/>
        <v>2933736.7494068001</v>
      </c>
      <c r="AS120" s="94">
        <f t="shared" si="78"/>
        <v>4257287.7920000013</v>
      </c>
      <c r="AT120" s="94">
        <f t="shared" si="77"/>
        <v>1323551.0425932012</v>
      </c>
      <c r="AV120" s="404">
        <f t="shared" si="79"/>
        <v>0.17686946657119459</v>
      </c>
    </row>
    <row r="121" spans="1:48" ht="15.5">
      <c r="A121" s="26" t="s">
        <v>16</v>
      </c>
      <c r="B121" s="7">
        <f>'A -Döviz'!B121</f>
        <v>1288051.3409770001</v>
      </c>
      <c r="C121" s="7">
        <f>'A -Döviz'!C121</f>
        <v>1358189.29</v>
      </c>
      <c r="D121" s="7"/>
      <c r="E121" s="7">
        <f>B121+'A -Döviz'!E121</f>
        <v>2412757.924538</v>
      </c>
      <c r="F121" s="7">
        <f>C121+'A -Döviz'!F121</f>
        <v>3306558.8200000003</v>
      </c>
      <c r="G121" s="7"/>
      <c r="H121" s="7">
        <f>E121+'A -Döviz'!H121</f>
        <v>4086952.2429260002</v>
      </c>
      <c r="I121" s="7">
        <f>F121+'A -Döviz'!I121</f>
        <v>5307607.93</v>
      </c>
      <c r="J121" s="7"/>
      <c r="K121" s="7">
        <f>H121+'A -Döviz'!K121</f>
        <v>5716720.4004910002</v>
      </c>
      <c r="L121" s="7">
        <f>I121+'A -Döviz'!L121</f>
        <v>7334370.5200000051</v>
      </c>
      <c r="M121" s="7"/>
      <c r="N121" s="7">
        <f>K121+'A -Döviz'!N121</f>
        <v>7441238.3944180002</v>
      </c>
      <c r="O121" s="7">
        <f>L121+'A -Döviz'!O121</f>
        <v>8983322.8699999973</v>
      </c>
      <c r="P121" s="7"/>
      <c r="Q121" s="7">
        <f>N121+'A -Döviz'!Q121</f>
        <v>8804665.2323739994</v>
      </c>
      <c r="R121" s="7">
        <f>O121+'A -Döviz'!R121</f>
        <v>10583231.369999999</v>
      </c>
      <c r="S121" s="7"/>
      <c r="T121" s="7">
        <f>Q121+'A -Döviz'!T121</f>
        <v>9966994.8917299993</v>
      </c>
      <c r="U121" s="7">
        <f>R121+'A -Döviz'!U121</f>
        <v>12727234.749999998</v>
      </c>
      <c r="V121" s="7"/>
      <c r="W121" s="7">
        <f>T121+'A -Döviz'!W121</f>
        <v>10623778.451615</v>
      </c>
      <c r="X121" s="7">
        <f>U121+'A -Döviz'!X121</f>
        <v>14183682.630000005</v>
      </c>
      <c r="Y121" s="7"/>
      <c r="Z121" s="7">
        <f>W121+'A -Döviz'!Z121</f>
        <v>12601101.354970001</v>
      </c>
      <c r="AA121" s="7">
        <f>X121+'A -Döviz'!AA121</f>
        <v>17061716.380000003</v>
      </c>
      <c r="AB121" s="7"/>
      <c r="AC121" s="7">
        <f>Z121+'A -Döviz'!AC121</f>
        <v>14381341.371386999</v>
      </c>
      <c r="AD121" s="7">
        <f>AA121+'A -Döviz'!AD121</f>
        <v>17061716.380000003</v>
      </c>
      <c r="AE121" s="7"/>
      <c r="AF121" s="7">
        <f>AC121+'A -Döviz'!AF121</f>
        <v>16043164.416991999</v>
      </c>
      <c r="AG121" s="7">
        <f>AD121+'A -Döviz'!AG121</f>
        <v>17061716.380000003</v>
      </c>
      <c r="AH121" s="7"/>
      <c r="AI121" s="7">
        <f>AF121+'A -Döviz'!AI121</f>
        <v>16987919.613120001</v>
      </c>
      <c r="AJ121" s="7">
        <f>AG121+'A -Döviz'!AJ121</f>
        <v>17061716.380000003</v>
      </c>
      <c r="AK121" s="7"/>
      <c r="AL121" s="21">
        <f t="shared" si="73"/>
        <v>4460615.025030002</v>
      </c>
      <c r="AM121" s="22">
        <f t="shared" si="74"/>
        <v>0.35398612386136308</v>
      </c>
      <c r="AO121" s="44">
        <f t="shared" si="75"/>
        <v>12601101.354970001</v>
      </c>
      <c r="AP121" s="44">
        <f t="shared" si="75"/>
        <v>17061716.380000003</v>
      </c>
      <c r="AR121" s="94">
        <f t="shared" si="78"/>
        <v>4249511.3806460006</v>
      </c>
      <c r="AS121" s="94">
        <f t="shared" si="78"/>
        <v>5673473.052000002</v>
      </c>
      <c r="AT121" s="94">
        <f t="shared" si="77"/>
        <v>1423961.6713540014</v>
      </c>
      <c r="AV121" s="404">
        <f t="shared" si="79"/>
        <v>0.29577424644192946</v>
      </c>
    </row>
    <row r="122" spans="1:48" ht="15.5">
      <c r="A122" s="26" t="s">
        <v>17</v>
      </c>
      <c r="B122" s="7">
        <f>'A -Döviz'!B122</f>
        <v>1999008.6525280001</v>
      </c>
      <c r="C122" s="7">
        <f>'A -Döviz'!C122</f>
        <v>2003495.4200000018</v>
      </c>
      <c r="D122" s="7"/>
      <c r="E122" s="7">
        <f>B122+'A -Döviz'!E122</f>
        <v>4085777.1613130001</v>
      </c>
      <c r="F122" s="7">
        <f>C122+'A -Döviz'!F122</f>
        <v>2700341.2199999946</v>
      </c>
      <c r="G122" s="7"/>
      <c r="H122" s="7">
        <f>E122+'A -Döviz'!H122</f>
        <v>5880020.3911260003</v>
      </c>
      <c r="I122" s="7">
        <f>F122+'A -Döviz'!I122</f>
        <v>3923681.7800000012</v>
      </c>
      <c r="J122" s="7"/>
      <c r="K122" s="7">
        <f>H122+'A -Döviz'!K122</f>
        <v>7458445.025351</v>
      </c>
      <c r="L122" s="7">
        <f>I122+'A -Döviz'!L122</f>
        <v>5021727.8699999908</v>
      </c>
      <c r="M122" s="7"/>
      <c r="N122" s="7">
        <f>K122+'A -Döviz'!N122</f>
        <v>9973249.3611890003</v>
      </c>
      <c r="O122" s="7">
        <f>L122+'A -Döviz'!O122</f>
        <v>7800720.8800000027</v>
      </c>
      <c r="P122" s="7"/>
      <c r="Q122" s="7">
        <f>N122+'A -Döviz'!Q122</f>
        <v>11474451.912001001</v>
      </c>
      <c r="R122" s="7">
        <f>O122+'A -Döviz'!R122</f>
        <v>9277732.8600000087</v>
      </c>
      <c r="S122" s="7"/>
      <c r="T122" s="7">
        <f>Q122+'A -Döviz'!T122</f>
        <v>14108257.208021</v>
      </c>
      <c r="U122" s="7">
        <f>R122+'A -Döviz'!U122</f>
        <v>11019242.829999985</v>
      </c>
      <c r="V122" s="7"/>
      <c r="W122" s="7">
        <f>T122+'A -Döviz'!W122</f>
        <v>14767214.257102</v>
      </c>
      <c r="X122" s="7">
        <f>U122+'A -Döviz'!X122</f>
        <v>11529200.860000003</v>
      </c>
      <c r="Y122" s="7"/>
      <c r="Z122" s="7">
        <f>W122+'A -Döviz'!Z122</f>
        <v>18172344.840107001</v>
      </c>
      <c r="AA122" s="7">
        <f>X122+'A -Döviz'!AA122</f>
        <v>14503111.370000012</v>
      </c>
      <c r="AB122" s="7"/>
      <c r="AC122" s="7">
        <f>Z122+'A -Döviz'!AC122</f>
        <v>20920784.081702001</v>
      </c>
      <c r="AD122" s="7">
        <f>AA122+'A -Döviz'!AD122</f>
        <v>14503111.370000012</v>
      </c>
      <c r="AE122" s="7"/>
      <c r="AF122" s="7">
        <f>AC122+'A -Döviz'!AF122</f>
        <v>23637899.819233999</v>
      </c>
      <c r="AG122" s="7">
        <f>AD122+'A -Döviz'!AG122</f>
        <v>14503111.370000012</v>
      </c>
      <c r="AH122" s="7"/>
      <c r="AI122" s="7">
        <f>AF122+'A -Döviz'!AI122</f>
        <v>25521060.722192001</v>
      </c>
      <c r="AJ122" s="7">
        <f>AG122+'A -Döviz'!AJ122</f>
        <v>14503111.370000012</v>
      </c>
      <c r="AK122" s="7"/>
      <c r="AL122" s="21">
        <f t="shared" si="73"/>
        <v>-3669233.4701069891</v>
      </c>
      <c r="AM122" s="22">
        <f t="shared" si="74"/>
        <v>-0.20191304437547664</v>
      </c>
      <c r="AO122" s="44">
        <f t="shared" si="75"/>
        <v>18172344.840107001</v>
      </c>
      <c r="AP122" s="44">
        <f t="shared" si="75"/>
        <v>14503111.370000012</v>
      </c>
      <c r="AR122" s="94">
        <f t="shared" si="78"/>
        <v>5906885.7028408004</v>
      </c>
      <c r="AS122" s="94">
        <f t="shared" si="78"/>
        <v>4611680.3440000014</v>
      </c>
      <c r="AT122" s="94">
        <f t="shared" si="77"/>
        <v>-1295205.358840799</v>
      </c>
      <c r="AV122" s="404">
        <f t="shared" si="79"/>
        <v>0.24154761277816275</v>
      </c>
    </row>
    <row r="123" spans="1:48" ht="15.5">
      <c r="A123" s="26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21"/>
      <c r="AM123" s="22"/>
      <c r="AO123" s="44">
        <f t="shared" si="75"/>
        <v>0</v>
      </c>
      <c r="AP123" s="44">
        <f t="shared" si="75"/>
        <v>0</v>
      </c>
    </row>
    <row r="124" spans="1:48">
      <c r="A124" s="2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5"/>
    </row>
    <row r="125" spans="1:48" s="49" customFormat="1" ht="17">
      <c r="A125" s="47" t="s">
        <v>72</v>
      </c>
      <c r="B125" s="413"/>
      <c r="C125" s="413"/>
      <c r="D125" s="413"/>
      <c r="E125" s="413"/>
      <c r="F125" s="413"/>
      <c r="G125" s="413"/>
      <c r="H125" s="413"/>
      <c r="I125" s="413"/>
      <c r="J125" s="413"/>
      <c r="K125" s="413"/>
      <c r="L125" s="413"/>
      <c r="M125" s="413"/>
      <c r="N125" s="413"/>
      <c r="O125" s="413"/>
      <c r="P125" s="413"/>
      <c r="Q125" s="413"/>
      <c r="R125" s="413"/>
      <c r="S125" s="413"/>
      <c r="T125" s="413"/>
      <c r="U125" s="413"/>
      <c r="V125" s="413"/>
      <c r="W125" s="413"/>
      <c r="X125" s="413"/>
      <c r="Y125" s="413"/>
      <c r="Z125" s="413"/>
      <c r="AA125" s="413"/>
      <c r="AB125" s="413"/>
      <c r="AC125" s="413"/>
      <c r="AD125" s="413"/>
      <c r="AE125" s="413"/>
      <c r="AF125" s="413"/>
      <c r="AG125" s="413"/>
      <c r="AH125" s="413"/>
      <c r="AI125" s="413"/>
      <c r="AJ125" s="413"/>
      <c r="AK125" s="413"/>
      <c r="AL125" s="413"/>
      <c r="AM125" s="48"/>
    </row>
    <row r="126" spans="1:48" s="13" customFormat="1" ht="15.5">
      <c r="A126" s="26" t="s">
        <v>10</v>
      </c>
      <c r="B126" s="12">
        <f t="shared" ref="B126:C133" si="80">B115/B9</f>
        <v>0.4703462500951251</v>
      </c>
      <c r="C126" s="12">
        <f t="shared" si="80"/>
        <v>0.49761882945180025</v>
      </c>
      <c r="D126" s="41"/>
      <c r="E126" s="12">
        <f t="shared" ref="E126:F133" si="81">E115/E9</f>
        <v>0.48677680998932155</v>
      </c>
      <c r="F126" s="12">
        <f t="shared" si="81"/>
        <v>0.46353441595665545</v>
      </c>
      <c r="G126" s="41"/>
      <c r="H126" s="12">
        <f t="shared" ref="H126:I133" si="82">H115/H9</f>
        <v>0.46088755612609789</v>
      </c>
      <c r="I126" s="12">
        <f t="shared" si="82"/>
        <v>0.45140966486288137</v>
      </c>
      <c r="J126" s="41"/>
      <c r="K126" s="12">
        <f t="shared" ref="K126:L133" si="83">K115/K9</f>
        <v>0.45914389480728918</v>
      </c>
      <c r="L126" s="12">
        <f t="shared" si="83"/>
        <v>0.39159859636085992</v>
      </c>
      <c r="M126" s="41"/>
      <c r="N126" s="12">
        <f t="shared" ref="N126:O133" si="84">N115/N9</f>
        <v>0.45723558415668303</v>
      </c>
      <c r="O126" s="12">
        <f t="shared" si="84"/>
        <v>0.42336479315229136</v>
      </c>
      <c r="P126" s="41"/>
      <c r="Q126" s="12">
        <f t="shared" ref="Q126:R133" si="85">Q115/Q9</f>
        <v>0.4592761620192336</v>
      </c>
      <c r="R126" s="12">
        <f t="shared" si="85"/>
        <v>0.42668634659980703</v>
      </c>
      <c r="S126" s="41"/>
      <c r="T126" s="12">
        <f t="shared" ref="T126:U133" si="86">T115/T9</f>
        <v>0.4674145893059965</v>
      </c>
      <c r="U126" s="12">
        <f t="shared" si="86"/>
        <v>0.43379960209545226</v>
      </c>
      <c r="V126" s="41"/>
      <c r="W126" s="12">
        <f t="shared" ref="W126:X133" si="87">W115/W9</f>
        <v>0.46904945526589653</v>
      </c>
      <c r="X126" s="12">
        <f t="shared" si="87"/>
        <v>0.4388337802154596</v>
      </c>
      <c r="Y126" s="41"/>
      <c r="Z126" s="12">
        <f>Z115/Z9</f>
        <v>0.47950272631078256</v>
      </c>
      <c r="AA126" s="12">
        <f>AA115/AA9</f>
        <v>0.45903294240509895</v>
      </c>
      <c r="AB126" s="41"/>
      <c r="AC126" s="12">
        <f>AC115/AC9</f>
        <v>0.48319392966578045</v>
      </c>
      <c r="AD126" s="12">
        <f>AD115/AD9</f>
        <v>0.45903294240509895</v>
      </c>
      <c r="AE126" s="41"/>
      <c r="AF126" s="12">
        <f>AF115/AF9</f>
        <v>0.4822179320181777</v>
      </c>
      <c r="AG126" s="12">
        <f>AG115/AG9</f>
        <v>0.45903294240509895</v>
      </c>
      <c r="AH126" s="41"/>
      <c r="AI126" s="12">
        <f>AI115/AI9</f>
        <v>0.42092065432346187</v>
      </c>
      <c r="AJ126" s="12">
        <f>AJ115/AJ9</f>
        <v>0.45903294240509895</v>
      </c>
      <c r="AK126" s="41"/>
      <c r="AL126" s="15"/>
      <c r="AM126" s="22">
        <f>AP126-AO126</f>
        <v>-2.0469783905683603E-2</v>
      </c>
      <c r="AO126" s="44">
        <f t="shared" ref="AO126:AP133" si="88">IF($A$1=$B$1,B126,IF($A$1=$E$1,E126,IF($A$1=$H$1,H126,IF($A$1=$K$1,K126,IF($A$1=$N$1,N126,IF($A$1=$Q$1,Q126,IF($A$1=$T$1,T126,IF($A$1=$W$1,W126,IF($A$1=$Z$1,Z126,IF($A$1=$AC$1,AC126,IF($A$1=$AF$1,AF126,IF($A$1=$AI$1,AI126))))))))))))</f>
        <v>0.47950272631078256</v>
      </c>
      <c r="AP126" s="44">
        <f t="shared" si="88"/>
        <v>0.45903294240509895</v>
      </c>
    </row>
    <row r="127" spans="1:48" s="13" customFormat="1" ht="15.5">
      <c r="A127" s="26" t="s">
        <v>11</v>
      </c>
      <c r="B127" s="12">
        <f t="shared" si="80"/>
        <v>-3.5414154934302527E-2</v>
      </c>
      <c r="C127" s="12">
        <f t="shared" si="80"/>
        <v>-1.3101473416769349E-2</v>
      </c>
      <c r="D127" s="41"/>
      <c r="E127" s="12">
        <f t="shared" si="81"/>
        <v>2.9924964111578342E-2</v>
      </c>
      <c r="F127" s="12">
        <f t="shared" si="81"/>
        <v>1.4763955628902235E-2</v>
      </c>
      <c r="G127" s="41"/>
      <c r="H127" s="12">
        <f t="shared" si="82"/>
        <v>5.6302616311234621E-2</v>
      </c>
      <c r="I127" s="12">
        <f t="shared" si="82"/>
        <v>1.8836243389283573E-2</v>
      </c>
      <c r="J127" s="41"/>
      <c r="K127" s="12">
        <f t="shared" si="83"/>
        <v>8.5154696988916312E-2</v>
      </c>
      <c r="L127" s="12">
        <f t="shared" si="83"/>
        <v>9.3418587449573109E-3</v>
      </c>
      <c r="M127" s="41"/>
      <c r="N127" s="12">
        <f t="shared" si="84"/>
        <v>0.11150813802467632</v>
      </c>
      <c r="O127" s="12">
        <f t="shared" si="84"/>
        <v>1.52288414305223E-2</v>
      </c>
      <c r="P127" s="41"/>
      <c r="Q127" s="12">
        <f t="shared" si="85"/>
        <v>0.12505012459637499</v>
      </c>
      <c r="R127" s="12">
        <f t="shared" si="85"/>
        <v>1.791971449932166E-2</v>
      </c>
      <c r="S127" s="41"/>
      <c r="T127" s="12">
        <f t="shared" si="86"/>
        <v>0.13084093914403097</v>
      </c>
      <c r="U127" s="12">
        <f t="shared" si="86"/>
        <v>2.5414570329240511E-2</v>
      </c>
      <c r="V127" s="41"/>
      <c r="W127" s="12">
        <f t="shared" si="87"/>
        <v>0.12486119992090192</v>
      </c>
      <c r="X127" s="12">
        <f t="shared" si="87"/>
        <v>2.5816766800221613E-2</v>
      </c>
      <c r="Y127" s="41"/>
      <c r="Z127" s="12">
        <f t="shared" ref="Z127:AA133" si="89">Z116/Z10</f>
        <v>0.12292091812425077</v>
      </c>
      <c r="AA127" s="12">
        <f t="shared" si="89"/>
        <v>1.7991966804082569E-2</v>
      </c>
      <c r="AB127" s="41"/>
      <c r="AC127" s="12">
        <f t="shared" ref="AC127:AD133" si="90">AC116/AC10</f>
        <v>0.11761535684957651</v>
      </c>
      <c r="AD127" s="12">
        <f t="shared" si="90"/>
        <v>1.7991966804082569E-2</v>
      </c>
      <c r="AE127" s="41"/>
      <c r="AF127" s="12">
        <f t="shared" ref="AF127:AG133" si="91">AF116/AF10</f>
        <v>0.1105583112556528</v>
      </c>
      <c r="AG127" s="12">
        <f t="shared" si="91"/>
        <v>1.7991966804082569E-2</v>
      </c>
      <c r="AH127" s="41"/>
      <c r="AI127" s="12">
        <f t="shared" ref="AI127:AJ133" si="92">AI116/AI10</f>
        <v>0.10061947331661728</v>
      </c>
      <c r="AJ127" s="12">
        <f t="shared" si="92"/>
        <v>1.7991966804082569E-2</v>
      </c>
      <c r="AK127" s="41"/>
      <c r="AL127" s="15"/>
      <c r="AM127" s="22">
        <f t="shared" ref="AM127:AM133" si="93">AP127-AO127</f>
        <v>-0.10492895132016819</v>
      </c>
      <c r="AO127" s="44">
        <f t="shared" si="88"/>
        <v>0.12292091812425077</v>
      </c>
      <c r="AP127" s="44">
        <f t="shared" si="88"/>
        <v>1.7991966804082569E-2</v>
      </c>
    </row>
    <row r="128" spans="1:48" s="13" customFormat="1" ht="15.5">
      <c r="A128" s="26" t="s">
        <v>12</v>
      </c>
      <c r="B128" s="12">
        <f t="shared" si="80"/>
        <v>-4.5122642684353606E-2</v>
      </c>
      <c r="C128" s="12">
        <f t="shared" si="80"/>
        <v>3.4967674742321202E-2</v>
      </c>
      <c r="D128" s="41"/>
      <c r="E128" s="12">
        <f t="shared" si="81"/>
        <v>-2.1750280103371589E-2</v>
      </c>
      <c r="F128" s="12">
        <f t="shared" si="81"/>
        <v>3.2563064304792971E-2</v>
      </c>
      <c r="G128" s="41"/>
      <c r="H128" s="12">
        <f t="shared" si="82"/>
        <v>2.8346402867580906E-3</v>
      </c>
      <c r="I128" s="12">
        <f t="shared" si="82"/>
        <v>2.0985347401907585E-2</v>
      </c>
      <c r="J128" s="41"/>
      <c r="K128" s="12">
        <f t="shared" si="83"/>
        <v>1.2614256172170287E-2</v>
      </c>
      <c r="L128" s="12">
        <f t="shared" si="83"/>
        <v>2.0060395307768267E-2</v>
      </c>
      <c r="M128" s="41"/>
      <c r="N128" s="12">
        <f t="shared" si="84"/>
        <v>2.6698055616333947E-2</v>
      </c>
      <c r="O128" s="12">
        <f t="shared" si="84"/>
        <v>2.3274071842561857E-2</v>
      </c>
      <c r="P128" s="41"/>
      <c r="Q128" s="12">
        <f t="shared" si="85"/>
        <v>3.5285324785971038E-2</v>
      </c>
      <c r="R128" s="12">
        <f t="shared" si="85"/>
        <v>2.2470093729190635E-2</v>
      </c>
      <c r="S128" s="41"/>
      <c r="T128" s="12">
        <f t="shared" si="86"/>
        <v>4.2043777636204066E-2</v>
      </c>
      <c r="U128" s="12">
        <f t="shared" si="86"/>
        <v>2.351554307019604E-2</v>
      </c>
      <c r="V128" s="41"/>
      <c r="W128" s="12">
        <f t="shared" si="87"/>
        <v>4.5523891131452124E-2</v>
      </c>
      <c r="X128" s="12">
        <f t="shared" si="87"/>
        <v>2.3822656026246412E-2</v>
      </c>
      <c r="Y128" s="41"/>
      <c r="Z128" s="12">
        <f t="shared" si="89"/>
        <v>4.6382938609504355E-2</v>
      </c>
      <c r="AA128" s="12">
        <f t="shared" si="89"/>
        <v>2.7519214171334204E-2</v>
      </c>
      <c r="AB128" s="41"/>
      <c r="AC128" s="12">
        <f t="shared" si="90"/>
        <v>4.8347449682169634E-2</v>
      </c>
      <c r="AD128" s="12">
        <f t="shared" si="90"/>
        <v>2.7519214171334204E-2</v>
      </c>
      <c r="AE128" s="41"/>
      <c r="AF128" s="12">
        <f t="shared" si="91"/>
        <v>5.0238412751703931E-2</v>
      </c>
      <c r="AG128" s="12">
        <f t="shared" si="91"/>
        <v>2.7519214171334204E-2</v>
      </c>
      <c r="AH128" s="41"/>
      <c r="AI128" s="12">
        <f t="shared" si="92"/>
        <v>4.8614618471871887E-2</v>
      </c>
      <c r="AJ128" s="12">
        <f t="shared" si="92"/>
        <v>2.7519214171334204E-2</v>
      </c>
      <c r="AK128" s="41"/>
      <c r="AL128" s="15"/>
      <c r="AM128" s="22">
        <f t="shared" si="93"/>
        <v>-1.8863724438170151E-2</v>
      </c>
      <c r="AO128" s="44">
        <f t="shared" si="88"/>
        <v>4.6382938609504355E-2</v>
      </c>
      <c r="AP128" s="44">
        <f t="shared" si="88"/>
        <v>2.7519214171334204E-2</v>
      </c>
    </row>
    <row r="129" spans="1:50" s="13" customFormat="1" ht="15.5">
      <c r="A129" s="26" t="s">
        <v>13</v>
      </c>
      <c r="B129" s="12">
        <f t="shared" si="80"/>
        <v>7.3857355960123133E-2</v>
      </c>
      <c r="C129" s="12">
        <f t="shared" si="80"/>
        <v>5.156748865308159E-2</v>
      </c>
      <c r="D129" s="41"/>
      <c r="E129" s="12">
        <f t="shared" si="81"/>
        <v>6.6447066839477625E-2</v>
      </c>
      <c r="F129" s="12">
        <f t="shared" si="81"/>
        <v>4.7261001180467485E-2</v>
      </c>
      <c r="G129" s="41"/>
      <c r="H129" s="12">
        <f t="shared" si="82"/>
        <v>6.5375344690687051E-2</v>
      </c>
      <c r="I129" s="12">
        <f t="shared" si="82"/>
        <v>2.3942530173035253E-2</v>
      </c>
      <c r="J129" s="41"/>
      <c r="K129" s="12">
        <f t="shared" si="83"/>
        <v>6.3387040775644776E-2</v>
      </c>
      <c r="L129" s="12">
        <f t="shared" si="83"/>
        <v>7.641046991711798E-3</v>
      </c>
      <c r="M129" s="41"/>
      <c r="N129" s="12">
        <f t="shared" si="84"/>
        <v>6.4516420188189844E-2</v>
      </c>
      <c r="O129" s="12">
        <f t="shared" si="84"/>
        <v>3.6503925158565048E-3</v>
      </c>
      <c r="P129" s="41"/>
      <c r="Q129" s="12">
        <f t="shared" si="85"/>
        <v>6.7504267675741872E-2</v>
      </c>
      <c r="R129" s="12">
        <f t="shared" si="85"/>
        <v>-7.1297307061956462E-3</v>
      </c>
      <c r="S129" s="41"/>
      <c r="T129" s="12">
        <f t="shared" si="86"/>
        <v>7.1312408857247683E-2</v>
      </c>
      <c r="U129" s="12">
        <f t="shared" si="86"/>
        <v>-1.037231874695523E-2</v>
      </c>
      <c r="V129" s="41"/>
      <c r="W129" s="12">
        <f t="shared" si="87"/>
        <v>7.5590176400712097E-2</v>
      </c>
      <c r="X129" s="12">
        <f t="shared" si="87"/>
        <v>-3.1435313108829598E-3</v>
      </c>
      <c r="Y129" s="41"/>
      <c r="Z129" s="12">
        <f t="shared" si="89"/>
        <v>8.1030474533596172E-2</v>
      </c>
      <c r="AA129" s="12">
        <f t="shared" si="89"/>
        <v>-2.4345046678490218E-3</v>
      </c>
      <c r="AB129" s="41"/>
      <c r="AC129" s="12">
        <f t="shared" si="90"/>
        <v>8.7073444088446042E-2</v>
      </c>
      <c r="AD129" s="12">
        <f t="shared" si="90"/>
        <v>-2.4345046678490218E-3</v>
      </c>
      <c r="AE129" s="41"/>
      <c r="AF129" s="12">
        <f t="shared" si="91"/>
        <v>9.2430546983762615E-2</v>
      </c>
      <c r="AG129" s="12">
        <f t="shared" si="91"/>
        <v>-2.4345046678490218E-3</v>
      </c>
      <c r="AH129" s="41"/>
      <c r="AI129" s="12">
        <f t="shared" si="92"/>
        <v>9.9232721586086869E-2</v>
      </c>
      <c r="AJ129" s="12">
        <f t="shared" si="92"/>
        <v>-2.4345046678490218E-3</v>
      </c>
      <c r="AK129" s="41"/>
      <c r="AL129" s="15"/>
      <c r="AM129" s="22">
        <f t="shared" si="93"/>
        <v>-8.3464979201445189E-2</v>
      </c>
      <c r="AO129" s="44">
        <f t="shared" si="88"/>
        <v>8.1030474533596172E-2</v>
      </c>
      <c r="AP129" s="44">
        <f t="shared" si="88"/>
        <v>-2.4345046678490218E-3</v>
      </c>
    </row>
    <row r="130" spans="1:50" s="13" customFormat="1" ht="15.5">
      <c r="A130" s="26" t="s">
        <v>14</v>
      </c>
      <c r="B130" s="12">
        <f t="shared" si="80"/>
        <v>6.5677490369797975E-2</v>
      </c>
      <c r="C130" s="12">
        <f t="shared" si="80"/>
        <v>4.137442633410561E-2</v>
      </c>
      <c r="D130" s="41"/>
      <c r="E130" s="12">
        <f t="shared" si="81"/>
        <v>6.7687521944870002E-2</v>
      </c>
      <c r="F130" s="12">
        <f t="shared" si="81"/>
        <v>5.9256292023056989E-2</v>
      </c>
      <c r="G130" s="41"/>
      <c r="H130" s="12">
        <f t="shared" si="82"/>
        <v>6.6933945578299597E-2</v>
      </c>
      <c r="I130" s="12">
        <f t="shared" si="82"/>
        <v>6.2760851619291708E-2</v>
      </c>
      <c r="J130" s="41"/>
      <c r="K130" s="12">
        <f t="shared" si="83"/>
        <v>5.0231538769482179E-2</v>
      </c>
      <c r="L130" s="12">
        <f t="shared" si="83"/>
        <v>4.4034371040082135E-2</v>
      </c>
      <c r="M130" s="41"/>
      <c r="N130" s="12">
        <f t="shared" si="84"/>
        <v>4.5268407928164688E-2</v>
      </c>
      <c r="O130" s="12">
        <f t="shared" si="84"/>
        <v>3.6354900862338273E-2</v>
      </c>
      <c r="P130" s="41"/>
      <c r="Q130" s="12">
        <f t="shared" si="85"/>
        <v>4.1131785920898577E-2</v>
      </c>
      <c r="R130" s="12">
        <f t="shared" si="85"/>
        <v>3.3543653867364374E-2</v>
      </c>
      <c r="S130" s="41"/>
      <c r="T130" s="12">
        <f t="shared" si="86"/>
        <v>4.0248337739966576E-2</v>
      </c>
      <c r="U130" s="12">
        <f t="shared" si="86"/>
        <v>3.6666524413384201E-2</v>
      </c>
      <c r="V130" s="41"/>
      <c r="W130" s="12">
        <f t="shared" si="87"/>
        <v>4.1009105922243667E-2</v>
      </c>
      <c r="X130" s="12">
        <f t="shared" si="87"/>
        <v>4.0031327749420823E-2</v>
      </c>
      <c r="Y130" s="41"/>
      <c r="Z130" s="12">
        <f>Z119/Z13</f>
        <v>4.1500679779632704E-2</v>
      </c>
      <c r="AA130" s="12">
        <f>AA119/AA13</f>
        <v>4.3751382409133899E-2</v>
      </c>
      <c r="AB130" s="41"/>
      <c r="AC130" s="12">
        <f>AC119/AC13</f>
        <v>4.3457477541733139E-2</v>
      </c>
      <c r="AD130" s="12">
        <f>AD119/AD13</f>
        <v>4.3751382409133899E-2</v>
      </c>
      <c r="AE130" s="41"/>
      <c r="AF130" s="12">
        <f>AF119/AF13</f>
        <v>4.4258505766803277E-2</v>
      </c>
      <c r="AG130" s="12">
        <f>AG119/AG13</f>
        <v>4.3751382409133899E-2</v>
      </c>
      <c r="AH130" s="41"/>
      <c r="AI130" s="12">
        <f>AI119/AI13</f>
        <v>4.3612252406621831E-2</v>
      </c>
      <c r="AJ130" s="12">
        <f>AJ119/AJ13</f>
        <v>4.3751382409133899E-2</v>
      </c>
      <c r="AK130" s="41"/>
      <c r="AL130" s="15"/>
      <c r="AM130" s="22">
        <f t="shared" si="93"/>
        <v>2.2507026295011945E-3</v>
      </c>
      <c r="AO130" s="44">
        <f t="shared" si="88"/>
        <v>4.1500679779632704E-2</v>
      </c>
      <c r="AP130" s="44">
        <f t="shared" si="88"/>
        <v>4.3751382409133899E-2</v>
      </c>
    </row>
    <row r="131" spans="1:50" s="13" customFormat="1" ht="15.5">
      <c r="A131" s="26" t="s">
        <v>15</v>
      </c>
      <c r="B131" s="12">
        <f t="shared" si="80"/>
        <v>5.8125920927934852E-2</v>
      </c>
      <c r="C131" s="12">
        <f t="shared" si="80"/>
        <v>6.2409829493475143E-2</v>
      </c>
      <c r="D131" s="41"/>
      <c r="E131" s="12">
        <f t="shared" si="81"/>
        <v>7.9409938047846698E-2</v>
      </c>
      <c r="F131" s="12">
        <f t="shared" si="81"/>
        <v>8.5416749535059983E-2</v>
      </c>
      <c r="G131" s="41"/>
      <c r="H131" s="12">
        <f t="shared" si="82"/>
        <v>0.11124005325369495</v>
      </c>
      <c r="I131" s="12">
        <f t="shared" si="82"/>
        <v>0.10323041487377539</v>
      </c>
      <c r="J131" s="41"/>
      <c r="K131" s="12">
        <f t="shared" si="83"/>
        <v>9.3884258551187927E-2</v>
      </c>
      <c r="L131" s="12">
        <f t="shared" si="83"/>
        <v>0.1045330502101728</v>
      </c>
      <c r="M131" s="41"/>
      <c r="N131" s="12">
        <f t="shared" si="84"/>
        <v>9.4666056322046332E-2</v>
      </c>
      <c r="O131" s="12">
        <f t="shared" si="84"/>
        <v>0.10857191307696736</v>
      </c>
      <c r="P131" s="41"/>
      <c r="Q131" s="12">
        <f t="shared" si="85"/>
        <v>9.913967267396874E-2</v>
      </c>
      <c r="R131" s="12">
        <f t="shared" si="85"/>
        <v>0.1117929871830621</v>
      </c>
      <c r="S131" s="41"/>
      <c r="T131" s="12">
        <f t="shared" si="86"/>
        <v>9.3464986085240606E-2</v>
      </c>
      <c r="U131" s="12">
        <f t="shared" si="86"/>
        <v>0.11454148823900716</v>
      </c>
      <c r="V131" s="41"/>
      <c r="W131" s="12">
        <f t="shared" si="87"/>
        <v>8.4563478322131486E-2</v>
      </c>
      <c r="X131" s="12">
        <f t="shared" si="87"/>
        <v>0.11427668417652476</v>
      </c>
      <c r="Y131" s="41"/>
      <c r="Z131" s="12">
        <f t="shared" si="89"/>
        <v>9.7319191058700197E-2</v>
      </c>
      <c r="AA131" s="12">
        <f t="shared" si="89"/>
        <v>0.12458574351972015</v>
      </c>
      <c r="AB131" s="41"/>
      <c r="AC131" s="12">
        <f t="shared" si="90"/>
        <v>9.9781548256654487E-2</v>
      </c>
      <c r="AD131" s="12">
        <f t="shared" si="90"/>
        <v>0.12458574351972015</v>
      </c>
      <c r="AE131" s="41"/>
      <c r="AF131" s="12">
        <f t="shared" si="91"/>
        <v>0.10236889490935901</v>
      </c>
      <c r="AG131" s="12">
        <f t="shared" si="91"/>
        <v>0.12458574351972015</v>
      </c>
      <c r="AH131" s="41"/>
      <c r="AI131" s="12">
        <f t="shared" si="92"/>
        <v>0.10283719835692808</v>
      </c>
      <c r="AJ131" s="12">
        <f t="shared" si="92"/>
        <v>0.12458574351972015</v>
      </c>
      <c r="AK131" s="41"/>
      <c r="AL131" s="15"/>
      <c r="AM131" s="22">
        <f t="shared" si="93"/>
        <v>2.7266552461019958E-2</v>
      </c>
      <c r="AO131" s="44">
        <f t="shared" si="88"/>
        <v>9.7319191058700197E-2</v>
      </c>
      <c r="AP131" s="44">
        <f t="shared" si="88"/>
        <v>0.12458574351972015</v>
      </c>
    </row>
    <row r="132" spans="1:50" s="13" customFormat="1" ht="15.5">
      <c r="A132" s="26" t="s">
        <v>16</v>
      </c>
      <c r="B132" s="12">
        <f t="shared" si="80"/>
        <v>0.1699812519035441</v>
      </c>
      <c r="C132" s="12">
        <f t="shared" si="80"/>
        <v>0.17344740011528662</v>
      </c>
      <c r="D132" s="41"/>
      <c r="E132" s="12">
        <f t="shared" si="81"/>
        <v>0.17636248845014851</v>
      </c>
      <c r="F132" s="12">
        <f t="shared" si="81"/>
        <v>0.19963063923324914</v>
      </c>
      <c r="G132" s="41"/>
      <c r="H132" s="12">
        <f t="shared" si="82"/>
        <v>0.18865398902298725</v>
      </c>
      <c r="I132" s="12">
        <f t="shared" si="82"/>
        <v>0.20803694138228926</v>
      </c>
      <c r="J132" s="41"/>
      <c r="K132" s="12">
        <f t="shared" si="83"/>
        <v>0.1927514737333742</v>
      </c>
      <c r="L132" s="12">
        <f t="shared" si="83"/>
        <v>0.21389705027855724</v>
      </c>
      <c r="M132" s="41"/>
      <c r="N132" s="12">
        <f t="shared" si="84"/>
        <v>0.19825311885668723</v>
      </c>
      <c r="O132" s="12">
        <f t="shared" si="84"/>
        <v>0.21195620276322436</v>
      </c>
      <c r="P132" s="41"/>
      <c r="Q132" s="12">
        <f t="shared" si="85"/>
        <v>0.19797365871713077</v>
      </c>
      <c r="R132" s="12">
        <f t="shared" si="85"/>
        <v>0.21325934216073705</v>
      </c>
      <c r="S132" s="41"/>
      <c r="T132" s="12">
        <f t="shared" si="86"/>
        <v>0.19534878527221616</v>
      </c>
      <c r="U132" s="12">
        <f t="shared" si="86"/>
        <v>0.22067698955741188</v>
      </c>
      <c r="V132" s="41"/>
      <c r="W132" s="12">
        <f t="shared" si="87"/>
        <v>0.18673493664502394</v>
      </c>
      <c r="X132" s="12">
        <f t="shared" si="87"/>
        <v>0.22111437152808164</v>
      </c>
      <c r="Y132" s="41"/>
      <c r="Z132" s="12">
        <f>Z121/Z15</f>
        <v>0.19330945719089684</v>
      </c>
      <c r="AA132" s="12">
        <f>AA121/AA15</f>
        <v>0.23139008253836232</v>
      </c>
      <c r="AB132" s="41"/>
      <c r="AC132" s="12">
        <f>AC121/AC15</f>
        <v>0.19688725635478929</v>
      </c>
      <c r="AD132" s="12">
        <f>AD121/AD15</f>
        <v>0.23139008253836232</v>
      </c>
      <c r="AE132" s="41"/>
      <c r="AF132" s="12">
        <f>AF121/AF15</f>
        <v>0.19971175674099401</v>
      </c>
      <c r="AG132" s="12">
        <f>AG121/AG15</f>
        <v>0.23139008253836232</v>
      </c>
      <c r="AH132" s="41"/>
      <c r="AI132" s="12">
        <f>AI121/AI15</f>
        <v>0.19788401658741023</v>
      </c>
      <c r="AJ132" s="12">
        <f>AJ121/AJ15</f>
        <v>0.23139008253836232</v>
      </c>
      <c r="AK132" s="41"/>
      <c r="AL132" s="15"/>
      <c r="AM132" s="22">
        <f t="shared" si="93"/>
        <v>3.808062534746548E-2</v>
      </c>
      <c r="AO132" s="44">
        <f t="shared" si="88"/>
        <v>0.19330945719089684</v>
      </c>
      <c r="AP132" s="44">
        <f t="shared" si="88"/>
        <v>0.23139008253836232</v>
      </c>
    </row>
    <row r="133" spans="1:50" s="13" customFormat="1" ht="15.5">
      <c r="A133" s="26" t="s">
        <v>17</v>
      </c>
      <c r="B133" s="12">
        <f t="shared" si="80"/>
        <v>0.10355221524975666</v>
      </c>
      <c r="C133" s="12">
        <f t="shared" si="80"/>
        <v>9.0168687989614513E-2</v>
      </c>
      <c r="D133" s="41"/>
      <c r="E133" s="12">
        <f t="shared" si="81"/>
        <v>0.10303964137533599</v>
      </c>
      <c r="F133" s="12">
        <f t="shared" si="81"/>
        <v>6.4138466602615019E-2</v>
      </c>
      <c r="G133" s="41"/>
      <c r="H133" s="12">
        <f t="shared" si="82"/>
        <v>9.4841530949191719E-2</v>
      </c>
      <c r="I133" s="12">
        <f t="shared" si="82"/>
        <v>6.1218865992396745E-2</v>
      </c>
      <c r="J133" s="41"/>
      <c r="K133" s="12">
        <f t="shared" si="83"/>
        <v>9.1688802090138563E-2</v>
      </c>
      <c r="L133" s="12">
        <f t="shared" si="83"/>
        <v>5.8289430124554426E-2</v>
      </c>
      <c r="M133" s="41"/>
      <c r="N133" s="12">
        <f t="shared" si="84"/>
        <v>9.666149273193303E-2</v>
      </c>
      <c r="O133" s="12">
        <f t="shared" si="84"/>
        <v>7.0474030549884617E-2</v>
      </c>
      <c r="P133" s="41"/>
      <c r="Q133" s="12">
        <f t="shared" si="85"/>
        <v>9.1999974801209944E-2</v>
      </c>
      <c r="R133" s="12">
        <f t="shared" si="85"/>
        <v>7.0442014711176545E-2</v>
      </c>
      <c r="S133" s="41"/>
      <c r="T133" s="12">
        <f t="shared" si="86"/>
        <v>9.6542782246741357E-2</v>
      </c>
      <c r="U133" s="12">
        <f t="shared" si="86"/>
        <v>7.1862993570415173E-2</v>
      </c>
      <c r="V133" s="41"/>
      <c r="W133" s="12">
        <f t="shared" si="87"/>
        <v>9.0722213093517121E-2</v>
      </c>
      <c r="X133" s="12">
        <f t="shared" si="87"/>
        <v>6.8463566148053143E-2</v>
      </c>
      <c r="Y133" s="41"/>
      <c r="Z133" s="12">
        <f t="shared" si="89"/>
        <v>9.7175787009611492E-2</v>
      </c>
      <c r="AA133" s="12">
        <f t="shared" si="89"/>
        <v>7.597957327380403E-2</v>
      </c>
      <c r="AB133" s="41"/>
      <c r="AC133" s="12">
        <f t="shared" si="90"/>
        <v>9.9963262757988891E-2</v>
      </c>
      <c r="AD133" s="12">
        <f t="shared" si="90"/>
        <v>7.597957327380403E-2</v>
      </c>
      <c r="AE133" s="41"/>
      <c r="AF133" s="12">
        <f t="shared" si="91"/>
        <v>0.10264320735526171</v>
      </c>
      <c r="AG133" s="12">
        <f t="shared" si="91"/>
        <v>7.597957327380403E-2</v>
      </c>
      <c r="AH133" s="41"/>
      <c r="AI133" s="12">
        <f t="shared" si="92"/>
        <v>0.10303922012336313</v>
      </c>
      <c r="AJ133" s="12">
        <f t="shared" si="92"/>
        <v>7.597957327380403E-2</v>
      </c>
      <c r="AK133" s="41"/>
      <c r="AL133" s="15"/>
      <c r="AM133" s="22">
        <f t="shared" si="93"/>
        <v>-2.1196213735807462E-2</v>
      </c>
      <c r="AO133" s="44">
        <f t="shared" si="88"/>
        <v>9.7175787009611492E-2</v>
      </c>
      <c r="AP133" s="44">
        <f t="shared" si="88"/>
        <v>7.597957327380403E-2</v>
      </c>
    </row>
    <row r="134" spans="1:50" s="13" customFormat="1" ht="15.5">
      <c r="A134" s="26"/>
      <c r="B134" s="12"/>
      <c r="C134" s="30"/>
      <c r="D134" s="41"/>
      <c r="E134" s="12"/>
      <c r="F134" s="30"/>
      <c r="G134" s="41"/>
      <c r="H134" s="12"/>
      <c r="I134" s="30"/>
      <c r="J134" s="41"/>
      <c r="K134" s="12"/>
      <c r="L134" s="30"/>
      <c r="M134" s="41"/>
      <c r="N134" s="12"/>
      <c r="O134" s="30"/>
      <c r="P134" s="41"/>
      <c r="Q134" s="12"/>
      <c r="R134" s="30"/>
      <c r="S134" s="41"/>
      <c r="T134" s="12"/>
      <c r="U134" s="30"/>
      <c r="V134" s="41"/>
      <c r="W134" s="12"/>
      <c r="X134" s="30"/>
      <c r="Y134" s="41"/>
      <c r="Z134" s="12"/>
      <c r="AA134" s="30"/>
      <c r="AB134" s="41"/>
      <c r="AC134" s="12"/>
      <c r="AD134" s="30"/>
      <c r="AE134" s="41"/>
      <c r="AF134" s="12"/>
      <c r="AG134" s="30"/>
      <c r="AH134" s="41"/>
      <c r="AI134" s="12"/>
      <c r="AJ134" s="30"/>
      <c r="AK134" s="41"/>
      <c r="AL134" s="15"/>
      <c r="AM134" s="22"/>
      <c r="AO134" s="44"/>
      <c r="AP134" s="44"/>
    </row>
    <row r="135" spans="1:50" s="13" customFormat="1" ht="15.5">
      <c r="A135" s="26"/>
      <c r="B135" s="12"/>
      <c r="C135" s="30"/>
      <c r="D135" s="41"/>
      <c r="E135" s="12"/>
      <c r="F135" s="30"/>
      <c r="G135" s="41"/>
      <c r="H135" s="12"/>
      <c r="I135" s="30"/>
      <c r="J135" s="41"/>
      <c r="K135" s="12"/>
      <c r="L135" s="30"/>
      <c r="M135" s="41"/>
      <c r="N135" s="12"/>
      <c r="O135" s="30"/>
      <c r="P135" s="41"/>
      <c r="Q135" s="12"/>
      <c r="R135" s="30"/>
      <c r="S135" s="41"/>
      <c r="T135" s="12"/>
      <c r="U135" s="30"/>
      <c r="V135" s="41"/>
      <c r="W135" s="12"/>
      <c r="X135" s="30"/>
      <c r="Y135" s="41"/>
      <c r="Z135" s="12"/>
      <c r="AA135" s="30"/>
      <c r="AB135" s="41"/>
      <c r="AC135" s="12"/>
      <c r="AD135" s="30"/>
      <c r="AE135" s="41"/>
      <c r="AF135" s="12"/>
      <c r="AG135" s="30"/>
      <c r="AH135" s="41"/>
      <c r="AI135" s="12"/>
      <c r="AJ135" s="30"/>
      <c r="AK135" s="41"/>
      <c r="AL135" s="15"/>
      <c r="AM135" s="22"/>
      <c r="AO135" s="44"/>
      <c r="AP135" s="44"/>
    </row>
    <row r="136" spans="1:50" s="44" customFormat="1" ht="15.5">
      <c r="A136" s="31" t="s">
        <v>73</v>
      </c>
      <c r="B136" s="32">
        <f>'A -Döviz'!B136</f>
        <v>3205880.6433412479</v>
      </c>
      <c r="C136" s="32">
        <f>'A -Döviz'!C136</f>
        <v>3309189.8557035588</v>
      </c>
      <c r="D136" s="18"/>
      <c r="E136" s="32">
        <f>B136+'A -Döviz'!E136</f>
        <v>6655288.5105487406</v>
      </c>
      <c r="F136" s="32">
        <f>C136+'A -Döviz'!F136</f>
        <v>6371343.4301484488</v>
      </c>
      <c r="G136" s="18"/>
      <c r="H136" s="32">
        <f>E136+'A -Döviz'!H136</f>
        <v>10921806.156776793</v>
      </c>
      <c r="I136" s="32">
        <f>F136+'A -Döviz'!I136</f>
        <v>9343397.5483851396</v>
      </c>
      <c r="J136" s="18">
        <f>I136-H136</f>
        <v>-1578408.6083916537</v>
      </c>
      <c r="K136" s="32">
        <f>H136+'A -Döviz'!K136</f>
        <v>14086850.434355887</v>
      </c>
      <c r="L136" s="32">
        <f>I136+'A -Döviz'!L136</f>
        <v>11759935.127459373</v>
      </c>
      <c r="M136" s="18"/>
      <c r="N136" s="32">
        <f>K136+'A -Döviz'!N136</f>
        <v>18185409.813340224</v>
      </c>
      <c r="O136" s="32">
        <f>L136+'A -Döviz'!O136</f>
        <v>15288960.841705093</v>
      </c>
      <c r="P136" s="18"/>
      <c r="Q136" s="32">
        <f>N136+'A -Döviz'!Q136</f>
        <v>22101587.882128812</v>
      </c>
      <c r="R136" s="32">
        <f>O136+'A -Döviz'!R136</f>
        <v>17895418.689007446</v>
      </c>
      <c r="S136" s="18"/>
      <c r="T136" s="32">
        <f>Q136+'A -Döviz'!T136</f>
        <v>26066331.509997103</v>
      </c>
      <c r="U136" s="32">
        <f>R136+'A -Döviz'!U136</f>
        <v>21136714.628291223</v>
      </c>
      <c r="V136" s="18"/>
      <c r="W136" s="32">
        <f>T136+'A -Döviz'!W136</f>
        <v>28752693.029533889</v>
      </c>
      <c r="X136" s="32">
        <f>U136+'A -Döviz'!X136</f>
        <v>23834363.113573987</v>
      </c>
      <c r="Y136" s="18"/>
      <c r="Z136" s="32">
        <f>W136+'A -Döviz'!Z136</f>
        <v>34568209.930801257</v>
      </c>
      <c r="AA136" s="32">
        <f>X136+'A -Döviz'!AA136</f>
        <v>28555825.742347889</v>
      </c>
      <c r="AB136" s="18"/>
      <c r="AC136" s="32">
        <f>Z136+'A -Döviz'!AC136</f>
        <v>39699718.69714848</v>
      </c>
      <c r="AD136" s="32">
        <f>AA136+'A -Döviz'!AD136</f>
        <v>28555825.742347889</v>
      </c>
      <c r="AE136" s="18"/>
      <c r="AF136" s="32">
        <f>AC136+'A -Döviz'!AF136</f>
        <v>44709355.582515582</v>
      </c>
      <c r="AG136" s="32">
        <f>AD136+'A -Döviz'!AG136</f>
        <v>28555825.742347889</v>
      </c>
      <c r="AH136" s="18"/>
      <c r="AI136" s="32">
        <f>AF136+'A -Döviz'!AI136</f>
        <v>48700170.042784944</v>
      </c>
      <c r="AJ136" s="32">
        <f>AG136+'A -Döviz'!AJ136</f>
        <v>28555825.742347889</v>
      </c>
      <c r="AK136" s="18"/>
      <c r="AL136" s="33">
        <f>AP136-AO136</f>
        <v>-6012384.1884533688</v>
      </c>
      <c r="AM136" s="113">
        <f>AP136/AO136-1</f>
        <v>-0.17392813224893555</v>
      </c>
      <c r="AO136" s="44">
        <f>IF($A$1=$B$1,B136,IF($A$1=$E$1,E136,IF($A$1=$H$1,H136,IF($A$1=$K$1,K136,IF($A$1=$N$1,N136,IF($A$1=$Q$1,Q136,IF($A$1=$T$1,T136,IF($A$1=$W$1,W136,IF($A$1=$Z$1,Z136,IF($A$1=$AC$1,AC136,IF($A$1=$AF$1,AF136,IF($A$1=$AI$1,AI136))))))))))))</f>
        <v>34568209.930801257</v>
      </c>
      <c r="AP136" s="44">
        <f>IF($A$1=$B$1,C136,IF($A$1=$E$1,F136,IF($A$1=$H$1,I136,IF($A$1=$K$1,L136,IF($A$1=$N$1,O136,IF($A$1=$Q$1,R136,IF($A$1=$T$1,U136,IF($A$1=$W$1,X136,IF($A$1=$Z$1,AA136,IF($A$1=$AC$1,AD136,IF($A$1=$AF$1,AG136,IF($A$1=$AI$1,AJ136))))))))))))</f>
        <v>28555825.742347889</v>
      </c>
    </row>
    <row r="137" spans="1:50" s="13" customFormat="1" ht="15.5">
      <c r="A137" s="27"/>
      <c r="B137" s="30"/>
      <c r="C137" s="30"/>
      <c r="D137" s="41"/>
      <c r="E137" s="108">
        <f>E136/E30</f>
        <v>0.11948219611356246</v>
      </c>
      <c r="F137" s="108">
        <f>F136/F30</f>
        <v>0.11119290902104682</v>
      </c>
      <c r="G137" s="41"/>
      <c r="H137" s="109">
        <f>H136/H30</f>
        <v>0.12582085867060105</v>
      </c>
      <c r="I137" s="109">
        <f>I136/I30</f>
        <v>0.10950735949486751</v>
      </c>
      <c r="J137" s="41"/>
      <c r="K137" s="109">
        <f>-K136/$K$6</f>
        <v>-0.12174664340792586</v>
      </c>
      <c r="L137" s="109">
        <f>-L136/$L$6</f>
        <v>-0.10507009798689843</v>
      </c>
      <c r="M137" s="41"/>
      <c r="N137" s="109">
        <f>-N136/$N$6</f>
        <v>-0.1248100850058857</v>
      </c>
      <c r="O137" s="109">
        <f>-O136/$O$6</f>
        <v>-0.10903232252768905</v>
      </c>
      <c r="P137" s="41"/>
      <c r="Q137" s="109">
        <f>-Q136/$Q$6</f>
        <v>-0.12642142771544682</v>
      </c>
      <c r="R137" s="109">
        <f>-R136/$R$6</f>
        <v>-0.10915660097926147</v>
      </c>
      <c r="S137" s="41"/>
      <c r="T137" s="108">
        <f>T136/T6</f>
        <v>0.12735323050743108</v>
      </c>
      <c r="U137" s="108">
        <f>U136/U6</f>
        <v>0.11058043480659079</v>
      </c>
      <c r="V137" s="41"/>
      <c r="W137" s="109">
        <f>-W136/$W$6</f>
        <v>-0.12446678048240187</v>
      </c>
      <c r="X137" s="109">
        <f>-X136/$X$6</f>
        <v>-0.11186377045068649</v>
      </c>
      <c r="Y137" s="41"/>
      <c r="Z137" s="109">
        <f>-Z136/$W$6</f>
        <v>-0.14964141942137843</v>
      </c>
      <c r="AA137" s="109">
        <f>-AA136/$X$6</f>
        <v>-0.13402339809334265</v>
      </c>
      <c r="AB137" s="41"/>
      <c r="AC137" s="108">
        <f>AC136/AC6</f>
        <v>0.13370992529261527</v>
      </c>
      <c r="AD137" s="108">
        <f>AD136/AD6</f>
        <v>0.11937040487029166</v>
      </c>
      <c r="AE137" s="41"/>
      <c r="AF137" s="108">
        <f>AF136/AF6</f>
        <v>0.13605965384084359</v>
      </c>
      <c r="AG137" s="108">
        <f>AG136/AG6</f>
        <v>0.11937040487029166</v>
      </c>
      <c r="AH137" s="41"/>
      <c r="AI137" s="108">
        <f>AI136/AI6</f>
        <v>0.13628872722789692</v>
      </c>
      <c r="AJ137" s="108">
        <f>AJ136/AJ6</f>
        <v>0.11937040487029166</v>
      </c>
      <c r="AK137" s="41"/>
      <c r="AL137" s="15"/>
      <c r="AM137" s="22"/>
      <c r="AO137" s="44">
        <f>IF($A$1=$B$1,B137,IF($A$1=$E$1,E137,IF($A$1=$H$1,H137,IF($A$1=$K$1,K137,IF($A$1=$N$1,N137,IF($A$1=$Q$1,Q137,IF($A$1=$T$1,T137,IF($A$1=$W$1,W137,IF($A$1=$Z$1,Z137,IF($A$1=$AC$1,AC137,IF($A$1=$AF$1,AF137,IF($A$1=$AI$1,AI137))))))))))))</f>
        <v>-0.14964141942137843</v>
      </c>
      <c r="AP137" s="44">
        <f>IF($A$1=$B$1,C137,IF($A$1=$E$1,F137,IF($A$1=$H$1,I137,IF($A$1=$K$1,L137,IF($A$1=$N$1,O137,IF($A$1=$Q$1,R137,IF($A$1=$T$1,U137,IF($A$1=$W$1,X137,IF($A$1=$Z$1,AA137,IF($A$1=$AC$1,AD137,IF($A$1=$AF$1,AG137,IF($A$1=$AI$1,AJ137))))))))))))</f>
        <v>-0.13402339809334265</v>
      </c>
      <c r="AR137" s="295">
        <f>AC137-AD137</f>
        <v>1.4339520422323615E-2</v>
      </c>
    </row>
    <row r="138" spans="1:50" s="49" customFormat="1" ht="17">
      <c r="A138" s="47" t="s">
        <v>74</v>
      </c>
      <c r="B138" s="413"/>
      <c r="C138" s="413"/>
      <c r="D138" s="413"/>
      <c r="E138" s="413"/>
      <c r="F138" s="413"/>
      <c r="G138" s="413"/>
      <c r="H138" s="413"/>
      <c r="I138" s="413"/>
      <c r="J138" s="413"/>
      <c r="K138" s="413"/>
      <c r="L138" s="413"/>
      <c r="M138" s="413"/>
      <c r="N138" s="413"/>
      <c r="O138" s="414">
        <f>N137-O137</f>
        <v>-1.577776247819665E-2</v>
      </c>
      <c r="P138" s="413"/>
      <c r="Q138" s="413"/>
      <c r="R138" s="413"/>
      <c r="S138" s="413"/>
      <c r="T138" s="413"/>
      <c r="U138" s="413"/>
      <c r="V138" s="413"/>
      <c r="W138" s="413"/>
      <c r="X138" s="413"/>
      <c r="Y138" s="413"/>
      <c r="Z138" s="413"/>
      <c r="AA138" s="413"/>
      <c r="AB138" s="413"/>
      <c r="AC138" s="413"/>
      <c r="AD138" s="413"/>
      <c r="AE138" s="413"/>
      <c r="AF138" s="413"/>
      <c r="AG138" s="413"/>
      <c r="AH138" s="413"/>
      <c r="AI138" s="413"/>
      <c r="AJ138" s="413"/>
      <c r="AK138" s="413"/>
      <c r="AL138" s="413"/>
      <c r="AM138" s="48"/>
      <c r="AR138" s="110">
        <f>SUM(AR139:AR146)</f>
        <v>28752693.029533889</v>
      </c>
      <c r="AS138" s="110">
        <f>SUM(AS139:AS146)</f>
        <v>23834363.113573987</v>
      </c>
    </row>
    <row r="139" spans="1:50" ht="15.5">
      <c r="A139" s="26" t="s">
        <v>10</v>
      </c>
      <c r="B139" s="7">
        <f>'A -Döviz'!B139</f>
        <v>341165.36249954213</v>
      </c>
      <c r="C139" s="7">
        <f>'A -Döviz'!C139</f>
        <v>380407.00055417459</v>
      </c>
      <c r="D139" s="7"/>
      <c r="E139" s="7">
        <f>B139+'A -Döviz'!E139</f>
        <v>709918.15602684137</v>
      </c>
      <c r="F139" s="7">
        <f>C139+'A -Döviz'!F139</f>
        <v>695502.85020211362</v>
      </c>
      <c r="G139" s="7"/>
      <c r="H139" s="7">
        <f>E139+'A -Döviz'!H139</f>
        <v>1050861.8557961623</v>
      </c>
      <c r="I139" s="7">
        <f>F139+'A -Döviz'!I139</f>
        <v>1039323.222696945</v>
      </c>
      <c r="J139" s="7"/>
      <c r="K139" s="7">
        <f>H139+'A -Döviz'!K139</f>
        <v>1392551.0239431176</v>
      </c>
      <c r="L139" s="7">
        <f>I139+'A -Döviz'!L139</f>
        <v>1177524.1845345646</v>
      </c>
      <c r="M139" s="7"/>
      <c r="N139" s="7">
        <f>K139+'A -Döviz'!N139</f>
        <v>1747925.4835038125</v>
      </c>
      <c r="O139" s="7">
        <f>L139+'A -Döviz'!O139</f>
        <v>1605204.2542804393</v>
      </c>
      <c r="P139" s="7"/>
      <c r="Q139" s="7">
        <f>N139+'A -Döviz'!Q139</f>
        <v>2110296.8185125403</v>
      </c>
      <c r="R139" s="7">
        <f>O139+'A -Döviz'!R139</f>
        <v>1908937.2333874858</v>
      </c>
      <c r="S139" s="7"/>
      <c r="T139" s="7">
        <f>Q139+'A -Döviz'!T139</f>
        <v>2505252.0883134585</v>
      </c>
      <c r="U139" s="7">
        <f>R139+'A -Döviz'!U139</f>
        <v>2260705.1953377966</v>
      </c>
      <c r="V139" s="7"/>
      <c r="W139" s="7">
        <f>T139+'A -Döviz'!W139</f>
        <v>2833025.2019556798</v>
      </c>
      <c r="X139" s="7">
        <f>U139+'A -Döviz'!X139</f>
        <v>2556522.3904438047</v>
      </c>
      <c r="Y139" s="7"/>
      <c r="Z139" s="7">
        <f>W139+'A -Döviz'!Z139</f>
        <v>3319593.2742493702</v>
      </c>
      <c r="AA139" s="7">
        <f>X139+'A -Döviz'!AA139</f>
        <v>3039088.832752591</v>
      </c>
      <c r="AB139" s="7">
        <f>Z139/AA139-1</f>
        <v>9.2298862235862478E-2</v>
      </c>
      <c r="AC139" s="7">
        <f>Z139+'A -Döviz'!AC139</f>
        <v>3760637.452741263</v>
      </c>
      <c r="AD139" s="7">
        <f>AA139+'A -Döviz'!AD139</f>
        <v>3039088.832752591</v>
      </c>
      <c r="AE139" s="7"/>
      <c r="AF139" s="7">
        <f>AC139+'A -Döviz'!AF139</f>
        <v>4151022.7014067643</v>
      </c>
      <c r="AG139" s="7">
        <f>AD139+'A -Döviz'!AG139</f>
        <v>3039088.832752591</v>
      </c>
      <c r="AH139" s="7"/>
      <c r="AI139" s="7">
        <f>AF139+'A -Döviz'!AI139</f>
        <v>3939752.3865551464</v>
      </c>
      <c r="AJ139" s="7">
        <f>AG139+'A -Döviz'!AJ139</f>
        <v>3039088.832752591</v>
      </c>
      <c r="AK139" s="7"/>
      <c r="AL139" s="21">
        <f t="shared" ref="AL139:AL146" si="94">AP139-AO139</f>
        <v>-280504.44149677921</v>
      </c>
      <c r="AM139" s="22">
        <f t="shared" ref="AM139:AM146" si="95">AP139/AO139-1</f>
        <v>-8.4499641468940845E-2</v>
      </c>
      <c r="AO139" s="44">
        <f t="shared" ref="AO139:AP147" si="96">IF($A$1=$B$1,B139,IF($A$1=$E$1,E139,IF($A$1=$H$1,H139,IF($A$1=$K$1,K139,IF($A$1=$N$1,N139,IF($A$1=$Q$1,Q139,IF($A$1=$T$1,T139,IF($A$1=$W$1,W139,IF($A$1=$Z$1,Z139,IF($A$1=$AC$1,AC139,IF($A$1=$AF$1,AF139,IF($A$1=$AI$1,AI139))))))))))))</f>
        <v>3319593.2742493702</v>
      </c>
      <c r="AP139" s="44">
        <f t="shared" si="96"/>
        <v>3039088.832752591</v>
      </c>
      <c r="AR139" s="94">
        <f t="shared" ref="AR139:AS141" si="97">W139</f>
        <v>2833025.2019556798</v>
      </c>
      <c r="AS139" s="94">
        <f t="shared" si="97"/>
        <v>2556522.3904438047</v>
      </c>
      <c r="AT139" s="94">
        <f>AS139-AR139</f>
        <v>-276502.81151187513</v>
      </c>
      <c r="AV139" s="9">
        <f t="shared" ref="AV139:AW146" si="98">W139-W115</f>
        <v>36810.905220489483</v>
      </c>
      <c r="AW139" s="9">
        <f t="shared" si="98"/>
        <v>37460.563605699223</v>
      </c>
      <c r="AX139" s="9">
        <f>AV139-AW139</f>
        <v>-649.65838520973921</v>
      </c>
    </row>
    <row r="140" spans="1:50" ht="15.5">
      <c r="A140" s="26" t="s">
        <v>11</v>
      </c>
      <c r="B140" s="7">
        <f>'A -Döviz'!B140</f>
        <v>-18617.17053831114</v>
      </c>
      <c r="C140" s="7">
        <f>'A -Döviz'!C140</f>
        <v>-2368.1966064800008</v>
      </c>
      <c r="D140" s="7"/>
      <c r="E140" s="7">
        <f>B140+'A -Döviz'!E140</f>
        <v>79347.679702780821</v>
      </c>
      <c r="F140" s="7">
        <f>C140+'A -Döviz'!F140</f>
        <v>49489.622112148572</v>
      </c>
      <c r="G140" s="7"/>
      <c r="H140" s="7">
        <f>E140+'A -Döviz'!H140</f>
        <v>195465.79753655946</v>
      </c>
      <c r="I140" s="7">
        <f>F140+'A -Döviz'!I140</f>
        <v>80244.701683977022</v>
      </c>
      <c r="J140" s="7"/>
      <c r="K140" s="7">
        <f>H140+'A -Döviz'!K140</f>
        <v>391749.8544594628</v>
      </c>
      <c r="L140" s="7">
        <f>I140+'A -Döviz'!L140</f>
        <v>81459.295974809051</v>
      </c>
      <c r="M140" s="7"/>
      <c r="N140" s="7">
        <f>K140+'A -Döviz'!N140</f>
        <v>623399.22476315498</v>
      </c>
      <c r="O140" s="7">
        <f>L140+'A -Döviz'!O140</f>
        <v>122582.80763699923</v>
      </c>
      <c r="P140" s="7"/>
      <c r="Q140" s="7">
        <f>N140+'A -Döviz'!Q140</f>
        <v>832932.01599120419</v>
      </c>
      <c r="R140" s="7">
        <f>O140+'A -Döviz'!R140</f>
        <v>156127.29321397824</v>
      </c>
      <c r="S140" s="7"/>
      <c r="T140" s="7">
        <f>Q140+'A -Döviz'!T140</f>
        <v>999166.52785457193</v>
      </c>
      <c r="U140" s="7">
        <f>R140+'A -Döviz'!U140</f>
        <v>217927.96889743788</v>
      </c>
      <c r="V140" s="7"/>
      <c r="W140" s="7">
        <f>T140+'A -Döviz'!W140</f>
        <v>1050472.6739120837</v>
      </c>
      <c r="X140" s="7">
        <f>U140+'A -Döviz'!X140</f>
        <v>245095.5985877073</v>
      </c>
      <c r="Y140" s="7"/>
      <c r="Z140" s="7">
        <f>W140+'A -Döviz'!Z140</f>
        <v>1133705.4096622837</v>
      </c>
      <c r="AA140" s="7">
        <f>X140+'A -Döviz'!AA140</f>
        <v>221686.5038791605</v>
      </c>
      <c r="AB140" s="7">
        <f t="shared" ref="AB140:AB146" si="99">Z140/AA140-1</f>
        <v>4.1140028365473134</v>
      </c>
      <c r="AC140" s="7">
        <f>Z140+'A -Döviz'!AC140</f>
        <v>1171017.1721112994</v>
      </c>
      <c r="AD140" s="7">
        <f>AA140+'A -Döviz'!AD140</f>
        <v>221686.5038791605</v>
      </c>
      <c r="AE140" s="7"/>
      <c r="AF140" s="7">
        <f>AC140+'A -Döviz'!AF140</f>
        <v>1180595.6626800762</v>
      </c>
      <c r="AG140" s="7">
        <f>AD140+'A -Döviz'!AG140</f>
        <v>221686.5038791605</v>
      </c>
      <c r="AH140" s="7"/>
      <c r="AI140" s="7">
        <f>AF140+'A -Döviz'!AI140</f>
        <v>1151061.2455388152</v>
      </c>
      <c r="AJ140" s="7">
        <f>AG140+'A -Döviz'!AJ140</f>
        <v>221686.5038791605</v>
      </c>
      <c r="AK140" s="7"/>
      <c r="AL140" s="21">
        <f t="shared" si="94"/>
        <v>-912018.90578312322</v>
      </c>
      <c r="AM140" s="22">
        <f t="shared" si="95"/>
        <v>-0.80445845808815708</v>
      </c>
      <c r="AO140" s="44">
        <f t="shared" si="96"/>
        <v>1133705.4096622837</v>
      </c>
      <c r="AP140" s="44">
        <f t="shared" si="96"/>
        <v>221686.5038791605</v>
      </c>
      <c r="AR140" s="94">
        <f t="shared" si="97"/>
        <v>1050472.6739120837</v>
      </c>
      <c r="AS140" s="94">
        <f t="shared" si="97"/>
        <v>245095.5985877073</v>
      </c>
      <c r="AT140" s="94">
        <f t="shared" ref="AT140:AT146" si="100">AS140-AR140</f>
        <v>-805377.07532437646</v>
      </c>
      <c r="AV140" s="9">
        <f t="shared" si="98"/>
        <v>137283.75249435462</v>
      </c>
      <c r="AW140" s="9">
        <f t="shared" si="98"/>
        <v>102729.45471729364</v>
      </c>
      <c r="AX140" s="9">
        <f t="shared" ref="AX140:AX146" si="101">AV140-AW140</f>
        <v>34554.297777060972</v>
      </c>
    </row>
    <row r="141" spans="1:50" ht="15.5">
      <c r="A141" s="26" t="s">
        <v>12</v>
      </c>
      <c r="B141" s="7">
        <f>'A -Döviz'!B141</f>
        <v>-43556.491670813943</v>
      </c>
      <c r="C141" s="7">
        <f>'A -Döviz'!C141</f>
        <v>34113.973260348394</v>
      </c>
      <c r="D141" s="7"/>
      <c r="E141" s="7">
        <f>B141+'A -Döviz'!E141</f>
        <v>-40525.397114605767</v>
      </c>
      <c r="F141" s="7">
        <f>C141+'A -Döviz'!F141</f>
        <v>65875.91437662192</v>
      </c>
      <c r="G141" s="7"/>
      <c r="H141" s="7">
        <f>E141+'A -Döviz'!H141</f>
        <v>13101.081133174477</v>
      </c>
      <c r="I141" s="7">
        <f>F141+'A -Döviz'!I141</f>
        <v>76109.378377800531</v>
      </c>
      <c r="J141" s="7"/>
      <c r="K141" s="7">
        <f>H141+'A -Döviz'!K141</f>
        <v>63256.652128414113</v>
      </c>
      <c r="L141" s="7">
        <f>I141+'A -Döviz'!L141</f>
        <v>98878.085337691737</v>
      </c>
      <c r="M141" s="7"/>
      <c r="N141" s="7">
        <f>K141+'A -Döviz'!N141</f>
        <v>168192.43319192153</v>
      </c>
      <c r="O141" s="7">
        <f>L141+'A -Döviz'!O141</f>
        <v>132438.23398333142</v>
      </c>
      <c r="P141" s="7"/>
      <c r="Q141" s="7">
        <f>N141+'A -Döviz'!Q141</f>
        <v>272741.87619212415</v>
      </c>
      <c r="R141" s="7">
        <f>O141+'A -Döviz'!R141</f>
        <v>148857.24369009864</v>
      </c>
      <c r="S141" s="7"/>
      <c r="T141" s="7">
        <f>Q141+'A -Döviz'!T141</f>
        <v>399698.71621839039</v>
      </c>
      <c r="U141" s="7">
        <f>R141+'A -Döviz'!U141</f>
        <v>177824.33210366123</v>
      </c>
      <c r="V141" s="7"/>
      <c r="W141" s="7">
        <f>T141+'A -Döviz'!W141</f>
        <v>498631.98907025496</v>
      </c>
      <c r="X141" s="7">
        <f>U141+'A -Döviz'!X141</f>
        <v>200327.7154807318</v>
      </c>
      <c r="Y141" s="7"/>
      <c r="Z141" s="7">
        <f>W141+'A -Döviz'!Z141</f>
        <v>574595.18956043245</v>
      </c>
      <c r="AA141" s="7">
        <f>X141+'A -Döviz'!AA141</f>
        <v>255559.44284461462</v>
      </c>
      <c r="AB141" s="7">
        <f t="shared" si="99"/>
        <v>1.2483817587198218</v>
      </c>
      <c r="AC141" s="7">
        <f>Z141+'A -Döviz'!AC141</f>
        <v>669933.88759965706</v>
      </c>
      <c r="AD141" s="7">
        <f>AA141+'A -Döviz'!AD141</f>
        <v>255559.44284461462</v>
      </c>
      <c r="AE141" s="7"/>
      <c r="AF141" s="7">
        <f>AC141+'A -Döviz'!AF141</f>
        <v>783663.37875165616</v>
      </c>
      <c r="AG141" s="7">
        <f>AD141+'A -Döviz'!AG141</f>
        <v>255559.44284461462</v>
      </c>
      <c r="AH141" s="7"/>
      <c r="AI141" s="7">
        <f>AF141+'A -Döviz'!AI141</f>
        <v>831860.59608920862</v>
      </c>
      <c r="AJ141" s="7">
        <f>AG141+'A -Döviz'!AJ141</f>
        <v>255559.44284461462</v>
      </c>
      <c r="AK141" s="7"/>
      <c r="AL141" s="21">
        <f t="shared" si="94"/>
        <v>-319035.74671581783</v>
      </c>
      <c r="AM141" s="22">
        <f t="shared" si="95"/>
        <v>-0.55523567289152109</v>
      </c>
      <c r="AO141" s="44">
        <f t="shared" si="96"/>
        <v>574595.18956043245</v>
      </c>
      <c r="AP141" s="44">
        <f t="shared" si="96"/>
        <v>255559.44284461462</v>
      </c>
      <c r="AR141" s="94">
        <f t="shared" si="97"/>
        <v>498631.98907025496</v>
      </c>
      <c r="AS141" s="94">
        <f t="shared" si="97"/>
        <v>200327.7154807318</v>
      </c>
      <c r="AT141" s="94">
        <f t="shared" si="100"/>
        <v>-298304.27358952316</v>
      </c>
      <c r="AV141" s="9">
        <f t="shared" si="98"/>
        <v>9715.1875489650993</v>
      </c>
      <c r="AW141" s="9">
        <f t="shared" si="98"/>
        <v>5050.7371731427847</v>
      </c>
      <c r="AX141" s="9">
        <f t="shared" si="101"/>
        <v>4664.4503758223145</v>
      </c>
    </row>
    <row r="142" spans="1:50" ht="15.5">
      <c r="A142" s="26" t="s">
        <v>13</v>
      </c>
      <c r="B142" s="7">
        <f>'A -Döviz'!B142</f>
        <v>1646454.613105664</v>
      </c>
      <c r="C142" s="7">
        <f>'A -Döviz'!C142</f>
        <v>1298860.0260257791</v>
      </c>
      <c r="D142" s="7"/>
      <c r="E142" s="7">
        <f>B142+'A -Döviz'!E142</f>
        <v>3033597.5536319129</v>
      </c>
      <c r="F142" s="7">
        <f>C142+'A -Döviz'!F142</f>
        <v>2142633.6677907463</v>
      </c>
      <c r="G142" s="7"/>
      <c r="H142" s="7">
        <f>E142+'A -Döviz'!H142</f>
        <v>4567732.0959338937</v>
      </c>
      <c r="I142" s="7">
        <f>F142+'A -Döviz'!I142</f>
        <v>1806022.038557908</v>
      </c>
      <c r="J142" s="7"/>
      <c r="K142" s="7">
        <f>H142+'A -Döviz'!K142</f>
        <v>5918919.9986793874</v>
      </c>
      <c r="L142" s="7">
        <f>I142+'A -Döviz'!L142</f>
        <v>1350951.5032831572</v>
      </c>
      <c r="M142" s="7"/>
      <c r="N142" s="7">
        <f>K142+'A -Döviz'!N142</f>
        <v>7421579.1988637373</v>
      </c>
      <c r="O142" s="7">
        <f>L142+'A -Döviz'!O142</f>
        <v>1271654.9032219532</v>
      </c>
      <c r="P142" s="7"/>
      <c r="Q142" s="7">
        <f>N142+'A -Döviz'!Q142</f>
        <v>9198712.9349645302</v>
      </c>
      <c r="R142" s="7">
        <f>O142+'A -Döviz'!R142</f>
        <v>576376.53268711362</v>
      </c>
      <c r="S142" s="7"/>
      <c r="T142" s="7">
        <f>Q142+'A -Döviz'!T142</f>
        <v>11438999.382587366</v>
      </c>
      <c r="U142" s="7">
        <f>R142+'A -Döviz'!U142</f>
        <v>338287.76108098141</v>
      </c>
      <c r="V142" s="7"/>
      <c r="W142" s="7">
        <f>T142+'A -Döviz'!W142</f>
        <v>13831092.496066075</v>
      </c>
      <c r="X142" s="7">
        <f>U142+'A -Döviz'!X142</f>
        <v>1215432.3106423763</v>
      </c>
      <c r="Y142" s="7"/>
      <c r="Z142" s="7">
        <f>W142+'A -Döviz'!Z142</f>
        <v>16732231.506403124</v>
      </c>
      <c r="AA142" s="7">
        <f>X142+'A -Döviz'!AA142</f>
        <v>1489781.7703216965</v>
      </c>
      <c r="AB142" s="7">
        <f t="shared" si="99"/>
        <v>10.231330547688232</v>
      </c>
      <c r="AC142" s="7">
        <f>Z142+'A -Döviz'!AC142</f>
        <v>20298694.510411173</v>
      </c>
      <c r="AD142" s="7">
        <f>AA142+'A -Döviz'!AD142</f>
        <v>1489781.7703216965</v>
      </c>
      <c r="AE142" s="7"/>
      <c r="AF142" s="7">
        <f>AC142+'A -Döviz'!AF142</f>
        <v>23992210.231308512</v>
      </c>
      <c r="AG142" s="7">
        <f>AD142+'A -Döviz'!AG142</f>
        <v>1489781.7703216965</v>
      </c>
      <c r="AH142" s="7"/>
      <c r="AI142" s="7">
        <f>AF142+'A -Döviz'!AI142</f>
        <v>28374000.816196986</v>
      </c>
      <c r="AJ142" s="7">
        <f>AG142+'A -Döviz'!AJ142</f>
        <v>1489781.7703216965</v>
      </c>
      <c r="AK142" s="7"/>
      <c r="AL142" s="21">
        <f t="shared" si="94"/>
        <v>-15242449.736081427</v>
      </c>
      <c r="AM142" s="22">
        <f t="shared" si="95"/>
        <v>-0.91096335418550811</v>
      </c>
      <c r="AO142" s="44">
        <f t="shared" si="96"/>
        <v>16732231.506403124</v>
      </c>
      <c r="AP142" s="44">
        <f t="shared" si="96"/>
        <v>1489781.7703216965</v>
      </c>
      <c r="AR142" s="94">
        <f t="shared" ref="AR142:AS146" si="102">W142*0.4</f>
        <v>5532436.9984264299</v>
      </c>
      <c r="AS142" s="94">
        <f t="shared" si="102"/>
        <v>486172.92425695056</v>
      </c>
      <c r="AT142" s="94">
        <f t="shared" si="100"/>
        <v>-5046264.0741694793</v>
      </c>
      <c r="AV142" s="9">
        <f t="shared" si="98"/>
        <v>1837724.9098635707</v>
      </c>
      <c r="AW142" s="9">
        <f t="shared" si="98"/>
        <v>1577786.5062171165</v>
      </c>
      <c r="AX142" s="9">
        <f t="shared" si="101"/>
        <v>259938.40364645422</v>
      </c>
    </row>
    <row r="143" spans="1:50" s="1" customFormat="1" ht="15.5">
      <c r="A143" s="26" t="s">
        <v>14</v>
      </c>
      <c r="B143" s="7">
        <f>'A -Döviz'!B143</f>
        <v>534180.88590141328</v>
      </c>
      <c r="C143" s="7">
        <f>'A -Döviz'!C143</f>
        <v>415753.69021301129</v>
      </c>
      <c r="D143" s="8"/>
      <c r="E143" s="7">
        <f>B143+'A -Döviz'!E143</f>
        <v>1107927.4129423965</v>
      </c>
      <c r="F143" s="7">
        <f>C143+'A -Döviz'!F143</f>
        <v>1021660.5908531665</v>
      </c>
      <c r="G143" s="8"/>
      <c r="H143" s="7">
        <f>E143+'A -Döviz'!H143</f>
        <v>1646746.6018023468</v>
      </c>
      <c r="I143" s="7">
        <f>F143+'A -Döviz'!I143</f>
        <v>1639845.0255081351</v>
      </c>
      <c r="J143" s="8"/>
      <c r="K143" s="7">
        <f>H143+'A -Döviz'!K143</f>
        <v>1835618.153224841</v>
      </c>
      <c r="L143" s="7">
        <f>I143+'A -Döviz'!L143</f>
        <v>1699668.3407476146</v>
      </c>
      <c r="M143" s="8"/>
      <c r="N143" s="7">
        <f>K143+'A -Döviz'!N143</f>
        <v>2200556.0591306016</v>
      </c>
      <c r="O143" s="7">
        <f>L143+'A -Döviz'!O143</f>
        <v>1915641.0012888557</v>
      </c>
      <c r="P143" s="8"/>
      <c r="Q143" s="7">
        <f>N143+'A -Döviz'!Q143</f>
        <v>2474529.4363708263</v>
      </c>
      <c r="R143" s="7">
        <f>O143+'A -Döviz'!R143</f>
        <v>2186032.064102591</v>
      </c>
      <c r="S143" s="8"/>
      <c r="T143" s="7">
        <f>Q143+'A -Döviz'!T143</f>
        <v>2894924.776740334</v>
      </c>
      <c r="U143" s="7">
        <f>R143+'A -Döviz'!U143</f>
        <v>2686286.5887998352</v>
      </c>
      <c r="V143" s="8"/>
      <c r="W143" s="7">
        <f>T143+'A -Döviz'!W143</f>
        <v>3355992.5257735946</v>
      </c>
      <c r="X143" s="7">
        <f>U143+'A -Döviz'!X143</f>
        <v>3219972.1620119754</v>
      </c>
      <c r="Y143" s="8"/>
      <c r="Z143" s="7">
        <f>W143+'A -Döviz'!Z143</f>
        <v>3808593.659011798</v>
      </c>
      <c r="AA143" s="7">
        <f>X143+'A -Döviz'!AA143</f>
        <v>3826372.8768571024</v>
      </c>
      <c r="AB143" s="8">
        <f t="shared" si="99"/>
        <v>-4.6464937990852162E-3</v>
      </c>
      <c r="AC143" s="7">
        <f>Z143+'A -Döviz'!AC143</f>
        <v>4430254.8709214702</v>
      </c>
      <c r="AD143" s="7">
        <f>AA143+'A -Döviz'!AD143</f>
        <v>3826372.8768571024</v>
      </c>
      <c r="AE143" s="8"/>
      <c r="AF143" s="7">
        <f>AC143+'A -Döviz'!AF143</f>
        <v>4938844.7030691914</v>
      </c>
      <c r="AG143" s="7">
        <f>AD143+'A -Döviz'!AG143</f>
        <v>3826372.8768571024</v>
      </c>
      <c r="AH143" s="8"/>
      <c r="AI143" s="7">
        <f>AF143+'A -Döviz'!AI143</f>
        <v>5337118.2203704314</v>
      </c>
      <c r="AJ143" s="7">
        <f>AG143+'A -Döviz'!AJ143</f>
        <v>3826372.8768571024</v>
      </c>
      <c r="AK143" s="8"/>
      <c r="AL143" s="21">
        <f t="shared" si="94"/>
        <v>17779.217845304403</v>
      </c>
      <c r="AM143" s="22">
        <f t="shared" si="95"/>
        <v>4.6681844893681212E-3</v>
      </c>
      <c r="AO143" s="44">
        <f t="shared" si="96"/>
        <v>3808593.659011798</v>
      </c>
      <c r="AP143" s="44">
        <f t="shared" si="96"/>
        <v>3826372.8768571024</v>
      </c>
      <c r="AR143" s="94">
        <f t="shared" si="102"/>
        <v>1342397.010309438</v>
      </c>
      <c r="AS143" s="94">
        <f t="shared" si="102"/>
        <v>1287988.8648047904</v>
      </c>
      <c r="AT143" s="94">
        <f t="shared" si="100"/>
        <v>-54408.145504647633</v>
      </c>
      <c r="AV143" s="9">
        <f t="shared" si="98"/>
        <v>1206329.9570314391</v>
      </c>
      <c r="AW143" s="9">
        <f t="shared" si="98"/>
        <v>1495250.3147841946</v>
      </c>
      <c r="AX143" s="9">
        <f t="shared" si="101"/>
        <v>-288920.35775275552</v>
      </c>
    </row>
    <row r="144" spans="1:50" ht="15.5">
      <c r="A144" s="26" t="s">
        <v>15</v>
      </c>
      <c r="B144" s="7">
        <f>'A -Döviz'!B144</f>
        <v>1012467.2781730001</v>
      </c>
      <c r="C144" s="7">
        <f>'A -Döviz'!C144</f>
        <v>1167511.44</v>
      </c>
      <c r="D144" s="7"/>
      <c r="E144" s="7">
        <f>B144+'A -Döviz'!E144</f>
        <v>2480115.9320140001</v>
      </c>
      <c r="F144" s="7">
        <f>C144+'A -Döviz'!F144</f>
        <v>2817851.5</v>
      </c>
      <c r="G144" s="7"/>
      <c r="H144" s="7">
        <f>E144+'A -Döviz'!H144</f>
        <v>5505017.4253639998</v>
      </c>
      <c r="I144" s="7">
        <f>F144+'A -Döviz'!I144</f>
        <v>4961663.2</v>
      </c>
      <c r="J144" s="7"/>
      <c r="K144" s="7">
        <f>H144+'A -Döviz'!K144</f>
        <v>6390062.058162</v>
      </c>
      <c r="L144" s="7">
        <f>I144+'A -Döviz'!L144</f>
        <v>6709814.29</v>
      </c>
      <c r="M144" s="7"/>
      <c r="N144" s="7">
        <f>K144+'A -Döviz'!N144</f>
        <v>7983756.0665859999</v>
      </c>
      <c r="O144" s="7">
        <f>L144+'A -Döviz'!O144</f>
        <v>8717542.1600000001</v>
      </c>
      <c r="P144" s="7"/>
      <c r="Q144" s="7">
        <f>N144+'A -Döviz'!Q144</f>
        <v>10371444.025451999</v>
      </c>
      <c r="R144" s="7">
        <f>O144+'A -Döviz'!R144</f>
        <v>10750301.23</v>
      </c>
      <c r="S144" s="7"/>
      <c r="T144" s="7">
        <f>Q144+'A -Döviz'!T144</f>
        <v>11310148.767976001</v>
      </c>
      <c r="U144" s="7">
        <f>R144+'A -Döviz'!U144</f>
        <v>12626663.41</v>
      </c>
      <c r="V144" s="7"/>
      <c r="W144" s="7">
        <f>T144+'A -Döviz'!W144</f>
        <v>11868953.025203001</v>
      </c>
      <c r="X144" s="7">
        <f>U144+'A -Döviz'!X144</f>
        <v>14142459.18</v>
      </c>
      <c r="Y144" s="7"/>
      <c r="Z144" s="7">
        <f>W144+'A -Döviz'!Z144</f>
        <v>15291107.702192999</v>
      </c>
      <c r="AA144" s="7">
        <f>X144+'A -Döviz'!AA144</f>
        <v>17008491.82</v>
      </c>
      <c r="AB144" s="7">
        <f t="shared" si="99"/>
        <v>-0.10097215767170831</v>
      </c>
      <c r="AC144" s="7">
        <f>Z144+'A -Döviz'!AC144</f>
        <v>17198755.976567</v>
      </c>
      <c r="AD144" s="7">
        <f>AA144+'A -Döviz'!AD144</f>
        <v>17008491.82</v>
      </c>
      <c r="AE144" s="7"/>
      <c r="AF144" s="7">
        <f>AC144+'A -Döviz'!AF144</f>
        <v>19096648.09894</v>
      </c>
      <c r="AG144" s="7">
        <f>AD144+'A -Döviz'!AG144</f>
        <v>17008491.82</v>
      </c>
      <c r="AH144" s="7"/>
      <c r="AI144" s="7">
        <f>AF144+'A -Döviz'!AI144</f>
        <v>21162418.113028001</v>
      </c>
      <c r="AJ144" s="7">
        <f>AG144+'A -Döviz'!AJ144</f>
        <v>17008491.82</v>
      </c>
      <c r="AK144" s="7"/>
      <c r="AL144" s="21">
        <f t="shared" si="94"/>
        <v>1717384.1178070009</v>
      </c>
      <c r="AM144" s="22">
        <f t="shared" si="95"/>
        <v>0.11231260358990869</v>
      </c>
      <c r="AO144" s="44">
        <f t="shared" si="96"/>
        <v>15291107.702192999</v>
      </c>
      <c r="AP144" s="44">
        <f t="shared" si="96"/>
        <v>17008491.82</v>
      </c>
      <c r="AR144" s="94">
        <f t="shared" si="102"/>
        <v>4747581.2100812001</v>
      </c>
      <c r="AS144" s="94">
        <f t="shared" si="102"/>
        <v>5656983.6720000003</v>
      </c>
      <c r="AT144" s="94">
        <f t="shared" si="100"/>
        <v>909402.46191880014</v>
      </c>
      <c r="AV144" s="9">
        <f t="shared" si="98"/>
        <v>4534611.1516860006</v>
      </c>
      <c r="AW144" s="9">
        <f t="shared" si="98"/>
        <v>3499239.6999999974</v>
      </c>
      <c r="AX144" s="9">
        <f t="shared" si="101"/>
        <v>1035371.4516860032</v>
      </c>
    </row>
    <row r="145" spans="1:50" ht="15.5">
      <c r="A145" s="26" t="s">
        <v>16</v>
      </c>
      <c r="B145" s="7">
        <f>'A -Döviz'!B145</f>
        <v>1547501.2063069998</v>
      </c>
      <c r="C145" s="7">
        <f>'A -Döviz'!C145</f>
        <v>1609449.64</v>
      </c>
      <c r="D145" s="7"/>
      <c r="E145" s="7">
        <f>B145+'A -Döviz'!E145</f>
        <v>2910947.7069870001</v>
      </c>
      <c r="F145" s="7">
        <f>C145+'A -Döviz'!F145</f>
        <v>3784738.16</v>
      </c>
      <c r="G145" s="7"/>
      <c r="H145" s="7">
        <f>E145+'A -Döviz'!H145</f>
        <v>4850795.7146810004</v>
      </c>
      <c r="I145" s="7">
        <f>F145+'A -Döviz'!I145</f>
        <v>5840903.5</v>
      </c>
      <c r="J145" s="7"/>
      <c r="K145" s="7">
        <f>H145+'A -Döviz'!K145</f>
        <v>6739035.3503959998</v>
      </c>
      <c r="L145" s="7">
        <f>I145+'A -Döviz'!L145</f>
        <v>8310016.29</v>
      </c>
      <c r="M145" s="7"/>
      <c r="N145" s="7">
        <f>K145+'A -Döviz'!N145</f>
        <v>8728382.1425030008</v>
      </c>
      <c r="O145" s="7">
        <f>L145+'A -Döviz'!O145</f>
        <v>10211485.109999999</v>
      </c>
      <c r="P145" s="7"/>
      <c r="Q145" s="7">
        <f>N145+'A -Döviz'!Q145</f>
        <v>10353815.207991</v>
      </c>
      <c r="R145" s="7">
        <f>O145+'A -Döviz'!R145</f>
        <v>12052769.76</v>
      </c>
      <c r="S145" s="7"/>
      <c r="T145" s="7">
        <f>Q145+'A -Döviz'!T145</f>
        <v>11785087.768826</v>
      </c>
      <c r="U145" s="7">
        <f>R145+'A -Döviz'!U145</f>
        <v>14447940.529999999</v>
      </c>
      <c r="V145" s="7"/>
      <c r="W145" s="7">
        <f>T145+'A -Döviz'!W145</f>
        <v>12710538.379396999</v>
      </c>
      <c r="X145" s="7">
        <f>U145+'A -Döviz'!X145</f>
        <v>16155513.15</v>
      </c>
      <c r="Y145" s="7"/>
      <c r="Z145" s="7">
        <f>W145+'A -Döviz'!Z145</f>
        <v>14951630.268038999</v>
      </c>
      <c r="AA145" s="7">
        <f>X145+'A -Döviz'!AA145</f>
        <v>19272517.710000001</v>
      </c>
      <c r="AB145" s="7">
        <f t="shared" si="99"/>
        <v>-0.22419942775400892</v>
      </c>
      <c r="AC145" s="7">
        <f>Z145+'A -Döviz'!AC145</f>
        <v>16999402.348340001</v>
      </c>
      <c r="AD145" s="7">
        <f>AA145+'A -Döviz'!AD145</f>
        <v>19272517.710000001</v>
      </c>
      <c r="AE145" s="7"/>
      <c r="AF145" s="7">
        <f>AC145+'A -Döviz'!AF145</f>
        <v>18922272.062934</v>
      </c>
      <c r="AG145" s="7">
        <f>AD145+'A -Döviz'!AG145</f>
        <v>19272517.710000001</v>
      </c>
      <c r="AH145" s="7"/>
      <c r="AI145" s="7">
        <f>AF145+'A -Döviz'!AI145</f>
        <v>20140251.283611</v>
      </c>
      <c r="AJ145" s="7">
        <f>AG145+'A -Döviz'!AJ145</f>
        <v>19272517.710000001</v>
      </c>
      <c r="AK145" s="7"/>
      <c r="AL145" s="21">
        <f t="shared" si="94"/>
        <v>4320887.4419610016</v>
      </c>
      <c r="AM145" s="22">
        <f t="shared" si="95"/>
        <v>0.28899105746330855</v>
      </c>
      <c r="AO145" s="44">
        <f t="shared" si="96"/>
        <v>14951630.268038999</v>
      </c>
      <c r="AP145" s="44">
        <f t="shared" si="96"/>
        <v>19272517.710000001</v>
      </c>
      <c r="AR145" s="94">
        <f t="shared" si="102"/>
        <v>5084215.3517588004</v>
      </c>
      <c r="AS145" s="94">
        <f t="shared" si="102"/>
        <v>6462205.2600000007</v>
      </c>
      <c r="AT145" s="94">
        <f t="shared" si="100"/>
        <v>1377989.9082412003</v>
      </c>
      <c r="AV145" s="9">
        <f t="shared" si="98"/>
        <v>2086759.9277819991</v>
      </c>
      <c r="AW145" s="9">
        <f t="shared" si="98"/>
        <v>1971830.5199999958</v>
      </c>
      <c r="AX145" s="9">
        <f t="shared" si="101"/>
        <v>114929.40778200328</v>
      </c>
    </row>
    <row r="146" spans="1:50" ht="15.5">
      <c r="A146" s="26" t="s">
        <v>17</v>
      </c>
      <c r="B146" s="7">
        <f>'A -Döviz'!B146</f>
        <v>2576618.37414</v>
      </c>
      <c r="C146" s="7">
        <f>'A -Döviz'!C146</f>
        <v>2751017.8999999994</v>
      </c>
      <c r="D146" s="7"/>
      <c r="E146" s="7">
        <f>B146+'A -Döviz'!E146</f>
        <v>5233781.5742589999</v>
      </c>
      <c r="F146" s="7">
        <f>C146+'A -Döviz'!F146</f>
        <v>4134303.6899999995</v>
      </c>
      <c r="G146" s="7"/>
      <c r="H146" s="7">
        <f>E146+'A -Döviz'!H146</f>
        <v>7585651.7179960003</v>
      </c>
      <c r="I146" s="7">
        <f>F146+'A -Döviz'!I146</f>
        <v>6120866.8499999996</v>
      </c>
      <c r="J146" s="7"/>
      <c r="K146" s="7">
        <f>H146+'A -Döviz'!K146</f>
        <v>9714596.6991000008</v>
      </c>
      <c r="L146" s="7">
        <f>I146+'A -Döviz'!L146</f>
        <v>7934733.4800000004</v>
      </c>
      <c r="M146" s="7"/>
      <c r="N146" s="7">
        <f>K146+'A -Döviz'!N146</f>
        <v>12780458.212619999</v>
      </c>
      <c r="O146" s="7">
        <f>L146+'A -Döviz'!O146</f>
        <v>11455515.689999999</v>
      </c>
      <c r="P146" s="7"/>
      <c r="Q146" s="7">
        <f>N146+'A -Döviz'!Q146</f>
        <v>14815541.323804</v>
      </c>
      <c r="R146" s="7">
        <f>O146+'A -Döviz'!R146</f>
        <v>13638262.710000001</v>
      </c>
      <c r="S146" s="7"/>
      <c r="T146" s="7">
        <f>Q146+'A -Döviz'!T146</f>
        <v>17976374.747896999</v>
      </c>
      <c r="U146" s="7">
        <f>R146+'A -Döviz'!U146</f>
        <v>16101464.539999999</v>
      </c>
      <c r="V146" s="7"/>
      <c r="W146" s="7">
        <f>T146+'A -Döviz'!W146</f>
        <v>19159831.48505</v>
      </c>
      <c r="X146" s="7">
        <f>U146+'A -Döviz'!X146</f>
        <v>17347666.719999999</v>
      </c>
      <c r="Y146" s="7"/>
      <c r="Z146" s="7">
        <f>W146+'A -Döviz'!Z146</f>
        <v>23067227.007676002</v>
      </c>
      <c r="AA146" s="7">
        <f>X146+'A -Döviz'!AA146</f>
        <v>21001563.23</v>
      </c>
      <c r="AB146" s="7">
        <f t="shared" si="99"/>
        <v>9.8357620099692067E-2</v>
      </c>
      <c r="AC146" s="7">
        <f>Z146+'A -Döviz'!AC146</f>
        <v>26318217.755500998</v>
      </c>
      <c r="AD146" s="7">
        <f>AA146+'A -Döviz'!AD146</f>
        <v>21001563.23</v>
      </c>
      <c r="AE146" s="7"/>
      <c r="AF146" s="7">
        <f>AC146+'A -Döviz'!AF146</f>
        <v>29535209.502941001</v>
      </c>
      <c r="AG146" s="7">
        <f>AD146+'A -Döviz'!AG146</f>
        <v>21001563.23</v>
      </c>
      <c r="AH146" s="7"/>
      <c r="AI146" s="7">
        <f>AF146+'A -Döviz'!AI146</f>
        <v>31929951.103298001</v>
      </c>
      <c r="AJ146" s="7">
        <f>AG146+'A -Döviz'!AJ146</f>
        <v>21001563.23</v>
      </c>
      <c r="AK146" s="7"/>
      <c r="AL146" s="21">
        <f t="shared" si="94"/>
        <v>-2065663.7776760012</v>
      </c>
      <c r="AM146" s="22">
        <f t="shared" si="95"/>
        <v>-8.9549722512750063E-2</v>
      </c>
      <c r="AO146" s="44">
        <f t="shared" si="96"/>
        <v>23067227.007676002</v>
      </c>
      <c r="AP146" s="44">
        <f t="shared" si="96"/>
        <v>21001563.23</v>
      </c>
      <c r="AR146" s="94">
        <f t="shared" si="102"/>
        <v>7663932.5940200007</v>
      </c>
      <c r="AS146" s="94">
        <f t="shared" si="102"/>
        <v>6939066.6880000001</v>
      </c>
      <c r="AT146" s="94">
        <f t="shared" si="100"/>
        <v>-724865.90602000058</v>
      </c>
      <c r="AV146" s="9">
        <f t="shared" si="98"/>
        <v>4392617.2279480007</v>
      </c>
      <c r="AW146" s="9">
        <f t="shared" si="98"/>
        <v>5818465.8599999957</v>
      </c>
      <c r="AX146" s="9">
        <f t="shared" si="101"/>
        <v>-1425848.632051995</v>
      </c>
    </row>
    <row r="147" spans="1:50" ht="15.5">
      <c r="A147" s="26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21"/>
      <c r="AM147" s="22"/>
      <c r="AO147" s="44">
        <f t="shared" si="96"/>
        <v>0</v>
      </c>
      <c r="AP147" s="44">
        <f t="shared" si="96"/>
        <v>0</v>
      </c>
    </row>
    <row r="148" spans="1:50">
      <c r="A148" s="2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5"/>
    </row>
    <row r="149" spans="1:50" s="49" customFormat="1" ht="17">
      <c r="A149" s="47" t="s">
        <v>75</v>
      </c>
      <c r="B149" s="413"/>
      <c r="C149" s="413"/>
      <c r="D149" s="413"/>
      <c r="E149" s="413"/>
      <c r="F149" s="413"/>
      <c r="G149" s="413"/>
      <c r="H149" s="413"/>
      <c r="I149" s="413"/>
      <c r="J149" s="413"/>
      <c r="K149" s="413"/>
      <c r="L149" s="413"/>
      <c r="M149" s="413"/>
      <c r="N149" s="413"/>
      <c r="O149" s="413"/>
      <c r="P149" s="413"/>
      <c r="Q149" s="413"/>
      <c r="R149" s="413"/>
      <c r="S149" s="413"/>
      <c r="T149" s="413"/>
      <c r="U149" s="413"/>
      <c r="V149" s="413"/>
      <c r="W149" s="413"/>
      <c r="X149" s="413"/>
      <c r="Y149" s="413"/>
      <c r="Z149" s="413"/>
      <c r="AA149" s="413"/>
      <c r="AB149" s="413"/>
      <c r="AC149" s="413"/>
      <c r="AD149" s="413"/>
      <c r="AE149" s="413"/>
      <c r="AF149" s="413"/>
      <c r="AG149" s="413"/>
      <c r="AH149" s="413"/>
      <c r="AI149" s="413"/>
      <c r="AJ149" s="413"/>
      <c r="AK149" s="413"/>
      <c r="AL149" s="413"/>
      <c r="AM149" s="48"/>
    </row>
    <row r="150" spans="1:50" s="13" customFormat="1" ht="15.5">
      <c r="A150" s="26" t="s">
        <v>10</v>
      </c>
      <c r="B150" s="12">
        <f t="shared" ref="B150:C157" si="103">B139/B9</f>
        <v>0.47723387197144063</v>
      </c>
      <c r="C150" s="12">
        <f t="shared" si="103"/>
        <v>0.50411919491446466</v>
      </c>
      <c r="D150" s="41"/>
      <c r="E150" s="12">
        <f t="shared" ref="E150:F157" si="104">E139/E9</f>
        <v>0.49355401133152155</v>
      </c>
      <c r="F150" s="12">
        <f t="shared" si="104"/>
        <v>0.47008676988013476</v>
      </c>
      <c r="G150" s="41"/>
      <c r="H150" s="111">
        <f t="shared" ref="H150:I157" si="105">H139/H9</f>
        <v>0.4673255831563235</v>
      </c>
      <c r="I150" s="111">
        <f t="shared" si="105"/>
        <v>0.45767589447639839</v>
      </c>
      <c r="J150" s="41"/>
      <c r="K150" s="12">
        <f t="shared" ref="K150:L157" si="106">K139/K9</f>
        <v>0.46553376291807957</v>
      </c>
      <c r="L150" s="12">
        <f t="shared" si="106"/>
        <v>0.39782715952661701</v>
      </c>
      <c r="M150" s="41"/>
      <c r="N150" s="12">
        <f t="shared" ref="N150:O157" si="107">N139/N9</f>
        <v>0.46351039582693876</v>
      </c>
      <c r="O150" s="12">
        <f t="shared" si="107"/>
        <v>0.42939765468564162</v>
      </c>
      <c r="P150" s="41"/>
      <c r="Q150" s="12">
        <f t="shared" ref="Q150:R157" si="108">Q139/Q9</f>
        <v>0.46548015108969754</v>
      </c>
      <c r="R150" s="12">
        <f t="shared" si="108"/>
        <v>0.43319591316300227</v>
      </c>
      <c r="S150" s="41"/>
      <c r="T150" s="12">
        <f t="shared" ref="T150:U157" si="109">T139/T9</f>
        <v>0.47355948800714548</v>
      </c>
      <c r="U150" s="12">
        <f t="shared" si="109"/>
        <v>0.44011981827053881</v>
      </c>
      <c r="V150" s="41"/>
      <c r="W150" s="12">
        <f t="shared" ref="W150:X157" si="110">W139/W9</f>
        <v>0.4752242806580973</v>
      </c>
      <c r="X150" s="12">
        <f t="shared" si="110"/>
        <v>0.445359606839066</v>
      </c>
      <c r="Y150" s="41"/>
      <c r="Z150" s="12">
        <f>Z139/Z9</f>
        <v>0.48550464333462651</v>
      </c>
      <c r="AA150" s="12">
        <f>AA139/AA9</f>
        <v>0.46538190956973724</v>
      </c>
      <c r="AB150" s="41"/>
      <c r="AC150" s="12">
        <f>AC139/AC9</f>
        <v>0.48907098112525943</v>
      </c>
      <c r="AD150" s="12">
        <f>AD139/AD9</f>
        <v>0.46538190956973724</v>
      </c>
      <c r="AE150" s="41"/>
      <c r="AF150" s="12">
        <f>AF139/AF9</f>
        <v>0.48801064236288832</v>
      </c>
      <c r="AG150" s="12">
        <f>AG139/AG9</f>
        <v>0.46538190956973724</v>
      </c>
      <c r="AH150" s="41"/>
      <c r="AI150" s="12">
        <f>AI139/AI9</f>
        <v>0.42669179423279224</v>
      </c>
      <c r="AJ150" s="12">
        <f>AJ139/AJ9</f>
        <v>0.46538190956973724</v>
      </c>
      <c r="AK150" s="41"/>
      <c r="AL150" s="15"/>
      <c r="AM150" s="22">
        <f>AP150-AO150</f>
        <v>-2.0122733764889267E-2</v>
      </c>
      <c r="AO150" s="44">
        <f t="shared" ref="AO150:AP157" si="111">IF($A$1=$B$1,B150,IF($A$1=$E$1,E150,IF($A$1=$H$1,H150,IF($A$1=$K$1,K150,IF($A$1=$N$1,N150,IF($A$1=$Q$1,Q150,IF($A$1=$T$1,T150,IF($A$1=$W$1,W150,IF($A$1=$Z$1,Z150,IF($A$1=$AC$1,AC150,IF($A$1=$AF$1,AF150,IF($A$1=$AI$1,AI150))))))))))))</f>
        <v>0.48550464333462651</v>
      </c>
      <c r="AP150" s="44">
        <f t="shared" si="111"/>
        <v>0.46538190956973724</v>
      </c>
    </row>
    <row r="151" spans="1:50" s="13" customFormat="1" ht="15.5">
      <c r="A151" s="26" t="s">
        <v>11</v>
      </c>
      <c r="B151" s="12">
        <f t="shared" si="103"/>
        <v>-2.2317649173043737E-2</v>
      </c>
      <c r="C151" s="12">
        <f t="shared" si="103"/>
        <v>-2.6852104529712815E-3</v>
      </c>
      <c r="D151" s="41"/>
      <c r="E151" s="12">
        <f t="shared" si="104"/>
        <v>4.4040652606040114E-2</v>
      </c>
      <c r="F151" s="12">
        <f t="shared" si="104"/>
        <v>2.7214567723508814E-2</v>
      </c>
      <c r="G151" s="41"/>
      <c r="H151" s="111">
        <f t="shared" si="105"/>
        <v>7.0101947544236723E-2</v>
      </c>
      <c r="I151" s="111">
        <f t="shared" si="105"/>
        <v>3.1911136432385072E-2</v>
      </c>
      <c r="J151" s="41"/>
      <c r="K151" s="12">
        <f t="shared" si="106"/>
        <v>0.10177637317429344</v>
      </c>
      <c r="L151" s="12">
        <f t="shared" si="106"/>
        <v>2.7320241917656876E-2</v>
      </c>
      <c r="M151" s="41"/>
      <c r="N151" s="12">
        <f t="shared" si="107"/>
        <v>0.12864641748165206</v>
      </c>
      <c r="O151" s="12">
        <f t="shared" si="107"/>
        <v>3.3249845941717156E-2</v>
      </c>
      <c r="P151" s="41"/>
      <c r="Q151" s="12">
        <f t="shared" si="108"/>
        <v>0.14206801250421836</v>
      </c>
      <c r="R151" s="12">
        <f t="shared" si="108"/>
        <v>3.6137595012600755E-2</v>
      </c>
      <c r="S151" s="41"/>
      <c r="T151" s="12">
        <f t="shared" si="109"/>
        <v>0.14874895347552602</v>
      </c>
      <c r="U151" s="12">
        <f t="shared" si="109"/>
        <v>4.3463785234528082E-2</v>
      </c>
      <c r="V151" s="41"/>
      <c r="W151" s="12">
        <f t="shared" si="110"/>
        <v>0.14363213949765141</v>
      </c>
      <c r="X151" s="12">
        <f t="shared" si="110"/>
        <v>4.4445791256797207E-2</v>
      </c>
      <c r="Y151" s="41"/>
      <c r="Z151" s="12">
        <f t="shared" ref="Z151:AA157" si="112">Z140/Z10</f>
        <v>0.14270791220001178</v>
      </c>
      <c r="AA151" s="12">
        <f t="shared" si="112"/>
        <v>3.7146267374815273E-2</v>
      </c>
      <c r="AB151" s="41"/>
      <c r="AC151" s="12">
        <f t="shared" ref="AC151:AD157" si="113">AC140/AC10</f>
        <v>0.13804827218458215</v>
      </c>
      <c r="AD151" s="12">
        <f t="shared" si="113"/>
        <v>3.7146267374815273E-2</v>
      </c>
      <c r="AE151" s="41"/>
      <c r="AF151" s="12">
        <f t="shared" ref="AF151:AG157" si="114">AF140/AF10</f>
        <v>0.1316551992214873</v>
      </c>
      <c r="AG151" s="12">
        <f t="shared" si="114"/>
        <v>3.7146267374815273E-2</v>
      </c>
      <c r="AH151" s="41"/>
      <c r="AI151" s="12">
        <f t="shared" ref="AI151:AJ157" si="115">AI140/AI10</f>
        <v>0.12245738535777279</v>
      </c>
      <c r="AJ151" s="12">
        <f t="shared" si="115"/>
        <v>3.7146267374815273E-2</v>
      </c>
      <c r="AK151" s="41"/>
      <c r="AL151" s="15"/>
      <c r="AM151" s="22">
        <f t="shared" ref="AM151:AM157" si="116">AP151-AO151</f>
        <v>-0.1055616448251965</v>
      </c>
      <c r="AO151" s="44">
        <f t="shared" si="111"/>
        <v>0.14270791220001178</v>
      </c>
      <c r="AP151" s="44">
        <f t="shared" si="111"/>
        <v>3.7146267374815273E-2</v>
      </c>
    </row>
    <row r="152" spans="1:50" s="13" customFormat="1" ht="15.5">
      <c r="A152" s="26" t="s">
        <v>12</v>
      </c>
      <c r="B152" s="12">
        <f t="shared" si="103"/>
        <v>-4.3815413651783652E-2</v>
      </c>
      <c r="C152" s="12">
        <f t="shared" si="103"/>
        <v>3.5243493079768241E-2</v>
      </c>
      <c r="D152" s="41"/>
      <c r="E152" s="12">
        <f t="shared" si="104"/>
        <v>-2.0451890985183994E-2</v>
      </c>
      <c r="F152" s="12">
        <f t="shared" si="104"/>
        <v>3.2825981624118483E-2</v>
      </c>
      <c r="G152" s="41"/>
      <c r="H152" s="111">
        <f t="shared" si="105"/>
        <v>4.0016919295578985E-3</v>
      </c>
      <c r="I152" s="111">
        <f t="shared" si="105"/>
        <v>2.1585998877993916E-2</v>
      </c>
      <c r="J152" s="41"/>
      <c r="K152" s="12">
        <f t="shared" si="106"/>
        <v>1.3707394790213826E-2</v>
      </c>
      <c r="L152" s="12">
        <f t="shared" si="106"/>
        <v>2.0637776824104243E-2</v>
      </c>
      <c r="M152" s="41"/>
      <c r="N152" s="12">
        <f t="shared" si="107"/>
        <v>2.7727598954121635E-2</v>
      </c>
      <c r="O152" s="12">
        <f t="shared" si="107"/>
        <v>2.391167583361805E-2</v>
      </c>
      <c r="P152" s="41"/>
      <c r="Q152" s="12">
        <f t="shared" si="108"/>
        <v>3.6272545603905783E-2</v>
      </c>
      <c r="R152" s="12">
        <f t="shared" si="108"/>
        <v>2.312072976721986E-2</v>
      </c>
      <c r="S152" s="41"/>
      <c r="T152" s="12">
        <f t="shared" si="109"/>
        <v>4.2966049546599612E-2</v>
      </c>
      <c r="U152" s="12">
        <f t="shared" si="109"/>
        <v>2.4143015416219396E-2</v>
      </c>
      <c r="V152" s="41"/>
      <c r="W152" s="12">
        <f t="shared" si="110"/>
        <v>4.6428489089478053E-2</v>
      </c>
      <c r="X152" s="12">
        <f t="shared" si="110"/>
        <v>2.4438816596722018E-2</v>
      </c>
      <c r="Y152" s="41"/>
      <c r="Z152" s="12">
        <f t="shared" si="112"/>
        <v>4.7274018623383006E-2</v>
      </c>
      <c r="AA152" s="12">
        <f t="shared" si="112"/>
        <v>2.8121197284879655E-2</v>
      </c>
      <c r="AB152" s="41"/>
      <c r="AC152" s="12">
        <f t="shared" si="113"/>
        <v>4.9223777811459639E-2</v>
      </c>
      <c r="AD152" s="12">
        <f t="shared" si="113"/>
        <v>2.8121197284879655E-2</v>
      </c>
      <c r="AE152" s="41"/>
      <c r="AF152" s="12">
        <f t="shared" si="114"/>
        <v>5.1086139432287188E-2</v>
      </c>
      <c r="AG152" s="12">
        <f t="shared" si="114"/>
        <v>2.8121197284879655E-2</v>
      </c>
      <c r="AH152" s="41"/>
      <c r="AI152" s="12">
        <f t="shared" si="115"/>
        <v>4.9450629883845201E-2</v>
      </c>
      <c r="AJ152" s="12">
        <f t="shared" si="115"/>
        <v>2.8121197284879655E-2</v>
      </c>
      <c r="AK152" s="41"/>
      <c r="AL152" s="15"/>
      <c r="AM152" s="22">
        <f t="shared" si="116"/>
        <v>-1.9152821338503351E-2</v>
      </c>
      <c r="AO152" s="44">
        <f t="shared" si="111"/>
        <v>4.7274018623383006E-2</v>
      </c>
      <c r="AP152" s="44">
        <f t="shared" si="111"/>
        <v>2.8121197284879655E-2</v>
      </c>
    </row>
    <row r="153" spans="1:50" s="13" customFormat="1" ht="15.5">
      <c r="A153" s="26" t="s">
        <v>13</v>
      </c>
      <c r="B153" s="12">
        <f t="shared" si="103"/>
        <v>8.6185712712452081E-2</v>
      </c>
      <c r="C153" s="12">
        <f t="shared" si="103"/>
        <v>6.0865880843644249E-2</v>
      </c>
      <c r="D153" s="41"/>
      <c r="E153" s="12">
        <f t="shared" si="104"/>
        <v>7.8696458244545159E-2</v>
      </c>
      <c r="F153" s="12">
        <f t="shared" si="104"/>
        <v>5.8751586575567755E-2</v>
      </c>
      <c r="G153" s="41"/>
      <c r="H153" s="111">
        <f t="shared" si="105"/>
        <v>7.7551949899199293E-2</v>
      </c>
      <c r="I153" s="111">
        <f t="shared" si="105"/>
        <v>3.6692905932504176E-2</v>
      </c>
      <c r="J153" s="41"/>
      <c r="K153" s="12">
        <f t="shared" si="106"/>
        <v>7.5599154575718835E-2</v>
      </c>
      <c r="L153" s="12">
        <f t="shared" si="106"/>
        <v>2.1911488106615959E-2</v>
      </c>
      <c r="M153" s="41"/>
      <c r="N153" s="12">
        <f t="shared" si="107"/>
        <v>7.6561482951226889E-2</v>
      </c>
      <c r="O153" s="12">
        <f t="shared" si="107"/>
        <v>1.6751164560736775E-2</v>
      </c>
      <c r="P153" s="41"/>
      <c r="Q153" s="12">
        <f t="shared" si="108"/>
        <v>7.9518427820021012E-2</v>
      </c>
      <c r="R153" s="12">
        <f t="shared" si="108"/>
        <v>6.813472073893146E-3</v>
      </c>
      <c r="S153" s="41"/>
      <c r="T153" s="12">
        <f t="shared" si="109"/>
        <v>8.315083098063851E-2</v>
      </c>
      <c r="U153" s="12">
        <f t="shared" si="109"/>
        <v>3.3502303484880232E-3</v>
      </c>
      <c r="V153" s="41"/>
      <c r="W153" s="12">
        <f t="shared" si="110"/>
        <v>8.7172740606647078E-2</v>
      </c>
      <c r="X153" s="12">
        <f t="shared" si="110"/>
        <v>1.0544239783681639E-2</v>
      </c>
      <c r="Y153" s="41"/>
      <c r="Z153" s="12">
        <f t="shared" si="112"/>
        <v>9.2338160083426518E-2</v>
      </c>
      <c r="AA153" s="12">
        <f t="shared" si="112"/>
        <v>1.1820840905542708E-2</v>
      </c>
      <c r="AB153" s="41"/>
      <c r="AC153" s="12">
        <f t="shared" si="113"/>
        <v>9.8103526800839946E-2</v>
      </c>
      <c r="AD153" s="12">
        <f t="shared" si="113"/>
        <v>1.1820840905542708E-2</v>
      </c>
      <c r="AE153" s="41"/>
      <c r="AF153" s="12">
        <f t="shared" si="114"/>
        <v>0.10321001236857139</v>
      </c>
      <c r="AG153" s="12">
        <f t="shared" si="114"/>
        <v>1.1820840905542708E-2</v>
      </c>
      <c r="AH153" s="41"/>
      <c r="AI153" s="12">
        <f t="shared" si="115"/>
        <v>0.10976742803656281</v>
      </c>
      <c r="AJ153" s="12">
        <f t="shared" si="115"/>
        <v>1.1820840905542708E-2</v>
      </c>
      <c r="AK153" s="41"/>
      <c r="AL153" s="15"/>
      <c r="AM153" s="22">
        <f t="shared" si="116"/>
        <v>-8.0517319177883809E-2</v>
      </c>
      <c r="AO153" s="44">
        <f t="shared" si="111"/>
        <v>9.2338160083426518E-2</v>
      </c>
      <c r="AP153" s="44">
        <f t="shared" si="111"/>
        <v>1.1820840905542708E-2</v>
      </c>
    </row>
    <row r="154" spans="1:50" s="13" customFormat="1" ht="15.5">
      <c r="A154" s="26" t="s">
        <v>14</v>
      </c>
      <c r="B154" s="12">
        <f t="shared" si="103"/>
        <v>8.0809931957923811E-2</v>
      </c>
      <c r="C154" s="12">
        <f t="shared" si="103"/>
        <v>6.9124267107037049E-2</v>
      </c>
      <c r="D154" s="41"/>
      <c r="E154" s="12">
        <f t="shared" si="104"/>
        <v>8.2425942968959179E-2</v>
      </c>
      <c r="F154" s="12">
        <f t="shared" si="104"/>
        <v>8.728773361050271E-2</v>
      </c>
      <c r="G154" s="41"/>
      <c r="H154" s="111">
        <f t="shared" si="105"/>
        <v>8.1499397268049861E-2</v>
      </c>
      <c r="I154" s="111">
        <f t="shared" si="105"/>
        <v>9.0451159586213289E-2</v>
      </c>
      <c r="J154" s="41"/>
      <c r="K154" s="12">
        <f t="shared" si="106"/>
        <v>6.81603101544134E-2</v>
      </c>
      <c r="L154" s="12">
        <f t="shared" si="106"/>
        <v>7.3200838142896379E-2</v>
      </c>
      <c r="M154" s="41"/>
      <c r="N154" s="12">
        <f t="shared" si="107"/>
        <v>6.5045883831732126E-2</v>
      </c>
      <c r="O154" s="12">
        <f t="shared" si="107"/>
        <v>6.6419574126647687E-2</v>
      </c>
      <c r="P154" s="41"/>
      <c r="Q154" s="12">
        <f t="shared" si="108"/>
        <v>6.2676116539289173E-2</v>
      </c>
      <c r="R154" s="12">
        <f t="shared" si="108"/>
        <v>6.5812403827544705E-2</v>
      </c>
      <c r="S154" s="41"/>
      <c r="T154" s="12">
        <f t="shared" si="109"/>
        <v>6.243649457430548E-2</v>
      </c>
      <c r="U154" s="12">
        <f t="shared" si="109"/>
        <v>6.9751106487132425E-2</v>
      </c>
      <c r="V154" s="41"/>
      <c r="W154" s="12">
        <f t="shared" si="110"/>
        <v>6.4022258639521018E-2</v>
      </c>
      <c r="X154" s="12">
        <f t="shared" si="110"/>
        <v>7.473655022617047E-2</v>
      </c>
      <c r="Y154" s="41"/>
      <c r="Z154" s="12">
        <f>Z143/Z13</f>
        <v>6.5240915773146751E-2</v>
      </c>
      <c r="AA154" s="12">
        <f>AA143/AA13</f>
        <v>7.891389514793351E-2</v>
      </c>
      <c r="AB154" s="41"/>
      <c r="AC154" s="12">
        <f>AC143/AC13</f>
        <v>6.7131425146159468E-2</v>
      </c>
      <c r="AD154" s="12">
        <f>AD143/AD13</f>
        <v>7.891389514793351E-2</v>
      </c>
      <c r="AE154" s="41"/>
      <c r="AF154" s="12">
        <f>AF143/AF13</f>
        <v>6.8242233878870101E-2</v>
      </c>
      <c r="AG154" s="12">
        <f>AG143/AG13</f>
        <v>7.891389514793351E-2</v>
      </c>
      <c r="AH154" s="41"/>
      <c r="AI154" s="12">
        <f>AI143/AI13</f>
        <v>6.7844290477156899E-2</v>
      </c>
      <c r="AJ154" s="12">
        <f>AJ143/AJ13</f>
        <v>7.891389514793351E-2</v>
      </c>
      <c r="AK154" s="41"/>
      <c r="AL154" s="15"/>
      <c r="AM154" s="22">
        <f t="shared" si="116"/>
        <v>1.3672979374786759E-2</v>
      </c>
      <c r="AO154" s="44">
        <f t="shared" si="111"/>
        <v>6.5240915773146751E-2</v>
      </c>
      <c r="AP154" s="44">
        <f t="shared" si="111"/>
        <v>7.891389514793351E-2</v>
      </c>
    </row>
    <row r="155" spans="1:50" s="13" customFormat="1" ht="15.5">
      <c r="A155" s="26" t="s">
        <v>15</v>
      </c>
      <c r="B155" s="12">
        <f t="shared" si="103"/>
        <v>0.10075511008749968</v>
      </c>
      <c r="C155" s="12">
        <f t="shared" si="103"/>
        <v>0.10059966558551707</v>
      </c>
      <c r="D155" s="41"/>
      <c r="E155" s="12">
        <f t="shared" si="104"/>
        <v>0.11880184296557518</v>
      </c>
      <c r="F155" s="12">
        <f t="shared" si="104"/>
        <v>0.12172853089599363</v>
      </c>
      <c r="G155" s="41"/>
      <c r="H155" s="111">
        <f t="shared" si="105"/>
        <v>0.16449025760926778</v>
      </c>
      <c r="I155" s="111">
        <f t="shared" si="105"/>
        <v>0.13948316140514866</v>
      </c>
      <c r="J155" s="41"/>
      <c r="K155" s="12">
        <f t="shared" si="106"/>
        <v>0.14392164956810743</v>
      </c>
      <c r="L155" s="12">
        <f t="shared" si="106"/>
        <v>0.14077035534473423</v>
      </c>
      <c r="M155" s="41"/>
      <c r="N155" s="12">
        <f t="shared" si="107"/>
        <v>0.14237244530262938</v>
      </c>
      <c r="O155" s="12">
        <f t="shared" si="107"/>
        <v>0.1445142541295395</v>
      </c>
      <c r="P155" s="41"/>
      <c r="Q155" s="12">
        <f t="shared" si="108"/>
        <v>0.1527129096882176</v>
      </c>
      <c r="R155" s="12">
        <f t="shared" si="108"/>
        <v>0.14766865971161494</v>
      </c>
      <c r="S155" s="41"/>
      <c r="T155" s="12">
        <f t="shared" si="109"/>
        <v>0.14626401098156966</v>
      </c>
      <c r="U155" s="12">
        <f t="shared" si="109"/>
        <v>0.15108917747573261</v>
      </c>
      <c r="V155" s="41"/>
      <c r="W155" s="12">
        <f t="shared" si="110"/>
        <v>0.136846627708651</v>
      </c>
      <c r="X155" s="12">
        <f t="shared" si="110"/>
        <v>0.15184816438571205</v>
      </c>
      <c r="Y155" s="41"/>
      <c r="Z155" s="12">
        <f t="shared" si="112"/>
        <v>0.15201781851120474</v>
      </c>
      <c r="AA155" s="12">
        <f t="shared" si="112"/>
        <v>0.1620624880334027</v>
      </c>
      <c r="AB155" s="41"/>
      <c r="AC155" s="12">
        <f t="shared" si="113"/>
        <v>0.1527620032949073</v>
      </c>
      <c r="AD155" s="12">
        <f t="shared" si="113"/>
        <v>0.1620624880334027</v>
      </c>
      <c r="AE155" s="41"/>
      <c r="AF155" s="12">
        <f t="shared" si="114"/>
        <v>0.15398845557411125</v>
      </c>
      <c r="AG155" s="12">
        <f t="shared" si="114"/>
        <v>0.1620624880334027</v>
      </c>
      <c r="AH155" s="41"/>
      <c r="AI155" s="12">
        <f t="shared" si="115"/>
        <v>0.15792880415728011</v>
      </c>
      <c r="AJ155" s="12">
        <f t="shared" si="115"/>
        <v>0.1620624880334027</v>
      </c>
      <c r="AK155" s="41"/>
      <c r="AL155" s="15"/>
      <c r="AM155" s="22">
        <f t="shared" si="116"/>
        <v>1.0044669522197958E-2</v>
      </c>
      <c r="AO155" s="44">
        <f t="shared" si="111"/>
        <v>0.15201781851120474</v>
      </c>
      <c r="AP155" s="44">
        <f t="shared" si="111"/>
        <v>0.1620624880334027</v>
      </c>
    </row>
    <row r="156" spans="1:50" s="13" customFormat="1" ht="15.5">
      <c r="A156" s="26" t="s">
        <v>16</v>
      </c>
      <c r="B156" s="12">
        <f t="shared" si="103"/>
        <v>0.2042202697997933</v>
      </c>
      <c r="C156" s="12">
        <f t="shared" si="103"/>
        <v>0.20553457292722721</v>
      </c>
      <c r="D156" s="41"/>
      <c r="E156" s="12">
        <f t="shared" si="104"/>
        <v>0.21277807281506891</v>
      </c>
      <c r="F156" s="12">
        <f t="shared" si="104"/>
        <v>0.22850030480064804</v>
      </c>
      <c r="G156" s="41"/>
      <c r="H156" s="111">
        <f t="shared" si="105"/>
        <v>0.22391305479386112</v>
      </c>
      <c r="I156" s="111">
        <f t="shared" si="105"/>
        <v>0.22893998861161324</v>
      </c>
      <c r="J156" s="41"/>
      <c r="K156" s="12">
        <f t="shared" si="106"/>
        <v>0.22722101210662135</v>
      </c>
      <c r="L156" s="12">
        <f t="shared" si="106"/>
        <v>0.24235044675623482</v>
      </c>
      <c r="M156" s="41"/>
      <c r="N156" s="12">
        <f t="shared" si="107"/>
        <v>0.23254583318044272</v>
      </c>
      <c r="O156" s="12">
        <f t="shared" si="107"/>
        <v>0.24093396617378918</v>
      </c>
      <c r="P156" s="41"/>
      <c r="Q156" s="12">
        <f t="shared" si="108"/>
        <v>0.23280642980838992</v>
      </c>
      <c r="R156" s="12">
        <f t="shared" si="108"/>
        <v>0.24287154465115174</v>
      </c>
      <c r="S156" s="41"/>
      <c r="T156" s="12">
        <f t="shared" si="109"/>
        <v>0.23098261863029929</v>
      </c>
      <c r="U156" s="12">
        <f t="shared" si="109"/>
        <v>0.25051223491143026</v>
      </c>
      <c r="V156" s="41"/>
      <c r="W156" s="12">
        <f t="shared" si="110"/>
        <v>0.22341406965617117</v>
      </c>
      <c r="X156" s="12">
        <f t="shared" si="110"/>
        <v>0.25185392468668821</v>
      </c>
      <c r="Y156" s="41"/>
      <c r="Z156" s="12">
        <f>Z145/Z15</f>
        <v>0.22936816789380418</v>
      </c>
      <c r="AA156" s="12">
        <f>AA145/AA15</f>
        <v>0.26137285161218637</v>
      </c>
      <c r="AB156" s="41"/>
      <c r="AC156" s="12">
        <f>AC145/AC15</f>
        <v>0.2327297295574195</v>
      </c>
      <c r="AD156" s="12">
        <f>AD145/AD15</f>
        <v>0.26137285161218637</v>
      </c>
      <c r="AE156" s="41"/>
      <c r="AF156" s="12">
        <f>AF145/AF15</f>
        <v>0.23555204553143402</v>
      </c>
      <c r="AG156" s="12">
        <f>AG145/AG15</f>
        <v>0.26137285161218637</v>
      </c>
      <c r="AH156" s="41"/>
      <c r="AI156" s="12">
        <f>AI145/AI15</f>
        <v>0.23460399565363405</v>
      </c>
      <c r="AJ156" s="12">
        <f>AJ145/AJ15</f>
        <v>0.26137285161218637</v>
      </c>
      <c r="AK156" s="41"/>
      <c r="AL156" s="15"/>
      <c r="AM156" s="22">
        <f t="shared" si="116"/>
        <v>3.2004683718382193E-2</v>
      </c>
      <c r="AO156" s="44">
        <f t="shared" si="111"/>
        <v>0.22936816789380418</v>
      </c>
      <c r="AP156" s="44">
        <f t="shared" si="111"/>
        <v>0.26137285161218637</v>
      </c>
    </row>
    <row r="157" spans="1:50" s="13" customFormat="1" ht="15.5">
      <c r="A157" s="26" t="s">
        <v>17</v>
      </c>
      <c r="B157" s="12">
        <f t="shared" si="103"/>
        <v>0.13347342952117916</v>
      </c>
      <c r="C157" s="12">
        <f t="shared" si="103"/>
        <v>0.12381145082874422</v>
      </c>
      <c r="D157" s="41"/>
      <c r="E157" s="12">
        <f t="shared" si="104"/>
        <v>0.13199128468259003</v>
      </c>
      <c r="F157" s="12">
        <f t="shared" si="104"/>
        <v>9.8197922981797664E-2</v>
      </c>
      <c r="G157" s="41"/>
      <c r="H157" s="111">
        <f t="shared" si="105"/>
        <v>0.12235243661193122</v>
      </c>
      <c r="I157" s="111">
        <f t="shared" si="105"/>
        <v>9.5500233825652758E-2</v>
      </c>
      <c r="J157" s="41"/>
      <c r="K157" s="12">
        <f t="shared" si="106"/>
        <v>0.11942432116905968</v>
      </c>
      <c r="L157" s="12">
        <f t="shared" si="106"/>
        <v>9.2101982567092677E-2</v>
      </c>
      <c r="M157" s="41"/>
      <c r="N157" s="12">
        <f t="shared" si="107"/>
        <v>0.12386917481853289</v>
      </c>
      <c r="O157" s="12">
        <f t="shared" si="107"/>
        <v>0.10349253294930637</v>
      </c>
      <c r="P157" s="41"/>
      <c r="Q157" s="12">
        <f t="shared" si="108"/>
        <v>0.11878819475731781</v>
      </c>
      <c r="R157" s="12">
        <f t="shared" si="108"/>
        <v>0.10354972674355593</v>
      </c>
      <c r="S157" s="41"/>
      <c r="T157" s="12">
        <f t="shared" si="109"/>
        <v>0.12301230458751194</v>
      </c>
      <c r="U157" s="12">
        <f t="shared" si="109"/>
        <v>0.10500716433638022</v>
      </c>
      <c r="V157" s="41"/>
      <c r="W157" s="12">
        <f t="shared" si="110"/>
        <v>0.11770820715129944</v>
      </c>
      <c r="X157" s="12">
        <f t="shared" si="110"/>
        <v>0.10301521696266984</v>
      </c>
      <c r="Y157" s="41"/>
      <c r="Z157" s="12">
        <f t="shared" si="112"/>
        <v>0.12335094663474822</v>
      </c>
      <c r="AA157" s="12">
        <f t="shared" si="112"/>
        <v>0.11002396462313122</v>
      </c>
      <c r="AB157" s="41"/>
      <c r="AC157" s="12">
        <f t="shared" si="113"/>
        <v>0.12575316998353547</v>
      </c>
      <c r="AD157" s="12">
        <f t="shared" si="113"/>
        <v>0.11002396462313122</v>
      </c>
      <c r="AE157" s="41"/>
      <c r="AF157" s="12">
        <f t="shared" si="114"/>
        <v>0.1282511837546873</v>
      </c>
      <c r="AG157" s="12">
        <f t="shared" si="114"/>
        <v>0.11002396462313122</v>
      </c>
      <c r="AH157" s="41"/>
      <c r="AI157" s="12">
        <f t="shared" si="115"/>
        <v>0.12891459708804626</v>
      </c>
      <c r="AJ157" s="12">
        <f t="shared" si="115"/>
        <v>0.11002396462313122</v>
      </c>
      <c r="AK157" s="41"/>
      <c r="AL157" s="15"/>
      <c r="AM157" s="22">
        <f t="shared" si="116"/>
        <v>-1.3326982011617E-2</v>
      </c>
      <c r="AO157" s="44">
        <f t="shared" si="111"/>
        <v>0.12335094663474822</v>
      </c>
      <c r="AP157" s="44">
        <f t="shared" si="111"/>
        <v>0.11002396462313122</v>
      </c>
    </row>
    <row r="158" spans="1:50" s="13" customFormat="1" ht="15.5">
      <c r="A158" s="26"/>
      <c r="B158" s="12"/>
      <c r="C158" s="30"/>
      <c r="D158" s="41"/>
      <c r="E158" s="12"/>
      <c r="F158" s="30"/>
      <c r="G158" s="41"/>
      <c r="H158" s="12"/>
      <c r="I158" s="30"/>
      <c r="J158" s="41"/>
      <c r="K158" s="12"/>
      <c r="L158" s="30"/>
      <c r="M158" s="41"/>
      <c r="N158" s="12"/>
      <c r="O158" s="30"/>
      <c r="P158" s="41"/>
      <c r="Q158" s="12"/>
      <c r="R158" s="30"/>
      <c r="S158" s="41"/>
      <c r="T158" s="12"/>
      <c r="U158" s="30"/>
      <c r="V158" s="41"/>
      <c r="W158" s="12"/>
      <c r="X158" s="30"/>
      <c r="Y158" s="41"/>
      <c r="Z158" s="12"/>
      <c r="AA158" s="30"/>
      <c r="AB158" s="41"/>
      <c r="AC158" s="12"/>
      <c r="AD158" s="30"/>
      <c r="AE158" s="41"/>
      <c r="AF158" s="12"/>
      <c r="AG158" s="30"/>
      <c r="AH158" s="41"/>
      <c r="AI158" s="12"/>
      <c r="AJ158" s="30"/>
      <c r="AK158" s="41"/>
      <c r="AL158" s="15"/>
      <c r="AM158" s="22"/>
      <c r="AO158" s="44"/>
      <c r="AP158" s="44"/>
    </row>
    <row r="159" spans="1:50" s="13" customFormat="1" ht="15.5">
      <c r="A159" s="26"/>
      <c r="B159" s="12"/>
      <c r="C159" s="30"/>
      <c r="D159" s="41"/>
      <c r="E159" s="12"/>
      <c r="F159" s="30"/>
      <c r="G159" s="41"/>
      <c r="H159" s="12"/>
      <c r="I159" s="30"/>
      <c r="J159" s="41"/>
      <c r="K159" s="12"/>
      <c r="L159" s="30"/>
      <c r="M159" s="41"/>
      <c r="N159" s="12"/>
      <c r="O159" s="30"/>
      <c r="P159" s="41"/>
      <c r="Q159" s="12"/>
      <c r="R159" s="30"/>
      <c r="S159" s="41"/>
      <c r="T159" s="12"/>
      <c r="U159" s="30"/>
      <c r="V159" s="41"/>
      <c r="W159" s="12"/>
      <c r="X159" s="30"/>
      <c r="Y159" s="41"/>
      <c r="Z159" s="12"/>
      <c r="AA159" s="30"/>
      <c r="AB159" s="41"/>
      <c r="AC159" s="12"/>
      <c r="AD159" s="30"/>
      <c r="AE159" s="41"/>
      <c r="AF159" s="12"/>
      <c r="AG159" s="30"/>
      <c r="AH159" s="41"/>
      <c r="AI159" s="12"/>
      <c r="AJ159" s="30"/>
      <c r="AK159" s="41"/>
      <c r="AL159" s="15"/>
      <c r="AM159" s="22"/>
      <c r="AO159" s="44"/>
      <c r="AP159" s="44"/>
    </row>
    <row r="160" spans="1:50" s="44" customFormat="1" ht="15.5">
      <c r="A160" s="31" t="s">
        <v>76</v>
      </c>
      <c r="B160" s="32">
        <f>'A -Döviz'!B160</f>
        <v>-1175683.3613508504</v>
      </c>
      <c r="C160" s="32">
        <f>'A -Döviz'!C160</f>
        <v>-1087414.7266704452</v>
      </c>
      <c r="D160" s="18"/>
      <c r="E160" s="32">
        <f>B160+'A -Döviz'!E160</f>
        <v>-2345810.8069946123</v>
      </c>
      <c r="F160" s="32">
        <f>C160+'A -Döviz'!F160</f>
        <v>-2087736.6780936108</v>
      </c>
      <c r="G160" s="18"/>
      <c r="H160" s="32">
        <f>E160+'A -Döviz'!H160</f>
        <v>-3401649.4167445851</v>
      </c>
      <c r="I160" s="32">
        <f>F160+'A -Döviz'!I160</f>
        <v>-3060940.7322866074</v>
      </c>
      <c r="J160" s="18"/>
      <c r="K160" s="32">
        <f>H160+'A -Döviz'!K160</f>
        <v>-4444992.9442526363</v>
      </c>
      <c r="L160" s="32">
        <f>I160+'A -Döviz'!L160</f>
        <v>-3952576.0021696966</v>
      </c>
      <c r="M160" s="18"/>
      <c r="N160" s="32">
        <f>K160+'A -Döviz'!N160</f>
        <v>-5328722.4634378282</v>
      </c>
      <c r="O160" s="32">
        <f>L160+'A -Döviz'!O160</f>
        <v>-4879690.7494422896</v>
      </c>
      <c r="P160" s="18"/>
      <c r="Q160" s="32">
        <f>N160+'A -Döviz'!Q160</f>
        <v>-6208007.7358049983</v>
      </c>
      <c r="R160" s="32">
        <f>O160+'A -Döviz'!R160</f>
        <v>-6090734.8662558505</v>
      </c>
      <c r="S160" s="18"/>
      <c r="T160" s="32">
        <f>Q160+'A -Döviz'!T160</f>
        <v>-7217183.6634773063</v>
      </c>
      <c r="U160" s="32">
        <f>R160+'A -Döviz'!U160</f>
        <v>-7194691.48890296</v>
      </c>
      <c r="V160" s="18"/>
      <c r="W160" s="32">
        <f>T160+'A -Döviz'!W160</f>
        <v>-8248769.8204924222</v>
      </c>
      <c r="X160" s="32">
        <f>U160+'A -Döviz'!X160</f>
        <v>-8333532.6233442165</v>
      </c>
      <c r="Y160" s="18"/>
      <c r="Z160" s="32">
        <f>W160+'A -Döviz'!Z160</f>
        <v>-9298854.9327242319</v>
      </c>
      <c r="AA160" s="32">
        <f>X160+'A -Döviz'!AA160</f>
        <v>-9303002.0813560933</v>
      </c>
      <c r="AB160" s="18"/>
      <c r="AC160" s="32">
        <f>Z160+'A -Döviz'!AC160</f>
        <v>-10274431.865277404</v>
      </c>
      <c r="AD160" s="32">
        <f>AA160+'A -Döviz'!AD160</f>
        <v>-9303002.0813560933</v>
      </c>
      <c r="AE160" s="18"/>
      <c r="AF160" s="32">
        <f>AC160+'A -Döviz'!AF160</f>
        <v>-11219415.935268309</v>
      </c>
      <c r="AG160" s="32">
        <f>AD160+'A -Döviz'!AG160</f>
        <v>-9303002.0813560933</v>
      </c>
      <c r="AH160" s="18"/>
      <c r="AI160" s="32">
        <f>AF160+'A -Döviz'!AI160</f>
        <v>-12124533.457740035</v>
      </c>
      <c r="AJ160" s="32">
        <f>AG160+'A -Döviz'!AJ160</f>
        <v>-9303002.0813560933</v>
      </c>
      <c r="AK160" s="18"/>
      <c r="AL160" s="33">
        <f>AP160-AO160</f>
        <v>-4147.1486318614334</v>
      </c>
      <c r="AM160" s="34">
        <f>AP160/AO160-1</f>
        <v>4.4598487253155739E-4</v>
      </c>
      <c r="AO160" s="44">
        <f>IF($A$1=$B$1,B160,IF($A$1=$E$1,E160,IF($A$1=$H$1,H160,IF($A$1=$K$1,K160,IF($A$1=$N$1,N160,IF($A$1=$Q$1,Q160,IF($A$1=$T$1,T160,IF($A$1=$W$1,W160,IF($A$1=$Z$1,Z160,IF($A$1=$AC$1,AC160,IF($A$1=$AF$1,AF160,IF($A$1=$AI$1,AI160))))))))))))</f>
        <v>-9298854.9327242319</v>
      </c>
      <c r="AP160" s="44">
        <f>IF($A$1=$B$1,C160,IF($A$1=$E$1,F160,IF($A$1=$H$1,I160,IF($A$1=$K$1,L160,IF($A$1=$N$1,O160,IF($A$1=$Q$1,R160,IF($A$1=$T$1,U160,IF($A$1=$W$1,X160,IF($A$1=$Z$1,AA160,IF($A$1=$AC$1,AD160,IF($A$1=$AF$1,AG160,IF($A$1=$AI$1,AJ160))))))))))))</f>
        <v>-9303002.0813560933</v>
      </c>
    </row>
    <row r="161" spans="1:42" s="13" customFormat="1" ht="15.5">
      <c r="A161" s="27"/>
      <c r="B161" s="30"/>
      <c r="C161" s="30"/>
      <c r="D161" s="41"/>
      <c r="E161" s="30"/>
      <c r="F161" s="30"/>
      <c r="G161" s="41"/>
      <c r="H161" s="30"/>
      <c r="I161" s="30"/>
      <c r="J161" s="41"/>
      <c r="K161" s="30"/>
      <c r="L161" s="30"/>
      <c r="M161" s="41"/>
      <c r="N161" s="30"/>
      <c r="O161" s="30"/>
      <c r="P161" s="41"/>
      <c r="Q161" s="30"/>
      <c r="R161" s="30"/>
      <c r="S161" s="41"/>
      <c r="T161" s="30"/>
      <c r="U161" s="30"/>
      <c r="V161" s="41"/>
      <c r="W161" s="30"/>
      <c r="X161" s="30"/>
      <c r="Y161" s="41"/>
      <c r="Z161" s="30"/>
      <c r="AA161" s="30"/>
      <c r="AB161" s="41"/>
      <c r="AC161" s="30"/>
      <c r="AD161" s="30"/>
      <c r="AE161" s="41"/>
      <c r="AF161" s="30"/>
      <c r="AG161" s="303"/>
      <c r="AH161" s="41"/>
      <c r="AI161" s="30"/>
      <c r="AJ161" s="30"/>
      <c r="AK161" s="41"/>
      <c r="AL161" s="15"/>
      <c r="AM161" s="22"/>
      <c r="AO161" s="44">
        <f>IF($A$1=$B$1,B161,IF($A$1=$E$1,E161,IF($A$1=$H$1,H161,IF($A$1=$K$1,K161,IF($A$1=$N$1,N161,IF($A$1=$Q$1,Q161,IF($A$1=$T$1,T161,IF($A$1=$W$1,W161,IF($A$1=$Z$1,Z161,IF($A$1=$AC$1,AC161,IF($A$1=$AF$1,AF161,IF($A$1=$AI$1,AI161))))))))))))</f>
        <v>0</v>
      </c>
      <c r="AP161" s="44">
        <f>IF($A$1=$B$1,C161,IF($A$1=$E$1,F161,IF($A$1=$H$1,I161,IF($A$1=$K$1,L161,IF($A$1=$N$1,O161,IF($A$1=$Q$1,R161,IF($A$1=$T$1,U161,IF($A$1=$W$1,X161,IF($A$1=$Z$1,AA161,IF($A$1=$AC$1,AD161,IF($A$1=$AF$1,AG161,IF($A$1=$AI$1,AJ161))))))))))))</f>
        <v>0</v>
      </c>
    </row>
    <row r="162" spans="1:42" s="49" customFormat="1" ht="17">
      <c r="A162" s="47" t="s">
        <v>77</v>
      </c>
      <c r="B162" s="413"/>
      <c r="C162" s="413"/>
      <c r="D162" s="413"/>
      <c r="E162" s="413"/>
      <c r="F162" s="413"/>
      <c r="G162" s="413"/>
      <c r="H162" s="413"/>
      <c r="I162" s="413"/>
      <c r="J162" s="413"/>
      <c r="K162" s="413"/>
      <c r="L162" s="413"/>
      <c r="M162" s="413"/>
      <c r="N162" s="413"/>
      <c r="O162" s="413"/>
      <c r="P162" s="413"/>
      <c r="Q162" s="413"/>
      <c r="R162" s="413"/>
      <c r="S162" s="413"/>
      <c r="T162" s="413"/>
      <c r="U162" s="413"/>
      <c r="V162" s="413"/>
      <c r="W162" s="413"/>
      <c r="X162" s="413"/>
      <c r="Y162" s="413"/>
      <c r="Z162" s="413"/>
      <c r="AA162" s="413"/>
      <c r="AB162" s="413"/>
      <c r="AC162" s="413"/>
      <c r="AD162" s="413"/>
      <c r="AE162" s="413"/>
      <c r="AF162" s="413"/>
      <c r="AG162" s="413"/>
      <c r="AH162" s="413"/>
      <c r="AI162" s="413"/>
      <c r="AJ162" s="413"/>
      <c r="AK162" s="413"/>
      <c r="AL162" s="413"/>
      <c r="AM162" s="48"/>
    </row>
    <row r="163" spans="1:42" ht="15.5">
      <c r="A163" s="26" t="s">
        <v>10</v>
      </c>
      <c r="B163" s="7">
        <f>'A -Döviz'!B163</f>
        <v>-192358.10779165587</v>
      </c>
      <c r="C163" s="7">
        <f>'A -Döviz'!C163</f>
        <v>-242607.01270504482</v>
      </c>
      <c r="D163" s="7"/>
      <c r="E163" s="7">
        <f>B163+'A -Döviz'!E163</f>
        <v>-377943.45154936065</v>
      </c>
      <c r="F163" s="7">
        <f>C163+'A -Döviz'!F163</f>
        <v>-452498.95502114826</v>
      </c>
      <c r="G163" s="7"/>
      <c r="H163" s="7">
        <f>E163+'A -Döviz'!H163</f>
        <v>-459130.58946675691</v>
      </c>
      <c r="I163" s="7">
        <f>F163+'A -Döviz'!I163</f>
        <v>-548627.27330606594</v>
      </c>
      <c r="J163" s="74">
        <f t="shared" ref="J163:J170" si="117">+I163+I176-H163-H176</f>
        <v>572710.37998844043</v>
      </c>
      <c r="K163" s="7">
        <f>H163+'A -Döviz'!K163</f>
        <v>-542206.6758430925</v>
      </c>
      <c r="L163" s="7">
        <f>I163+'A -Döviz'!L163</f>
        <v>-659807.72132052132</v>
      </c>
      <c r="M163" s="7"/>
      <c r="N163" s="7">
        <f>K163+'A -Döviz'!N163</f>
        <v>-615808.46861077927</v>
      </c>
      <c r="O163" s="7">
        <f>L163+'A -Döviz'!O163</f>
        <v>-768641.03220670251</v>
      </c>
      <c r="P163" s="7"/>
      <c r="Q163" s="7">
        <f>N163+'A -Döviz'!Q163</f>
        <v>-685694.93574948958</v>
      </c>
      <c r="R163" s="7">
        <f>O163+'A -Döviz'!R163</f>
        <v>-861873.07968431606</v>
      </c>
      <c r="S163" s="7"/>
      <c r="T163" s="7">
        <f>Q163+'A -Döviz'!T163</f>
        <v>-758758.34194043255</v>
      </c>
      <c r="U163" s="7">
        <f>R163+'A -Döviz'!U163</f>
        <v>-953338.21177443746</v>
      </c>
      <c r="V163" s="7"/>
      <c r="W163" s="7">
        <f>T163+'A -Döviz'!W163</f>
        <v>-828794.19584298413</v>
      </c>
      <c r="X163" s="7">
        <f>U163+'A -Döviz'!X163</f>
        <v>-1042140.8589300781</v>
      </c>
      <c r="Y163" s="7"/>
      <c r="Z163" s="7">
        <f>W163+'A -Döviz'!Z163</f>
        <v>-891571.2733664366</v>
      </c>
      <c r="AA163" s="7">
        <f>X163+'A -Döviz'!AA163</f>
        <v>-1048783.356801833</v>
      </c>
      <c r="AB163" s="7"/>
      <c r="AC163" s="7">
        <f>Z163+'A -Döviz'!AC163</f>
        <v>-955844.92920153798</v>
      </c>
      <c r="AD163" s="7">
        <f>AA163+'A -Döviz'!AD163</f>
        <v>-1048783.356801833</v>
      </c>
      <c r="AE163" s="7"/>
      <c r="AF163" s="7">
        <f>AC163+'A -Döviz'!AF163</f>
        <v>-1015044.2140484762</v>
      </c>
      <c r="AG163" s="7">
        <f>AD163+'A -Döviz'!AG163</f>
        <v>-1048783.356801833</v>
      </c>
      <c r="AH163" s="7"/>
      <c r="AI163" s="7">
        <f>AF163+'A -Döviz'!AI163</f>
        <v>-1010869.2727950161</v>
      </c>
      <c r="AJ163" s="7">
        <f>AG163+'A -Döviz'!AJ163</f>
        <v>-1048783.356801833</v>
      </c>
      <c r="AK163" s="7"/>
      <c r="AL163" s="21">
        <f t="shared" ref="AL163:AL170" si="118">AP163-AO163</f>
        <v>-157212.08343539643</v>
      </c>
      <c r="AM163" s="22">
        <f t="shared" ref="AM163:AM170" si="119">AP163/AO163-1</f>
        <v>0.17633148143253607</v>
      </c>
      <c r="AO163" s="44">
        <f t="shared" ref="AO163:AP170" si="120">IF($A$1=$B$1,B163,IF($A$1=$E$1,E163,IF($A$1=$H$1,H163,IF($A$1=$K$1,K163,IF($A$1=$N$1,N163,IF($A$1=$Q$1,Q163,IF($A$1=$T$1,T163,IF($A$1=$W$1,W163,IF($A$1=$Z$1,Z163,IF($A$1=$AC$1,AC163,IF($A$1=$AF$1,AF163,IF($A$1=$AI$1,AI163))))))))))))</f>
        <v>-891571.2733664366</v>
      </c>
      <c r="AP163" s="44">
        <f t="shared" si="120"/>
        <v>-1048783.356801833</v>
      </c>
    </row>
    <row r="164" spans="1:42" ht="15.5">
      <c r="A164" s="26" t="s">
        <v>11</v>
      </c>
      <c r="B164" s="7">
        <f>'A -Döviz'!B164</f>
        <v>-8742.9981041020328</v>
      </c>
      <c r="C164" s="7">
        <f>'A -Döviz'!C164</f>
        <v>-57620.057316542741</v>
      </c>
      <c r="D164" s="7"/>
      <c r="E164" s="7">
        <f>B164+'A -Döviz'!E164</f>
        <v>-15526.899271433635</v>
      </c>
      <c r="F164" s="7">
        <f>C164+'A -Döviz'!F164</f>
        <v>-114009.69746976807</v>
      </c>
      <c r="G164" s="7"/>
      <c r="H164" s="7">
        <f>E164+'A -Döviz'!H164</f>
        <v>-22260.354854261117</v>
      </c>
      <c r="I164" s="7">
        <f>F164+'A -Döviz'!I164</f>
        <v>-202007.81196345485</v>
      </c>
      <c r="J164" s="7">
        <f t="shared" si="117"/>
        <v>-182706.98579186053</v>
      </c>
      <c r="K164" s="7">
        <f>H164+'A -Döviz'!K164</f>
        <v>-28940.141918327037</v>
      </c>
      <c r="L164" s="7">
        <f>I164+'A -Döviz'!L164</f>
        <v>-291953.96735544858</v>
      </c>
      <c r="M164" s="7"/>
      <c r="N164" s="7">
        <f>K164+'A -Döviz'!N164</f>
        <v>-35851.522104567717</v>
      </c>
      <c r="O164" s="7">
        <f>L164+'A -Döviz'!O164</f>
        <v>-363604.74797074823</v>
      </c>
      <c r="P164" s="7"/>
      <c r="Q164" s="7">
        <f>N164+'A -Döviz'!Q164</f>
        <v>-42254.1890381556</v>
      </c>
      <c r="R164" s="7">
        <f>O164+'A -Döviz'!R164</f>
        <v>-467614.33147112333</v>
      </c>
      <c r="S164" s="7"/>
      <c r="T164" s="7">
        <f>Q164+'A -Döviz'!T164</f>
        <v>-47446.272744951748</v>
      </c>
      <c r="U164" s="7">
        <f>R164+'A -Döviz'!U164</f>
        <v>-533517.50432493386</v>
      </c>
      <c r="V164" s="7"/>
      <c r="W164" s="7">
        <f>T164+'A -Döviz'!W164</f>
        <v>-54035.317322544812</v>
      </c>
      <c r="X164" s="7">
        <f>U164+'A -Döviz'!X164</f>
        <v>-597229.02694969822</v>
      </c>
      <c r="Y164" s="7"/>
      <c r="Z164" s="7">
        <f>W164+'A -Döviz'!Z164</f>
        <v>-60696.79802660281</v>
      </c>
      <c r="AA164" s="7">
        <f>X164+'A -Döviz'!AA164</f>
        <v>-710705.75278310652</v>
      </c>
      <c r="AB164" s="7"/>
      <c r="AC164" s="7">
        <f>Z164+'A -Döviz'!AC164</f>
        <v>-67501.928934256459</v>
      </c>
      <c r="AD164" s="7">
        <f>AA164+'A -Döviz'!AD164</f>
        <v>-710705.75278310652</v>
      </c>
      <c r="AE164" s="7"/>
      <c r="AF164" s="7">
        <f>AC164+'A -Döviz'!AF164</f>
        <v>-74207.332704370172</v>
      </c>
      <c r="AG164" s="7">
        <f>AD164+'A -Döviz'!AG164</f>
        <v>-710705.75278310652</v>
      </c>
      <c r="AH164" s="7"/>
      <c r="AI164" s="7">
        <f>AF164+'A -Döviz'!AI164</f>
        <v>-79988.997384414164</v>
      </c>
      <c r="AJ164" s="7">
        <f>AG164+'A -Döviz'!AJ164</f>
        <v>-710705.75278310652</v>
      </c>
      <c r="AK164" s="7"/>
      <c r="AL164" s="21">
        <f t="shared" si="118"/>
        <v>-650008.95475650369</v>
      </c>
      <c r="AM164" s="22">
        <f t="shared" si="119"/>
        <v>10.709114416078608</v>
      </c>
      <c r="AO164" s="44">
        <f t="shared" si="120"/>
        <v>-60696.79802660281</v>
      </c>
      <c r="AP164" s="44">
        <f t="shared" si="120"/>
        <v>-710705.75278310652</v>
      </c>
    </row>
    <row r="165" spans="1:42" ht="15.5">
      <c r="A165" s="26" t="s">
        <v>12</v>
      </c>
      <c r="B165" s="7">
        <f>'A -Döviz'!B165</f>
        <v>-54921.727124563724</v>
      </c>
      <c r="C165" s="7">
        <f>'A -Döviz'!C165</f>
        <v>-40504.931081618233</v>
      </c>
      <c r="D165" s="7"/>
      <c r="E165" s="7">
        <f>B165+'A -Döviz'!E165</f>
        <v>-115925.31614069632</v>
      </c>
      <c r="F165" s="7">
        <f>C165+'A -Döviz'!F165</f>
        <v>-73381.258402584936</v>
      </c>
      <c r="G165" s="7"/>
      <c r="H165" s="7">
        <f>E165+'A -Döviz'!H165</f>
        <v>-171836.44206484818</v>
      </c>
      <c r="I165" s="7">
        <f>F165+'A -Döviz'!I165</f>
        <v>-122905.25815650003</v>
      </c>
      <c r="J165" s="7">
        <f t="shared" si="117"/>
        <v>54478.625913640557</v>
      </c>
      <c r="K165" s="7">
        <f>H165+'A -Döviz'!K165</f>
        <v>-229438.62786126562</v>
      </c>
      <c r="L165" s="7">
        <f>I165+'A -Döviz'!L165</f>
        <v>-166934.95425052568</v>
      </c>
      <c r="M165" s="7"/>
      <c r="N165" s="7">
        <f>K165+'A -Döviz'!N165</f>
        <v>-281676.28198328981</v>
      </c>
      <c r="O165" s="7">
        <f>L165+'A -Döviz'!O165</f>
        <v>-199486.93445385282</v>
      </c>
      <c r="P165" s="7"/>
      <c r="Q165" s="7">
        <f>N165+'A -Döviz'!Q165</f>
        <v>-333939.05066425144</v>
      </c>
      <c r="R165" s="7">
        <f>O165+'A -Döviz'!R165</f>
        <v>-251611.52936032615</v>
      </c>
      <c r="S165" s="7"/>
      <c r="T165" s="7">
        <f>Q165+'A -Döviz'!T165</f>
        <v>-384299.87611247873</v>
      </c>
      <c r="U165" s="7">
        <f>R165+'A -Döviz'!U165</f>
        <v>-314042.29866302857</v>
      </c>
      <c r="V165" s="7"/>
      <c r="W165" s="7">
        <f>T165+'A -Döviz'!W165</f>
        <v>-439127.03689796408</v>
      </c>
      <c r="X165" s="7">
        <f>U165+'A -Döviz'!X165</f>
        <v>-372550.00169206399</v>
      </c>
      <c r="Y165" s="7"/>
      <c r="Z165" s="7">
        <f>W165+'A -Döviz'!Z165</f>
        <v>-489438.94251468522</v>
      </c>
      <c r="AA165" s="7">
        <f>X165+'A -Döviz'!AA165</f>
        <v>-408209.12666529929</v>
      </c>
      <c r="AB165" s="7"/>
      <c r="AC165" s="7">
        <f>Z165+'A -Döviz'!AC165</f>
        <v>-538681.57141756418</v>
      </c>
      <c r="AD165" s="7">
        <f>AA165+'A -Döviz'!AD165</f>
        <v>-408209.12666529929</v>
      </c>
      <c r="AE165" s="7"/>
      <c r="AF165" s="7">
        <f>AC165+'A -Döviz'!AF165</f>
        <v>-587431.53855831944</v>
      </c>
      <c r="AG165" s="7">
        <f>AD165+'A -Döviz'!AG165</f>
        <v>-408209.12666529929</v>
      </c>
      <c r="AH165" s="7"/>
      <c r="AI165" s="7">
        <f>AF165+'A -Döviz'!AI165</f>
        <v>-639240.49499120121</v>
      </c>
      <c r="AJ165" s="7">
        <f>AG165+'A -Döviz'!AJ165</f>
        <v>-408209.12666529929</v>
      </c>
      <c r="AK165" s="7"/>
      <c r="AL165" s="21">
        <f t="shared" si="118"/>
        <v>81229.815849385923</v>
      </c>
      <c r="AM165" s="22">
        <f t="shared" si="119"/>
        <v>-0.16596516703806974</v>
      </c>
      <c r="AO165" s="44">
        <f t="shared" si="120"/>
        <v>-489438.94251468522</v>
      </c>
      <c r="AP165" s="44">
        <f t="shared" si="120"/>
        <v>-408209.12666529929</v>
      </c>
    </row>
    <row r="166" spans="1:42" ht="15.5">
      <c r="A166" s="26" t="s">
        <v>13</v>
      </c>
      <c r="B166" s="7">
        <f>'A -Döviz'!B166</f>
        <v>-2054274.6206661761</v>
      </c>
      <c r="C166" s="7">
        <f>'A -Döviz'!C166</f>
        <v>-1710891.8970401026</v>
      </c>
      <c r="D166" s="7"/>
      <c r="E166" s="7">
        <f>B166+'A -Döviz'!E166</f>
        <v>-4107183.4172922075</v>
      </c>
      <c r="F166" s="7">
        <f>C166+'A -Döviz'!F166</f>
        <v>-3235870.312092036</v>
      </c>
      <c r="G166" s="7"/>
      <c r="H166" s="7">
        <f>E166+'A -Döviz'!H166</f>
        <v>-6153967.938544713</v>
      </c>
      <c r="I166" s="7">
        <f>F166+'A -Döviz'!I166</f>
        <v>-4817812.257676512</v>
      </c>
      <c r="J166" s="7">
        <f t="shared" si="117"/>
        <v>-2356093.6923215897</v>
      </c>
      <c r="K166" s="7">
        <f>H166+'A -Döviz'!K166</f>
        <v>-8106531.0515346425</v>
      </c>
      <c r="L166" s="7">
        <f>I166+'A -Döviz'!L166</f>
        <v>-6357958.8960058363</v>
      </c>
      <c r="M166" s="7"/>
      <c r="N166" s="7">
        <f>K166+'A -Döviz'!N166</f>
        <v>-9705663.126378417</v>
      </c>
      <c r="O166" s="7">
        <f>L166+'A -Döviz'!O166</f>
        <v>-8115737.9453009218</v>
      </c>
      <c r="P166" s="7"/>
      <c r="Q166" s="7">
        <f>N166+'A -Döviz'!Q166</f>
        <v>-11312951.947072957</v>
      </c>
      <c r="R166" s="7">
        <f>O166+'A -Döviz'!R166</f>
        <v>-10246653.468942553</v>
      </c>
      <c r="S166" s="7"/>
      <c r="T166" s="7">
        <f>Q166+'A -Döviz'!T166</f>
        <v>-13254583.070611492</v>
      </c>
      <c r="U166" s="7">
        <f>R166+'A -Döviz'!U166</f>
        <v>-12295328.929522483</v>
      </c>
      <c r="V166" s="7"/>
      <c r="W166" s="7">
        <f>T166+'A -Döviz'!W166</f>
        <v>-15254750.297320182</v>
      </c>
      <c r="X166" s="7">
        <f>U166+'A -Döviz'!X166</f>
        <v>-14484183.16425341</v>
      </c>
      <c r="Y166" s="7"/>
      <c r="Z166" s="7">
        <f>W166+'A -Döviz'!Z166</f>
        <v>-17328748.855084725</v>
      </c>
      <c r="AA166" s="7">
        <f>X166+'A -Döviz'!AA166</f>
        <v>-16370599.993473515</v>
      </c>
      <c r="AB166" s="7"/>
      <c r="AC166" s="7">
        <f>Z166+'A -Döviz'!AC166</f>
        <v>-19223970.432812113</v>
      </c>
      <c r="AD166" s="7">
        <f>AA166+'A -Döviz'!AD166</f>
        <v>-16370599.993473515</v>
      </c>
      <c r="AE166" s="7"/>
      <c r="AF166" s="7">
        <f>AC166+'A -Döviz'!AF166</f>
        <v>-21064350.49609001</v>
      </c>
      <c r="AG166" s="7">
        <f>AD166+'A -Döviz'!AG166</f>
        <v>-16370599.993473515</v>
      </c>
      <c r="AH166" s="7"/>
      <c r="AI166" s="7">
        <f>AF166+'A -Döviz'!AI166</f>
        <v>-22966779.360933263</v>
      </c>
      <c r="AJ166" s="7">
        <f>AG166+'A -Döviz'!AJ166</f>
        <v>-16370599.993473515</v>
      </c>
      <c r="AK166" s="7"/>
      <c r="AL166" s="21">
        <f t="shared" si="118"/>
        <v>958148.86161120981</v>
      </c>
      <c r="AM166" s="22">
        <f t="shared" si="119"/>
        <v>-5.5292443189287943E-2</v>
      </c>
      <c r="AO166" s="44">
        <f t="shared" si="120"/>
        <v>-17328748.855084725</v>
      </c>
      <c r="AP166" s="44">
        <f t="shared" si="120"/>
        <v>-16370599.993473515</v>
      </c>
    </row>
    <row r="167" spans="1:42" s="1" customFormat="1" ht="15.5">
      <c r="A167" s="26" t="s">
        <v>14</v>
      </c>
      <c r="B167" s="7">
        <f>'A -Döviz'!B167</f>
        <v>-128113.98547914512</v>
      </c>
      <c r="C167" s="7">
        <f>'A -Döviz'!C167</f>
        <v>-131887.19687799565</v>
      </c>
      <c r="D167" s="7"/>
      <c r="E167" s="7">
        <f>B167+'A -Döviz'!E167</f>
        <v>-252425.13316759636</v>
      </c>
      <c r="F167" s="7">
        <f>C167+'A -Döviz'!F167</f>
        <v>-261427.83590823755</v>
      </c>
      <c r="G167" s="8"/>
      <c r="H167" s="7">
        <f>E167+'A -Döviz'!H167</f>
        <v>-373040.35504008271</v>
      </c>
      <c r="I167" s="7">
        <f>F167+'A -Döviz'!I167</f>
        <v>-383427.36447495408</v>
      </c>
      <c r="J167" s="7">
        <f t="shared" si="117"/>
        <v>280309.34390617086</v>
      </c>
      <c r="K167" s="7">
        <f>H167+'A -Döviz'!K167</f>
        <v>-553750.76905723335</v>
      </c>
      <c r="L167" s="7">
        <f>I167+'A -Döviz'!L167</f>
        <v>-493872.43210216693</v>
      </c>
      <c r="M167" s="8"/>
      <c r="N167" s="7">
        <f>K167+'A -Döviz'!N167</f>
        <v>-729080.33641355904</v>
      </c>
      <c r="O167" s="7">
        <f>L167+'A -Döviz'!O167</f>
        <v>-601377.66172654461</v>
      </c>
      <c r="P167" s="8"/>
      <c r="Q167" s="7">
        <f>N167+'A -Döviz'!Q167</f>
        <v>-897348.40869079484</v>
      </c>
      <c r="R167" s="7">
        <f>O167+'A -Döviz'!R167</f>
        <v>-796630.40540766041</v>
      </c>
      <c r="S167" s="8"/>
      <c r="T167" s="7">
        <f>Q167+'A -Döviz'!T167</f>
        <v>-1058685.7547511137</v>
      </c>
      <c r="U167" s="7">
        <f>R167+'A -Döviz'!U167</f>
        <v>-977640.94582892011</v>
      </c>
      <c r="V167" s="8"/>
      <c r="W167" s="7">
        <f>T167+'A -Döviz'!W167</f>
        <v>-1213203.6904311385</v>
      </c>
      <c r="X167" s="7">
        <f>U167+'A -Döviz'!X167</f>
        <v>-1181078.9651775304</v>
      </c>
      <c r="Y167" s="8"/>
      <c r="Z167" s="7">
        <f>W167+'A -Döviz'!Z167</f>
        <v>-1371038.5068275409</v>
      </c>
      <c r="AA167" s="7">
        <f>X167+'A -Döviz'!AA167</f>
        <v>-1375277.0592911202</v>
      </c>
      <c r="AB167" s="8"/>
      <c r="AC167" s="7">
        <f>Z167+'A -Döviz'!AC167</f>
        <v>-1522071.441669995</v>
      </c>
      <c r="AD167" s="7">
        <f>AA167+'A -Döviz'!AD167</f>
        <v>-1375277.0592911202</v>
      </c>
      <c r="AE167" s="8"/>
      <c r="AF167" s="7">
        <f>AC167+'A -Döviz'!AF167</f>
        <v>-1666392.9966818446</v>
      </c>
      <c r="AG167" s="7">
        <f>AD167+'A -Döviz'!AG167</f>
        <v>-1375277.0592911202</v>
      </c>
      <c r="AH167" s="8"/>
      <c r="AI167" s="7">
        <f>AF167+'A -Döviz'!AI167</f>
        <v>-1804084.0867052393</v>
      </c>
      <c r="AJ167" s="7">
        <f>AG167+'A -Döviz'!AJ167</f>
        <v>-1375277.0592911202</v>
      </c>
      <c r="AK167" s="8"/>
      <c r="AL167" s="21">
        <f t="shared" si="118"/>
        <v>-4238.5524635792244</v>
      </c>
      <c r="AM167" s="22">
        <f t="shared" si="119"/>
        <v>3.09149045958379E-3</v>
      </c>
      <c r="AO167" s="44">
        <f t="shared" si="120"/>
        <v>-1371038.5068275409</v>
      </c>
      <c r="AP167" s="44">
        <f t="shared" si="120"/>
        <v>-1375277.0592911202</v>
      </c>
    </row>
    <row r="168" spans="1:42" ht="15.5">
      <c r="A168" s="26" t="s">
        <v>15</v>
      </c>
      <c r="B168" s="7">
        <f>'A -Döviz'!B168</f>
        <v>-39037.112421999998</v>
      </c>
      <c r="C168" s="7">
        <f>'A -Döviz'!C168</f>
        <v>-43741.61</v>
      </c>
      <c r="D168" s="7"/>
      <c r="E168" s="7">
        <f>B168+'A -Döviz'!E168</f>
        <v>-76920.418565999993</v>
      </c>
      <c r="F168" s="7">
        <f>C168+'A -Döviz'!F168</f>
        <v>-74586.429999999993</v>
      </c>
      <c r="G168" s="7"/>
      <c r="H168" s="7">
        <f>E168+'A -Döviz'!H168</f>
        <v>-113675.49541800001</v>
      </c>
      <c r="I168" s="7">
        <f>F168+'A -Döviz'!I168</f>
        <v>-118212.98</v>
      </c>
      <c r="J168" s="7">
        <f t="shared" si="117"/>
        <v>496834.46308900014</v>
      </c>
      <c r="K168" s="7">
        <f>H168+'A -Döviz'!K168</f>
        <v>-147152.744878</v>
      </c>
      <c r="L168" s="7">
        <f>I168+'A -Döviz'!L168</f>
        <v>-153872.10999999999</v>
      </c>
      <c r="M168" s="7"/>
      <c r="N168" s="7">
        <f>K168+'A -Döviz'!N168</f>
        <v>-178583.42825</v>
      </c>
      <c r="O168" s="7">
        <f>L168+'A -Döviz'!O168</f>
        <v>-147594.67000000001</v>
      </c>
      <c r="P168" s="7"/>
      <c r="Q168" s="7">
        <f>N168+'A -Döviz'!Q168</f>
        <v>-209073.28185299999</v>
      </c>
      <c r="R168" s="7">
        <f>O168+'A -Döviz'!R168</f>
        <v>-270318.94</v>
      </c>
      <c r="S168" s="7"/>
      <c r="T168" s="7">
        <f>Q168+'A -Döviz'!T168</f>
        <v>-237969.58910099999</v>
      </c>
      <c r="U168" s="7">
        <f>R168+'A -Döviz'!U168</f>
        <v>-351033.86</v>
      </c>
      <c r="V168" s="7"/>
      <c r="W168" s="7">
        <f>T168+'A -Döviz'!W168</f>
        <v>-265331.94603599998</v>
      </c>
      <c r="X168" s="7">
        <f>U168+'A -Döviz'!X168</f>
        <v>-339215.51</v>
      </c>
      <c r="Y168" s="7"/>
      <c r="Z168" s="7">
        <f>W168+'A -Döviz'!Z168</f>
        <v>-291787.33068499999</v>
      </c>
      <c r="AA168" s="7">
        <f>X168+'A -Döviz'!AA168</f>
        <v>-368224.8</v>
      </c>
      <c r="AB168" s="7"/>
      <c r="AC168" s="7">
        <f>Z168+'A -Döviz'!AC168</f>
        <v>-317073.98064099997</v>
      </c>
      <c r="AD168" s="7">
        <f>AA168+'A -Döviz'!AD168</f>
        <v>-368224.8</v>
      </c>
      <c r="AE168" s="7"/>
      <c r="AF168" s="7">
        <f>AC168+'A -Döviz'!AF168</f>
        <v>-341942.52814200002</v>
      </c>
      <c r="AG168" s="7">
        <f>AD168+'A -Döviz'!AG168</f>
        <v>-368224.8</v>
      </c>
      <c r="AH168" s="7"/>
      <c r="AI168" s="7">
        <f>AF168+'A -Döviz'!AI168</f>
        <v>-365713.93384200003</v>
      </c>
      <c r="AJ168" s="7">
        <f>AG168+'A -Döviz'!AJ168</f>
        <v>-368224.8</v>
      </c>
      <c r="AK168" s="7"/>
      <c r="AL168" s="21">
        <f t="shared" si="118"/>
        <v>-76437.469314999995</v>
      </c>
      <c r="AM168" s="22">
        <f t="shared" si="119"/>
        <v>0.26196294793045127</v>
      </c>
      <c r="AO168" s="44">
        <f t="shared" si="120"/>
        <v>-291787.33068499999</v>
      </c>
      <c r="AP168" s="44">
        <f t="shared" si="120"/>
        <v>-368224.8</v>
      </c>
    </row>
    <row r="169" spans="1:42" ht="15.5">
      <c r="A169" s="26" t="s">
        <v>16</v>
      </c>
      <c r="B169" s="7">
        <f>'A -Döviz'!B169</f>
        <v>-32514.232259</v>
      </c>
      <c r="C169" s="7">
        <f>'A -Döviz'!C169</f>
        <v>86412.27</v>
      </c>
      <c r="D169" s="7"/>
      <c r="E169" s="7">
        <f>B169+'A -Döviz'!E169</f>
        <v>-64086.141057000001</v>
      </c>
      <c r="F169" s="7">
        <f>C169+'A -Döviz'!F169</f>
        <v>107417.15</v>
      </c>
      <c r="G169" s="7"/>
      <c r="H169" s="7">
        <f>E169+'A -Döviz'!H169</f>
        <v>-94737.176894000004</v>
      </c>
      <c r="I169" s="7">
        <f>F169+'A -Döviz'!I169</f>
        <v>131620.21</v>
      </c>
      <c r="J169" s="74">
        <f t="shared" si="117"/>
        <v>-914608.55000400008</v>
      </c>
      <c r="K169" s="7">
        <f>H169+'A -Döviz'!K169</f>
        <v>-122738.701105</v>
      </c>
      <c r="L169" s="7">
        <f>I169+'A -Döviz'!L169</f>
        <v>214370.99</v>
      </c>
      <c r="M169" s="7"/>
      <c r="N169" s="7">
        <f>K169+'A -Döviz'!N169</f>
        <v>-149081.73580600001</v>
      </c>
      <c r="O169" s="7">
        <f>L169+'A -Döviz'!O169</f>
        <v>336785.72</v>
      </c>
      <c r="P169" s="7"/>
      <c r="Q169" s="7">
        <f>N169+'A -Döviz'!Q169</f>
        <v>-174657.04326599999</v>
      </c>
      <c r="R169" s="7">
        <f>O169+'A -Döviz'!R169</f>
        <v>441114.93</v>
      </c>
      <c r="S169" s="7"/>
      <c r="T169" s="7">
        <f>Q169+'A -Döviz'!T169</f>
        <v>-198979.92723500001</v>
      </c>
      <c r="U169" s="7">
        <f>R169+'A -Döviz'!U169</f>
        <v>565926.65</v>
      </c>
      <c r="V169" s="7"/>
      <c r="W169" s="7">
        <f>T169+'A -Döviz'!W169</f>
        <v>-222056.28228499999</v>
      </c>
      <c r="X169" s="7">
        <f>U169+'A -Döviz'!X169</f>
        <v>575511.39</v>
      </c>
      <c r="Y169" s="7"/>
      <c r="Z169" s="7">
        <f>W169+'A -Döviz'!Z169</f>
        <v>-244392.77444400001</v>
      </c>
      <c r="AA169" s="7">
        <f>X169+'A -Döviz'!AA169</f>
        <v>636732</v>
      </c>
      <c r="AB169" s="7"/>
      <c r="AC169" s="7">
        <f>Z169+'A -Döviz'!AC169</f>
        <v>-265779.03418700001</v>
      </c>
      <c r="AD169" s="7">
        <f>AA169+'A -Döviz'!AD169</f>
        <v>636732</v>
      </c>
      <c r="AE169" s="7"/>
      <c r="AF169" s="7">
        <f>AC169+'A -Döviz'!AF169</f>
        <v>-286821.033979</v>
      </c>
      <c r="AG169" s="7">
        <f>AD169+'A -Döviz'!AG169</f>
        <v>636732</v>
      </c>
      <c r="AH169" s="7"/>
      <c r="AI169" s="7">
        <f>AF169+'A -Döviz'!AI169</f>
        <v>-306972.90994300001</v>
      </c>
      <c r="AJ169" s="7">
        <f>AG169+'A -Döviz'!AJ169</f>
        <v>636732</v>
      </c>
      <c r="AK169" s="7"/>
      <c r="AL169" s="21">
        <f t="shared" si="118"/>
        <v>881124.77444399998</v>
      </c>
      <c r="AM169" s="22">
        <f t="shared" si="119"/>
        <v>-3.6053634418962757</v>
      </c>
      <c r="AO169" s="44">
        <f t="shared" si="120"/>
        <v>-244392.77444400001</v>
      </c>
      <c r="AP169" s="44">
        <f t="shared" si="120"/>
        <v>636732</v>
      </c>
    </row>
    <row r="170" spans="1:42" ht="15.5">
      <c r="A170" s="26" t="s">
        <v>17</v>
      </c>
      <c r="B170" s="7">
        <f>'A -Döviz'!B170</f>
        <v>-45211.37</v>
      </c>
      <c r="C170" s="7">
        <f>'A -Döviz'!C170</f>
        <v>-66598.38</v>
      </c>
      <c r="D170" s="7"/>
      <c r="E170" s="7">
        <f>B170+'A -Döviz'!E170</f>
        <v>-90422.74</v>
      </c>
      <c r="F170" s="7">
        <f>C170+'A -Döviz'!F170</f>
        <v>-155149.49</v>
      </c>
      <c r="G170" s="7"/>
      <c r="H170" s="7">
        <f>E170+'A -Döviz'!H170</f>
        <v>-135634.10999999999</v>
      </c>
      <c r="I170" s="7">
        <f>F170+'A -Döviz'!I170</f>
        <v>-280668.58</v>
      </c>
      <c r="J170" s="7">
        <f t="shared" si="117"/>
        <v>-439534.56000000006</v>
      </c>
      <c r="K170" s="7">
        <f>H170+'A -Döviz'!K170</f>
        <v>-180845.48</v>
      </c>
      <c r="L170" s="7">
        <f>I170+'A -Döviz'!L170</f>
        <v>-293365.95</v>
      </c>
      <c r="M170" s="7"/>
      <c r="N170" s="7">
        <f>K170+'A -Döviz'!N170</f>
        <v>-226056.85</v>
      </c>
      <c r="O170" s="7">
        <f>L170+'A -Döviz'!O170</f>
        <v>-341970.53</v>
      </c>
      <c r="P170" s="7"/>
      <c r="Q170" s="7">
        <f>N170+'A -Döviz'!Q170</f>
        <v>-271268.21999999997</v>
      </c>
      <c r="R170" s="7">
        <f>O170+'A -Döviz'!R170</f>
        <v>-401601.93</v>
      </c>
      <c r="S170" s="7"/>
      <c r="T170" s="7">
        <f>Q170+'A -Döviz'!T170</f>
        <v>-316479.59000000003</v>
      </c>
      <c r="U170" s="7">
        <f>R170+'A -Döviz'!U170</f>
        <v>-426406.6</v>
      </c>
      <c r="V170" s="7"/>
      <c r="W170" s="7">
        <f>T170+'A -Döviz'!W170</f>
        <v>-361690.96</v>
      </c>
      <c r="X170" s="7">
        <f>U170+'A -Döviz'!X170</f>
        <v>-375065.59</v>
      </c>
      <c r="Y170" s="7"/>
      <c r="Z170" s="7">
        <f>W170+'A -Döviz'!Z170</f>
        <v>-406902.33</v>
      </c>
      <c r="AA170" s="7">
        <f>X170+'A -Döviz'!AA170</f>
        <v>-360889.76</v>
      </c>
      <c r="AB170" s="7"/>
      <c r="AC170" s="7">
        <f>Z170+'A -Döviz'!AC170</f>
        <v>-452113.7</v>
      </c>
      <c r="AD170" s="7">
        <f>AA170+'A -Döviz'!AD170</f>
        <v>-360889.76</v>
      </c>
      <c r="AE170" s="7"/>
      <c r="AF170" s="7">
        <f>AC170+'A -Döviz'!AF170</f>
        <v>-497325.07</v>
      </c>
      <c r="AG170" s="7">
        <f>AD170+'A -Döviz'!AG170</f>
        <v>-360889.76</v>
      </c>
      <c r="AH170" s="7"/>
      <c r="AI170" s="7">
        <f>AF170+'A -Döviz'!AI170</f>
        <v>-542536.43999999994</v>
      </c>
      <c r="AJ170" s="7">
        <f>AG170+'A -Döviz'!AJ170</f>
        <v>-360889.76</v>
      </c>
      <c r="AK170" s="7"/>
      <c r="AL170" s="21">
        <f t="shared" si="118"/>
        <v>46012.570000000007</v>
      </c>
      <c r="AM170" s="22">
        <f t="shared" si="119"/>
        <v>-0.11308013399677508</v>
      </c>
      <c r="AO170" s="44">
        <f t="shared" si="120"/>
        <v>-406902.33</v>
      </c>
      <c r="AP170" s="44">
        <f t="shared" si="120"/>
        <v>-360889.76</v>
      </c>
    </row>
    <row r="171" spans="1:42" s="13" customFormat="1" ht="15.5">
      <c r="A171" s="26"/>
      <c r="B171" s="12"/>
      <c r="C171" s="30"/>
      <c r="D171" s="41"/>
      <c r="E171" s="12"/>
      <c r="F171" s="30"/>
      <c r="G171" s="41"/>
      <c r="H171" s="12"/>
      <c r="I171" s="30"/>
      <c r="J171" s="41"/>
      <c r="K171" s="12"/>
      <c r="L171" s="30"/>
      <c r="M171" s="41"/>
      <c r="N171" s="12"/>
      <c r="O171" s="30"/>
      <c r="P171" s="41"/>
      <c r="Q171" s="12"/>
      <c r="R171" s="30"/>
      <c r="S171" s="41"/>
      <c r="T171" s="12"/>
      <c r="U171" s="30"/>
      <c r="V171" s="41"/>
      <c r="W171" s="12"/>
      <c r="X171" s="30"/>
      <c r="Y171" s="41"/>
      <c r="Z171" s="12"/>
      <c r="AA171" s="30"/>
      <c r="AB171" s="41"/>
      <c r="AC171" s="12"/>
      <c r="AD171" s="30"/>
      <c r="AE171" s="41"/>
      <c r="AF171" s="12"/>
      <c r="AG171" s="30"/>
      <c r="AH171" s="41"/>
      <c r="AI171" s="12"/>
      <c r="AJ171" s="30"/>
      <c r="AK171" s="41"/>
      <c r="AL171" s="15"/>
      <c r="AM171" s="22"/>
      <c r="AO171" s="44"/>
      <c r="AP171" s="44"/>
    </row>
    <row r="172" spans="1:42" s="13" customFormat="1" ht="15.5">
      <c r="A172" s="26"/>
      <c r="B172" s="12"/>
      <c r="C172" s="30"/>
      <c r="D172" s="41"/>
      <c r="E172" s="12"/>
      <c r="F172" s="30"/>
      <c r="G172" s="41"/>
      <c r="H172" s="12"/>
      <c r="I172" s="30"/>
      <c r="J172" s="41"/>
      <c r="K172" s="12"/>
      <c r="L172" s="30"/>
      <c r="M172" s="41"/>
      <c r="N172" s="12"/>
      <c r="O172" s="30"/>
      <c r="P172" s="41"/>
      <c r="Q172" s="12"/>
      <c r="R172" s="30"/>
      <c r="S172" s="41"/>
      <c r="T172" s="12"/>
      <c r="U172" s="30"/>
      <c r="V172" s="41"/>
      <c r="W172" s="12"/>
      <c r="X172" s="30"/>
      <c r="Y172" s="41"/>
      <c r="Z172" s="12"/>
      <c r="AA172" s="30"/>
      <c r="AB172" s="41"/>
      <c r="AC172" s="12"/>
      <c r="AD172" s="30"/>
      <c r="AE172" s="41"/>
      <c r="AF172" s="12"/>
      <c r="AG172" s="30"/>
      <c r="AH172" s="41"/>
      <c r="AI172" s="12"/>
      <c r="AJ172" s="30"/>
      <c r="AK172" s="41"/>
      <c r="AL172" s="15"/>
      <c r="AM172" s="22"/>
      <c r="AO172" s="44"/>
      <c r="AP172" s="44"/>
    </row>
    <row r="173" spans="1:42" s="44" customFormat="1" ht="15.5">
      <c r="A173" s="31" t="s">
        <v>78</v>
      </c>
      <c r="B173" s="32">
        <f>'A -Döviz'!B173</f>
        <v>185134.514578559</v>
      </c>
      <c r="C173" s="32">
        <f>'A -Döviz'!C173</f>
        <v>-628653.02296381816</v>
      </c>
      <c r="D173" s="18"/>
      <c r="E173" s="32">
        <f>B173+'A -Döviz'!E173</f>
        <v>218892.09787820856</v>
      </c>
      <c r="F173" s="32">
        <f>C173+'A -Döviz'!F173</f>
        <v>-461328.04507851577</v>
      </c>
      <c r="G173" s="18"/>
      <c r="H173" s="32">
        <f>E173+'A -Döviz'!H173</f>
        <v>180728.67317311961</v>
      </c>
      <c r="I173" s="32">
        <f>F173+'A -Döviz'!I173</f>
        <v>-888735.18930680514</v>
      </c>
      <c r="J173" s="18"/>
      <c r="K173" s="32">
        <f>H173+'A -Döviz'!K173</f>
        <v>-14801.235198285372</v>
      </c>
      <c r="L173" s="32">
        <f>I173+'A -Döviz'!L173</f>
        <v>-1935073.0790557864</v>
      </c>
      <c r="M173" s="18"/>
      <c r="N173" s="32">
        <f>K173+'A -Döviz'!N173</f>
        <v>-24788.865964165907</v>
      </c>
      <c r="O173" s="32">
        <f>L173+'A -Döviz'!O173</f>
        <v>-2556957.9577728091</v>
      </c>
      <c r="P173" s="18"/>
      <c r="Q173" s="32">
        <f>N173+'A -Döviz'!Q173</f>
        <v>34542.197069766306</v>
      </c>
      <c r="R173" s="32">
        <f>O173+'A -Döviz'!R173</f>
        <v>-3337377.8591732732</v>
      </c>
      <c r="S173" s="18"/>
      <c r="T173" s="32">
        <f>Q173+'A -Döviz'!T173</f>
        <v>-16998.711230571855</v>
      </c>
      <c r="U173" s="32">
        <f>R173+'A -Döviz'!U173</f>
        <v>-3937231.3480742835</v>
      </c>
      <c r="V173" s="18"/>
      <c r="W173" s="32">
        <f>T173+'A -Döviz'!W173</f>
        <v>-62387.665455102418</v>
      </c>
      <c r="X173" s="32">
        <f>U173+'A -Döviz'!X173</f>
        <v>-4449390.3093187921</v>
      </c>
      <c r="Y173" s="18"/>
      <c r="Z173" s="32">
        <f>W173+'A -Döviz'!Z173</f>
        <v>-103316.764148933</v>
      </c>
      <c r="AA173" s="32">
        <f>X173+'A -Döviz'!AA173</f>
        <v>-4738682.5985235348</v>
      </c>
      <c r="AB173" s="18"/>
      <c r="AC173" s="32">
        <f>Z173+'A -Döviz'!AC173</f>
        <v>-144947.63410581741</v>
      </c>
      <c r="AD173" s="32">
        <f>AA173+'A -Döviz'!AD173</f>
        <v>-4738682.5985235348</v>
      </c>
      <c r="AE173" s="18"/>
      <c r="AF173" s="32">
        <f>AC173+'A -Döviz'!AF173</f>
        <v>-177974.85648876909</v>
      </c>
      <c r="AG173" s="32">
        <f>AD173+'A -Döviz'!AG173</f>
        <v>-4738682.5985235348</v>
      </c>
      <c r="AH173" s="18"/>
      <c r="AI173" s="32">
        <f>AF173+'A -Döviz'!AI173</f>
        <v>-209028.84921816309</v>
      </c>
      <c r="AJ173" s="32">
        <f>AG173+'A -Döviz'!AJ173</f>
        <v>-4738682.5985235348</v>
      </c>
      <c r="AK173" s="18"/>
      <c r="AL173" s="33">
        <f>AP173-AO173</f>
        <v>-4635365.834374602</v>
      </c>
      <c r="AM173" s="34">
        <f>AP173/AO173-1</f>
        <v>44.865573099953437</v>
      </c>
      <c r="AO173" s="44">
        <f>IF($A$1=$B$1,B173,IF($A$1=$E$1,E173,IF($A$1=$H$1,H173,IF($A$1=$K$1,K173,IF($A$1=$N$1,N173,IF($A$1=$Q$1,Q173,IF($A$1=$T$1,T173,IF($A$1=$W$1,W173,IF($A$1=$Z$1,Z173,IF($A$1=$AC$1,AC173,IF($A$1=$AF$1,AF173,IF($A$1=$AI$1,AI173))))))))))))</f>
        <v>-103316.764148933</v>
      </c>
      <c r="AP173" s="44">
        <f>IF($A$1=$B$1,C173,IF($A$1=$E$1,F173,IF($A$1=$H$1,I173,IF($A$1=$K$1,L173,IF($A$1=$N$1,O173,IF($A$1=$Q$1,R173,IF($A$1=$T$1,U173,IF($A$1=$W$1,X173,IF($A$1=$Z$1,AA173,IF($A$1=$AC$1,AD173,IF($A$1=$AF$1,AG173,IF($A$1=$AI$1,AJ173))))))))))))</f>
        <v>-4738682.5985235348</v>
      </c>
    </row>
    <row r="174" spans="1:42" s="13" customFormat="1" ht="15.5">
      <c r="A174" s="27"/>
      <c r="B174" s="30"/>
      <c r="C174" s="30"/>
      <c r="D174" s="41"/>
      <c r="E174" s="30"/>
      <c r="F174" s="30"/>
      <c r="G174" s="41"/>
      <c r="H174" s="30"/>
      <c r="I174" s="30"/>
      <c r="J174" s="41"/>
      <c r="K174" s="30"/>
      <c r="L174" s="30"/>
      <c r="M174" s="41"/>
      <c r="N174" s="30"/>
      <c r="O174" s="30"/>
      <c r="P174" s="41"/>
      <c r="Q174" s="30"/>
      <c r="R174" s="30"/>
      <c r="S174" s="41"/>
      <c r="T174" s="30"/>
      <c r="U174" s="30"/>
      <c r="V174" s="41"/>
      <c r="W174" s="30"/>
      <c r="X174" s="30"/>
      <c r="Y174" s="41"/>
      <c r="Z174" s="30"/>
      <c r="AA174" s="30"/>
      <c r="AB174" s="41"/>
      <c r="AC174" s="30"/>
      <c r="AD174" s="30"/>
      <c r="AE174" s="41"/>
      <c r="AF174" s="30"/>
      <c r="AG174" s="30"/>
      <c r="AH174" s="41"/>
      <c r="AI174" s="30"/>
      <c r="AJ174" s="30"/>
      <c r="AK174" s="41"/>
      <c r="AL174" s="15"/>
      <c r="AM174" s="22"/>
      <c r="AO174" s="44">
        <f>IF($A$1=$B$1,B174,IF($A$1=$E$1,E174,IF($A$1=$H$1,H174,IF($A$1=$K$1,K174,IF($A$1=$N$1,N174,IF($A$1=$Q$1,Q174,IF($A$1=$T$1,T174,IF($A$1=$W$1,W174,IF($A$1=$Z$1,Z174,IF($A$1=$AC$1,AC174,IF($A$1=$AF$1,AF174,IF($A$1=$AI$1,AI174))))))))))))</f>
        <v>0</v>
      </c>
      <c r="AP174" s="44">
        <f>IF($A$1=$B$1,C174,IF($A$1=$E$1,F174,IF($A$1=$H$1,I174,IF($A$1=$K$1,L174,IF($A$1=$N$1,O174,IF($A$1=$Q$1,R174,IF($A$1=$T$1,U174,IF($A$1=$W$1,X174,IF($A$1=$Z$1,AA174,IF($A$1=$AC$1,AD174,IF($A$1=$AF$1,AG174,IF($A$1=$AI$1,AJ174))))))))))))</f>
        <v>0</v>
      </c>
    </row>
    <row r="175" spans="1:42" s="49" customFormat="1" ht="17">
      <c r="A175" s="47" t="s">
        <v>79</v>
      </c>
      <c r="B175" s="413"/>
      <c r="C175" s="413"/>
      <c r="D175" s="413"/>
      <c r="E175" s="413"/>
      <c r="F175" s="413"/>
      <c r="G175" s="413"/>
      <c r="H175" s="413"/>
      <c r="I175" s="413"/>
      <c r="J175" s="413"/>
      <c r="K175" s="413"/>
      <c r="L175" s="413"/>
      <c r="M175" s="413"/>
      <c r="N175" s="413"/>
      <c r="O175" s="413"/>
      <c r="P175" s="413"/>
      <c r="Q175" s="413"/>
      <c r="R175" s="413"/>
      <c r="S175" s="413"/>
      <c r="T175" s="413"/>
      <c r="U175" s="413"/>
      <c r="V175" s="413"/>
      <c r="W175" s="413"/>
      <c r="X175" s="413"/>
      <c r="Y175" s="413"/>
      <c r="Z175" s="413"/>
      <c r="AA175" s="413"/>
      <c r="AB175" s="413"/>
      <c r="AC175" s="413"/>
      <c r="AD175" s="413"/>
      <c r="AE175" s="413"/>
      <c r="AF175" s="413"/>
      <c r="AG175" s="413"/>
      <c r="AH175" s="413"/>
      <c r="AI175" s="413"/>
      <c r="AJ175" s="413"/>
      <c r="AK175" s="413"/>
      <c r="AL175" s="413"/>
      <c r="AM175" s="48"/>
    </row>
    <row r="176" spans="1:42" ht="15.5">
      <c r="A176" s="26" t="s">
        <v>10</v>
      </c>
      <c r="B176" s="7">
        <f>'A -Döviz'!B176</f>
        <v>201940.42909662076</v>
      </c>
      <c r="C176" s="7">
        <f>'A -Döviz'!C176</f>
        <v>49545.350766696167</v>
      </c>
      <c r="D176" s="7"/>
      <c r="E176" s="7">
        <f>B176+'A -Döviz'!E176</f>
        <v>310615.83933338535</v>
      </c>
      <c r="F176" s="7">
        <f>C176+'A -Döviz'!F176</f>
        <v>409789.89970994298</v>
      </c>
      <c r="G176" s="7"/>
      <c r="H176" s="7">
        <f>E176+'A -Döviz'!H176</f>
        <v>330714.40408251958</v>
      </c>
      <c r="I176" s="7">
        <f>F176+'A -Döviz'!I176</f>
        <v>992921.46791026904</v>
      </c>
      <c r="J176" s="7"/>
      <c r="K176" s="7">
        <f>H176+'A -Döviz'!K176</f>
        <v>358039.39578882221</v>
      </c>
      <c r="L176" s="7">
        <f>I176+'A -Döviz'!L176</f>
        <v>1472768.6271678996</v>
      </c>
      <c r="M176" s="7"/>
      <c r="N176" s="7">
        <f>K176+'A -Döviz'!N176</f>
        <v>378095.47679811931</v>
      </c>
      <c r="O176" s="7">
        <f>L176+'A -Döviz'!O176</f>
        <v>1471763.2747642924</v>
      </c>
      <c r="P176" s="7"/>
      <c r="Q176" s="7">
        <f>N176+'A -Döviz'!Q176</f>
        <v>410411.81542612799</v>
      </c>
      <c r="R176" s="7">
        <f>O176+'A -Döviz'!R176</f>
        <v>1509303.6943479457</v>
      </c>
      <c r="S176" s="7"/>
      <c r="T176" s="7">
        <f>Q176+'A -Döviz'!T176</f>
        <v>425601.93698532524</v>
      </c>
      <c r="U176" s="7">
        <f>R176+'A -Döviz'!U176</f>
        <v>1486240.0581524582</v>
      </c>
      <c r="V176" s="7"/>
      <c r="W176" s="7">
        <f>T176+'A -Döviz'!W176</f>
        <v>436945.1147741194</v>
      </c>
      <c r="X176" s="7">
        <f>U176+'A -Döviz'!X176</f>
        <v>1575659.5478855392</v>
      </c>
      <c r="Y176" s="7"/>
      <c r="Z176" s="7">
        <f>W176+'A -Döviz'!Z176</f>
        <v>458132.7788811244</v>
      </c>
      <c r="AA176" s="7">
        <f>X176+'A -Döviz'!AA176</f>
        <v>1609370.9431764234</v>
      </c>
      <c r="AB176" s="7"/>
      <c r="AC176" s="7">
        <f>Z176+'A -Döviz'!AC176</f>
        <v>478197.36576207861</v>
      </c>
      <c r="AD176" s="7">
        <f>AA176+'A -Döviz'!AD176</f>
        <v>1609370.9431764234</v>
      </c>
      <c r="AE176" s="7"/>
      <c r="AF176" s="7">
        <f>AC176+'A -Döviz'!AF176</f>
        <v>500973.03247708292</v>
      </c>
      <c r="AG176" s="7">
        <f>AD176+'A -Döviz'!AG176</f>
        <v>1609370.9431764234</v>
      </c>
      <c r="AH176" s="7"/>
      <c r="AI176" s="7">
        <f>AF176+'A -Döviz'!AI176</f>
        <v>519250.63534699538</v>
      </c>
      <c r="AJ176" s="7">
        <f>AG176+'A -Döviz'!AJ176</f>
        <v>1609370.9431764234</v>
      </c>
      <c r="AK176" s="7"/>
      <c r="AL176" s="21">
        <f t="shared" ref="AL176:AL183" si="121">AP176-AO176</f>
        <v>1151238.164295299</v>
      </c>
      <c r="AM176" s="22">
        <f t="shared" ref="AM176:AM183" si="122">AP176/AO176-1</f>
        <v>2.5128919330044721</v>
      </c>
      <c r="AO176" s="44">
        <f t="shared" ref="AO176:AP183" si="123">IF($A$1=$B$1,B176,IF($A$1=$E$1,E176,IF($A$1=$H$1,H176,IF($A$1=$K$1,K176,IF($A$1=$N$1,N176,IF($A$1=$Q$1,Q176,IF($A$1=$T$1,T176,IF($A$1=$W$1,W176,IF($A$1=$Z$1,Z176,IF($A$1=$AC$1,AC176,IF($A$1=$AF$1,AF176,IF($A$1=$AI$1,AI176))))))))))))</f>
        <v>458132.7788811244</v>
      </c>
      <c r="AP176" s="44">
        <f t="shared" si="123"/>
        <v>1609370.9431764234</v>
      </c>
    </row>
    <row r="177" spans="1:42" ht="15.5">
      <c r="A177" s="26" t="s">
        <v>11</v>
      </c>
      <c r="B177" s="7">
        <f>'A -Döviz'!B177</f>
        <v>1372.1022923129954</v>
      </c>
      <c r="C177" s="7">
        <f>'A -Döviz'!C177</f>
        <v>-4925.4466741652714</v>
      </c>
      <c r="D177" s="7"/>
      <c r="E177" s="7">
        <f>B177+'A -Döviz'!E177</f>
        <v>2716.4862240884795</v>
      </c>
      <c r="F177" s="7">
        <f>C177+'A -Döviz'!F177</f>
        <v>-1620.268965269097</v>
      </c>
      <c r="G177" s="7"/>
      <c r="H177" s="7">
        <f>E177+'A -Döviz'!H177</f>
        <v>4034.2461098740014</v>
      </c>
      <c r="I177" s="7">
        <f>F177+'A -Döviz'!I177</f>
        <v>1074.7174272071807</v>
      </c>
      <c r="J177" s="7"/>
      <c r="K177" s="7">
        <f>H177+'A -Döviz'!K177</f>
        <v>5326.4192686857605</v>
      </c>
      <c r="L177" s="7">
        <f>I177+'A -Döviz'!L177</f>
        <v>185104.73683127784</v>
      </c>
      <c r="M177" s="7"/>
      <c r="N177" s="7">
        <f>K177+'A -Döviz'!N177</f>
        <v>6593.9804014550145</v>
      </c>
      <c r="O177" s="7">
        <f>L177+'A -Döviz'!O177</f>
        <v>116905.21838775567</v>
      </c>
      <c r="P177" s="7"/>
      <c r="Q177" s="7">
        <f>N177+'A -Döviz'!Q177</f>
        <v>7837.8495547206894</v>
      </c>
      <c r="R177" s="7">
        <f>O177+'A -Döviz'!R177</f>
        <v>-191766.44961918087</v>
      </c>
      <c r="S177" s="7"/>
      <c r="T177" s="7">
        <f>Q177+'A -Döviz'!T177</f>
        <v>9058.8932055333607</v>
      </c>
      <c r="U177" s="7">
        <f>R177+'A -Döviz'!U177</f>
        <v>-220685.09031705325</v>
      </c>
      <c r="V177" s="7"/>
      <c r="W177" s="7">
        <f>T177+'A -Döviz'!W177</f>
        <v>10257.936794709727</v>
      </c>
      <c r="X177" s="7">
        <f>U177+'A -Döviz'!X177</f>
        <v>-342136.89722873771</v>
      </c>
      <c r="Y177" s="7"/>
      <c r="Z177" s="7">
        <f>W177+'A -Döviz'!Z177</f>
        <v>11435.759060289576</v>
      </c>
      <c r="AA177" s="7">
        <f>X177+'A -Döviz'!AA177</f>
        <v>-377888.07471971528</v>
      </c>
      <c r="AB177" s="7"/>
      <c r="AC177" s="7">
        <f>Z177+'A -Döviz'!AC177</f>
        <v>12593.098111794003</v>
      </c>
      <c r="AD177" s="7">
        <f>AA177+'A -Döviz'!AD177</f>
        <v>-377888.07471971528</v>
      </c>
      <c r="AE177" s="7"/>
      <c r="AF177" s="7">
        <f>AC177+'A -Döviz'!AF177</f>
        <v>13730.651668351291</v>
      </c>
      <c r="AG177" s="7">
        <f>AD177+'A -Döviz'!AG177</f>
        <v>-377888.07471971528</v>
      </c>
      <c r="AH177" s="7"/>
      <c r="AI177" s="7">
        <f>AF177+'A -Döviz'!AI177</f>
        <v>14849.08730726451</v>
      </c>
      <c r="AJ177" s="7">
        <f>AG177+'A -Döviz'!AJ177</f>
        <v>-377888.07471971528</v>
      </c>
      <c r="AK177" s="7"/>
      <c r="AL177" s="21">
        <f t="shared" si="121"/>
        <v>-389323.83378000488</v>
      </c>
      <c r="AM177" s="22">
        <f t="shared" si="122"/>
        <v>-34.044424312149367</v>
      </c>
      <c r="AO177" s="44">
        <f t="shared" si="123"/>
        <v>11435.759060289576</v>
      </c>
      <c r="AP177" s="44">
        <f t="shared" si="123"/>
        <v>-377888.07471971528</v>
      </c>
    </row>
    <row r="178" spans="1:42" ht="15.5">
      <c r="A178" s="26" t="s">
        <v>12</v>
      </c>
      <c r="B178" s="7">
        <f>'A -Döviz'!B178</f>
        <v>6150.1185335606251</v>
      </c>
      <c r="C178" s="7">
        <f>'A -Döviz'!C178</f>
        <v>7862.573130522238</v>
      </c>
      <c r="D178" s="7"/>
      <c r="E178" s="7">
        <f>B178+'A -Döviz'!E178</f>
        <v>12175.99611293073</v>
      </c>
      <c r="F178" s="7">
        <f>C178+'A -Döviz'!F178</f>
        <v>11361.935119269745</v>
      </c>
      <c r="G178" s="7"/>
      <c r="H178" s="7">
        <f>E178+'A -Döviz'!H178</f>
        <v>18082.537856098166</v>
      </c>
      <c r="I178" s="7">
        <f>F178+'A -Döviz'!I178</f>
        <v>23629.979861390573</v>
      </c>
      <c r="J178" s="7"/>
      <c r="K178" s="7">
        <f>H178+'A -Döviz'!K178</f>
        <v>23874.393181956591</v>
      </c>
      <c r="L178" s="7">
        <f>I178+'A -Döviz'!L178</f>
        <v>29137.303626756686</v>
      </c>
      <c r="M178" s="7"/>
      <c r="N178" s="7">
        <f>K178+'A -Döviz'!N178</f>
        <v>29555.931021405482</v>
      </c>
      <c r="O178" s="7">
        <f>L178+'A -Döviz'!O178</f>
        <v>39385.649232456788</v>
      </c>
      <c r="P178" s="7"/>
      <c r="Q178" s="7">
        <f>N178+'A -Döviz'!Q178</f>
        <v>35131.275283055009</v>
      </c>
      <c r="R178" s="7">
        <f>O178+'A -Döviz'!R178</f>
        <v>46346.392554894759</v>
      </c>
      <c r="S178" s="7"/>
      <c r="T178" s="7">
        <f>Q178+'A -Döviz'!T178</f>
        <v>40604.309697840785</v>
      </c>
      <c r="U178" s="7">
        <f>R178+'A -Döviz'!U178</f>
        <v>43785.398581269328</v>
      </c>
      <c r="V178" s="7"/>
      <c r="W178" s="7">
        <f>T178+'A -Döviz'!W178</f>
        <v>48970.229061159233</v>
      </c>
      <c r="X178" s="7">
        <f>U178+'A -Döviz'!X178</f>
        <v>51393.177259300232</v>
      </c>
      <c r="Y178" s="7"/>
      <c r="Z178" s="7">
        <f>W178+'A -Döviz'!Z178</f>
        <v>57188.083822520188</v>
      </c>
      <c r="AA178" s="7">
        <f>X178+'A -Döviz'!AA178</f>
        <v>59423.224044486611</v>
      </c>
      <c r="AB178" s="7"/>
      <c r="AC178" s="7">
        <f>Z178+'A -Döviz'!AC178</f>
        <v>65263.023922580607</v>
      </c>
      <c r="AD178" s="7">
        <f>AA178+'A -Döviz'!AD178</f>
        <v>59423.224044486611</v>
      </c>
      <c r="AE178" s="7"/>
      <c r="AF178" s="7">
        <f>AC178+'A -Döviz'!AF178</f>
        <v>73199.917441472484</v>
      </c>
      <c r="AG178" s="7">
        <f>AD178+'A -Döviz'!AG178</f>
        <v>59423.224044486611</v>
      </c>
      <c r="AH178" s="7"/>
      <c r="AI178" s="7">
        <f>AF178+'A -Döviz'!AI178</f>
        <v>81003.422212615755</v>
      </c>
      <c r="AJ178" s="7">
        <f>AG178+'A -Döviz'!AJ178</f>
        <v>59423.224044486611</v>
      </c>
      <c r="AK178" s="7"/>
      <c r="AL178" s="21">
        <f t="shared" si="121"/>
        <v>2235.1402219664233</v>
      </c>
      <c r="AM178" s="22">
        <f t="shared" si="122"/>
        <v>3.9084020176354262E-2</v>
      </c>
      <c r="AO178" s="44">
        <f t="shared" si="123"/>
        <v>57188.083822520188</v>
      </c>
      <c r="AP178" s="44">
        <f t="shared" si="123"/>
        <v>59423.224044486611</v>
      </c>
    </row>
    <row r="179" spans="1:42" ht="15.5">
      <c r="A179" s="26" t="s">
        <v>13</v>
      </c>
      <c r="B179" s="7">
        <f>'A -Döviz'!B179</f>
        <v>116253.90036916149</v>
      </c>
      <c r="C179" s="7">
        <f>'A -Döviz'!C179</f>
        <v>-1010555.7127086548</v>
      </c>
      <c r="D179" s="7"/>
      <c r="E179" s="7">
        <f>B179+'A -Döviz'!E179</f>
        <v>-112351.47069149012</v>
      </c>
      <c r="F179" s="7">
        <f>C179+'A -Döviz'!F179</f>
        <v>-1901065.8856331031</v>
      </c>
      <c r="G179" s="7"/>
      <c r="H179" s="7">
        <f>E179+'A -Döviz'!H179</f>
        <v>-297545.65641543042</v>
      </c>
      <c r="I179" s="7">
        <f>F179+'A -Döviz'!I179</f>
        <v>-3989795.0296052219</v>
      </c>
      <c r="J179" s="7"/>
      <c r="K179" s="7">
        <f>H179+'A -Döviz'!K179</f>
        <v>-921318.76240837481</v>
      </c>
      <c r="L179" s="7">
        <f>I179+'A -Döviz'!L179</f>
        <v>-6593577.6128790788</v>
      </c>
      <c r="M179" s="7"/>
      <c r="N179" s="7">
        <f>K179+'A -Döviz'!N179</f>
        <v>-1060033.0957438643</v>
      </c>
      <c r="O179" s="7">
        <f>L179+'A -Döviz'!O179</f>
        <v>-7506295.0181057388</v>
      </c>
      <c r="P179" s="7"/>
      <c r="Q179" s="7">
        <f>N179+'A -Döviz'!Q179</f>
        <v>-1045547.1786503434</v>
      </c>
      <c r="R179" s="7">
        <f>O179+'A -Döviz'!R179</f>
        <v>-7567431.8220516602</v>
      </c>
      <c r="S179" s="7"/>
      <c r="T179" s="7">
        <f>Q179+'A -Döviz'!T179</f>
        <v>-1263699.1143381782</v>
      </c>
      <c r="U179" s="7">
        <f>R179+'A -Döviz'!U179</f>
        <v>-8373882.6862630975</v>
      </c>
      <c r="V179" s="7"/>
      <c r="W179" s="7">
        <f>T179+'A -Döviz'!W179</f>
        <v>-1463133.694059727</v>
      </c>
      <c r="X179" s="7">
        <f>U179+'A -Döviz'!X179</f>
        <v>-8811080.6283811275</v>
      </c>
      <c r="Y179" s="7"/>
      <c r="Z179" s="7">
        <f>W179+'A -Döviz'!Z179</f>
        <v>-1672877.1554291679</v>
      </c>
      <c r="AA179" s="7">
        <f>X179+'A -Döviz'!AA179</f>
        <v>-9453009.4636629093</v>
      </c>
      <c r="AB179" s="7"/>
      <c r="AC179" s="7">
        <f>Z179+'A -Döviz'!AC179</f>
        <v>-1879918.3513956766</v>
      </c>
      <c r="AD179" s="7">
        <f>AA179+'A -Döviz'!AD179</f>
        <v>-9453009.4636629093</v>
      </c>
      <c r="AE179" s="7"/>
      <c r="AF179" s="7">
        <f>AC179+'A -Döviz'!AF179</f>
        <v>-2067655.0342741895</v>
      </c>
      <c r="AG179" s="7">
        <f>AD179+'A -Döviz'!AG179</f>
        <v>-9453009.4636629093</v>
      </c>
      <c r="AH179" s="7"/>
      <c r="AI179" s="7">
        <f>AF179+'A -Döviz'!AI179</f>
        <v>-2238262.8488165969</v>
      </c>
      <c r="AJ179" s="7">
        <f>AG179+'A -Döviz'!AJ179</f>
        <v>-9453009.4636629093</v>
      </c>
      <c r="AK179" s="7"/>
      <c r="AL179" s="21">
        <f t="shared" si="121"/>
        <v>-7780132.3082337417</v>
      </c>
      <c r="AM179" s="22">
        <f t="shared" si="122"/>
        <v>4.650749329072994</v>
      </c>
      <c r="AO179" s="44">
        <f t="shared" si="123"/>
        <v>-1672877.1554291679</v>
      </c>
      <c r="AP179" s="44">
        <f t="shared" si="123"/>
        <v>-9453009.4636629093</v>
      </c>
    </row>
    <row r="180" spans="1:42" s="1" customFormat="1" ht="15.5">
      <c r="A180" s="26" t="s">
        <v>14</v>
      </c>
      <c r="B180" s="7">
        <f>'A -Döviz'!B180</f>
        <v>0</v>
      </c>
      <c r="C180" s="7">
        <f>'A -Döviz'!C180</f>
        <v>46095.972241476789</v>
      </c>
      <c r="D180" s="8"/>
      <c r="E180" s="7">
        <f>B180+'A -Döviz'!E180</f>
        <v>0</v>
      </c>
      <c r="F180" s="7">
        <f>C180+'A -Döviz'!F180</f>
        <v>124425.49827695491</v>
      </c>
      <c r="G180" s="8"/>
      <c r="H180" s="7">
        <f>E180+'A -Döviz'!H180</f>
        <v>0</v>
      </c>
      <c r="I180" s="7">
        <f>F180+'A -Döviz'!I180</f>
        <v>290696.35334104224</v>
      </c>
      <c r="J180" s="8"/>
      <c r="K180" s="7">
        <f>H180+'A -Döviz'!K180</f>
        <v>0</v>
      </c>
      <c r="L180" s="7">
        <f>I180+'A -Döviz'!L180</f>
        <v>414165.23617477866</v>
      </c>
      <c r="M180" s="8"/>
      <c r="N180" s="7">
        <f>K180+'A -Döviz'!N180</f>
        <v>0</v>
      </c>
      <c r="O180" s="7">
        <f>L180+'A -Döviz'!O180</f>
        <v>486341.00771245518</v>
      </c>
      <c r="P180" s="8"/>
      <c r="Q180" s="7">
        <f>N180+'A -Döviz'!Q180</f>
        <v>0</v>
      </c>
      <c r="R180" s="7">
        <f>O180+'A -Döviz'!R180</f>
        <v>584464.84090932936</v>
      </c>
      <c r="S180" s="8"/>
      <c r="T180" s="7">
        <f>Q180+'A -Döviz'!T180</f>
        <v>0</v>
      </c>
      <c r="U180" s="7">
        <f>R180+'A -Döviz'!U180</f>
        <v>623901.71003570454</v>
      </c>
      <c r="V180" s="8"/>
      <c r="W180" s="7">
        <f>T180+'A -Döviz'!W180</f>
        <v>0</v>
      </c>
      <c r="X180" s="7">
        <f>U180+'A -Döviz'!X180</f>
        <v>669708.01529389282</v>
      </c>
      <c r="Y180" s="8"/>
      <c r="Z180" s="7">
        <f>W180+'A -Döviz'!Z180</f>
        <v>0</v>
      </c>
      <c r="AA180" s="7">
        <f>X180+'A -Döviz'!AA180</f>
        <v>721617.97610108461</v>
      </c>
      <c r="AB180" s="8"/>
      <c r="AC180" s="7">
        <f>Z180+'A -Döviz'!AC180</f>
        <v>0</v>
      </c>
      <c r="AD180" s="7">
        <f>AA180+'A -Döviz'!AD180</f>
        <v>721617.97610108461</v>
      </c>
      <c r="AE180" s="8"/>
      <c r="AF180" s="7">
        <f>AC180+'A -Döviz'!AF180</f>
        <v>0</v>
      </c>
      <c r="AG180" s="7">
        <f>AD180+'A -Döviz'!AG180</f>
        <v>721617.97610108461</v>
      </c>
      <c r="AH180" s="8"/>
      <c r="AI180" s="7">
        <f>AF180+'A -Döviz'!AI180</f>
        <v>0</v>
      </c>
      <c r="AJ180" s="7">
        <f>AG180+'A -Döviz'!AJ180</f>
        <v>721617.97610108461</v>
      </c>
      <c r="AK180" s="8"/>
      <c r="AL180" s="21">
        <f t="shared" si="121"/>
        <v>721617.97610108461</v>
      </c>
      <c r="AM180" s="22" t="e">
        <f t="shared" si="122"/>
        <v>#DIV/0!</v>
      </c>
      <c r="AO180" s="44">
        <f t="shared" si="123"/>
        <v>0</v>
      </c>
      <c r="AP180" s="44">
        <f t="shared" si="123"/>
        <v>721617.97610108461</v>
      </c>
    </row>
    <row r="181" spans="1:42" ht="15.5">
      <c r="A181" s="26" t="s">
        <v>15</v>
      </c>
      <c r="B181" s="7">
        <f>'A -Döviz'!B181</f>
        <v>-149636.27596900001</v>
      </c>
      <c r="C181" s="7">
        <f>'A -Döviz'!C181</f>
        <v>-253203.69</v>
      </c>
      <c r="D181" s="7"/>
      <c r="E181" s="7">
        <f>B181+'A -Döviz'!E181</f>
        <v>-129981.62592599999</v>
      </c>
      <c r="F181" s="7">
        <f>C181+'A -Döviz'!F181</f>
        <v>465564.14000000007</v>
      </c>
      <c r="G181" s="7"/>
      <c r="H181" s="7">
        <f>E181+'A -Döviz'!H181</f>
        <v>-111278.997671</v>
      </c>
      <c r="I181" s="7">
        <f>F181+'A -Döviz'!I181</f>
        <v>390092.95000000007</v>
      </c>
      <c r="J181" s="7"/>
      <c r="K181" s="7">
        <f>H181+'A -Döviz'!K181</f>
        <v>-64525.750027000002</v>
      </c>
      <c r="L181" s="7">
        <f>I181+'A -Döviz'!L181</f>
        <v>769736.45</v>
      </c>
      <c r="M181" s="7"/>
      <c r="N181" s="7">
        <f>K181+'A -Döviz'!N181</f>
        <v>-20187.112792</v>
      </c>
      <c r="O181" s="7">
        <f>L181+'A -Döviz'!O181</f>
        <v>728953.49</v>
      </c>
      <c r="P181" s="7"/>
      <c r="Q181" s="7">
        <f>N181+'A -Döviz'!Q181</f>
        <v>14600.298791000001</v>
      </c>
      <c r="R181" s="7">
        <f>O181+'A -Döviz'!R181</f>
        <v>658078.71</v>
      </c>
      <c r="S181" s="7"/>
      <c r="T181" s="7">
        <f>Q181+'A -Döviz'!T181</f>
        <v>48236.171489</v>
      </c>
      <c r="U181" s="7">
        <f>R181+'A -Döviz'!U181</f>
        <v>339514.68</v>
      </c>
      <c r="V181" s="7"/>
      <c r="W181" s="7">
        <f>T181+'A -Döviz'!W181</f>
        <v>81085.220220999996</v>
      </c>
      <c r="X181" s="7">
        <f>U181+'A -Döviz'!X181</f>
        <v>-129227.65999999997</v>
      </c>
      <c r="Y181" s="7"/>
      <c r="Z181" s="7">
        <f>W181+'A -Döviz'!Z181</f>
        <v>110333.48676</v>
      </c>
      <c r="AA181" s="7">
        <f>X181+'A -Döviz'!AA181</f>
        <v>-63283.819999999978</v>
      </c>
      <c r="AB181" s="7"/>
      <c r="AC181" s="7">
        <f>Z181+'A -Döviz'!AC181</f>
        <v>138154.24899699999</v>
      </c>
      <c r="AD181" s="7">
        <f>AA181+'A -Döviz'!AD181</f>
        <v>-63283.819999999978</v>
      </c>
      <c r="AE181" s="7"/>
      <c r="AF181" s="7">
        <f>AC181+'A -Döviz'!AF181</f>
        <v>161956.05554599999</v>
      </c>
      <c r="AG181" s="7">
        <f>AD181+'A -Döviz'!AG181</f>
        <v>-63283.819999999978</v>
      </c>
      <c r="AH181" s="7"/>
      <c r="AI181" s="7">
        <f>AF181+'A -Döviz'!AI181</f>
        <v>185415.88725699999</v>
      </c>
      <c r="AJ181" s="7">
        <f>AG181+'A -Döviz'!AJ181</f>
        <v>-63283.819999999978</v>
      </c>
      <c r="AK181" s="7"/>
      <c r="AL181" s="21">
        <f t="shared" si="121"/>
        <v>-173617.30675999998</v>
      </c>
      <c r="AM181" s="22">
        <f t="shared" si="122"/>
        <v>-1.5735685679693638</v>
      </c>
      <c r="AO181" s="44">
        <f t="shared" si="123"/>
        <v>110333.48676</v>
      </c>
      <c r="AP181" s="44">
        <f t="shared" si="123"/>
        <v>-63283.819999999978</v>
      </c>
    </row>
    <row r="182" spans="1:42" ht="15.5">
      <c r="A182" s="26" t="s">
        <v>16</v>
      </c>
      <c r="B182" s="7">
        <f>'A -Döviz'!B182</f>
        <v>-27437.962759999999</v>
      </c>
      <c r="C182" s="7">
        <f>'A -Döviz'!C182</f>
        <v>-371625.15999999992</v>
      </c>
      <c r="D182" s="7"/>
      <c r="E182" s="7">
        <f>B182+'A -Döviz'!E182</f>
        <v>-24207.462863000001</v>
      </c>
      <c r="F182" s="7">
        <f>C182+'A -Döviz'!F182</f>
        <v>-642296.77</v>
      </c>
      <c r="G182" s="7"/>
      <c r="H182" s="7">
        <f>E182+'A -Döviz'!H182</f>
        <v>-21431.633102</v>
      </c>
      <c r="I182" s="7">
        <f>F182+'A -Döviz'!I182</f>
        <v>-1162397.57</v>
      </c>
      <c r="J182" s="7"/>
      <c r="K182" s="7">
        <f>H182+'A -Döviz'!K182</f>
        <v>-19259.096159000001</v>
      </c>
      <c r="L182" s="7">
        <f>I182+'A -Döviz'!L182</f>
        <v>-3379986.1800000006</v>
      </c>
      <c r="M182" s="7"/>
      <c r="N182" s="7">
        <f>K182+'A -Döviz'!N182</f>
        <v>-17365.426927</v>
      </c>
      <c r="O182" s="7">
        <f>L182+'A -Döviz'!O182</f>
        <v>-3735906.5900000003</v>
      </c>
      <c r="P182" s="7"/>
      <c r="Q182" s="7">
        <f>N182+'A -Döviz'!Q182</f>
        <v>-16149.978126</v>
      </c>
      <c r="R182" s="7">
        <f>O182+'A -Döviz'!R182</f>
        <v>-5034030.0999999996</v>
      </c>
      <c r="S182" s="7"/>
      <c r="T182" s="7">
        <f>Q182+'A -Döviz'!T182</f>
        <v>-15196.684949</v>
      </c>
      <c r="U182" s="7">
        <f>R182+'A -Döviz'!U182</f>
        <v>-5095903.37</v>
      </c>
      <c r="V182" s="7"/>
      <c r="W182" s="7">
        <f>T182+'A -Döviz'!W182</f>
        <v>-14353.891374000001</v>
      </c>
      <c r="X182" s="7">
        <f>U182+'A -Döviz'!X182</f>
        <v>-5624812.6299999999</v>
      </c>
      <c r="Y182" s="7"/>
      <c r="Z182" s="7">
        <f>W182+'A -Döviz'!Z182</f>
        <v>-12639.796113</v>
      </c>
      <c r="AA182" s="7">
        <f>X182+'A -Döviz'!AA182</f>
        <v>-5964205.4199999999</v>
      </c>
      <c r="AB182" s="7"/>
      <c r="AC182" s="7">
        <f>Z182+'A -Döviz'!AC182</f>
        <v>-10738.702357</v>
      </c>
      <c r="AD182" s="7">
        <f>AA182+'A -Döviz'!AD182</f>
        <v>-5964205.4199999999</v>
      </c>
      <c r="AE182" s="7"/>
      <c r="AF182" s="7">
        <f>AC182+'A -Döviz'!AF182</f>
        <v>-8997.1664610000007</v>
      </c>
      <c r="AG182" s="7">
        <f>AD182+'A -Döviz'!AG182</f>
        <v>-5964205.4199999999</v>
      </c>
      <c r="AH182" s="7"/>
      <c r="AI182" s="7">
        <f>AF182+'A -Döviz'!AI182</f>
        <v>-7483.0236530000002</v>
      </c>
      <c r="AJ182" s="7">
        <f>AG182+'A -Döviz'!AJ182</f>
        <v>-5964205.4199999999</v>
      </c>
      <c r="AK182" s="7"/>
      <c r="AL182" s="21">
        <f t="shared" si="121"/>
        <v>-5951565.6238869997</v>
      </c>
      <c r="AM182" s="22">
        <f t="shared" si="122"/>
        <v>470.85930585271296</v>
      </c>
      <c r="AO182" s="44">
        <f t="shared" si="123"/>
        <v>-12639.796113</v>
      </c>
      <c r="AP182" s="44">
        <f t="shared" si="123"/>
        <v>-5964205.4199999999</v>
      </c>
    </row>
    <row r="183" spans="1:42" ht="15.5">
      <c r="A183" s="26" t="s">
        <v>17</v>
      </c>
      <c r="B183" s="7">
        <f>'A -Döviz'!B183</f>
        <v>0</v>
      </c>
      <c r="C183" s="7">
        <f>'A -Döviz'!C183</f>
        <v>-113550.16</v>
      </c>
      <c r="D183" s="7"/>
      <c r="E183" s="7">
        <f>B183+'A -Döviz'!E183</f>
        <v>0</v>
      </c>
      <c r="F183" s="7">
        <f>C183+'A -Döviz'!F183</f>
        <v>-248776.01</v>
      </c>
      <c r="G183" s="7"/>
      <c r="H183" s="7">
        <f>E183+'A -Döviz'!H183</f>
        <v>0</v>
      </c>
      <c r="I183" s="7">
        <f>F183+'A -Döviz'!I183</f>
        <v>-294500.09000000003</v>
      </c>
      <c r="J183" s="7"/>
      <c r="K183" s="7">
        <f>H183+'A -Döviz'!K183</f>
        <v>0</v>
      </c>
      <c r="L183" s="7">
        <f>I183+'A -Döviz'!L183</f>
        <v>-265547.26</v>
      </c>
      <c r="M183" s="7"/>
      <c r="N183" s="7">
        <f>K183+'A -Döviz'!N183</f>
        <v>0</v>
      </c>
      <c r="O183" s="7">
        <f>L183+'A -Döviz'!O183</f>
        <v>-435623.14</v>
      </c>
      <c r="P183" s="7"/>
      <c r="Q183" s="7">
        <f>N183+'A -Döviz'!Q183</f>
        <v>0</v>
      </c>
      <c r="R183" s="7">
        <f>O183+'A -Döviz'!R183</f>
        <v>-394235.37</v>
      </c>
      <c r="S183" s="7"/>
      <c r="T183" s="7">
        <f>Q183+'A -Döviz'!T183</f>
        <v>0</v>
      </c>
      <c r="U183" s="7">
        <f>R183+'A -Döviz'!U183</f>
        <v>-610059.62</v>
      </c>
      <c r="V183" s="7"/>
      <c r="W183" s="7">
        <f>T183+'A -Döviz'!W183</f>
        <v>0</v>
      </c>
      <c r="X183" s="7">
        <f>U183+'A -Döviz'!X183</f>
        <v>-440352.44</v>
      </c>
      <c r="Y183" s="7"/>
      <c r="Z183" s="7">
        <f>W183+'A -Döviz'!Z183</f>
        <v>0</v>
      </c>
      <c r="AA183" s="7">
        <f>X183+'A -Döviz'!AA183</f>
        <v>-315091</v>
      </c>
      <c r="AB183" s="7"/>
      <c r="AC183" s="7">
        <f>Z183+'A -Döviz'!AC183</f>
        <v>0</v>
      </c>
      <c r="AD183" s="7">
        <f>AA183+'A -Döviz'!AD183</f>
        <v>-315091</v>
      </c>
      <c r="AE183" s="7"/>
      <c r="AF183" s="7">
        <f>AC183+'A -Döviz'!AF183</f>
        <v>0</v>
      </c>
      <c r="AG183" s="7">
        <f>AD183+'A -Döviz'!AG183</f>
        <v>-315091</v>
      </c>
      <c r="AH183" s="7"/>
      <c r="AI183" s="7">
        <f>AF183+'A -Döviz'!AI183</f>
        <v>0</v>
      </c>
      <c r="AJ183" s="7">
        <f>AG183+'A -Döviz'!AJ183</f>
        <v>-315091</v>
      </c>
      <c r="AK183" s="7"/>
      <c r="AL183" s="21">
        <f t="shared" si="121"/>
        <v>-315091</v>
      </c>
      <c r="AM183" s="22" t="e">
        <f t="shared" si="122"/>
        <v>#DIV/0!</v>
      </c>
      <c r="AO183" s="44">
        <f t="shared" si="123"/>
        <v>0</v>
      </c>
      <c r="AP183" s="44">
        <f t="shared" si="123"/>
        <v>-315091</v>
      </c>
    </row>
    <row r="184" spans="1:42" s="13" customFormat="1" ht="15.5">
      <c r="A184" s="26"/>
      <c r="B184" s="12"/>
      <c r="C184" s="30"/>
      <c r="D184" s="41"/>
      <c r="E184" s="12"/>
      <c r="F184" s="30"/>
      <c r="G184" s="41"/>
      <c r="H184" s="12"/>
      <c r="I184" s="30"/>
      <c r="J184" s="41"/>
      <c r="K184" s="12"/>
      <c r="L184" s="30"/>
      <c r="M184" s="41"/>
      <c r="N184" s="12"/>
      <c r="O184" s="30"/>
      <c r="P184" s="41"/>
      <c r="Q184" s="12"/>
      <c r="R184" s="30"/>
      <c r="S184" s="41"/>
      <c r="T184" s="12"/>
      <c r="U184" s="30"/>
      <c r="V184" s="41"/>
      <c r="W184" s="12"/>
      <c r="X184" s="30"/>
      <c r="Y184" s="41"/>
      <c r="Z184" s="12"/>
      <c r="AA184" s="30"/>
      <c r="AB184" s="41"/>
      <c r="AC184" s="12"/>
      <c r="AD184" s="30"/>
      <c r="AE184" s="41"/>
      <c r="AF184" s="12"/>
      <c r="AG184" s="30"/>
      <c r="AH184" s="41"/>
      <c r="AI184" s="12"/>
      <c r="AJ184" s="30"/>
      <c r="AK184" s="41"/>
      <c r="AL184" s="15"/>
      <c r="AM184" s="22"/>
      <c r="AO184" s="44"/>
      <c r="AP184" s="44"/>
    </row>
    <row r="185" spans="1:42" s="13" customFormat="1" ht="15.5">
      <c r="A185" s="26"/>
      <c r="B185" s="12"/>
      <c r="C185" s="30"/>
      <c r="D185" s="41"/>
      <c r="E185" s="12"/>
      <c r="F185" s="30"/>
      <c r="G185" s="41"/>
      <c r="H185" s="12"/>
      <c r="I185" s="30"/>
      <c r="J185" s="41"/>
      <c r="K185" s="12"/>
      <c r="L185" s="30"/>
      <c r="M185" s="41"/>
      <c r="N185" s="12"/>
      <c r="O185" s="30"/>
      <c r="P185" s="41"/>
      <c r="Q185" s="12"/>
      <c r="R185" s="30"/>
      <c r="S185" s="41"/>
      <c r="T185" s="12"/>
      <c r="U185" s="30"/>
      <c r="V185" s="41"/>
      <c r="W185" s="12"/>
      <c r="X185" s="30"/>
      <c r="Y185" s="41"/>
      <c r="Z185" s="12"/>
      <c r="AA185" s="30"/>
      <c r="AB185" s="41"/>
      <c r="AC185" s="12"/>
      <c r="AD185" s="30"/>
      <c r="AE185" s="41"/>
      <c r="AF185" s="12"/>
      <c r="AG185" s="30"/>
      <c r="AH185" s="41"/>
      <c r="AI185" s="12"/>
      <c r="AJ185" s="30"/>
      <c r="AK185" s="41"/>
      <c r="AL185" s="15"/>
      <c r="AM185" s="22"/>
      <c r="AO185" s="44"/>
      <c r="AP185" s="44"/>
    </row>
    <row r="186" spans="1:42" s="44" customFormat="1" ht="15.5">
      <c r="A186" s="31" t="s">
        <v>80</v>
      </c>
      <c r="B186" s="32">
        <f>'A -Döviz'!B186</f>
        <v>1557792.4278231608</v>
      </c>
      <c r="C186" s="32">
        <f>'A -Döviz'!C186</f>
        <v>1058880.6053065835</v>
      </c>
      <c r="D186" s="18"/>
      <c r="E186" s="32">
        <f>B186+'A -Döviz'!E186</f>
        <v>3235080.992934118</v>
      </c>
      <c r="F186" s="32">
        <f>C186+'A -Döviz'!F186</f>
        <v>2390745.4932825337</v>
      </c>
      <c r="G186" s="18"/>
      <c r="H186" s="32">
        <f>E186+'A -Döviz'!H186</f>
        <v>5538870.6530885436</v>
      </c>
      <c r="I186" s="32">
        <f>F186+'A -Döviz'!I186</f>
        <v>3212569.8185397424</v>
      </c>
      <c r="J186" s="18"/>
      <c r="K186" s="32">
        <f>H186+'A -Döviz'!K186</f>
        <v>6763289.640632391</v>
      </c>
      <c r="L186" s="32">
        <f>I186+'A -Döviz'!L186</f>
        <v>2939466.1502381833</v>
      </c>
      <c r="M186" s="18"/>
      <c r="N186" s="32">
        <f>K186+'A -Döviz'!N186</f>
        <v>9276440.0610101428</v>
      </c>
      <c r="O186" s="32">
        <f>L186+'A -Döviz'!O186</f>
        <v>4172333.4382485254</v>
      </c>
      <c r="P186" s="18"/>
      <c r="Q186" s="32">
        <f>N186+'A -Döviz'!Q186</f>
        <v>11485180.591398075</v>
      </c>
      <c r="R186" s="32">
        <f>O186+'A -Döviz'!R186</f>
        <v>4064221.212598647</v>
      </c>
      <c r="S186" s="18"/>
      <c r="T186" s="32">
        <f>Q186+'A -Döviz'!T186</f>
        <v>13700221.037039038</v>
      </c>
      <c r="U186" s="32">
        <f>R186+'A -Döviz'!U186</f>
        <v>4857118.9011595901</v>
      </c>
      <c r="V186" s="18"/>
      <c r="W186" s="32">
        <f>T186+'A -Döviz'!W186</f>
        <v>14634508.435132647</v>
      </c>
      <c r="X186" s="32">
        <f>U186+'A -Döviz'!X186</f>
        <v>5149170.4824900413</v>
      </c>
      <c r="Y186" s="18"/>
      <c r="Z186" s="32">
        <f>W186+'A -Döviz'!Z186</f>
        <v>18484046.08339012</v>
      </c>
      <c r="AA186" s="32">
        <f>X186+'A -Döviz'!AA186</f>
        <v>7886101.5742503833</v>
      </c>
      <c r="AB186" s="18"/>
      <c r="AC186" s="32">
        <f>Z186+'A -Döviz'!AC186</f>
        <v>21919939.044650961</v>
      </c>
      <c r="AD186" s="32">
        <f>AA186+'A -Döviz'!AD186</f>
        <v>7886101.5742503833</v>
      </c>
      <c r="AE186" s="18"/>
      <c r="AF186" s="32">
        <f>AC186+'A -Döviz'!AF186</f>
        <v>25292708.137864769</v>
      </c>
      <c r="AG186" s="32">
        <f>AD186+'A -Döviz'!AG186</f>
        <v>7886101.5742503833</v>
      </c>
      <c r="AH186" s="18"/>
      <c r="AI186" s="32">
        <f>AF186+'A -Döviz'!AI186</f>
        <v>27464834.076917421</v>
      </c>
      <c r="AJ186" s="32">
        <f>AG186+'A -Döviz'!AJ186</f>
        <v>7886101.5742503833</v>
      </c>
      <c r="AK186" s="18"/>
      <c r="AL186" s="33">
        <f>AP186-AO186</f>
        <v>-10597944.509139737</v>
      </c>
      <c r="AM186" s="34">
        <f>AP186/AO186-1</f>
        <v>-0.57335631286177735</v>
      </c>
      <c r="AO186" s="44">
        <f>IF($A$1=$B$1,B186,IF($A$1=$E$1,E186,IF($A$1=$H$1,H186,IF($A$1=$K$1,K186,IF($A$1=$N$1,N186,IF($A$1=$Q$1,Q186,IF($A$1=$T$1,T186,IF($A$1=$W$1,W186,IF($A$1=$Z$1,Z186,IF($A$1=$AC$1,AC186,IF($A$1=$AF$1,AF186,IF($A$1=$AI$1,AI186))))))))))))</f>
        <v>18484046.08339012</v>
      </c>
      <c r="AP186" s="44">
        <f>IF($A$1=$B$1,C186,IF($A$1=$E$1,F186,IF($A$1=$H$1,I186,IF($A$1=$K$1,L186,IF($A$1=$N$1,O186,IF($A$1=$Q$1,R186,IF($A$1=$T$1,U186,IF($A$1=$W$1,X186,IF($A$1=$Z$1,AA186,IF($A$1=$AC$1,AD186,IF($A$1=$AF$1,AG186,IF($A$1=$AI$1,AJ186))))))))))))</f>
        <v>7886101.5742503833</v>
      </c>
    </row>
    <row r="187" spans="1:42" s="13" customFormat="1" ht="15.5">
      <c r="A187" s="27"/>
      <c r="B187" s="30"/>
      <c r="C187" s="30"/>
      <c r="D187" s="41"/>
      <c r="E187" s="30"/>
      <c r="F187" s="30"/>
      <c r="G187" s="41"/>
      <c r="H187" s="30"/>
      <c r="I187" s="30"/>
      <c r="J187" s="41"/>
      <c r="K187" s="30"/>
      <c r="L187" s="30"/>
      <c r="M187" s="41"/>
      <c r="N187" s="30"/>
      <c r="O187" s="30"/>
      <c r="P187" s="41"/>
      <c r="Q187" s="30"/>
      <c r="R187" s="30"/>
      <c r="S187" s="41"/>
      <c r="T187" s="30"/>
      <c r="U187" s="30"/>
      <c r="V187" s="41"/>
      <c r="W187" s="30"/>
      <c r="X187" s="30"/>
      <c r="Y187" s="41"/>
      <c r="Z187" s="30"/>
      <c r="AA187" s="30"/>
      <c r="AB187" s="41"/>
      <c r="AC187" s="30"/>
      <c r="AD187" s="30"/>
      <c r="AE187" s="41"/>
      <c r="AF187" s="30"/>
      <c r="AG187" s="30"/>
      <c r="AH187" s="41"/>
      <c r="AI187" s="30"/>
      <c r="AJ187" s="30"/>
      <c r="AK187" s="41"/>
      <c r="AL187" s="15"/>
      <c r="AM187" s="22"/>
      <c r="AO187" s="44">
        <f>IF($A$1=$B$1,B187,IF($A$1=$E$1,E187,IF($A$1=$H$1,H187,IF($A$1=$K$1,K187,IF($A$1=$N$1,N187,IF($A$1=$Q$1,Q187,IF($A$1=$T$1,T187,IF($A$1=$W$1,W187,IF($A$1=$Z$1,Z187,IF($A$1=$AC$1,AC187,IF($A$1=$AF$1,AF187,IF($A$1=$AI$1,AI187))))))))))))</f>
        <v>0</v>
      </c>
      <c r="AP187" s="44">
        <f>IF($A$1=$B$1,C187,IF($A$1=$E$1,F187,IF($A$1=$H$1,I187,IF($A$1=$K$1,L187,IF($A$1=$N$1,O187,IF($A$1=$Q$1,R187,IF($A$1=$T$1,U187,IF($A$1=$W$1,X187,IF($A$1=$Z$1,AA187,IF($A$1=$AC$1,AD187,IF($A$1=$AF$1,AG187,IF($A$1=$AI$1,AJ187))))))))))))</f>
        <v>0</v>
      </c>
    </row>
    <row r="188" spans="1:42" s="49" customFormat="1" ht="17">
      <c r="A188" s="47" t="s">
        <v>81</v>
      </c>
      <c r="B188" s="413"/>
      <c r="C188" s="413"/>
      <c r="D188" s="413"/>
      <c r="E188" s="413"/>
      <c r="F188" s="413"/>
      <c r="G188" s="413"/>
      <c r="H188" s="413"/>
      <c r="I188" s="413"/>
      <c r="J188" s="413"/>
      <c r="K188" s="413"/>
      <c r="L188" s="413"/>
      <c r="M188" s="413"/>
      <c r="N188" s="413"/>
      <c r="O188" s="413"/>
      <c r="P188" s="413"/>
      <c r="Q188" s="413"/>
      <c r="R188" s="413"/>
      <c r="S188" s="413"/>
      <c r="T188" s="413"/>
      <c r="U188" s="413"/>
      <c r="V188" s="413"/>
      <c r="W188" s="413"/>
      <c r="X188" s="413"/>
      <c r="Y188" s="413"/>
      <c r="Z188" s="413"/>
      <c r="AA188" s="413"/>
      <c r="AB188" s="413"/>
      <c r="AC188" s="413"/>
      <c r="AD188" s="413"/>
      <c r="AE188" s="413"/>
      <c r="AF188" s="413"/>
      <c r="AG188" s="413"/>
      <c r="AH188" s="413"/>
      <c r="AI188" s="413"/>
      <c r="AJ188" s="413"/>
      <c r="AK188" s="413"/>
      <c r="AL188" s="413"/>
      <c r="AM188" s="48"/>
    </row>
    <row r="189" spans="1:42" ht="15.5">
      <c r="A189" s="26" t="s">
        <v>10</v>
      </c>
      <c r="B189" s="7">
        <f>'A -Döviz'!B189</f>
        <v>345823.85472991527</v>
      </c>
      <c r="C189" s="7">
        <f>'A -Döviz'!C189</f>
        <v>182440.18016698389</v>
      </c>
      <c r="D189" s="7"/>
      <c r="E189" s="7">
        <f>B189+'A -Döviz'!E189</f>
        <v>632842.35380652535</v>
      </c>
      <c r="F189" s="7">
        <f>C189+'A -Döviz'!F189</f>
        <v>643099.45520448219</v>
      </c>
      <c r="G189" s="7"/>
      <c r="H189" s="7">
        <f>E189+'A -Döviz'!H189</f>
        <v>907968.66064294474</v>
      </c>
      <c r="I189" s="7">
        <f>F189+'A -Döviz'!I189</f>
        <v>1469387.6139956224</v>
      </c>
      <c r="J189" s="7"/>
      <c r="K189" s="7">
        <f>H189+'A -Döviz'!K189</f>
        <v>1189269.7330708862</v>
      </c>
      <c r="L189" s="7">
        <f>I189+'A -Döviz'!L189</f>
        <v>1972049.2355466234</v>
      </c>
      <c r="M189" s="7"/>
      <c r="N189" s="7">
        <f>K189+'A -Döviz'!N189</f>
        <v>1486549.8007971379</v>
      </c>
      <c r="O189" s="7">
        <f>L189+'A -Döviz'!O189</f>
        <v>2285774.0331877368</v>
      </c>
      <c r="P189" s="7"/>
      <c r="Q189" s="7">
        <f>N189+'A -Döviz'!Q189</f>
        <v>1806887.3465781878</v>
      </c>
      <c r="R189" s="7">
        <f>O189+'A -Döviz'!R189</f>
        <v>2527682.5497643286</v>
      </c>
      <c r="S189" s="7"/>
      <c r="T189" s="7">
        <f>Q189+'A -Döviz'!T189</f>
        <v>2139587.5810113549</v>
      </c>
      <c r="U189" s="7">
        <f>R189+'A -Döviz'!U189</f>
        <v>2761142.8241333831</v>
      </c>
      <c r="V189" s="7"/>
      <c r="W189" s="7">
        <f>T189+'A -Döviz'!W189</f>
        <v>2404365.2156663267</v>
      </c>
      <c r="X189" s="7">
        <f>U189+'A -Döviz'!X189</f>
        <v>3052580.5157935666</v>
      </c>
      <c r="Y189" s="7"/>
      <c r="Z189" s="7">
        <f>W189+'A -Döviz'!Z189</f>
        <v>2845117.2250084104</v>
      </c>
      <c r="AA189" s="7">
        <f>X189+'A -Döviz'!AA189</f>
        <v>3558215.6858825134</v>
      </c>
      <c r="AB189" s="7"/>
      <c r="AC189" s="7">
        <f>Z189+'A -Döviz'!AC189</f>
        <v>3237799.1896218206</v>
      </c>
      <c r="AD189" s="7">
        <f>AA189+'A -Döviz'!AD189</f>
        <v>3558215.6858825134</v>
      </c>
      <c r="AE189" s="7"/>
      <c r="AF189" s="7">
        <f>AC189+'A -Döviz'!AF189</f>
        <v>3587678.676056467</v>
      </c>
      <c r="AG189" s="7">
        <f>AD189+'A -Döviz'!AG189</f>
        <v>3558215.6858825134</v>
      </c>
      <c r="AH189" s="7"/>
      <c r="AI189" s="7">
        <f>AF189+'A -Döviz'!AI189</f>
        <v>3394847.3664340572</v>
      </c>
      <c r="AJ189" s="7">
        <f>AG189+'A -Döviz'!AJ189</f>
        <v>3558215.6858825134</v>
      </c>
      <c r="AK189" s="7"/>
      <c r="AL189" s="21">
        <f t="shared" ref="AL189:AL196" si="124">AP189-AO189</f>
        <v>713098.46087410301</v>
      </c>
      <c r="AM189" s="22">
        <f t="shared" ref="AM189:AM196" si="125">AP189/AO189-1</f>
        <v>0.25063939531419299</v>
      </c>
      <c r="AO189" s="44">
        <f t="shared" ref="AO189:AP196" si="126">IF($A$1=$B$1,B189,IF($A$1=$E$1,E189,IF($A$1=$H$1,H189,IF($A$1=$K$1,K189,IF($A$1=$N$1,N189,IF($A$1=$Q$1,Q189,IF($A$1=$T$1,T189,IF($A$1=$W$1,W189,IF($A$1=$Z$1,Z189,IF($A$1=$AC$1,AC189,IF($A$1=$AF$1,AF189,IF($A$1=$AI$1,AI189))))))))))))</f>
        <v>2845117.2250084104</v>
      </c>
      <c r="AP189" s="44">
        <f t="shared" si="126"/>
        <v>3558215.6858825134</v>
      </c>
    </row>
    <row r="190" spans="1:42" ht="15.5">
      <c r="A190" s="26" t="s">
        <v>11</v>
      </c>
      <c r="B190" s="7">
        <f>'A -Döviz'!B190</f>
        <v>-36913.046813894987</v>
      </c>
      <c r="C190" s="7">
        <f>'A -Döviz'!C190</f>
        <v>-73693.558753775273</v>
      </c>
      <c r="D190" s="7"/>
      <c r="E190" s="7">
        <f>B190+'A -Döviz'!E190</f>
        <v>41105.147393670493</v>
      </c>
      <c r="F190" s="7">
        <f>C190+'A -Döviz'!F190</f>
        <v>-87977.984534527874</v>
      </c>
      <c r="G190" s="7"/>
      <c r="H190" s="7">
        <f>E190+'A -Döviz'!H190</f>
        <v>138762.90776939373</v>
      </c>
      <c r="I190" s="7">
        <f>F190+'A -Döviz'!I190</f>
        <v>-152763.18892145914</v>
      </c>
      <c r="J190" s="7"/>
      <c r="K190" s="7">
        <f>H190+'A -Döviz'!K190</f>
        <v>304157.24335657805</v>
      </c>
      <c r="L190" s="7">
        <f>I190+'A -Döviz'!L190</f>
        <v>-78191.38420023417</v>
      </c>
      <c r="M190" s="7"/>
      <c r="N190" s="7">
        <f>K190+'A -Döviz'!N190</f>
        <v>511092.42031025176</v>
      </c>
      <c r="O190" s="7">
        <f>L190+'A -Döviz'!O190</f>
        <v>-189751.33084647142</v>
      </c>
      <c r="P190" s="7"/>
      <c r="Q190" s="7">
        <f>N190+'A -Döviz'!Q190</f>
        <v>698741.32594753022</v>
      </c>
      <c r="R190" s="7">
        <f>O190+'A -Döviz'!R190</f>
        <v>-581157.48394439626</v>
      </c>
      <c r="S190" s="7"/>
      <c r="T190" s="7">
        <f>Q190+'A -Döviz'!T190</f>
        <v>840488.63142547477</v>
      </c>
      <c r="U190" s="7">
        <f>R190+'A -Döviz'!U190</f>
        <v>-625969.87529082864</v>
      </c>
      <c r="V190" s="7"/>
      <c r="W190" s="7">
        <f>T190+'A -Döviz'!W190</f>
        <v>869411.54088989412</v>
      </c>
      <c r="X190" s="7">
        <f>U190+'A -Döviz'!X190</f>
        <v>-796196.03951190948</v>
      </c>
      <c r="Y190" s="7"/>
      <c r="Z190" s="7">
        <f>W190+'A -Döviz'!Z190</f>
        <v>927251.809479004</v>
      </c>
      <c r="AA190" s="7">
        <f>X190+'A -Döviz'!AA190</f>
        <v>-980415.17787143867</v>
      </c>
      <c r="AB190" s="7"/>
      <c r="AC190" s="7">
        <f>Z190+'A -Döviz'!AC190</f>
        <v>942782.77657915978</v>
      </c>
      <c r="AD190" s="7">
        <f>AA190+'A -Döviz'!AD190</f>
        <v>-980415.17787143867</v>
      </c>
      <c r="AE190" s="7"/>
      <c r="AF190" s="7">
        <f>AC190+'A -Döviz'!AF190</f>
        <v>930936.21806318162</v>
      </c>
      <c r="AG190" s="7">
        <f>AD190+'A -Döviz'!AG190</f>
        <v>-980415.17787143867</v>
      </c>
      <c r="AH190" s="7"/>
      <c r="AI190" s="7">
        <f>AF190+'A -Döviz'!AI190</f>
        <v>880651.7703748421</v>
      </c>
      <c r="AJ190" s="7">
        <f>AG190+'A -Döviz'!AJ190</f>
        <v>-980415.17787143867</v>
      </c>
      <c r="AK190" s="7"/>
      <c r="AL190" s="21">
        <f t="shared" si="124"/>
        <v>-1907666.9873504427</v>
      </c>
      <c r="AM190" s="22">
        <f t="shared" si="125"/>
        <v>-2.0573343377159929</v>
      </c>
      <c r="AO190" s="44">
        <f t="shared" si="126"/>
        <v>927251.809479004</v>
      </c>
      <c r="AP190" s="44">
        <f t="shared" si="126"/>
        <v>-980415.17787143867</v>
      </c>
    </row>
    <row r="191" spans="1:42" ht="15.5">
      <c r="A191" s="26" t="s">
        <v>12</v>
      </c>
      <c r="B191" s="7">
        <f>'A -Döviz'!B191</f>
        <v>-93627.604379739729</v>
      </c>
      <c r="C191" s="7">
        <f>'A -Döviz'!C191</f>
        <v>1204.6388247031234</v>
      </c>
      <c r="D191" s="7"/>
      <c r="E191" s="7">
        <f>B191+'A -Döviz'!E191</f>
        <v>-146847.47360102611</v>
      </c>
      <c r="F191" s="7">
        <f>C191+'A -Döviz'!F191</f>
        <v>3328.9502216845021</v>
      </c>
      <c r="G191" s="7"/>
      <c r="H191" s="7">
        <f>E191+'A -Döviz'!H191</f>
        <v>-144473.61651196933</v>
      </c>
      <c r="I191" s="7">
        <f>F191+'A -Döviz'!I191</f>
        <v>-25283.725862586616</v>
      </c>
      <c r="J191" s="7"/>
      <c r="K191" s="7">
        <f>H191+'A -Döviz'!K191</f>
        <v>-147352.180036267</v>
      </c>
      <c r="L191" s="7">
        <f>I191+'A -Döviz'!L191</f>
        <v>-41685.878223925552</v>
      </c>
      <c r="M191" s="7"/>
      <c r="N191" s="7">
        <f>K191+'A -Döviz'!N191</f>
        <v>-90173.009504936228</v>
      </c>
      <c r="O191" s="7">
        <f>L191+'A -Döviz'!O191</f>
        <v>-31194.490995098204</v>
      </c>
      <c r="P191" s="7"/>
      <c r="Q191" s="7">
        <f>N191+'A -Döviz'!Q191</f>
        <v>-33489.046740958875</v>
      </c>
      <c r="R191" s="7">
        <f>O191+'A -Döviz'!R191</f>
        <v>-60596.835291816926</v>
      </c>
      <c r="S191" s="7"/>
      <c r="T191" s="7">
        <f>Q191+'A -Döviz'!T191</f>
        <v>47423.564236043807</v>
      </c>
      <c r="U191" s="7">
        <f>R191+'A -Döviz'!U191</f>
        <v>-97054.19358962946</v>
      </c>
      <c r="V191" s="7"/>
      <c r="W191" s="7">
        <f>T191+'A -Döviz'!W191</f>
        <v>98759.993684436689</v>
      </c>
      <c r="X191" s="7">
        <f>U191+'A -Döviz'!X191</f>
        <v>-125879.86615769495</v>
      </c>
      <c r="Y191" s="7"/>
      <c r="Z191" s="7">
        <f>W191+'A -Döviz'!Z191</f>
        <v>131513.63983756976</v>
      </c>
      <c r="AA191" s="7">
        <f>X191+'A -Döviz'!AA191</f>
        <v>-98697.156180772057</v>
      </c>
      <c r="AB191" s="7"/>
      <c r="AC191" s="7">
        <f>Z191+'A -Döviz'!AC191</f>
        <v>184588.54503587339</v>
      </c>
      <c r="AD191" s="7">
        <f>AA191+'A -Döviz'!AD191</f>
        <v>-98697.156180772057</v>
      </c>
      <c r="AE191" s="7"/>
      <c r="AF191" s="7">
        <f>AC191+'A -Döviz'!AF191</f>
        <v>256427.59716882539</v>
      </c>
      <c r="AG191" s="7">
        <f>AD191+'A -Döviz'!AG191</f>
        <v>-98697.156180772057</v>
      </c>
      <c r="AH191" s="7"/>
      <c r="AI191" s="7">
        <f>AF191+'A -Döviz'!AI191</f>
        <v>259560.10383272616</v>
      </c>
      <c r="AJ191" s="7">
        <f>AG191+'A -Döviz'!AJ191</f>
        <v>-98697.156180772057</v>
      </c>
      <c r="AK191" s="7"/>
      <c r="AL191" s="21">
        <f t="shared" si="124"/>
        <v>-230210.79601834182</v>
      </c>
      <c r="AM191" s="22">
        <f t="shared" si="125"/>
        <v>-1.7504708736118264</v>
      </c>
      <c r="AO191" s="44">
        <f t="shared" si="126"/>
        <v>131513.63983756976</v>
      </c>
      <c r="AP191" s="44">
        <f t="shared" si="126"/>
        <v>-98697.156180772057</v>
      </c>
    </row>
    <row r="192" spans="1:42" ht="15.5">
      <c r="A192" s="26" t="s">
        <v>13</v>
      </c>
      <c r="B192" s="7">
        <f>'A -Döviz'!B192</f>
        <v>-527081.70726080437</v>
      </c>
      <c r="C192" s="7">
        <f>'A -Döviz'!C192</f>
        <v>-1621012.5429157447</v>
      </c>
      <c r="D192" s="7"/>
      <c r="E192" s="7">
        <f>B192+'A -Döviz'!E192</f>
        <v>-1658127.8830601256</v>
      </c>
      <c r="F192" s="7">
        <f>C192+'A -Döviz'!F192</f>
        <v>-3413357.0025910456</v>
      </c>
      <c r="G192" s="7"/>
      <c r="H192" s="7">
        <f>E192+'A -Döviz'!H192</f>
        <v>-2600971.3376148934</v>
      </c>
      <c r="I192" s="7">
        <f>F192+'A -Döviz'!I192</f>
        <v>-7629157.7736105947</v>
      </c>
      <c r="J192" s="7"/>
      <c r="K192" s="7">
        <f>H192+'A -Döviz'!K192</f>
        <v>-4065058.5577485999</v>
      </c>
      <c r="L192" s="7">
        <f>I192+'A -Döviz'!L192</f>
        <v>-12480428.208532002</v>
      </c>
      <c r="M192" s="7"/>
      <c r="N192" s="7">
        <f>K192+'A -Döviz'!N192</f>
        <v>-4511719.6323683439</v>
      </c>
      <c r="O192" s="7">
        <f>L192+'A -Döviz'!O192</f>
        <v>-15430270.269453013</v>
      </c>
      <c r="P192" s="7"/>
      <c r="Q192" s="7">
        <f>N192+'A -Döviz'!Q192</f>
        <v>-4549587.4399994751</v>
      </c>
      <c r="R192" s="7">
        <f>O192+'A -Döviz'!R192</f>
        <v>-18502570.026772909</v>
      </c>
      <c r="S192" s="7"/>
      <c r="T192" s="7">
        <f>Q192+'A -Döviz'!T192</f>
        <v>-4707885.9295134302</v>
      </c>
      <c r="U192" s="7">
        <f>R192+'A -Döviz'!U192</f>
        <v>-21801905.816561066</v>
      </c>
      <c r="V192" s="7"/>
      <c r="W192" s="7">
        <f>T192+'A -Döviz'!W192</f>
        <v>-4724516.4051774815</v>
      </c>
      <c r="X192" s="7">
        <f>U192+'A -Döviz'!X192</f>
        <v>-23742972.716428995</v>
      </c>
      <c r="Y192" s="7"/>
      <c r="Z192" s="7">
        <f>W192+'A -Döviz'!Z192</f>
        <v>-4318415.323352077</v>
      </c>
      <c r="AA192" s="7">
        <f>X192+'A -Döviz'!AA192</f>
        <v>-26215785.053931061</v>
      </c>
      <c r="AB192" s="7"/>
      <c r="AC192" s="7">
        <f>Z192+'A -Döviz'!AC192</f>
        <v>-3087439.2317989031</v>
      </c>
      <c r="AD192" s="7">
        <f>AA192+'A -Döviz'!AD192</f>
        <v>-26215785.053931061</v>
      </c>
      <c r="AE192" s="7"/>
      <c r="AF192" s="7">
        <f>AC192+'A -Döviz'!AF192</f>
        <v>-1645590.9457986485</v>
      </c>
      <c r="AG192" s="7">
        <f>AD192+'A -Döviz'!AG192</f>
        <v>-26215785.053931061</v>
      </c>
      <c r="AH192" s="7"/>
      <c r="AI192" s="7">
        <f>AF192+'A -Döviz'!AI192</f>
        <v>445821.38103410415</v>
      </c>
      <c r="AJ192" s="7">
        <f>AG192+'A -Döviz'!AJ192</f>
        <v>-26215785.053931061</v>
      </c>
      <c r="AK192" s="7"/>
      <c r="AL192" s="21">
        <f t="shared" si="124"/>
        <v>-21897369.730578985</v>
      </c>
      <c r="AM192" s="22">
        <f t="shared" si="125"/>
        <v>5.070695635078847</v>
      </c>
      <c r="AO192" s="44">
        <f t="shared" si="126"/>
        <v>-4318415.323352077</v>
      </c>
      <c r="AP192" s="44">
        <f t="shared" si="126"/>
        <v>-26215785.053931061</v>
      </c>
    </row>
    <row r="193" spans="1:42" s="1" customFormat="1" ht="15.5">
      <c r="A193" s="26" t="s">
        <v>14</v>
      </c>
      <c r="B193" s="7">
        <f>'A -Döviz'!B193</f>
        <v>306036.36138400546</v>
      </c>
      <c r="C193" s="7">
        <f>'A -Döviz'!C193</f>
        <v>163058.72558742377</v>
      </c>
      <c r="D193" s="8"/>
      <c r="E193" s="7">
        <f>B193+'A -Döviz'!E193</f>
        <v>657395.94488449628</v>
      </c>
      <c r="F193" s="7">
        <f>C193+'A -Döviz'!F193</f>
        <v>556563.82356828195</v>
      </c>
      <c r="G193" s="8"/>
      <c r="H193" s="7">
        <f>E193+'A -Döviz'!H193</f>
        <v>979402.14702032774</v>
      </c>
      <c r="I193" s="7">
        <f>F193+'A -Döviz'!I193</f>
        <v>1045099.2919310078</v>
      </c>
      <c r="J193" s="8"/>
      <c r="K193" s="7">
        <f>H193+'A -Döviz'!K193</f>
        <v>799029.54156958521</v>
      </c>
      <c r="L193" s="7">
        <f>I193+'A -Döviz'!L193</f>
        <v>942737.74132129992</v>
      </c>
      <c r="M193" s="8"/>
      <c r="N193" s="7">
        <f>K193+'A -Döviz'!N193</f>
        <v>802387.36834956822</v>
      </c>
      <c r="O193" s="7">
        <f>L193+'A -Döviz'!O193</f>
        <v>933493.68670890771</v>
      </c>
      <c r="P193" s="8"/>
      <c r="Q193" s="7">
        <f>N193+'A -Döviz'!Q193</f>
        <v>726584.62474476767</v>
      </c>
      <c r="R193" s="7">
        <f>O193+'A -Döviz'!R193</f>
        <v>902024.14194923756</v>
      </c>
      <c r="S193" s="8"/>
      <c r="T193" s="7">
        <f>Q193+'A -Döviz'!T193</f>
        <v>807464.99506884592</v>
      </c>
      <c r="U193" s="7">
        <f>R193+'A -Döviz'!U193</f>
        <v>1058378.761327731</v>
      </c>
      <c r="V193" s="8"/>
      <c r="W193" s="7">
        <f>T193+'A -Döviz'!W193</f>
        <v>936458.89464645844</v>
      </c>
      <c r="X193" s="7">
        <f>U193+'A -Döviz'!X193</f>
        <v>1213350.8973441944</v>
      </c>
      <c r="Y193" s="8"/>
      <c r="Z193" s="7">
        <f>W193+'A -Döviz'!Z193</f>
        <v>1051662.4170639168</v>
      </c>
      <c r="AA193" s="7">
        <f>X193+'A -Döviz'!AA193</f>
        <v>1467755.6899812631</v>
      </c>
      <c r="AB193" s="8"/>
      <c r="AC193" s="7">
        <f>Z193+'A -Döviz'!AC193</f>
        <v>1345850.7309141727</v>
      </c>
      <c r="AD193" s="7">
        <f>AA193+'A -Döviz'!AD193</f>
        <v>1467755.6899812631</v>
      </c>
      <c r="AE193" s="8"/>
      <c r="AF193" s="7">
        <f>AC193+'A -Döviz'!AF193</f>
        <v>1536695.1125803804</v>
      </c>
      <c r="AG193" s="7">
        <f>AD193+'A -Döviz'!AG193</f>
        <v>1467755.6899812631</v>
      </c>
      <c r="AH193" s="8"/>
      <c r="AI193" s="7">
        <f>AF193+'A -Döviz'!AI193</f>
        <v>1626768.33170738</v>
      </c>
      <c r="AJ193" s="7">
        <f>AG193+'A -Döviz'!AJ193</f>
        <v>1467755.6899812631</v>
      </c>
      <c r="AK193" s="8"/>
      <c r="AL193" s="21">
        <f t="shared" si="124"/>
        <v>416093.27291734633</v>
      </c>
      <c r="AM193" s="22">
        <f t="shared" si="125"/>
        <v>0.3956528883850543</v>
      </c>
      <c r="AO193" s="44">
        <f t="shared" si="126"/>
        <v>1051662.4170639168</v>
      </c>
      <c r="AP193" s="44">
        <f t="shared" si="126"/>
        <v>1467755.6899812631</v>
      </c>
    </row>
    <row r="194" spans="1:42" ht="15.5">
      <c r="A194" s="26" t="s">
        <v>15</v>
      </c>
      <c r="B194" s="7">
        <f>'A -Döviz'!B194</f>
        <v>395421.97810800001</v>
      </c>
      <c r="C194" s="7">
        <f>'A -Döviz'!C194</f>
        <v>933953.90000000014</v>
      </c>
      <c r="D194" s="7"/>
      <c r="E194" s="7">
        <f>B194+'A -Döviz'!E194</f>
        <v>1450865.6095819999</v>
      </c>
      <c r="F194" s="7">
        <f>C194+'A -Döviz'!F194</f>
        <v>2369435.94</v>
      </c>
      <c r="G194" s="7"/>
      <c r="H194" s="7">
        <f>E194+'A -Döviz'!H194</f>
        <v>3497931.2295090002</v>
      </c>
      <c r="I194" s="7">
        <f>F194+'A -Döviz'!I194</f>
        <v>3953361.24</v>
      </c>
      <c r="J194" s="7"/>
      <c r="K194" s="7">
        <f>H194+'A -Döviz'!K194</f>
        <v>3956743.9782039998</v>
      </c>
      <c r="L194" s="7">
        <f>I194+'A -Döviz'!L194</f>
        <v>5618328.5800000001</v>
      </c>
      <c r="M194" s="7"/>
      <c r="N194" s="7">
        <f>K194+'A -Döviz'!N194</f>
        <v>5109775.6446639998</v>
      </c>
      <c r="O194" s="7">
        <f>L194+'A -Döviz'!O194</f>
        <v>7152190.2400000002</v>
      </c>
      <c r="P194" s="7"/>
      <c r="Q194" s="7">
        <f>N194+'A -Döviz'!Q194</f>
        <v>6538563.3263050001</v>
      </c>
      <c r="R194" s="7">
        <f>O194+'A -Döviz'!R194</f>
        <v>8568046.3800000008</v>
      </c>
      <c r="S194" s="7"/>
      <c r="T194" s="7">
        <f>Q194+'A -Döviz'!T194</f>
        <v>7037628.1877929997</v>
      </c>
      <c r="U194" s="7">
        <f>R194+'A -Döviz'!U194</f>
        <v>9604965.4399999995</v>
      </c>
      <c r="V194" s="7"/>
      <c r="W194" s="7">
        <f>T194+'A -Döviz'!W194</f>
        <v>7150095.1477020001</v>
      </c>
      <c r="X194" s="7">
        <f>U194+'A -Döviz'!X194</f>
        <v>10222102.08</v>
      </c>
      <c r="Y194" s="7"/>
      <c r="Z194" s="7">
        <f>W194+'A -Döviz'!Z194</f>
        <v>9607650.1344300006</v>
      </c>
      <c r="AA194" s="7">
        <f>X194+'A -Döviz'!AA194</f>
        <v>12691534.24</v>
      </c>
      <c r="AB194" s="7"/>
      <c r="AC194" s="7">
        <f>Z194+'A -Döviz'!AC194</f>
        <v>11055015.817873999</v>
      </c>
      <c r="AD194" s="7">
        <f>AA194+'A -Döviz'!AD194</f>
        <v>12691534.24</v>
      </c>
      <c r="AE194" s="7"/>
      <c r="AF194" s="7">
        <f>AC194+'A -Döviz'!AF194</f>
        <v>12515138.983873</v>
      </c>
      <c r="AG194" s="7">
        <f>AD194+'A -Döviz'!AG194</f>
        <v>12691534.24</v>
      </c>
      <c r="AH194" s="7"/>
      <c r="AI194" s="7">
        <f>AF194+'A -Döviz'!AI194</f>
        <v>13599859.416231999</v>
      </c>
      <c r="AJ194" s="7">
        <f>AG194+'A -Döviz'!AJ194</f>
        <v>12691534.24</v>
      </c>
      <c r="AK194" s="7"/>
      <c r="AL194" s="21">
        <f t="shared" si="124"/>
        <v>3083884.1055699997</v>
      </c>
      <c r="AM194" s="22">
        <f t="shared" si="125"/>
        <v>0.32098214052555729</v>
      </c>
      <c r="AO194" s="44">
        <f t="shared" si="126"/>
        <v>9607650.1344300006</v>
      </c>
      <c r="AP194" s="44">
        <f t="shared" si="126"/>
        <v>12691534.24</v>
      </c>
    </row>
    <row r="195" spans="1:42" s="1" customFormat="1" ht="15.5">
      <c r="A195" s="26" t="s">
        <v>16</v>
      </c>
      <c r="B195" s="7">
        <f>'A -Döviz'!B195</f>
        <v>1228099.1459580001</v>
      </c>
      <c r="C195" s="7">
        <f>'A -Döviz'!C195</f>
        <v>1072976.3999999999</v>
      </c>
      <c r="D195" s="8"/>
      <c r="E195" s="7">
        <f>B195+'A -Döviz'!E195</f>
        <v>2324464.3206179999</v>
      </c>
      <c r="F195" s="7">
        <f>C195+'A -Döviz'!F195</f>
        <v>2771679.2</v>
      </c>
      <c r="G195" s="8"/>
      <c r="H195" s="7">
        <f>E195+'A -Döviz'!H195</f>
        <v>3970783.4329300001</v>
      </c>
      <c r="I195" s="7">
        <f>F195+'A -Döviz'!I195</f>
        <v>4079229.59</v>
      </c>
      <c r="J195" s="8"/>
      <c r="K195" s="7">
        <f>H195+'A -Döviz'!K195</f>
        <v>5574722.6032269998</v>
      </c>
      <c r="L195" s="7">
        <f>I195+'A -Döviz'!L195</f>
        <v>4168755.33</v>
      </c>
      <c r="M195" s="8"/>
      <c r="N195" s="7">
        <f>K195+'A -Döviz'!N195</f>
        <v>7274791.2316849995</v>
      </c>
      <c r="O195" s="7">
        <f>L195+'A -Döviz'!O195</f>
        <v>5584194.8600000003</v>
      </c>
      <c r="P195" s="8"/>
      <c r="Q195" s="7">
        <f>N195+'A -Döviz'!Q195</f>
        <v>8613858.2109820005</v>
      </c>
      <c r="R195" s="7">
        <f>O195+'A -Döviz'!R195</f>
        <v>5990309.0599999996</v>
      </c>
      <c r="S195" s="8"/>
      <c r="T195" s="7">
        <f>Q195+'A -Döviz'!T195</f>
        <v>9752818.2795460001</v>
      </c>
      <c r="U195" s="7">
        <f>R195+'A -Döviz'!U195</f>
        <v>8197258.0300000003</v>
      </c>
      <c r="V195" s="8"/>
      <c r="W195" s="7">
        <f>T195+'A -Döviz'!W195</f>
        <v>10387368.277957</v>
      </c>
      <c r="X195" s="7">
        <f>U195+'A -Döviz'!X195</f>
        <v>9134374.25</v>
      </c>
      <c r="Y195" s="8"/>
      <c r="Z195" s="7">
        <f>W195+'A -Döviz'!Z195</f>
        <v>12344068.784414001</v>
      </c>
      <c r="AA195" s="7">
        <f>X195+'A -Döviz'!AA195</f>
        <v>11734242.960000001</v>
      </c>
      <c r="AB195" s="8"/>
      <c r="AC195" s="7">
        <f>Z195+'A -Döviz'!AC195</f>
        <v>14104823.634844</v>
      </c>
      <c r="AD195" s="7">
        <f>AA195+'A -Döviz'!AD195</f>
        <v>11734242.960000001</v>
      </c>
      <c r="AE195" s="8"/>
      <c r="AF195" s="7">
        <f>AC195+'A -Döviz'!AF195</f>
        <v>15747346.216552</v>
      </c>
      <c r="AG195" s="7">
        <f>AD195+'A -Döviz'!AG195</f>
        <v>11734242.960000001</v>
      </c>
      <c r="AH195" s="8"/>
      <c r="AI195" s="7">
        <f>AF195+'A -Döviz'!AI195</f>
        <v>16673463.679524001</v>
      </c>
      <c r="AJ195" s="7">
        <f>AG195+'A -Döviz'!AJ195</f>
        <v>11734242.960000001</v>
      </c>
      <c r="AK195" s="8"/>
      <c r="AL195" s="21">
        <f t="shared" si="124"/>
        <v>-609825.82441399992</v>
      </c>
      <c r="AM195" s="22">
        <f t="shared" si="125"/>
        <v>-4.9402335248162621E-2</v>
      </c>
      <c r="AO195" s="44">
        <f t="shared" si="126"/>
        <v>12344068.784414001</v>
      </c>
      <c r="AP195" s="44">
        <f t="shared" si="126"/>
        <v>11734242.960000001</v>
      </c>
    </row>
    <row r="196" spans="1:42" s="1" customFormat="1" ht="15.5">
      <c r="A196" s="26" t="s">
        <v>17</v>
      </c>
      <c r="B196" s="7">
        <f>'A -Döviz'!B196</f>
        <v>1953797.282528</v>
      </c>
      <c r="C196" s="7">
        <f>'A -Döviz'!C196</f>
        <v>1823346.88</v>
      </c>
      <c r="D196" s="8"/>
      <c r="E196" s="7">
        <f>B196+'A -Döviz'!E196</f>
        <v>3995354.4213129999</v>
      </c>
      <c r="F196" s="7">
        <f>C196+'A -Döviz'!F196</f>
        <v>2296415.7200000002</v>
      </c>
      <c r="G196" s="8"/>
      <c r="H196" s="7">
        <f>E196+'A -Döviz'!H196</f>
        <v>5744386.281126</v>
      </c>
      <c r="I196" s="7">
        <f>F196+'A -Döviz'!I196</f>
        <v>3354540.45</v>
      </c>
      <c r="J196" s="8"/>
      <c r="K196" s="7">
        <f>H196+'A -Döviz'!K196</f>
        <v>7277599.5453509996</v>
      </c>
      <c r="L196" s="7">
        <f>I196+'A -Döviz'!L196</f>
        <v>4468842</v>
      </c>
      <c r="M196" s="8"/>
      <c r="N196" s="7">
        <f>K196+'A -Döviz'!N196</f>
        <v>9747192.5111890007</v>
      </c>
      <c r="O196" s="7">
        <f>L196+'A -Döviz'!O196</f>
        <v>7029154.5499999998</v>
      </c>
      <c r="P196" s="8"/>
      <c r="Q196" s="7">
        <f>N196+'A -Döviz'!Q196</f>
        <v>11203183.692001</v>
      </c>
      <c r="R196" s="7">
        <f>O196+'A -Döviz'!R196</f>
        <v>8487922.9000000004</v>
      </c>
      <c r="S196" s="8"/>
      <c r="T196" s="7">
        <f>Q196+'A -Döviz'!T196</f>
        <v>13791777.618021</v>
      </c>
      <c r="U196" s="7">
        <f>R196+'A -Döviz'!U196</f>
        <v>9988803.9499999993</v>
      </c>
      <c r="V196" s="8"/>
      <c r="W196" s="7">
        <f>T196+'A -Döviz'!W196</f>
        <v>14405523.297102001</v>
      </c>
      <c r="X196" s="7">
        <f>U196+'A -Döviz'!X196</f>
        <v>10719810.17</v>
      </c>
      <c r="Y196" s="8"/>
      <c r="Z196" s="7">
        <f>W196+'A -Döviz'!Z196</f>
        <v>17765442.510106999</v>
      </c>
      <c r="AA196" s="7">
        <f>X196+'A -Döviz'!AA196</f>
        <v>13839747.720000001</v>
      </c>
      <c r="AB196" s="8"/>
      <c r="AC196" s="7">
        <f>Z196+'A -Döviz'!AC196</f>
        <v>20468670.381701998</v>
      </c>
      <c r="AD196" s="7">
        <f>AA196+'A -Döviz'!AD196</f>
        <v>13839747.720000001</v>
      </c>
      <c r="AE196" s="8"/>
      <c r="AF196" s="7">
        <f>AC196+'A -Döviz'!AF196</f>
        <v>23140574.749233998</v>
      </c>
      <c r="AG196" s="7">
        <f>AD196+'A -Döviz'!AG196</f>
        <v>13839747.720000001</v>
      </c>
      <c r="AH196" s="8"/>
      <c r="AI196" s="7">
        <f>AF196+'A -Döviz'!AI196</f>
        <v>24978524.282191999</v>
      </c>
      <c r="AJ196" s="7">
        <f>AG196+'A -Döviz'!AJ196</f>
        <v>13839747.720000001</v>
      </c>
      <c r="AK196" s="8"/>
      <c r="AL196" s="21">
        <f t="shared" si="124"/>
        <v>-3925694.7901069988</v>
      </c>
      <c r="AM196" s="22">
        <f t="shared" si="125"/>
        <v>-0.2209736564610546</v>
      </c>
      <c r="AO196" s="44">
        <f t="shared" si="126"/>
        <v>17765442.510106999</v>
      </c>
      <c r="AP196" s="44">
        <f t="shared" si="126"/>
        <v>13839747.720000001</v>
      </c>
    </row>
    <row r="197" spans="1:42" s="1" customFormat="1" ht="15.5">
      <c r="A197" s="26"/>
      <c r="B197" s="7"/>
      <c r="C197" s="8"/>
      <c r="D197" s="8"/>
      <c r="E197" s="7"/>
      <c r="F197" s="8"/>
      <c r="G197" s="8"/>
      <c r="H197" s="7"/>
      <c r="I197" s="8"/>
      <c r="J197" s="8"/>
      <c r="K197" s="7"/>
      <c r="L197" s="8"/>
      <c r="M197" s="8"/>
      <c r="N197" s="7"/>
      <c r="O197" s="8"/>
      <c r="P197" s="8"/>
      <c r="Q197" s="7"/>
      <c r="R197" s="8"/>
      <c r="S197" s="8"/>
      <c r="T197" s="7"/>
      <c r="U197" s="8"/>
      <c r="V197" s="8"/>
      <c r="W197" s="7"/>
      <c r="X197" s="8"/>
      <c r="Y197" s="8"/>
      <c r="Z197" s="7"/>
      <c r="AA197" s="8"/>
      <c r="AB197" s="8"/>
      <c r="AC197" s="7"/>
      <c r="AD197" s="8"/>
      <c r="AE197" s="8"/>
      <c r="AF197" s="7"/>
      <c r="AG197" s="8"/>
      <c r="AH197" s="8"/>
      <c r="AI197" s="7"/>
      <c r="AJ197" s="8"/>
      <c r="AK197" s="8"/>
      <c r="AL197" s="15"/>
      <c r="AM197" s="16"/>
      <c r="AO197" s="44"/>
      <c r="AP197" s="44"/>
    </row>
    <row r="198" spans="1:42" s="1" customFormat="1" ht="15.5">
      <c r="A198" s="26"/>
      <c r="B198" s="7"/>
      <c r="C198" s="8"/>
      <c r="D198" s="8"/>
      <c r="E198" s="7"/>
      <c r="F198" s="8"/>
      <c r="G198" s="8"/>
      <c r="H198" s="7"/>
      <c r="I198" s="8"/>
      <c r="J198" s="8"/>
      <c r="K198" s="7"/>
      <c r="L198" s="8"/>
      <c r="M198" s="8"/>
      <c r="N198" s="7"/>
      <c r="O198" s="8"/>
      <c r="P198" s="8"/>
      <c r="Q198" s="7"/>
      <c r="R198" s="8"/>
      <c r="S198" s="8"/>
      <c r="T198" s="7"/>
      <c r="U198" s="8"/>
      <c r="V198" s="8"/>
      <c r="W198" s="7"/>
      <c r="X198" s="8"/>
      <c r="Y198" s="8"/>
      <c r="Z198" s="7"/>
      <c r="AA198" s="8"/>
      <c r="AB198" s="8"/>
      <c r="AC198" s="7"/>
      <c r="AD198" s="8"/>
      <c r="AE198" s="8"/>
      <c r="AF198" s="7"/>
      <c r="AG198" s="8"/>
      <c r="AH198" s="8"/>
      <c r="AI198" s="7"/>
      <c r="AJ198" s="8"/>
      <c r="AK198" s="8"/>
      <c r="AL198" s="15"/>
      <c r="AM198" s="16"/>
      <c r="AO198" s="44"/>
      <c r="AP198" s="44"/>
    </row>
    <row r="199" spans="1:42" s="44" customFormat="1" ht="15.5">
      <c r="A199" s="31" t="s">
        <v>18</v>
      </c>
      <c r="B199" s="32">
        <f>'A -Döviz'!B199</f>
        <v>-43625.258965949368</v>
      </c>
      <c r="C199" s="32">
        <f>'A -Döviz'!C199</f>
        <v>-325659.88388312573</v>
      </c>
      <c r="D199" s="18"/>
      <c r="E199" s="32">
        <f>B199+'A -Döviz'!E199</f>
        <v>-410377.43790665484</v>
      </c>
      <c r="F199" s="32">
        <f>C199+'A -Döviz'!F199</f>
        <v>-1108739.8598625557</v>
      </c>
      <c r="G199" s="18"/>
      <c r="H199" s="32">
        <f>E199+'A -Döviz'!H199</f>
        <v>-438240.55421062134</v>
      </c>
      <c r="I199" s="32">
        <f>F199+'A -Döviz'!I199</f>
        <v>-1509105.5757995485</v>
      </c>
      <c r="J199" s="18"/>
      <c r="K199" s="32">
        <f>H199+'A -Döviz'!K199</f>
        <v>-875174.01504526637</v>
      </c>
      <c r="L199" s="32">
        <f>I199+'A -Döviz'!L199</f>
        <v>-1909397.071651883</v>
      </c>
      <c r="M199" s="18"/>
      <c r="N199" s="32">
        <f>K199+'A -Döviz'!N199</f>
        <v>-1349007.6408573242</v>
      </c>
      <c r="O199" s="32">
        <f>L199+'A -Döviz'!O199</f>
        <v>-2381913.2633142718</v>
      </c>
      <c r="P199" s="18"/>
      <c r="Q199" s="32">
        <f>N199+'A -Döviz'!Q199</f>
        <v>-1366301.3898130467</v>
      </c>
      <c r="R199" s="32">
        <f>O199+'A -Döviz'!R199</f>
        <v>-2668779.8831924065</v>
      </c>
      <c r="S199" s="18"/>
      <c r="T199" s="32">
        <f>Q199+'A -Döviz'!T199</f>
        <v>-1752033.3490829295</v>
      </c>
      <c r="U199" s="32">
        <f>R199+'A -Döviz'!U199</f>
        <v>-2380686.6692006653</v>
      </c>
      <c r="V199" s="18"/>
      <c r="W199" s="32">
        <f>T199+'A -Döviz'!W199</f>
        <v>-1973075.6583442208</v>
      </c>
      <c r="X199" s="32">
        <f>U199+'A -Döviz'!X199</f>
        <v>-2697283.2161120772</v>
      </c>
      <c r="Y199" s="18"/>
      <c r="Z199" s="32">
        <f>W199+'A -Döviz'!Z199</f>
        <v>-2170127.7449841239</v>
      </c>
      <c r="AA199" s="32">
        <f>X199+'A -Döviz'!AA199</f>
        <v>-2922196.6702766414</v>
      </c>
      <c r="AB199" s="18"/>
      <c r="AC199" s="32">
        <f>Z199+'A -Döviz'!AC199</f>
        <v>-2668142.2208863478</v>
      </c>
      <c r="AD199" s="32">
        <f>AA199+'A -Döviz'!AD199</f>
        <v>-2922196.6702766414</v>
      </c>
      <c r="AE199" s="18"/>
      <c r="AF199" s="32">
        <f>AC199+'A -Döviz'!AF199</f>
        <v>-3109930.2935310197</v>
      </c>
      <c r="AG199" s="32">
        <f>AD199+'A -Döviz'!AG199</f>
        <v>-2922196.6702766414</v>
      </c>
      <c r="AH199" s="18"/>
      <c r="AI199" s="32">
        <f>AF199+'A -Döviz'!AI199</f>
        <v>-4373223.5974829216</v>
      </c>
      <c r="AJ199" s="32">
        <f>AG199+'A -Döviz'!AJ199</f>
        <v>-2922196.6702766414</v>
      </c>
      <c r="AK199" s="18"/>
      <c r="AL199" s="33">
        <f>AP199-AO199</f>
        <v>-752068.92529251752</v>
      </c>
      <c r="AM199" s="34">
        <f>AP199/AO199-1</f>
        <v>0.34655514037401502</v>
      </c>
      <c r="AO199" s="44">
        <f>IF($A$1=$B$1,B199,IF($A$1=$E$1,E199,IF($A$1=$H$1,H199,IF($A$1=$K$1,K199,IF($A$1=$N$1,N199,IF($A$1=$Q$1,Q199,IF($A$1=$T$1,T199,IF($A$1=$W$1,W199,IF($A$1=$Z$1,Z199,IF($A$1=$AC$1,AC199,IF($A$1=$AF$1,AF199,IF($A$1=$AI$1,AI199))))))))))))</f>
        <v>-2170127.7449841239</v>
      </c>
      <c r="AP199" s="44">
        <f>IF($A$1=$B$1,C199,IF($A$1=$E$1,F199,IF($A$1=$H$1,I199,IF($A$1=$K$1,L199,IF($A$1=$N$1,O199,IF($A$1=$Q$1,R199,IF($A$1=$T$1,U199,IF($A$1=$W$1,X199,IF($A$1=$Z$1,AA199,IF($A$1=$AC$1,AD199,IF($A$1=$AF$1,AG199,IF($A$1=$AI$1,AJ199))))))))))))</f>
        <v>-2922196.6702766414</v>
      </c>
    </row>
    <row r="200" spans="1:42" s="13" customFormat="1" ht="15.5">
      <c r="A200" s="27"/>
      <c r="B200" s="30"/>
      <c r="C200" s="30"/>
      <c r="D200" s="41"/>
      <c r="E200" s="30"/>
      <c r="F200" s="30"/>
      <c r="G200" s="41"/>
      <c r="H200" s="30"/>
      <c r="I200" s="30"/>
      <c r="J200" s="41"/>
      <c r="K200" s="30"/>
      <c r="L200" s="30"/>
      <c r="M200" s="41"/>
      <c r="N200" s="30"/>
      <c r="O200" s="30"/>
      <c r="P200" s="41"/>
      <c r="Q200" s="30"/>
      <c r="R200" s="30"/>
      <c r="S200" s="41"/>
      <c r="T200" s="30"/>
      <c r="U200" s="30"/>
      <c r="V200" s="41"/>
      <c r="W200" s="30"/>
      <c r="X200" s="30"/>
      <c r="Y200" s="41"/>
      <c r="Z200" s="30"/>
      <c r="AA200" s="30"/>
      <c r="AB200" s="41"/>
      <c r="AC200" s="30"/>
      <c r="AD200" s="30"/>
      <c r="AE200" s="41"/>
      <c r="AF200" s="30"/>
      <c r="AG200" s="30"/>
      <c r="AH200" s="41"/>
      <c r="AI200" s="30"/>
      <c r="AJ200" s="30"/>
      <c r="AK200" s="41"/>
      <c r="AL200" s="15"/>
      <c r="AM200" s="22"/>
      <c r="AO200" s="44">
        <f>IF($A$1=$B$1,B200,IF($A$1=$E$1,E200,IF($A$1=$H$1,H200,IF($A$1=$K$1,K200,IF($A$1=$N$1,N200,IF($A$1=$Q$1,Q200,IF($A$1=$T$1,T200,IF($A$1=$W$1,W200,IF($A$1=$Z$1,Z200,IF($A$1=$AC$1,AC200,IF($A$1=$AF$1,AF200,IF($A$1=$AI$1,AI200))))))))))))</f>
        <v>0</v>
      </c>
      <c r="AP200" s="44">
        <f>IF($A$1=$B$1,C200,IF($A$1=$E$1,F200,IF($A$1=$H$1,I200,IF($A$1=$K$1,L200,IF($A$1=$N$1,O200,IF($A$1=$Q$1,R200,IF($A$1=$T$1,U200,IF($A$1=$W$1,X200,IF($A$1=$Z$1,AA200,IF($A$1=$AC$1,AD200,IF($A$1=$AF$1,AG200,IF($A$1=$AI$1,AJ200))))))))))))</f>
        <v>0</v>
      </c>
    </row>
    <row r="201" spans="1:42" s="49" customFormat="1" ht="17">
      <c r="A201" s="47" t="s">
        <v>82</v>
      </c>
      <c r="B201" s="413"/>
      <c r="C201" s="413"/>
      <c r="D201" s="413"/>
      <c r="E201" s="413"/>
      <c r="F201" s="413"/>
      <c r="G201" s="413"/>
      <c r="H201" s="413"/>
      <c r="I201" s="413"/>
      <c r="J201" s="413"/>
      <c r="K201" s="413"/>
      <c r="L201" s="413"/>
      <c r="M201" s="413"/>
      <c r="N201" s="413"/>
      <c r="O201" s="413"/>
      <c r="P201" s="413"/>
      <c r="Q201" s="413"/>
      <c r="R201" s="413"/>
      <c r="S201" s="413"/>
      <c r="T201" s="413"/>
      <c r="U201" s="413"/>
      <c r="V201" s="413"/>
      <c r="W201" s="413"/>
      <c r="X201" s="413"/>
      <c r="Y201" s="413"/>
      <c r="Z201" s="413"/>
      <c r="AA201" s="413"/>
      <c r="AB201" s="413"/>
      <c r="AC201" s="413"/>
      <c r="AD201" s="413"/>
      <c r="AE201" s="413"/>
      <c r="AF201" s="413"/>
      <c r="AG201" s="413"/>
      <c r="AH201" s="413"/>
      <c r="AI201" s="413"/>
      <c r="AJ201" s="413"/>
      <c r="AK201" s="413"/>
      <c r="AL201" s="413"/>
      <c r="AM201" s="48"/>
    </row>
    <row r="202" spans="1:42" ht="15.5">
      <c r="A202" s="26" t="s">
        <v>10</v>
      </c>
      <c r="B202" s="7">
        <f>'A -Döviz'!B202</f>
        <v>-86455.963682485555</v>
      </c>
      <c r="C202" s="7">
        <f>'A -Döviz'!C202</f>
        <v>-45610.045041745972</v>
      </c>
      <c r="D202" s="7"/>
      <c r="E202" s="7">
        <f>B202+'A -Döviz'!E202</f>
        <v>-158210.58845163148</v>
      </c>
      <c r="F202" s="7">
        <f>C202+'A -Döviz'!F202</f>
        <v>-160774.86380112055</v>
      </c>
      <c r="G202" s="7"/>
      <c r="H202" s="7">
        <f>E202+'A -Döviz'!H202</f>
        <v>-226992.16516074922</v>
      </c>
      <c r="I202" s="7">
        <f>F202+'A -Döviz'!I202</f>
        <v>-367346.90349890559</v>
      </c>
      <c r="J202" s="7"/>
      <c r="K202" s="7">
        <f>H202+'A -Döviz'!K202</f>
        <v>-297317.4332677346</v>
      </c>
      <c r="L202" s="7">
        <f>I202+'A -Döviz'!L202</f>
        <v>-493012.30888666166</v>
      </c>
      <c r="M202" s="7"/>
      <c r="N202" s="7">
        <f>K202+'A -Döviz'!N202</f>
        <v>-371637.45019929128</v>
      </c>
      <c r="O202" s="7">
        <f>L202+'A -Döviz'!O202</f>
        <v>-571443.5082969286</v>
      </c>
      <c r="P202" s="7"/>
      <c r="Q202" s="7">
        <f>N202+'A -Döviz'!Q202</f>
        <v>-451721.83664455981</v>
      </c>
      <c r="R202" s="7">
        <f>O202+'A -Döviz'!R202</f>
        <v>-631920.63744108763</v>
      </c>
      <c r="S202" s="7"/>
      <c r="T202" s="7">
        <f>Q202+'A -Döviz'!T202</f>
        <v>-534896.89525285759</v>
      </c>
      <c r="U202" s="7">
        <f>R202+'A -Döviz'!U202</f>
        <v>-690285.70603335113</v>
      </c>
      <c r="V202" s="7"/>
      <c r="W202" s="7">
        <f>T202+'A -Döviz'!W202</f>
        <v>-601091.30391658877</v>
      </c>
      <c r="X202" s="7">
        <f>U202+'A -Döviz'!X202</f>
        <v>-763145.12894840224</v>
      </c>
      <c r="Y202" s="7"/>
      <c r="Z202" s="7">
        <f>W202+'A -Döviz'!Z202</f>
        <v>-711279.30625212134</v>
      </c>
      <c r="AA202" s="7">
        <f>X202+'A -Döviz'!AA202</f>
        <v>-889553.92147063371</v>
      </c>
      <c r="AB202" s="7"/>
      <c r="AC202" s="7">
        <f>Z202+'A -Döviz'!AC202</f>
        <v>-809449.79740546248</v>
      </c>
      <c r="AD202" s="7">
        <f>AA202+'A -Döviz'!AD202</f>
        <v>-889553.92147063371</v>
      </c>
      <c r="AE202" s="7"/>
      <c r="AF202" s="7">
        <f>AC202+'A -Döviz'!AF202</f>
        <v>-896919.66901413514</v>
      </c>
      <c r="AG202" s="7">
        <f>AD202+'A -Döviz'!AG202</f>
        <v>-889553.92147063371</v>
      </c>
      <c r="AH202" s="7"/>
      <c r="AI202" s="7">
        <f>AF202+'A -Döviz'!AI202</f>
        <v>-848711.84160853259</v>
      </c>
      <c r="AJ202" s="7">
        <f>AG202+'A -Döviz'!AJ202</f>
        <v>-889553.92147063371</v>
      </c>
      <c r="AK202" s="7"/>
      <c r="AL202" s="21">
        <f t="shared" ref="AL202:AL209" si="127">AP202-AO202</f>
        <v>-178274.61521851236</v>
      </c>
      <c r="AM202" s="22">
        <f t="shared" ref="AM202:AM209" si="128">AP202/AO202-1</f>
        <v>0.25063939531416768</v>
      </c>
      <c r="AO202" s="44">
        <f t="shared" ref="AO202:AP209" si="129">IF($A$1=$B$1,B202,IF($A$1=$E$1,E202,IF($A$1=$H$1,H202,IF($A$1=$K$1,K202,IF($A$1=$N$1,N202,IF($A$1=$Q$1,Q202,IF($A$1=$T$1,T202,IF($A$1=$W$1,W202,IF($A$1=$Z$1,Z202,IF($A$1=$AC$1,AC202,IF($A$1=$AF$1,AF202,IF($A$1=$AI$1,AI202))))))))))))</f>
        <v>-711279.30625212134</v>
      </c>
      <c r="AP202" s="44">
        <f t="shared" si="129"/>
        <v>-889553.92147063371</v>
      </c>
    </row>
    <row r="203" spans="1:42" ht="15.5">
      <c r="A203" s="26" t="s">
        <v>11</v>
      </c>
      <c r="B203" s="7">
        <f>'A -Döviz'!B203</f>
        <v>7382.6093627736118</v>
      </c>
      <c r="C203" s="7">
        <f>'A -Döviz'!C203</f>
        <v>4276.120109793047</v>
      </c>
      <c r="D203" s="7"/>
      <c r="E203" s="7">
        <f>B203+'A -Döviz'!E203</f>
        <v>-8221.0294787342064</v>
      </c>
      <c r="F203" s="7">
        <f>C203+'A -Döviz'!F203</f>
        <v>7874.7628085587849</v>
      </c>
      <c r="G203" s="7"/>
      <c r="H203" s="7">
        <f>E203+'A -Döviz'!H203</f>
        <v>-27752.581553889198</v>
      </c>
      <c r="I203" s="7">
        <f>F203+'A -Döviz'!I203</f>
        <v>11651.033254348062</v>
      </c>
      <c r="J203" s="7"/>
      <c r="K203" s="7">
        <f>H203+'A -Döviz'!K203</f>
        <v>-60831.448671315913</v>
      </c>
      <c r="L203" s="7">
        <f>I203+'A -Döviz'!L203</f>
        <v>16168.758579319963</v>
      </c>
      <c r="M203" s="7"/>
      <c r="N203" s="7">
        <f>K203+'A -Döviz'!N203</f>
        <v>-102218.48406204567</v>
      </c>
      <c r="O203" s="7">
        <f>L203+'A -Döviz'!O203</f>
        <v>14805.287762489834</v>
      </c>
      <c r="P203" s="7"/>
      <c r="Q203" s="7">
        <f>N203+'A -Döviz'!Q203</f>
        <v>-139748.26518951112</v>
      </c>
      <c r="R203" s="7">
        <f>O203+'A -Döviz'!R203</f>
        <v>8419.1697330336719</v>
      </c>
      <c r="S203" s="7"/>
      <c r="T203" s="7">
        <f>Q203+'A -Döviz'!T203</f>
        <v>-168097.72628509524</v>
      </c>
      <c r="U203" s="7">
        <f>R203+'A -Döviz'!U203</f>
        <v>2836.7124868449546</v>
      </c>
      <c r="V203" s="7"/>
      <c r="W203" s="7">
        <f>T203+'A -Döviz'!W203</f>
        <v>-173882.30817798382</v>
      </c>
      <c r="X203" s="7">
        <f>U203+'A -Döviz'!X203</f>
        <v>-13878.541373747026</v>
      </c>
      <c r="Y203" s="7"/>
      <c r="Z203" s="7">
        <f>W203+'A -Döviz'!Z203</f>
        <v>-185450.36189581043</v>
      </c>
      <c r="AA203" s="7">
        <f>X203+'A -Döviz'!AA203</f>
        <v>-34619.310618615709</v>
      </c>
      <c r="AB203" s="7"/>
      <c r="AC203" s="7">
        <f>Z203+'A -Döviz'!AC203</f>
        <v>-188556.55531583252</v>
      </c>
      <c r="AD203" s="7">
        <f>AA203+'A -Döviz'!AD203</f>
        <v>-34619.310618615709</v>
      </c>
      <c r="AE203" s="7"/>
      <c r="AF203" s="7">
        <f>AC203+'A -Döviz'!AF203</f>
        <v>-186187.24361262794</v>
      </c>
      <c r="AG203" s="7">
        <f>AD203+'A -Döviz'!AG203</f>
        <v>-34619.310618615709</v>
      </c>
      <c r="AH203" s="7"/>
      <c r="AI203" s="7">
        <f>AF203+'A -Döviz'!AI203</f>
        <v>-176130.35407495126</v>
      </c>
      <c r="AJ203" s="7">
        <f>AG203+'A -Döviz'!AJ203</f>
        <v>-34619.310618615709</v>
      </c>
      <c r="AK203" s="7"/>
      <c r="AL203" s="21">
        <f t="shared" si="127"/>
        <v>150831.05127719473</v>
      </c>
      <c r="AM203" s="22">
        <f t="shared" si="128"/>
        <v>-0.81332303552976892</v>
      </c>
      <c r="AO203" s="44">
        <f t="shared" si="129"/>
        <v>-185450.36189581043</v>
      </c>
      <c r="AP203" s="44">
        <f t="shared" si="129"/>
        <v>-34619.310618615709</v>
      </c>
    </row>
    <row r="204" spans="1:42" ht="15.5">
      <c r="A204" s="26" t="s">
        <v>12</v>
      </c>
      <c r="B204" s="7">
        <f>'A -Döviz'!B204</f>
        <v>0</v>
      </c>
      <c r="C204" s="7">
        <f>'A -Döviz'!C204</f>
        <v>-8.2083883787389311</v>
      </c>
      <c r="D204" s="7"/>
      <c r="E204" s="7">
        <f>B204+'A -Döviz'!E204</f>
        <v>0</v>
      </c>
      <c r="F204" s="7">
        <f>C204+'A -Döviz'!F204</f>
        <v>-8.2083883787389311</v>
      </c>
      <c r="G204" s="7"/>
      <c r="H204" s="7">
        <f>E204+'A -Döviz'!H204</f>
        <v>-593.46426411063499</v>
      </c>
      <c r="I204" s="7">
        <f>F204+'A -Döviz'!I204</f>
        <v>-8.2083883787389311</v>
      </c>
      <c r="J204" s="7"/>
      <c r="K204" s="7">
        <f>H204+'A -Döviz'!K204</f>
        <v>-593.46426411063499</v>
      </c>
      <c r="L204" s="7">
        <f>I204+'A -Döviz'!L204</f>
        <v>-8.2083883787389311</v>
      </c>
      <c r="M204" s="7"/>
      <c r="N204" s="7">
        <f>K204+'A -Döviz'!N204</f>
        <v>-14888.256917779099</v>
      </c>
      <c r="O204" s="7">
        <f>L204+'A -Döviz'!O204</f>
        <v>-8.2083883787389311</v>
      </c>
      <c r="P204" s="7"/>
      <c r="Q204" s="7">
        <f>N204+'A -Döviz'!Q204</f>
        <v>-29059.247617177796</v>
      </c>
      <c r="R204" s="7">
        <f>O204+'A -Döviz'!R204</f>
        <v>-8.2083883787389311</v>
      </c>
      <c r="S204" s="7"/>
      <c r="T204" s="7">
        <f>Q204+'A -Döviz'!T204</f>
        <v>-49287.400364753688</v>
      </c>
      <c r="U204" s="7">
        <f>R204+'A -Döviz'!U204</f>
        <v>-8.2083883787389311</v>
      </c>
      <c r="V204" s="7"/>
      <c r="W204" s="7">
        <f>T204+'A -Döviz'!W204</f>
        <v>-62121.507731329199</v>
      </c>
      <c r="X204" s="7">
        <f>U204+'A -Döviz'!X204</f>
        <v>-8.2083883787389311</v>
      </c>
      <c r="Y204" s="7"/>
      <c r="Z204" s="7">
        <f>W204+'A -Döviz'!Z204</f>
        <v>-70309.919295763815</v>
      </c>
      <c r="AA204" s="7">
        <f>X204+'A -Döviz'!AA204</f>
        <v>-8.2083883787389311</v>
      </c>
      <c r="AB204" s="7"/>
      <c r="AC204" s="7">
        <f>Z204+'A -Döviz'!AC204</f>
        <v>-83578.645600660762</v>
      </c>
      <c r="AD204" s="7">
        <f>AA204+'A -Döviz'!AD204</f>
        <v>-8.2083883787389311</v>
      </c>
      <c r="AE204" s="7"/>
      <c r="AF204" s="7">
        <f>AC204+'A -Döviz'!AF204</f>
        <v>-101538.40863385411</v>
      </c>
      <c r="AG204" s="7">
        <f>AD204+'A -Döviz'!AG204</f>
        <v>-8.2083883787389311</v>
      </c>
      <c r="AH204" s="7"/>
      <c r="AI204" s="7">
        <f>AF204+'A -Döviz'!AI204</f>
        <v>-102321.53530429646</v>
      </c>
      <c r="AJ204" s="7">
        <f>AG204+'A -Döviz'!AJ204</f>
        <v>-8.2083883787389311</v>
      </c>
      <c r="AK204" s="7"/>
      <c r="AL204" s="21">
        <f t="shared" si="127"/>
        <v>70301.710907385073</v>
      </c>
      <c r="AM204" s="22">
        <f t="shared" si="128"/>
        <v>-0.99988325419142909</v>
      </c>
      <c r="AO204" s="44">
        <f t="shared" si="129"/>
        <v>-70309.919295763815</v>
      </c>
      <c r="AP204" s="44">
        <f t="shared" si="129"/>
        <v>-8.2083883787389311</v>
      </c>
    </row>
    <row r="205" spans="1:42" ht="15.5">
      <c r="A205" s="26" t="s">
        <v>13</v>
      </c>
      <c r="B205" s="7">
        <f>'A -Döviz'!B205</f>
        <v>0</v>
      </c>
      <c r="C205" s="7">
        <f>'A -Döviz'!C205</f>
        <v>0</v>
      </c>
      <c r="D205" s="7"/>
      <c r="E205" s="7">
        <f>B205+'A -Döviz'!E205</f>
        <v>0</v>
      </c>
      <c r="F205" s="7">
        <f>C205+'A -Döviz'!F205</f>
        <v>0</v>
      </c>
      <c r="G205" s="7"/>
      <c r="H205" s="7">
        <f>E205+'A -Döviz'!H205</f>
        <v>0</v>
      </c>
      <c r="I205" s="7">
        <f>F205+'A -Döviz'!I205</f>
        <v>0</v>
      </c>
      <c r="J205" s="7"/>
      <c r="K205" s="7">
        <f>H205+'A -Döviz'!K205</f>
        <v>0</v>
      </c>
      <c r="L205" s="7">
        <f>I205+'A -Döviz'!L205</f>
        <v>0</v>
      </c>
      <c r="M205" s="7"/>
      <c r="N205" s="7">
        <f>K205+'A -Döviz'!N205</f>
        <v>0</v>
      </c>
      <c r="O205" s="7">
        <f>L205+'A -Döviz'!O205</f>
        <v>0</v>
      </c>
      <c r="P205" s="7"/>
      <c r="Q205" s="7">
        <f>N205+'A -Döviz'!Q205</f>
        <v>0</v>
      </c>
      <c r="R205" s="7">
        <f>O205+'A -Döviz'!R205</f>
        <v>0</v>
      </c>
      <c r="S205" s="7"/>
      <c r="T205" s="7">
        <f>Q205+'A -Döviz'!T205</f>
        <v>0</v>
      </c>
      <c r="U205" s="7">
        <f>R205+'A -Döviz'!U205</f>
        <v>0</v>
      </c>
      <c r="V205" s="7"/>
      <c r="W205" s="7">
        <f>T205+'A -Döviz'!W205</f>
        <v>0</v>
      </c>
      <c r="X205" s="7">
        <f>U205+'A -Döviz'!X205</f>
        <v>0</v>
      </c>
      <c r="Y205" s="7"/>
      <c r="Z205" s="7">
        <f>W205+'A -Döviz'!Z205</f>
        <v>0</v>
      </c>
      <c r="AA205" s="7">
        <f>X205+'A -Döviz'!AA205</f>
        <v>0</v>
      </c>
      <c r="AB205" s="7"/>
      <c r="AC205" s="7">
        <f>Z205+'A -Döviz'!AC205</f>
        <v>0</v>
      </c>
      <c r="AD205" s="7">
        <f>AA205+'A -Döviz'!AD205</f>
        <v>0</v>
      </c>
      <c r="AE205" s="7"/>
      <c r="AF205" s="7">
        <f>AC205+'A -Döviz'!AF205</f>
        <v>0</v>
      </c>
      <c r="AG205" s="7">
        <f>AD205+'A -Döviz'!AG205</f>
        <v>0</v>
      </c>
      <c r="AH205" s="7"/>
      <c r="AI205" s="7">
        <f>AF205+'A -Döviz'!AI205</f>
        <v>0</v>
      </c>
      <c r="AJ205" s="7">
        <f>AG205+'A -Döviz'!AJ205</f>
        <v>0</v>
      </c>
      <c r="AK205" s="7"/>
      <c r="AL205" s="21">
        <f t="shared" si="127"/>
        <v>0</v>
      </c>
      <c r="AM205" s="22" t="e">
        <f t="shared" si="128"/>
        <v>#DIV/0!</v>
      </c>
      <c r="AO205" s="44">
        <f t="shared" si="129"/>
        <v>0</v>
      </c>
      <c r="AP205" s="44">
        <f t="shared" si="129"/>
        <v>0</v>
      </c>
    </row>
    <row r="206" spans="1:42" s="1" customFormat="1" ht="15.5">
      <c r="A206" s="26" t="s">
        <v>14</v>
      </c>
      <c r="B206" s="7">
        <f>'A -Döviz'!B206</f>
        <v>-76509.097078593579</v>
      </c>
      <c r="C206" s="7">
        <f>'A -Döviz'!C206</f>
        <v>89441.77359301495</v>
      </c>
      <c r="D206" s="8"/>
      <c r="E206" s="7">
        <f>B206+'A -Döviz'!E206</f>
        <v>-164348.99295372283</v>
      </c>
      <c r="F206" s="7">
        <f>C206+'A -Döviz'!F206</f>
        <v>-82644.726204037957</v>
      </c>
      <c r="G206" s="8"/>
      <c r="H206" s="7">
        <f>E206+'A -Döviz'!H206</f>
        <v>-244850.5434876807</v>
      </c>
      <c r="I206" s="7">
        <f>F206+'A -Döviz'!I206</f>
        <v>-58939.582916530657</v>
      </c>
      <c r="J206" s="8"/>
      <c r="K206" s="7">
        <f>H206+'A -Döviz'!K206</f>
        <v>-241668.1601112629</v>
      </c>
      <c r="L206" s="7">
        <f>I206+'A -Döviz'!L206</f>
        <v>-42317.722390406241</v>
      </c>
      <c r="M206" s="8"/>
      <c r="N206" s="7">
        <f>K206+'A -Döviz'!N206</f>
        <v>-257945.14194652022</v>
      </c>
      <c r="O206" s="7">
        <f>L206+'A -Döviz'!O206</f>
        <v>-31986.025978636004</v>
      </c>
      <c r="P206" s="8"/>
      <c r="Q206" s="7">
        <f>N206+'A -Döviz'!Q206</f>
        <v>-248748.67272149501</v>
      </c>
      <c r="R206" s="7">
        <f>O206+'A -Döviz'!R206</f>
        <v>-92913.167739934113</v>
      </c>
      <c r="S206" s="8"/>
      <c r="T206" s="7">
        <f>Q206+'A -Döviz'!T206</f>
        <v>-276193.19399055763</v>
      </c>
      <c r="U206" s="7">
        <f>R206+'A -Döviz'!U206</f>
        <v>-136578.70816445025</v>
      </c>
      <c r="V206" s="8"/>
      <c r="W206" s="7">
        <f>T206+'A -Döviz'!W206</f>
        <v>-314157.74635079788</v>
      </c>
      <c r="X206" s="7">
        <f>U206+'A -Döviz'!X206</f>
        <v>-220897.46350387263</v>
      </c>
      <c r="Y206" s="8"/>
      <c r="Z206" s="7">
        <f>W206+'A -Döviz'!Z206</f>
        <v>-349790.40649607114</v>
      </c>
      <c r="AA206" s="7">
        <f>X206+'A -Döviz'!AA206</f>
        <v>-208387.17449753289</v>
      </c>
      <c r="AB206" s="8"/>
      <c r="AC206" s="7">
        <f>Z206+'A -Döviz'!AC206</f>
        <v>-429036.21888598049</v>
      </c>
      <c r="AD206" s="7">
        <f>AA206+'A -Döviz'!AD206</f>
        <v>-208387.17449753289</v>
      </c>
      <c r="AE206" s="8"/>
      <c r="AF206" s="7">
        <f>AC206+'A -Döviz'!AF206</f>
        <v>-484665.26083000627</v>
      </c>
      <c r="AG206" s="7">
        <f>AD206+'A -Döviz'!AG206</f>
        <v>-208387.17449753289</v>
      </c>
      <c r="AH206" s="8"/>
      <c r="AI206" s="7">
        <f>AF206+'A -Döviz'!AI206</f>
        <v>-513917.21424885042</v>
      </c>
      <c r="AJ206" s="7">
        <f>AG206+'A -Döviz'!AJ206</f>
        <v>-208387.17449753289</v>
      </c>
      <c r="AK206" s="8"/>
      <c r="AL206" s="21">
        <f t="shared" si="127"/>
        <v>141403.23199853825</v>
      </c>
      <c r="AM206" s="22">
        <f t="shared" si="128"/>
        <v>-0.4042513155663876</v>
      </c>
      <c r="AO206" s="44">
        <f t="shared" si="129"/>
        <v>-349790.40649607114</v>
      </c>
      <c r="AP206" s="44">
        <f t="shared" si="129"/>
        <v>-208387.17449753289</v>
      </c>
    </row>
    <row r="207" spans="1:42" ht="15.5">
      <c r="A207" s="26" t="s">
        <v>15</v>
      </c>
      <c r="B207" s="7">
        <f>'A -Döviz'!B207</f>
        <v>-138011.98475800001</v>
      </c>
      <c r="C207" s="7">
        <f>'A -Döviz'!C207</f>
        <v>-321620.92</v>
      </c>
      <c r="D207" s="7"/>
      <c r="E207" s="7">
        <f>B207+'A -Döviz'!E207</f>
        <v>-421929.891405</v>
      </c>
      <c r="F207" s="7">
        <f>C207+'A -Döviz'!F207</f>
        <v>-760978.7</v>
      </c>
      <c r="G207" s="7"/>
      <c r="H207" s="7">
        <f>E207+'A -Döviz'!H207</f>
        <v>-758943.85129899997</v>
      </c>
      <c r="I207" s="7">
        <f>F207+'A -Döviz'!I207</f>
        <v>-1388338.85</v>
      </c>
      <c r="J207" s="7"/>
      <c r="K207" s="7">
        <f>H207+'A -Döviz'!K207</f>
        <v>-962793.54396699998</v>
      </c>
      <c r="L207" s="7">
        <f>I207+'A -Döviz'!L207</f>
        <v>-1801074.91</v>
      </c>
      <c r="M207" s="7"/>
      <c r="N207" s="7">
        <f>K207+'A -Döviz'!N207</f>
        <v>-1314830.7670140001</v>
      </c>
      <c r="O207" s="7">
        <f>L207+'A -Döviz'!O207</f>
        <v>-2425741.15</v>
      </c>
      <c r="P207" s="7"/>
      <c r="Q207" s="7">
        <f>N207+'A -Döviz'!Q207</f>
        <v>-1429042.6235479999</v>
      </c>
      <c r="R207" s="7">
        <f>O207+'A -Döviz'!R207</f>
        <v>-2578538.94</v>
      </c>
      <c r="S207" s="7"/>
      <c r="T207" s="7">
        <f>Q207+'A -Döviz'!T207</f>
        <v>-1619291.2419960001</v>
      </c>
      <c r="U207" s="7">
        <f>R207+'A -Döviz'!U207</f>
        <v>-2346914.41</v>
      </c>
      <c r="V207" s="7"/>
      <c r="W207" s="7">
        <f>T207+'A -Döviz'!W207</f>
        <v>-1708662.068368</v>
      </c>
      <c r="X207" s="7">
        <f>U207+'A -Döviz'!X207</f>
        <v>-2668029.77</v>
      </c>
      <c r="Y207" s="7"/>
      <c r="Z207" s="7">
        <f>W207+'A -Döviz'!Z207</f>
        <v>-2101854.5412110002</v>
      </c>
      <c r="AA207" s="7">
        <f>X207+'A -Döviz'!AA207</f>
        <v>-3042013.85</v>
      </c>
      <c r="AB207" s="7"/>
      <c r="AC207" s="7">
        <f>Z207+'A -Döviz'!AC207</f>
        <v>-2493495.3564200001</v>
      </c>
      <c r="AD207" s="7">
        <f>AA207+'A -Döviz'!AD207</f>
        <v>-3042013.85</v>
      </c>
      <c r="AE207" s="7"/>
      <c r="AF207" s="7">
        <f>AC207+'A -Döviz'!AF207</f>
        <v>-2877107.7471480002</v>
      </c>
      <c r="AG207" s="7">
        <f>AD207+'A -Döviz'!AG207</f>
        <v>-3042013.85</v>
      </c>
      <c r="AH207" s="7"/>
      <c r="AI207" s="7">
        <f>AF207+'A -Döviz'!AI207</f>
        <v>-2992900.8432880002</v>
      </c>
      <c r="AJ207" s="7">
        <f>AG207+'A -Döviz'!AJ207</f>
        <v>-3042013.85</v>
      </c>
      <c r="AK207" s="7"/>
      <c r="AL207" s="21">
        <f t="shared" si="127"/>
        <v>-940159.30878899992</v>
      </c>
      <c r="AM207" s="22">
        <f t="shared" si="128"/>
        <v>0.44729989176478391</v>
      </c>
      <c r="AO207" s="44">
        <f t="shared" si="129"/>
        <v>-2101854.5412110002</v>
      </c>
      <c r="AP207" s="44">
        <f t="shared" si="129"/>
        <v>-3042013.85</v>
      </c>
    </row>
    <row r="208" spans="1:42" s="1" customFormat="1" ht="15.5">
      <c r="A208" s="26" t="s">
        <v>16</v>
      </c>
      <c r="B208" s="7">
        <f>'A -Döviz'!B208</f>
        <v>91802.454859999998</v>
      </c>
      <c r="C208" s="7">
        <f>'A -Döviz'!C208</f>
        <v>-126395.68</v>
      </c>
      <c r="D208" s="8"/>
      <c r="E208" s="7">
        <f>B208+'A -Döviz'!E208</f>
        <v>-21276.121956999996</v>
      </c>
      <c r="F208" s="7">
        <f>C208+'A -Döviz'!F208</f>
        <v>-1021836.1299999999</v>
      </c>
      <c r="G208" s="8"/>
      <c r="H208" s="7">
        <f>E208+'A -Döviz'!H208</f>
        <v>-276713.83631599997</v>
      </c>
      <c r="I208" s="7">
        <f>F208+'A -Döviz'!I208</f>
        <v>-797517.69999999984</v>
      </c>
      <c r="J208" s="8"/>
      <c r="K208" s="7">
        <f>H208+'A -Döviz'!K208</f>
        <v>-499998.01296399999</v>
      </c>
      <c r="L208" s="7">
        <f>I208+'A -Döviz'!L208</f>
        <v>-535777.90999999992</v>
      </c>
      <c r="M208" s="8"/>
      <c r="N208" s="7">
        <f>K208+'A -Döviz'!N208</f>
        <v>-676612.94475100003</v>
      </c>
      <c r="O208" s="7">
        <f>L208+'A -Döviz'!O208</f>
        <v>-469484.52999999991</v>
      </c>
      <c r="P208" s="8"/>
      <c r="Q208" s="7">
        <f>N208+'A -Döviz'!Q208</f>
        <v>-973367.60064299998</v>
      </c>
      <c r="R208" s="7">
        <f>O208+'A -Döviz'!R208</f>
        <v>-654287.87999999989</v>
      </c>
      <c r="S208" s="8"/>
      <c r="T208" s="7">
        <f>Q208+'A -Döviz'!T208</f>
        <v>-1099608.7964570001</v>
      </c>
      <c r="U208" s="7">
        <f>R208+'A -Döviz'!U208</f>
        <v>-362041.99999999988</v>
      </c>
      <c r="V208" s="8"/>
      <c r="W208" s="7">
        <f>T208+'A -Döviz'!W208</f>
        <v>-1194968.205509</v>
      </c>
      <c r="X208" s="7">
        <f>U208+'A -Döviz'!X208</f>
        <v>-668605.31999999983</v>
      </c>
      <c r="Y208" s="8"/>
      <c r="Z208" s="7">
        <f>W208+'A -Döviz'!Z208</f>
        <v>-1426990.7851839999</v>
      </c>
      <c r="AA208" s="7">
        <f>X208+'A -Döviz'!AA208</f>
        <v>-682533.46999999986</v>
      </c>
      <c r="AB208" s="8"/>
      <c r="AC208" s="7">
        <f>Z208+'A -Döviz'!AC208</f>
        <v>-1594910.841305</v>
      </c>
      <c r="AD208" s="7">
        <f>AA208+'A -Döviz'!AD208</f>
        <v>-682533.46999999986</v>
      </c>
      <c r="AE208" s="8"/>
      <c r="AF208" s="7">
        <f>AC208+'A -Döviz'!AF208</f>
        <v>-1756921.2297660001</v>
      </c>
      <c r="AG208" s="7">
        <f>AD208+'A -Döviz'!AG208</f>
        <v>-682533.46999999986</v>
      </c>
      <c r="AH208" s="8"/>
      <c r="AI208" s="7">
        <f>AF208+'A -Döviz'!AI208</f>
        <v>-5337893.0201620013</v>
      </c>
      <c r="AJ208" s="7">
        <f>AG208+'A -Döviz'!AJ208</f>
        <v>-682533.46999999986</v>
      </c>
      <c r="AK208" s="8"/>
      <c r="AL208" s="21">
        <f t="shared" si="127"/>
        <v>744457.31518400006</v>
      </c>
      <c r="AM208" s="22">
        <f t="shared" si="128"/>
        <v>-0.52169735285852448</v>
      </c>
      <c r="AO208" s="44">
        <f t="shared" si="129"/>
        <v>-1426990.7851839999</v>
      </c>
      <c r="AP208" s="44">
        <f t="shared" si="129"/>
        <v>-682533.46999999986</v>
      </c>
    </row>
    <row r="209" spans="1:46" s="1" customFormat="1" ht="15.5">
      <c r="A209" s="26" t="s">
        <v>17</v>
      </c>
      <c r="B209" s="7">
        <f>'A -Döviz'!B209</f>
        <v>211338.865361</v>
      </c>
      <c r="C209" s="7">
        <f>'A -Döviz'!C209</f>
        <v>-352219.55</v>
      </c>
      <c r="D209" s="8"/>
      <c r="E209" s="7">
        <f>B209+'A -Döviz'!E209</f>
        <v>-2309.5436249999912</v>
      </c>
      <c r="F209" s="7">
        <f>C209+'A -Döviz'!F209</f>
        <v>-524119.32</v>
      </c>
      <c r="G209" s="8"/>
      <c r="H209" s="7">
        <f>E209+'A -Döviz'!H209</f>
        <v>823252.37302300008</v>
      </c>
      <c r="I209" s="7">
        <f>F209+'A -Döviz'!I209</f>
        <v>-638707.61</v>
      </c>
      <c r="J209" s="8"/>
      <c r="K209" s="7">
        <f>H209+'A -Döviz'!K209</f>
        <v>413380.54493700014</v>
      </c>
      <c r="L209" s="7">
        <f>I209+'A -Döviz'!L209</f>
        <v>-1202192.74</v>
      </c>
      <c r="M209" s="8"/>
      <c r="N209" s="7">
        <f>K209+'A -Döviz'!N209</f>
        <v>98730.229516000138</v>
      </c>
      <c r="O209" s="7">
        <f>L209+'A -Döviz'!O209</f>
        <v>-1635955.38</v>
      </c>
      <c r="P209" s="8"/>
      <c r="Q209" s="7">
        <f>N209+'A -Döviz'!Q209</f>
        <v>786728.79600800015</v>
      </c>
      <c r="R209" s="7">
        <f>O209+'A -Döviz'!R209</f>
        <v>-1787435.53</v>
      </c>
      <c r="S209" s="8"/>
      <c r="T209" s="7">
        <f>Q209+'A -Döviz'!T209</f>
        <v>495714.91449300013</v>
      </c>
      <c r="U209" s="7">
        <f>R209+'A -Döviz'!U209</f>
        <v>-1387538.55</v>
      </c>
      <c r="V209" s="8"/>
      <c r="W209" s="7">
        <f>T209+'A -Döviz'!W209</f>
        <v>377836.67393200012</v>
      </c>
      <c r="X209" s="7">
        <f>U209+'A -Döviz'!X209</f>
        <v>-1243095.79</v>
      </c>
      <c r="Y209" s="8"/>
      <c r="Z209" s="7">
        <f>W209+'A -Döviz'!Z209</f>
        <v>870915.33904000011</v>
      </c>
      <c r="AA209" s="7">
        <f>X209+'A -Döviz'!AA209</f>
        <v>-1062103.58</v>
      </c>
      <c r="AB209" s="8"/>
      <c r="AC209" s="7">
        <f>Z209+'A -Döviz'!AC209</f>
        <v>551049.36020000011</v>
      </c>
      <c r="AD209" s="7">
        <f>AA209+'A -Döviz'!AD209</f>
        <v>-1062103.58</v>
      </c>
      <c r="AE209" s="8"/>
      <c r="AF209" s="7">
        <f>AC209+'A -Döviz'!AF209</f>
        <v>305481.80706800014</v>
      </c>
      <c r="AG209" s="7">
        <f>AD209+'A -Döviz'!AG209</f>
        <v>-1062103.58</v>
      </c>
      <c r="AH209" s="8"/>
      <c r="AI209" s="7">
        <f>AF209+'A -Döviz'!AI209</f>
        <v>729561.4114610001</v>
      </c>
      <c r="AJ209" s="7">
        <f>AG209+'A -Döviz'!AJ209</f>
        <v>-1062103.58</v>
      </c>
      <c r="AK209" s="8"/>
      <c r="AL209" s="21">
        <f t="shared" si="127"/>
        <v>-1933018.9190400001</v>
      </c>
      <c r="AM209" s="22">
        <f t="shared" si="128"/>
        <v>-2.2195256328482449</v>
      </c>
      <c r="AO209" s="44">
        <f t="shared" si="129"/>
        <v>870915.33904000011</v>
      </c>
      <c r="AP209" s="44">
        <f t="shared" si="129"/>
        <v>-1062103.58</v>
      </c>
    </row>
    <row r="210" spans="1:46" s="1" customFormat="1" ht="15.5">
      <c r="A210" s="26"/>
      <c r="B210" s="7"/>
      <c r="C210" s="8"/>
      <c r="D210" s="8"/>
      <c r="E210" s="7"/>
      <c r="F210" s="8"/>
      <c r="G210" s="8"/>
      <c r="H210" s="7"/>
      <c r="I210" s="8"/>
      <c r="J210" s="8"/>
      <c r="K210" s="7"/>
      <c r="L210" s="8"/>
      <c r="M210" s="8"/>
      <c r="N210" s="7"/>
      <c r="O210" s="8"/>
      <c r="P210" s="8"/>
      <c r="Q210" s="7"/>
      <c r="R210" s="8"/>
      <c r="S210" s="8"/>
      <c r="T210" s="7"/>
      <c r="U210" s="8"/>
      <c r="V210" s="8"/>
      <c r="W210" s="7"/>
      <c r="X210" s="8"/>
      <c r="Y210" s="8"/>
      <c r="Z210" s="7"/>
      <c r="AA210" s="8"/>
      <c r="AB210" s="8"/>
      <c r="AC210" s="7"/>
      <c r="AD210" s="8"/>
      <c r="AE210" s="8"/>
      <c r="AF210" s="7"/>
      <c r="AG210" s="8"/>
      <c r="AH210" s="8"/>
      <c r="AI210" s="7"/>
      <c r="AJ210" s="8"/>
      <c r="AK210" s="8"/>
      <c r="AL210" s="15"/>
      <c r="AM210" s="16"/>
      <c r="AO210" s="44"/>
      <c r="AP210" s="44"/>
    </row>
    <row r="211" spans="1:46" s="1" customFormat="1" ht="15.5">
      <c r="A211" s="26"/>
      <c r="B211" s="7"/>
      <c r="C211" s="8"/>
      <c r="D211" s="8"/>
      <c r="E211" s="7"/>
      <c r="F211" s="8"/>
      <c r="G211" s="8"/>
      <c r="H211" s="7"/>
      <c r="I211" s="8"/>
      <c r="J211" s="8"/>
      <c r="K211" s="7"/>
      <c r="L211" s="8"/>
      <c r="M211" s="8"/>
      <c r="N211" s="7"/>
      <c r="O211" s="8"/>
      <c r="P211" s="8"/>
      <c r="Q211" s="7"/>
      <c r="R211" s="8"/>
      <c r="S211" s="8"/>
      <c r="T211" s="7"/>
      <c r="U211" s="8"/>
      <c r="V211" s="8"/>
      <c r="W211" s="7"/>
      <c r="X211" s="8"/>
      <c r="Y211" s="8"/>
      <c r="Z211" s="7"/>
      <c r="AA211" s="8"/>
      <c r="AB211" s="8"/>
      <c r="AC211" s="7"/>
      <c r="AD211" s="8"/>
      <c r="AE211" s="8"/>
      <c r="AF211" s="7"/>
      <c r="AG211" s="8"/>
      <c r="AH211" s="8"/>
      <c r="AI211" s="7"/>
      <c r="AJ211" s="8"/>
      <c r="AK211" s="8"/>
      <c r="AL211" s="15"/>
      <c r="AM211" s="16"/>
      <c r="AO211" s="44"/>
      <c r="AP211" s="44"/>
    </row>
    <row r="212" spans="1:46" s="44" customFormat="1" ht="15.5">
      <c r="A212" s="31" t="s">
        <v>5</v>
      </c>
      <c r="B212" s="32">
        <f>'A -Döviz'!B212</f>
        <v>1514167.1688572117</v>
      </c>
      <c r="C212" s="32">
        <f>'A -Döviz'!C212</f>
        <v>733228.92984999483</v>
      </c>
      <c r="D212" s="18">
        <f>+C212-B212</f>
        <v>-780938.23900721688</v>
      </c>
      <c r="E212" s="32">
        <f>B212+'A -Döviz'!E212</f>
        <v>2824703.5550270369</v>
      </c>
      <c r="F212" s="32">
        <f>C212+'A -Döviz'!F212</f>
        <v>1282013.8418051181</v>
      </c>
      <c r="G212" s="18"/>
      <c r="H212" s="32">
        <f>E212+'A -Döviz'!H212</f>
        <v>5100630.0988779468</v>
      </c>
      <c r="I212" s="32">
        <f>F212+'A -Döviz'!I212</f>
        <v>1703472.451125334</v>
      </c>
      <c r="J212" s="18"/>
      <c r="K212" s="32">
        <f>H212+'A -Döviz'!K212</f>
        <v>5888115.6255871505</v>
      </c>
      <c r="L212" s="32">
        <f>I212+'A -Döviz'!L212</f>
        <v>1030077.286864357</v>
      </c>
      <c r="M212" s="18"/>
      <c r="N212" s="32">
        <f>K212+'A -Döviz'!N212</f>
        <v>7927432.4201528449</v>
      </c>
      <c r="O212" s="32">
        <f>L212+'A -Döviz'!O212</f>
        <v>1790428.383212287</v>
      </c>
      <c r="P212" s="18"/>
      <c r="Q212" s="32">
        <f>N212+'A -Döviz'!Q212</f>
        <v>10118879.201584304</v>
      </c>
      <c r="R212" s="32">
        <f>O212+'A -Döviz'!R212</f>
        <v>1395449.5376842741</v>
      </c>
      <c r="S212" s="18"/>
      <c r="T212" s="32">
        <f>Q212+'A -Döviz'!T212</f>
        <v>11948187.687956985</v>
      </c>
      <c r="U212" s="32">
        <f>R212+'A -Döviz'!U212</f>
        <v>2476437.5842369678</v>
      </c>
      <c r="V212" s="18"/>
      <c r="W212" s="32">
        <f>T212+'A -Döviz'!W212</f>
        <v>12661432.776788503</v>
      </c>
      <c r="X212" s="32">
        <f>U212+'A -Döviz'!X212</f>
        <v>2451895.4746560277</v>
      </c>
      <c r="Y212" s="18"/>
      <c r="Z212" s="32">
        <f>W212+'A -Döviz'!Z212</f>
        <v>16313918.338406095</v>
      </c>
      <c r="AA212" s="32">
        <f>X212+'A -Döviz'!AA212</f>
        <v>4963913.1122518051</v>
      </c>
      <c r="AB212" s="18"/>
      <c r="AC212" s="32">
        <f>Z212+'A -Döviz'!AC212</f>
        <v>19251796.823764291</v>
      </c>
      <c r="AD212" s="32">
        <f>AA212+'A -Döviz'!AD212</f>
        <v>4963913.1122518051</v>
      </c>
      <c r="AE212" s="18"/>
      <c r="AF212" s="32">
        <f>AC212+'A -Döviz'!AF212</f>
        <v>22182777.844333801</v>
      </c>
      <c r="AG212" s="32">
        <f>AD212+'A -Döviz'!AG212</f>
        <v>4963913.1122518051</v>
      </c>
      <c r="AH212" s="18"/>
      <c r="AI212" s="32">
        <f>AF212+'A -Döviz'!AI212</f>
        <v>23091610.479434531</v>
      </c>
      <c r="AJ212" s="32">
        <f>AG212+'A -Döviz'!AJ212</f>
        <v>4963913.1122518051</v>
      </c>
      <c r="AK212" s="18"/>
      <c r="AL212" s="33">
        <f>AP212-AO212</f>
        <v>-11350005.22615429</v>
      </c>
      <c r="AM212" s="34">
        <f>AP212/AO212-1</f>
        <v>-0.69572526910559551</v>
      </c>
      <c r="AO212" s="44">
        <f>IF($A$1=$B$1,B212,IF($A$1=$E$1,E212,IF($A$1=$H$1,H212,IF($A$1=$K$1,K212,IF($A$1=$N$1,N212,IF($A$1=$Q$1,Q212,IF($A$1=$T$1,T212,IF($A$1=$W$1,W212,IF($A$1=$Z$1,Z212,IF($A$1=$AC$1,AC212,IF($A$1=$AF$1,AF212,IF($A$1=$AI$1,AI212))))))))))))</f>
        <v>16313918.338406095</v>
      </c>
      <c r="AP212" s="44">
        <f>IF($A$1=$B$1,C212,IF($A$1=$E$1,F212,IF($A$1=$H$1,I212,IF($A$1=$K$1,L212,IF($A$1=$N$1,O212,IF($A$1=$Q$1,R212,IF($A$1=$T$1,U212,IF($A$1=$W$1,X212,IF($A$1=$Z$1,AA212,IF($A$1=$AC$1,AD212,IF($A$1=$AF$1,AG212,IF($A$1=$AI$1,AJ212))))))))))))</f>
        <v>4963913.1122518051</v>
      </c>
    </row>
    <row r="213" spans="1:46" s="13" customFormat="1" ht="15.5">
      <c r="A213" s="27"/>
      <c r="B213" s="30"/>
      <c r="C213" s="30"/>
      <c r="D213" s="41"/>
      <c r="E213" s="30"/>
      <c r="F213" s="125" t="s">
        <v>94</v>
      </c>
      <c r="G213" s="41"/>
      <c r="H213" s="30"/>
      <c r="I213" s="30"/>
      <c r="J213" s="41"/>
      <c r="K213" s="30"/>
      <c r="L213" s="30"/>
      <c r="M213" s="41"/>
      <c r="N213" s="30"/>
      <c r="O213" s="30"/>
      <c r="P213" s="41"/>
      <c r="Q213" s="30"/>
      <c r="R213" s="30"/>
      <c r="S213" s="41"/>
      <c r="T213" s="30"/>
      <c r="U213" s="30"/>
      <c r="V213" s="41"/>
      <c r="W213" s="30"/>
      <c r="X213" s="30"/>
      <c r="Y213" s="41"/>
      <c r="Z213" s="30"/>
      <c r="AA213" s="30"/>
      <c r="AB213" s="41"/>
      <c r="AC213" s="30"/>
      <c r="AD213" s="30"/>
      <c r="AE213" s="41"/>
      <c r="AF213" s="30">
        <f>AF212/AF30</f>
        <v>6.7506700452392723E-2</v>
      </c>
      <c r="AG213" s="30">
        <f>AG212/AG30</f>
        <v>2.0750382891982444E-2</v>
      </c>
      <c r="AH213" s="41"/>
      <c r="AI213" s="30"/>
      <c r="AJ213" s="30"/>
      <c r="AK213" s="41"/>
      <c r="AL213" s="309">
        <f>AF213-AG213</f>
        <v>4.6756317560410279E-2</v>
      </c>
      <c r="AM213" s="22"/>
      <c r="AO213" s="44">
        <f>IF($A$1=$B$1,B213,IF($A$1=$E$1,E213,IF($A$1=$H$1,H213,IF($A$1=$K$1,K213,IF($A$1=$N$1,N213,IF($A$1=$Q$1,Q213,IF($A$1=$T$1,T213,IF($A$1=$W$1,W213,IF($A$1=$Z$1,Z213,IF($A$1=$AC$1,AC213,IF($A$1=$AF$1,AF213,IF($A$1=$AI$1,AI213))))))))))))</f>
        <v>0</v>
      </c>
      <c r="AP213" s="44">
        <f>IF($A$1=$B$1,C213,IF($A$1=$E$1,F213,IF($A$1=$H$1,I213,IF($A$1=$K$1,L213,IF($A$1=$N$1,O213,IF($A$1=$Q$1,R213,IF($A$1=$T$1,U213,IF($A$1=$W$1,X213,IF($A$1=$Z$1,AA213,IF($A$1=$AC$1,AD213,IF($A$1=$AF$1,AG213,IF($A$1=$AI$1,AJ213))))))))))))</f>
        <v>0</v>
      </c>
    </row>
    <row r="214" spans="1:46" s="49" customFormat="1" ht="17">
      <c r="A214" s="47" t="s">
        <v>83</v>
      </c>
      <c r="B214" s="413"/>
      <c r="C214" s="413"/>
      <c r="D214" s="413"/>
      <c r="E214" s="413"/>
      <c r="F214" s="413"/>
      <c r="G214" s="413"/>
      <c r="H214" s="413"/>
      <c r="I214" s="413"/>
      <c r="J214" s="413"/>
      <c r="K214" s="413"/>
      <c r="L214" s="413"/>
      <c r="M214" s="413"/>
      <c r="N214" s="413"/>
      <c r="O214" s="413"/>
      <c r="P214" s="413"/>
      <c r="Q214" s="413"/>
      <c r="R214" s="413"/>
      <c r="S214" s="413"/>
      <c r="T214" s="413"/>
      <c r="U214" s="413"/>
      <c r="V214" s="413"/>
      <c r="W214" s="413"/>
      <c r="X214" s="413"/>
      <c r="Y214" s="413"/>
      <c r="Z214" s="413"/>
      <c r="AA214" s="413"/>
      <c r="AB214" s="413"/>
      <c r="AC214" s="413"/>
      <c r="AD214" s="415">
        <f>AD215/AD9</f>
        <v>0.40865765242962571</v>
      </c>
      <c r="AE214" s="413"/>
      <c r="AF214" s="413"/>
      <c r="AG214" s="413"/>
      <c r="AH214" s="413"/>
      <c r="AI214" s="413"/>
      <c r="AJ214" s="413"/>
      <c r="AK214" s="413"/>
      <c r="AL214" s="413"/>
      <c r="AM214" s="48"/>
      <c r="AR214" s="110">
        <f>SUM(AR215:AR222)</f>
        <v>19251796.823764287</v>
      </c>
      <c r="AS214" s="110">
        <f>SUM(AS215:AS222)</f>
        <v>4963913.1122518051</v>
      </c>
    </row>
    <row r="215" spans="1:46" ht="15.5">
      <c r="A215" s="26" t="s">
        <v>10</v>
      </c>
      <c r="B215" s="7">
        <f>'A -Döviz'!B215</f>
        <v>259367.89104742973</v>
      </c>
      <c r="C215" s="7">
        <f>'A -Döviz'!C215</f>
        <v>136830.13512523792</v>
      </c>
      <c r="D215" s="7"/>
      <c r="E215" s="7">
        <f>B215+'A -Döviz'!E215</f>
        <v>474631.7653548675</v>
      </c>
      <c r="F215" s="7">
        <f>C215+'A -Döviz'!F215</f>
        <v>482324.59140336176</v>
      </c>
      <c r="G215" s="7"/>
      <c r="H215" s="7">
        <f>E215+'A -Döviz'!H215</f>
        <v>680976.49548219494</v>
      </c>
      <c r="I215" s="7">
        <f>F215+'A -Döviz'!I215</f>
        <v>1102040.7104967169</v>
      </c>
      <c r="J215" s="7"/>
      <c r="K215" s="7">
        <f>H215+'A -Döviz'!K215</f>
        <v>891952.29980315105</v>
      </c>
      <c r="L215" s="7">
        <f>I215+'A -Döviz'!L215</f>
        <v>1479036.9266599852</v>
      </c>
      <c r="M215" s="7"/>
      <c r="N215" s="7">
        <f>K215+'A -Döviz'!N215</f>
        <v>1114912.3505978459</v>
      </c>
      <c r="O215" s="7">
        <f>L215+'A -Döviz'!O215</f>
        <v>1714330.5248908089</v>
      </c>
      <c r="P215" s="7"/>
      <c r="Q215" s="7">
        <f>N215+'A -Döviz'!Q215</f>
        <v>1355165.509933627</v>
      </c>
      <c r="R215" s="7">
        <f>O215+'A -Döviz'!R215</f>
        <v>1895761.9123232637</v>
      </c>
      <c r="S215" s="7"/>
      <c r="T215" s="7">
        <f>Q215+'A -Döviz'!T215</f>
        <v>1604690.6857584964</v>
      </c>
      <c r="U215" s="7">
        <f>R215+'A -Döviz'!U215</f>
        <v>2070857.1181000548</v>
      </c>
      <c r="V215" s="7"/>
      <c r="W215" s="7">
        <f>T215+'A -Döviz'!W215</f>
        <v>1803273.9117497136</v>
      </c>
      <c r="X215" s="7">
        <f>U215+'A -Döviz'!X215</f>
        <v>2289435.3868452082</v>
      </c>
      <c r="Y215" s="7"/>
      <c r="Z215" s="7">
        <f>W215+'A -Döviz'!Z215</f>
        <v>2133837.918756288</v>
      </c>
      <c r="AA215" s="7">
        <f>X215+'A -Döviz'!AA215</f>
        <v>2668661.7644119235</v>
      </c>
      <c r="AB215" s="7"/>
      <c r="AC215" s="7">
        <f>Z215+'A -Döviz'!AC215</f>
        <v>2428349.3922163341</v>
      </c>
      <c r="AD215" s="7">
        <f>AA215+'A -Döviz'!AD215</f>
        <v>2668661.7644119235</v>
      </c>
      <c r="AE215" s="7"/>
      <c r="AF215" s="7">
        <f>AC215+'A -Döviz'!AF215</f>
        <v>2690759.0070423074</v>
      </c>
      <c r="AG215" s="7">
        <f>AD215+'A -Döviz'!AG215</f>
        <v>2668661.7644119235</v>
      </c>
      <c r="AH215" s="7"/>
      <c r="AI215" s="7">
        <f>AF215+'A -Döviz'!AI215</f>
        <v>2546135.5248254999</v>
      </c>
      <c r="AJ215" s="7">
        <f>AG215+'A -Döviz'!AJ215</f>
        <v>2668661.7644119235</v>
      </c>
      <c r="AK215" s="7"/>
      <c r="AL215" s="21">
        <f t="shared" ref="AL215:AL222" si="130">AP215-AO215</f>
        <v>534823.84565563546</v>
      </c>
      <c r="AM215" s="22">
        <f t="shared" ref="AM215:AM222" si="131">AP215/AO215-1</f>
        <v>0.25063939531422275</v>
      </c>
      <c r="AN215" s="9">
        <f>AC215-AD215</f>
        <v>-240312.37219558936</v>
      </c>
      <c r="AO215" s="44">
        <f t="shared" ref="AO215:AP222" si="132">IF($A$1=$B$1,B215,IF($A$1=$E$1,E215,IF($A$1=$H$1,H215,IF($A$1=$K$1,K215,IF($A$1=$N$1,N215,IF($A$1=$Q$1,Q215,IF($A$1=$T$1,T215,IF($A$1=$W$1,W215,IF($A$1=$Z$1,Z215,IF($A$1=$AC$1,AC215,IF($A$1=$AF$1,AF215,IF($A$1=$AI$1,AI215))))))))))))</f>
        <v>2133837.918756288</v>
      </c>
      <c r="AP215" s="44">
        <f t="shared" si="132"/>
        <v>2668661.7644119235</v>
      </c>
      <c r="AR215" s="94">
        <f t="shared" ref="AR215:AS217" si="133">AC215</f>
        <v>2428349.3922163341</v>
      </c>
      <c r="AS215" s="94">
        <f t="shared" si="133"/>
        <v>2668661.7644119235</v>
      </c>
      <c r="AT215" s="94">
        <f>AS215-AR215</f>
        <v>240312.37219558936</v>
      </c>
    </row>
    <row r="216" spans="1:46" ht="15.5">
      <c r="A216" s="26" t="s">
        <v>11</v>
      </c>
      <c r="B216" s="7">
        <f>'A -Döviz'!B216</f>
        <v>-29530.437451121379</v>
      </c>
      <c r="C216" s="7">
        <f>'A -Döviz'!C216</f>
        <v>-69417.438643982226</v>
      </c>
      <c r="D216" s="7"/>
      <c r="E216" s="7">
        <f>B216+'A -Döviz'!E216</f>
        <v>32884.117914936287</v>
      </c>
      <c r="F216" s="7">
        <f>C216+'A -Döviz'!F216</f>
        <v>-80103.221725969095</v>
      </c>
      <c r="G216" s="7"/>
      <c r="H216" s="7">
        <f>E216+'A -Döviz'!H216</f>
        <v>111010.32621553038</v>
      </c>
      <c r="I216" s="7">
        <f>F216+'A -Döviz'!I216</f>
        <v>-141112.15566711107</v>
      </c>
      <c r="J216" s="7"/>
      <c r="K216" s="7">
        <f>H216+'A -Döviz'!K216</f>
        <v>243325.79468528798</v>
      </c>
      <c r="L216" s="7">
        <f>I216+'A -Döviz'!L216</f>
        <v>-62022.625620914201</v>
      </c>
      <c r="M216" s="7"/>
      <c r="N216" s="7">
        <f>K216+'A -Döviz'!N216</f>
        <v>408873.93624823191</v>
      </c>
      <c r="O216" s="7">
        <f>L216+'A -Döviz'!O216</f>
        <v>-174946.04308398161</v>
      </c>
      <c r="P216" s="7"/>
      <c r="Q216" s="7">
        <f>N216+'A -Döviz'!Q216</f>
        <v>558993.06075806939</v>
      </c>
      <c r="R216" s="7">
        <f>O216+'A -Döviz'!R216</f>
        <v>-572738.31421138486</v>
      </c>
      <c r="S216" s="7"/>
      <c r="T216" s="7">
        <f>Q216+'A -Döviz'!T216</f>
        <v>672390.90514042985</v>
      </c>
      <c r="U216" s="7">
        <f>R216+'A -Döviz'!U216</f>
        <v>-623133.1628040059</v>
      </c>
      <c r="V216" s="7"/>
      <c r="W216" s="7">
        <f>T216+'A -Döviz'!W216</f>
        <v>695529.23271196068</v>
      </c>
      <c r="X216" s="7">
        <f>U216+'A -Döviz'!X216</f>
        <v>-810074.58088567876</v>
      </c>
      <c r="Y216" s="7"/>
      <c r="Z216" s="7">
        <f>W216+'A -Döviz'!Z216</f>
        <v>741801.44758324395</v>
      </c>
      <c r="AA216" s="7">
        <f>X216+'A -Döviz'!AA216</f>
        <v>-1015034.4884900765</v>
      </c>
      <c r="AB216" s="7"/>
      <c r="AC216" s="7">
        <f>Z216+'A -Döviz'!AC216</f>
        <v>754226.22126337769</v>
      </c>
      <c r="AD216" s="7">
        <f>AA216+'A -Döviz'!AD216</f>
        <v>-1015034.4884900765</v>
      </c>
      <c r="AE216" s="7"/>
      <c r="AF216" s="7">
        <f>AC216+'A -Döviz'!AF216</f>
        <v>744748.97445060406</v>
      </c>
      <c r="AG216" s="7">
        <f>AD216+'A -Döviz'!AG216</f>
        <v>-1015034.4884900765</v>
      </c>
      <c r="AH216" s="7"/>
      <c r="AI216" s="7">
        <f>AF216+'A -Döviz'!AI216</f>
        <v>704521.41629991925</v>
      </c>
      <c r="AJ216" s="7">
        <f>AG216+'A -Döviz'!AJ216</f>
        <v>-1015034.4884900765</v>
      </c>
      <c r="AK216" s="7"/>
      <c r="AL216" s="21">
        <f t="shared" si="130"/>
        <v>-1756835.9360733205</v>
      </c>
      <c r="AM216" s="22">
        <f t="shared" si="131"/>
        <v>-2.3683371632625061</v>
      </c>
      <c r="AN216" s="9">
        <f>AC216-AD216</f>
        <v>1769260.7097534542</v>
      </c>
      <c r="AO216" s="44">
        <f t="shared" si="132"/>
        <v>741801.44758324395</v>
      </c>
      <c r="AP216" s="44">
        <f t="shared" si="132"/>
        <v>-1015034.4884900765</v>
      </c>
      <c r="AR216" s="94">
        <f t="shared" si="133"/>
        <v>754226.22126337769</v>
      </c>
      <c r="AS216" s="94">
        <f t="shared" si="133"/>
        <v>-1015034.4884900765</v>
      </c>
      <c r="AT216" s="94">
        <f t="shared" ref="AT216:AT222" si="134">AS216-AR216</f>
        <v>-1769260.7097534542</v>
      </c>
    </row>
    <row r="217" spans="1:46" ht="15.5">
      <c r="A217" s="26" t="s">
        <v>12</v>
      </c>
      <c r="B217" s="7">
        <f>'A -Döviz'!B217</f>
        <v>-93627.604379739729</v>
      </c>
      <c r="C217" s="7">
        <f>'A -Döviz'!C217</f>
        <v>1204.6388628614277</v>
      </c>
      <c r="D217" s="7"/>
      <c r="E217" s="7">
        <f>B217+'A -Döviz'!E217</f>
        <v>-146847.47360102611</v>
      </c>
      <c r="F217" s="7">
        <f>C217+'A -Döviz'!F217</f>
        <v>3328.9502184352773</v>
      </c>
      <c r="G217" s="7"/>
      <c r="H217" s="7">
        <f>E217+'A -Döviz'!H217</f>
        <v>-145067.08077607997</v>
      </c>
      <c r="I217" s="7">
        <f>F217+'A -Döviz'!I217</f>
        <v>-25283.725865835841</v>
      </c>
      <c r="J217" s="7"/>
      <c r="K217" s="7">
        <f>H217+'A -Döviz'!K217</f>
        <v>-147945.64430037764</v>
      </c>
      <c r="L217" s="7">
        <f>I217+'A -Döviz'!L217</f>
        <v>-41685.878334291243</v>
      </c>
      <c r="M217" s="7"/>
      <c r="N217" s="7">
        <f>K217+'A -Döviz'!N217</f>
        <v>-105061.26642271533</v>
      </c>
      <c r="O217" s="7">
        <f>L217+'A -Döviz'!O217</f>
        <v>-31194.491105463894</v>
      </c>
      <c r="P217" s="7"/>
      <c r="Q217" s="7">
        <f>N217+'A -Döviz'!Q217</f>
        <v>-62548.29435811226</v>
      </c>
      <c r="R217" s="7">
        <f>O217+'A -Döviz'!R217</f>
        <v>-60596.835402182616</v>
      </c>
      <c r="S217" s="7"/>
      <c r="T217" s="7">
        <f>Q217+'A -Döviz'!T217</f>
        <v>-1863.8361286854561</v>
      </c>
      <c r="U217" s="7">
        <f>R217+'A -Döviz'!U217</f>
        <v>-97054.193699995143</v>
      </c>
      <c r="V217" s="7"/>
      <c r="W217" s="7">
        <f>T217+'A -Döviz'!W217</f>
        <v>36638.485953155454</v>
      </c>
      <c r="X217" s="7">
        <f>U217+'A -Döviz'!X217</f>
        <v>-125879.86626806064</v>
      </c>
      <c r="Y217" s="7"/>
      <c r="Z217" s="7">
        <f>W217+'A -Döviz'!Z217</f>
        <v>61203.720541853909</v>
      </c>
      <c r="AA217" s="7">
        <f>X217+'A -Döviz'!AA217</f>
        <v>-98697.15629113774</v>
      </c>
      <c r="AB217" s="7"/>
      <c r="AC217" s="7">
        <f>Z217+'A -Döviz'!AC217</f>
        <v>101009.8994352606</v>
      </c>
      <c r="AD217" s="7">
        <f>AA217+'A -Döviz'!AD217</f>
        <v>-98697.15629113774</v>
      </c>
      <c r="AE217" s="7"/>
      <c r="AF217" s="7">
        <f>AC217+'A -Döviz'!AF217</f>
        <v>154889.18853499691</v>
      </c>
      <c r="AG217" s="7">
        <f>AD217+'A -Döviz'!AG217</f>
        <v>-98697.15629113774</v>
      </c>
      <c r="AH217" s="7"/>
      <c r="AI217" s="7">
        <f>AF217+'A -Döviz'!AI217</f>
        <v>157238.56852845533</v>
      </c>
      <c r="AJ217" s="7">
        <f>AG217+'A -Döviz'!AJ217</f>
        <v>-98697.15629113774</v>
      </c>
      <c r="AK217" s="7"/>
      <c r="AL217" s="21">
        <f t="shared" si="130"/>
        <v>-159900.87683299166</v>
      </c>
      <c r="AM217" s="22">
        <f t="shared" si="131"/>
        <v>-2.6126005971098456</v>
      </c>
      <c r="AN217" s="9">
        <f>AC217-AD217</f>
        <v>199707.05572639834</v>
      </c>
      <c r="AO217" s="44">
        <f t="shared" si="132"/>
        <v>61203.720541853909</v>
      </c>
      <c r="AP217" s="44">
        <f t="shared" si="132"/>
        <v>-98697.15629113774</v>
      </c>
      <c r="AR217" s="94">
        <f t="shared" si="133"/>
        <v>101009.8994352606</v>
      </c>
      <c r="AS217" s="94">
        <f t="shared" si="133"/>
        <v>-98697.15629113774</v>
      </c>
      <c r="AT217" s="94">
        <f t="shared" si="134"/>
        <v>-199707.05572639834</v>
      </c>
    </row>
    <row r="218" spans="1:46" ht="15.5">
      <c r="A218" s="26" t="s">
        <v>13</v>
      </c>
      <c r="B218" s="7">
        <f>'A -Döviz'!B218</f>
        <v>-527081.70726080437</v>
      </c>
      <c r="C218" s="7">
        <f>'A -Döviz'!C218</f>
        <v>-1621012.5429157447</v>
      </c>
      <c r="D218" s="7"/>
      <c r="E218" s="7">
        <f>B218+'A -Döviz'!E218</f>
        <v>-1658127.8830601256</v>
      </c>
      <c r="F218" s="7">
        <f>C218+'A -Döviz'!F218</f>
        <v>-3413357.0025910456</v>
      </c>
      <c r="G218" s="7"/>
      <c r="H218" s="7">
        <f>E218+'A -Döviz'!H218</f>
        <v>-2600971.3376148934</v>
      </c>
      <c r="I218" s="7">
        <f>F218+'A -Döviz'!I218</f>
        <v>-7629157.7736105947</v>
      </c>
      <c r="J218" s="7"/>
      <c r="K218" s="7">
        <f>H218+'A -Döviz'!K218</f>
        <v>-4065058.5577485999</v>
      </c>
      <c r="L218" s="7">
        <f>I218+'A -Döviz'!L218</f>
        <v>-12480428.208532002</v>
      </c>
      <c r="M218" s="7"/>
      <c r="N218" s="7">
        <f>K218+'A -Döviz'!N218</f>
        <v>-4511719.6323683439</v>
      </c>
      <c r="O218" s="7">
        <f>L218+'A -Döviz'!O218</f>
        <v>-15430270.269453013</v>
      </c>
      <c r="P218" s="7"/>
      <c r="Q218" s="7">
        <f>N218+'A -Döviz'!Q218</f>
        <v>-4549587.4399994751</v>
      </c>
      <c r="R218" s="7">
        <f>O218+'A -Döviz'!R218</f>
        <v>-18502570.026772909</v>
      </c>
      <c r="S218" s="7"/>
      <c r="T218" s="7">
        <f>Q218+'A -Döviz'!T218</f>
        <v>-4707885.9295134302</v>
      </c>
      <c r="U218" s="7">
        <f>R218+'A -Döviz'!U218</f>
        <v>-21801905.816561066</v>
      </c>
      <c r="V218" s="7"/>
      <c r="W218" s="7">
        <f>T218+'A -Döviz'!W218</f>
        <v>-4724516.4051774815</v>
      </c>
      <c r="X218" s="7">
        <f>U218+'A -Döviz'!X218</f>
        <v>-23742972.716428995</v>
      </c>
      <c r="Y218" s="7"/>
      <c r="Z218" s="7">
        <f>W218+'A -Döviz'!Z218</f>
        <v>-4318415.323352077</v>
      </c>
      <c r="AA218" s="7">
        <f>X218+'A -Döviz'!AA218</f>
        <v>-26215785.053931061</v>
      </c>
      <c r="AB218" s="7"/>
      <c r="AC218" s="7">
        <f>Z218+'A -Döviz'!AC218</f>
        <v>-3087439.2317989031</v>
      </c>
      <c r="AD218" s="7">
        <f>AA218+'A -Döviz'!AD218</f>
        <v>-26215785.053931061</v>
      </c>
      <c r="AE218" s="7"/>
      <c r="AF218" s="7">
        <f>AC218+'A -Döviz'!AF218</f>
        <v>-1645590.9457986485</v>
      </c>
      <c r="AG218" s="7">
        <f>AD218+'A -Döviz'!AG218</f>
        <v>-26215785.053931061</v>
      </c>
      <c r="AH218" s="7"/>
      <c r="AI218" s="7">
        <f>AF218+'A -Döviz'!AI218</f>
        <v>445821.38103410415</v>
      </c>
      <c r="AJ218" s="7">
        <f>AG218+'A -Döviz'!AJ218</f>
        <v>-26215785.053931061</v>
      </c>
      <c r="AK218" s="7"/>
      <c r="AL218" s="21">
        <f t="shared" si="130"/>
        <v>-21897369.730578985</v>
      </c>
      <c r="AM218" s="22">
        <f t="shared" si="131"/>
        <v>5.070695635078847</v>
      </c>
      <c r="AN218" s="9">
        <f>(AC218-AD218)*0.4</f>
        <v>9251338.328852864</v>
      </c>
      <c r="AO218" s="44">
        <f t="shared" si="132"/>
        <v>-4318415.323352077</v>
      </c>
      <c r="AP218" s="44">
        <f t="shared" si="132"/>
        <v>-26215785.053931061</v>
      </c>
      <c r="AR218" s="94">
        <f t="shared" ref="AR218:AS222" si="135">AC218*0.4</f>
        <v>-1234975.6927195613</v>
      </c>
      <c r="AS218" s="94">
        <f t="shared" si="135"/>
        <v>-10486314.021572426</v>
      </c>
      <c r="AT218" s="94">
        <f t="shared" si="134"/>
        <v>-9251338.328852864</v>
      </c>
    </row>
    <row r="219" spans="1:46" s="1" customFormat="1" ht="15.5">
      <c r="A219" s="26" t="s">
        <v>14</v>
      </c>
      <c r="B219" s="7">
        <f>'A -Döviz'!B219</f>
        <v>229527.2643054119</v>
      </c>
      <c r="C219" s="7">
        <f>'A -Döviz'!C219</f>
        <v>252500.49918043872</v>
      </c>
      <c r="D219" s="8"/>
      <c r="E219" s="7">
        <f>B219+'A -Döviz'!E219</f>
        <v>493046.95193077339</v>
      </c>
      <c r="F219" s="7">
        <f>C219+'A -Döviz'!F219</f>
        <v>473919.09736427071</v>
      </c>
      <c r="G219" s="8"/>
      <c r="H219" s="7">
        <f>E219+'A -Döviz'!H219</f>
        <v>734551.60353264702</v>
      </c>
      <c r="I219" s="7">
        <f>F219+'A -Döviz'!I219</f>
        <v>986159.70901450375</v>
      </c>
      <c r="J219" s="8"/>
      <c r="K219" s="7">
        <f>H219+'A -Döviz'!K219</f>
        <v>557361.38145832228</v>
      </c>
      <c r="L219" s="7">
        <f>I219+'A -Döviz'!L219</f>
        <v>900420.0189309438</v>
      </c>
      <c r="M219" s="8"/>
      <c r="N219" s="7">
        <f>K219+'A -Döviz'!N219</f>
        <v>544442.22640304803</v>
      </c>
      <c r="O219" s="7">
        <f>L219+'A -Döviz'!O219</f>
        <v>901507.66073032189</v>
      </c>
      <c r="P219" s="8"/>
      <c r="Q219" s="7">
        <f>N219+'A -Döviz'!Q219</f>
        <v>477835.95202327275</v>
      </c>
      <c r="R219" s="7">
        <f>O219+'A -Döviz'!R219</f>
        <v>809110.97420935368</v>
      </c>
      <c r="S219" s="8"/>
      <c r="T219" s="7">
        <f>Q219+'A -Döviz'!T219</f>
        <v>531271.80107828835</v>
      </c>
      <c r="U219" s="7">
        <f>R219+'A -Döviz'!U219</f>
        <v>921800.05316335231</v>
      </c>
      <c r="V219" s="8"/>
      <c r="W219" s="7">
        <f>T219+'A -Döviz'!W219</f>
        <v>622301.14829566062</v>
      </c>
      <c r="X219" s="7">
        <f>U219+'A -Döviz'!X219</f>
        <v>992453.43384039344</v>
      </c>
      <c r="Y219" s="8"/>
      <c r="Z219" s="7">
        <f>W219+'A -Döviz'!Z219</f>
        <v>701872.01056784566</v>
      </c>
      <c r="AA219" s="7">
        <f>X219+'A -Döviz'!AA219</f>
        <v>1259368.515483802</v>
      </c>
      <c r="AB219" s="8"/>
      <c r="AC219" s="7">
        <f>Z219+'A -Döviz'!AC219</f>
        <v>916814.5120281924</v>
      </c>
      <c r="AD219" s="7">
        <f>AA219+'A -Döviz'!AD219</f>
        <v>1259368.515483802</v>
      </c>
      <c r="AE219" s="8"/>
      <c r="AF219" s="7">
        <f>AC219+'A -Döviz'!AF219</f>
        <v>1052029.8517503743</v>
      </c>
      <c r="AG219" s="7">
        <f>AD219+'A -Döviz'!AG219</f>
        <v>1259368.515483802</v>
      </c>
      <c r="AH219" s="8"/>
      <c r="AI219" s="7">
        <f>AF219+'A -Döviz'!AI219</f>
        <v>1112851.1174585298</v>
      </c>
      <c r="AJ219" s="7">
        <f>AG219+'A -Döviz'!AJ219</f>
        <v>1259368.515483802</v>
      </c>
      <c r="AK219" s="8"/>
      <c r="AL219" s="21">
        <f t="shared" si="130"/>
        <v>557496.50491595629</v>
      </c>
      <c r="AM219" s="22">
        <f t="shared" si="131"/>
        <v>0.79429938296715497</v>
      </c>
      <c r="AN219" s="9">
        <f>(AC219-AD219)*0.4</f>
        <v>-137021.60138224383</v>
      </c>
      <c r="AO219" s="44">
        <f t="shared" si="132"/>
        <v>701872.01056784566</v>
      </c>
      <c r="AP219" s="44">
        <f t="shared" si="132"/>
        <v>1259368.515483802</v>
      </c>
      <c r="AR219" s="94">
        <f t="shared" si="135"/>
        <v>366725.80481127696</v>
      </c>
      <c r="AS219" s="94">
        <f t="shared" si="135"/>
        <v>503747.40619352082</v>
      </c>
      <c r="AT219" s="94">
        <f t="shared" si="134"/>
        <v>137021.60138224385</v>
      </c>
    </row>
    <row r="220" spans="1:46" ht="15.5">
      <c r="A220" s="26" t="s">
        <v>15</v>
      </c>
      <c r="B220" s="7">
        <f>'A -Döviz'!B220</f>
        <v>257409.99335</v>
      </c>
      <c r="C220" s="7">
        <f>'A -Döviz'!C220</f>
        <v>612332.98</v>
      </c>
      <c r="D220" s="7"/>
      <c r="E220" s="7">
        <f>B220+'A -Döviz'!E220</f>
        <v>1028935.7181760001</v>
      </c>
      <c r="F220" s="7">
        <f>C220+'A -Döviz'!F220</f>
        <v>1608457.24</v>
      </c>
      <c r="G220" s="7"/>
      <c r="H220" s="7">
        <f>E220+'A -Döviz'!H220</f>
        <v>2738987.3782100002</v>
      </c>
      <c r="I220" s="7">
        <f>F220+'A -Döviz'!I220</f>
        <v>2565022.39</v>
      </c>
      <c r="J220" s="7"/>
      <c r="K220" s="7">
        <f>H220+'A -Döviz'!K220</f>
        <v>2993950.4342370001</v>
      </c>
      <c r="L220" s="7">
        <f>I220+'A -Döviz'!L220</f>
        <v>3817253.67</v>
      </c>
      <c r="M220" s="7"/>
      <c r="N220" s="7">
        <f>K220+'A -Döviz'!N220</f>
        <v>3794944.8776500002</v>
      </c>
      <c r="O220" s="7">
        <f>L220+'A -Döviz'!O220</f>
        <v>4726449.09</v>
      </c>
      <c r="P220" s="7"/>
      <c r="Q220" s="7">
        <f>N220+'A -Döviz'!Q220</f>
        <v>5109520.7027559998</v>
      </c>
      <c r="R220" s="7">
        <f>O220+'A -Döviz'!R220</f>
        <v>5989507.4400000004</v>
      </c>
      <c r="S220" s="7"/>
      <c r="T220" s="7">
        <f>Q220+'A -Döviz'!T220</f>
        <v>5418336.9457970001</v>
      </c>
      <c r="U220" s="7">
        <f>R220+'A -Döviz'!U220</f>
        <v>7258051.0300000003</v>
      </c>
      <c r="V220" s="7"/>
      <c r="W220" s="7">
        <f>T220+'A -Döviz'!W220</f>
        <v>5441433.0793350004</v>
      </c>
      <c r="X220" s="7">
        <f>U220+'A -Döviz'!X220</f>
        <v>7554072.3099999996</v>
      </c>
      <c r="Y220" s="7"/>
      <c r="Z220" s="7">
        <f>W220+'A -Döviz'!Z220</f>
        <v>7505795.5932189999</v>
      </c>
      <c r="AA220" s="7">
        <f>X220+'A -Döviz'!AA220</f>
        <v>9649520.3900000006</v>
      </c>
      <c r="AB220" s="7"/>
      <c r="AC220" s="7">
        <f>Z220+'A -Döviz'!AC220</f>
        <v>8561520.4614530001</v>
      </c>
      <c r="AD220" s="7">
        <f>AA220+'A -Döviz'!AD220</f>
        <v>9649520.3900000006</v>
      </c>
      <c r="AE220" s="7"/>
      <c r="AF220" s="7">
        <f>AC220+'A -Döviz'!AF220</f>
        <v>9638031.2367250007</v>
      </c>
      <c r="AG220" s="7">
        <f>AD220+'A -Döviz'!AG220</f>
        <v>9649520.3900000006</v>
      </c>
      <c r="AH220" s="7"/>
      <c r="AI220" s="7">
        <f>AF220+'A -Döviz'!AI220</f>
        <v>10606958.572944</v>
      </c>
      <c r="AJ220" s="7">
        <f>AG220+'A -Döviz'!AJ220</f>
        <v>9649520.3900000006</v>
      </c>
      <c r="AK220" s="7"/>
      <c r="AL220" s="21">
        <f t="shared" si="130"/>
        <v>2143724.7967810007</v>
      </c>
      <c r="AM220" s="22">
        <f t="shared" si="131"/>
        <v>0.28560926955134747</v>
      </c>
      <c r="AN220" s="9">
        <f>(AC220-AD220)*0.4</f>
        <v>-435199.97141880024</v>
      </c>
      <c r="AO220" s="44">
        <f t="shared" si="132"/>
        <v>7505795.5932189999</v>
      </c>
      <c r="AP220" s="44">
        <f t="shared" si="132"/>
        <v>9649520.3900000006</v>
      </c>
      <c r="AR220" s="94">
        <f t="shared" si="135"/>
        <v>3424608.1845812001</v>
      </c>
      <c r="AS220" s="94">
        <f t="shared" si="135"/>
        <v>3859808.1560000004</v>
      </c>
      <c r="AT220" s="94">
        <f t="shared" si="134"/>
        <v>435199.9714188003</v>
      </c>
    </row>
    <row r="221" spans="1:46" s="1" customFormat="1" ht="15.5">
      <c r="A221" s="26" t="s">
        <v>16</v>
      </c>
      <c r="B221" s="7">
        <f>'A -Döviz'!B221</f>
        <v>1319901.600818</v>
      </c>
      <c r="C221" s="7">
        <f>'A -Döviz'!C221</f>
        <v>946580.72</v>
      </c>
      <c r="D221" s="8"/>
      <c r="E221" s="7">
        <f>B221+'A -Döviz'!E221</f>
        <v>2303188.198661</v>
      </c>
      <c r="F221" s="7">
        <f>C221+'A -Döviz'!F221</f>
        <v>1749843.07</v>
      </c>
      <c r="G221" s="8"/>
      <c r="H221" s="7">
        <f>E221+'A -Döviz'!H221</f>
        <v>3694069.5966139999</v>
      </c>
      <c r="I221" s="7">
        <f>F221+'A -Döviz'!I221</f>
        <v>3281711.89</v>
      </c>
      <c r="J221" s="8"/>
      <c r="K221" s="7">
        <f>H221+'A -Döviz'!K221</f>
        <v>5074724.5902629998</v>
      </c>
      <c r="L221" s="7">
        <f>I221+'A -Döviz'!L221</f>
        <v>3632977.42</v>
      </c>
      <c r="M221" s="8"/>
      <c r="N221" s="7">
        <f>K221+'A -Döviz'!N221</f>
        <v>6598178.2869340004</v>
      </c>
      <c r="O221" s="7">
        <f>L221+'A -Döviz'!O221</f>
        <v>5114710.33</v>
      </c>
      <c r="P221" s="8"/>
      <c r="Q221" s="7">
        <f>N221+'A -Döviz'!Q221</f>
        <v>7640490.6103379996</v>
      </c>
      <c r="R221" s="7">
        <f>O221+'A -Döviz'!R221</f>
        <v>5336021.18</v>
      </c>
      <c r="S221" s="8"/>
      <c r="T221" s="7">
        <f>Q221+'A -Döviz'!T221</f>
        <v>8653209.4830900002</v>
      </c>
      <c r="U221" s="7">
        <f>R221+'A -Döviz'!U221</f>
        <v>7835208.8899999997</v>
      </c>
      <c r="V221" s="8"/>
      <c r="W221" s="7">
        <f>T221+'A -Döviz'!W221</f>
        <v>9192400.0724470001</v>
      </c>
      <c r="X221" s="7">
        <f>U221+'A -Döviz'!X221</f>
        <v>8465768.9299999997</v>
      </c>
      <c r="Y221" s="8"/>
      <c r="Z221" s="7">
        <f>W221+'A -Döviz'!Z221</f>
        <v>10917077.999229999</v>
      </c>
      <c r="AA221" s="7">
        <f>X221+'A -Döviz'!AA221</f>
        <v>11051709.49</v>
      </c>
      <c r="AB221" s="8"/>
      <c r="AC221" s="7">
        <f>Z221+'A -Döviz'!AC221</f>
        <v>12509912.793539001</v>
      </c>
      <c r="AD221" s="7">
        <f>AA221+'A -Döviz'!AD221</f>
        <v>11051709.49</v>
      </c>
      <c r="AE221" s="8"/>
      <c r="AF221" s="7">
        <f>AC221+'A -Döviz'!AF221</f>
        <v>13990424.986786</v>
      </c>
      <c r="AG221" s="7">
        <f>AD221+'A -Döviz'!AG221</f>
        <v>11051709.49</v>
      </c>
      <c r="AH221" s="8"/>
      <c r="AI221" s="7">
        <f>AF221+'A -Döviz'!AI221</f>
        <v>11335570.659361999</v>
      </c>
      <c r="AJ221" s="7">
        <f>AG221+'A -Döviz'!AJ221</f>
        <v>11051709.49</v>
      </c>
      <c r="AK221" s="8"/>
      <c r="AL221" s="21">
        <f t="shared" si="130"/>
        <v>134631.49077000096</v>
      </c>
      <c r="AM221" s="22">
        <f t="shared" si="131"/>
        <v>1.2332190974498447E-2</v>
      </c>
      <c r="AN221" s="9">
        <f>(AC221-AD221)*0.4</f>
        <v>583281.32141560025</v>
      </c>
      <c r="AO221" s="44">
        <f t="shared" si="132"/>
        <v>10917077.999229999</v>
      </c>
      <c r="AP221" s="44">
        <f t="shared" si="132"/>
        <v>11051709.49</v>
      </c>
      <c r="AR221" s="94">
        <f t="shared" si="135"/>
        <v>5003965.1174156005</v>
      </c>
      <c r="AS221" s="94">
        <f t="shared" si="135"/>
        <v>4420683.7960000001</v>
      </c>
      <c r="AT221" s="94">
        <f t="shared" si="134"/>
        <v>-583281.32141560037</v>
      </c>
    </row>
    <row r="222" spans="1:46" s="1" customFormat="1" ht="15.5">
      <c r="A222" s="26" t="s">
        <v>17</v>
      </c>
      <c r="B222" s="7">
        <f>'A -Döviz'!B222</f>
        <v>2165136.1478889999</v>
      </c>
      <c r="C222" s="7">
        <f>'A -Döviz'!C222</f>
        <v>1471127.33</v>
      </c>
      <c r="D222" s="8"/>
      <c r="E222" s="7">
        <f>B222+'A -Döviz'!E222</f>
        <v>3993044.877688</v>
      </c>
      <c r="F222" s="7">
        <f>C222+'A -Döviz'!F222</f>
        <v>1772296.4</v>
      </c>
      <c r="G222" s="8"/>
      <c r="H222" s="7">
        <f>E222+'A -Döviz'!H222</f>
        <v>6567638.6541489996</v>
      </c>
      <c r="I222" s="7">
        <f>F222+'A -Döviz'!I222</f>
        <v>2715832.84</v>
      </c>
      <c r="J222" s="8"/>
      <c r="K222" s="7">
        <f>H222+'A -Döviz'!K222</f>
        <v>7690980.0902880002</v>
      </c>
      <c r="L222" s="7">
        <f>I222+'A -Döviz'!L222</f>
        <v>3266649.26</v>
      </c>
      <c r="M222" s="8"/>
      <c r="N222" s="7">
        <f>K222+'A -Döviz'!N222</f>
        <v>9845922.7407050002</v>
      </c>
      <c r="O222" s="7">
        <f>L222+'A -Döviz'!O222</f>
        <v>5393199.1699999999</v>
      </c>
      <c r="P222" s="8"/>
      <c r="Q222" s="7">
        <f>N222+'A -Döviz'!Q222</f>
        <v>11989912.488009</v>
      </c>
      <c r="R222" s="7">
        <f>O222+'A -Döviz'!R222</f>
        <v>6700487.3700000001</v>
      </c>
      <c r="S222" s="8"/>
      <c r="T222" s="7">
        <f>Q222+'A -Döviz'!T222</f>
        <v>14287492.532515001</v>
      </c>
      <c r="U222" s="7">
        <f>R222+'A -Döviz'!U222</f>
        <v>8601265.4000000004</v>
      </c>
      <c r="V222" s="8"/>
      <c r="W222" s="7">
        <f>T222+'A -Döviz'!W222</f>
        <v>14783359.971034</v>
      </c>
      <c r="X222" s="7">
        <f>U222+'A -Döviz'!X222</f>
        <v>9476714.3800000008</v>
      </c>
      <c r="Y222" s="8"/>
      <c r="Z222" s="7">
        <f>W222+'A -Döviz'!Z222</f>
        <v>18636357.849146999</v>
      </c>
      <c r="AA222" s="7">
        <f>X222+'A -Döviz'!AA222</f>
        <v>12777644.140000001</v>
      </c>
      <c r="AB222" s="8"/>
      <c r="AC222" s="7">
        <f>Z222+'A -Döviz'!AC222</f>
        <v>21019719.741902001</v>
      </c>
      <c r="AD222" s="7">
        <f>AA222+'A -Döviz'!AD222</f>
        <v>12777644.140000001</v>
      </c>
      <c r="AE222" s="8"/>
      <c r="AF222" s="7">
        <f>AC222+'A -Döviz'!AF222</f>
        <v>23446056.556302</v>
      </c>
      <c r="AG222" s="7">
        <f>AD222+'A -Döviz'!AG222</f>
        <v>12777644.140000001</v>
      </c>
      <c r="AH222" s="8"/>
      <c r="AI222" s="7">
        <f>AF222+'A -Döviz'!AI222</f>
        <v>25708085.693652999</v>
      </c>
      <c r="AJ222" s="7">
        <f>AG222+'A -Döviz'!AJ222</f>
        <v>12777644.140000001</v>
      </c>
      <c r="AK222" s="8"/>
      <c r="AL222" s="21">
        <f t="shared" si="130"/>
        <v>-5858713.7091469988</v>
      </c>
      <c r="AM222" s="22">
        <f t="shared" si="131"/>
        <v>-0.31437010152792044</v>
      </c>
      <c r="AN222" s="9">
        <f>(AC222-AD222)*0.4</f>
        <v>3296830.2407608004</v>
      </c>
      <c r="AO222" s="44">
        <f t="shared" si="132"/>
        <v>18636357.849146999</v>
      </c>
      <c r="AP222" s="44">
        <f t="shared" si="132"/>
        <v>12777644.140000001</v>
      </c>
      <c r="AR222" s="94">
        <f t="shared" si="135"/>
        <v>8407887.8967608009</v>
      </c>
      <c r="AS222" s="94">
        <f t="shared" si="135"/>
        <v>5111057.6560000004</v>
      </c>
      <c r="AT222" s="94">
        <f t="shared" si="134"/>
        <v>-3296830.2407608004</v>
      </c>
    </row>
    <row r="223" spans="1:46" s="1" customFormat="1" ht="15.5">
      <c r="A223" s="26"/>
      <c r="B223" s="7"/>
      <c r="C223" s="8"/>
      <c r="D223" s="8"/>
      <c r="E223" s="7"/>
      <c r="F223" s="8"/>
      <c r="G223" s="8"/>
      <c r="H223" s="7"/>
      <c r="I223" s="8"/>
      <c r="J223" s="8"/>
      <c r="K223" s="7"/>
      <c r="L223" s="8"/>
      <c r="M223" s="8"/>
      <c r="N223" s="7"/>
      <c r="O223" s="8"/>
      <c r="P223" s="8"/>
      <c r="Q223" s="7"/>
      <c r="R223" s="8"/>
      <c r="S223" s="8"/>
      <c r="T223" s="7"/>
      <c r="U223" s="8"/>
      <c r="V223" s="8"/>
      <c r="W223" s="7"/>
      <c r="X223" s="8"/>
      <c r="Y223" s="8"/>
      <c r="Z223" s="7"/>
      <c r="AA223" s="8"/>
      <c r="AB223" s="8"/>
      <c r="AC223" s="7"/>
      <c r="AD223" s="8"/>
      <c r="AE223" s="8"/>
      <c r="AF223" s="7"/>
      <c r="AG223" s="8"/>
      <c r="AH223" s="8"/>
      <c r="AI223" s="7"/>
      <c r="AJ223" s="8"/>
      <c r="AK223" s="8"/>
      <c r="AL223" s="15"/>
      <c r="AM223" s="16"/>
      <c r="AO223" s="44"/>
      <c r="AP223" s="44"/>
    </row>
    <row r="224" spans="1:46" s="1" customFormat="1" ht="15.5">
      <c r="A224" s="26"/>
      <c r="B224" s="7"/>
      <c r="C224" s="8"/>
      <c r="D224" s="8"/>
      <c r="E224" s="7"/>
      <c r="F224" s="8"/>
      <c r="G224" s="8"/>
      <c r="H224" s="7"/>
      <c r="I224" s="8"/>
      <c r="J224" s="8"/>
      <c r="K224" s="7"/>
      <c r="L224" s="8"/>
      <c r="M224" s="8"/>
      <c r="N224" s="7"/>
      <c r="O224" s="8"/>
      <c r="P224" s="8"/>
      <c r="Q224" s="7"/>
      <c r="R224" s="8"/>
      <c r="S224" s="8"/>
      <c r="T224" s="7"/>
      <c r="U224" s="8"/>
      <c r="V224" s="8"/>
      <c r="W224" s="7"/>
      <c r="X224" s="8"/>
      <c r="Y224" s="8"/>
      <c r="Z224" s="7"/>
      <c r="AA224" s="8"/>
      <c r="AB224" s="8"/>
      <c r="AC224" s="7"/>
      <c r="AD224" s="8"/>
      <c r="AE224" s="8"/>
      <c r="AF224" s="7"/>
      <c r="AG224" s="8"/>
      <c r="AH224" s="8"/>
      <c r="AI224" s="7"/>
      <c r="AJ224" s="8"/>
      <c r="AK224" s="8"/>
      <c r="AL224" s="15"/>
      <c r="AM224" s="16"/>
      <c r="AO224" s="44"/>
      <c r="AP224" s="44"/>
    </row>
    <row r="225" spans="1:42" s="49" customFormat="1" ht="17">
      <c r="A225" s="47" t="s">
        <v>25</v>
      </c>
      <c r="B225" s="413"/>
      <c r="C225" s="413"/>
      <c r="D225" s="413"/>
      <c r="E225" s="413"/>
      <c r="F225" s="413"/>
      <c r="G225" s="413"/>
      <c r="H225" s="413"/>
      <c r="I225" s="413"/>
      <c r="J225" s="413"/>
      <c r="K225" s="413"/>
      <c r="L225" s="413"/>
      <c r="M225" s="413"/>
      <c r="N225" s="413"/>
      <c r="O225" s="413"/>
      <c r="P225" s="413"/>
      <c r="Q225" s="413"/>
      <c r="R225" s="413"/>
      <c r="S225" s="413"/>
      <c r="T225" s="413"/>
      <c r="U225" s="413"/>
      <c r="V225" s="413"/>
      <c r="W225" s="413"/>
      <c r="X225" s="413"/>
      <c r="Y225" s="413"/>
      <c r="Z225" s="413"/>
      <c r="AA225" s="413"/>
      <c r="AB225" s="413"/>
      <c r="AC225" s="413"/>
      <c r="AD225" s="413"/>
      <c r="AE225" s="413"/>
      <c r="AF225" s="413"/>
      <c r="AG225" s="413"/>
      <c r="AH225" s="413"/>
      <c r="AI225" s="413"/>
      <c r="AJ225" s="413"/>
      <c r="AK225" s="413"/>
      <c r="AL225" s="413"/>
      <c r="AM225" s="48"/>
    </row>
    <row r="226" spans="1:42" ht="15.5">
      <c r="A226" s="26" t="s">
        <v>10</v>
      </c>
      <c r="B226" s="5">
        <f t="shared" ref="B226:C233" si="136">B215/B9</f>
        <v>0.36281274864120405</v>
      </c>
      <c r="C226" s="5">
        <f t="shared" si="136"/>
        <v>0.18132867549462708</v>
      </c>
      <c r="D226" s="7"/>
      <c r="E226" s="5">
        <f t="shared" ref="E226:F233" si="137">E215/E9</f>
        <v>0.32997664548728534</v>
      </c>
      <c r="F226" s="5">
        <f t="shared" si="137"/>
        <v>0.32600069020662237</v>
      </c>
      <c r="G226" s="7"/>
      <c r="H226" s="5">
        <f t="shared" ref="H226:I233" si="138">H215/H9</f>
        <v>0.3028349883590174</v>
      </c>
      <c r="I226" s="5">
        <f t="shared" si="138"/>
        <v>0.48529413844634295</v>
      </c>
      <c r="J226" s="7"/>
      <c r="K226" s="5">
        <f t="shared" ref="K226:L233" si="139">K215/K9</f>
        <v>0.29818218746127412</v>
      </c>
      <c r="L226" s="5">
        <f t="shared" si="139"/>
        <v>0.49969339661647311</v>
      </c>
      <c r="M226" s="7"/>
      <c r="N226" s="5">
        <f t="shared" ref="N226:O233" si="140">N215/N9</f>
        <v>0.29564959708811472</v>
      </c>
      <c r="O226" s="5">
        <f t="shared" si="140"/>
        <v>0.45858930711225976</v>
      </c>
      <c r="P226" s="7"/>
      <c r="Q226" s="5">
        <f t="shared" ref="Q226:R233" si="141">Q215/Q9</f>
        <v>0.29891655087651509</v>
      </c>
      <c r="R226" s="5">
        <f t="shared" si="141"/>
        <v>0.43020603212353858</v>
      </c>
      <c r="S226" s="7"/>
      <c r="T226" s="5">
        <f t="shared" ref="T226:U233" si="142">T215/T9</f>
        <v>0.30332935479926343</v>
      </c>
      <c r="U226" s="5">
        <f t="shared" si="142"/>
        <v>0.40315971333283984</v>
      </c>
      <c r="V226" s="7"/>
      <c r="W226" s="5">
        <f t="shared" ref="W226:X233" si="143">W215/W9</f>
        <v>0.30248920727891826</v>
      </c>
      <c r="X226" s="5">
        <f t="shared" si="143"/>
        <v>0.39883165020581868</v>
      </c>
      <c r="Y226" s="7"/>
      <c r="Z226" s="5">
        <f>Z215/Z9</f>
        <v>0.3120828764523666</v>
      </c>
      <c r="AA226" s="5">
        <f>AA215/AA9</f>
        <v>0.40865765242962571</v>
      </c>
      <c r="AB226" s="7"/>
      <c r="AC226" s="5">
        <f>AC215/AC9</f>
        <v>0.31580689037185972</v>
      </c>
      <c r="AD226" s="5">
        <f>AD215/AD9</f>
        <v>0.40865765242962571</v>
      </c>
      <c r="AE226" s="7"/>
      <c r="AF226" s="5">
        <f>AF215/AF9</f>
        <v>0.31633626841535539</v>
      </c>
      <c r="AG226" s="5">
        <f>AG215/AG9</f>
        <v>0.40865765242962571</v>
      </c>
      <c r="AH226" s="7"/>
      <c r="AI226" s="5">
        <f>AI215/AI9</f>
        <v>0.27575721234541545</v>
      </c>
      <c r="AJ226" s="5">
        <f>AJ215/AJ9</f>
        <v>0.40865765242962571</v>
      </c>
      <c r="AK226" s="7"/>
      <c r="AL226" s="21"/>
      <c r="AM226" s="22">
        <f>AP226-AO226</f>
        <v>9.6574775977259109E-2</v>
      </c>
      <c r="AO226" s="44">
        <f t="shared" ref="AO226:AP233" si="144">IF($A$1=$B$1,B226,IF($A$1=$E$1,E226,IF($A$1=$H$1,H226,IF($A$1=$K$1,K226,IF($A$1=$N$1,N226,IF($A$1=$Q$1,Q226,IF($A$1=$T$1,T226,IF($A$1=$W$1,W226,IF($A$1=$Z$1,Z226,IF($A$1=$AC$1,AC226,IF($A$1=$AF$1,AF226,IF($A$1=$AI$1,AI226))))))))))))</f>
        <v>0.3120828764523666</v>
      </c>
      <c r="AP226" s="44">
        <f t="shared" si="144"/>
        <v>0.40865765242962571</v>
      </c>
    </row>
    <row r="227" spans="1:42" ht="15.5">
      <c r="A227" s="26" t="s">
        <v>11</v>
      </c>
      <c r="B227" s="5">
        <f t="shared" si="136"/>
        <v>-3.5400113116245038E-2</v>
      </c>
      <c r="C227" s="5">
        <f t="shared" si="136"/>
        <v>-7.8709863596322052E-2</v>
      </c>
      <c r="D227" s="7"/>
      <c r="E227" s="5">
        <f t="shared" si="137"/>
        <v>1.8251800415242818E-2</v>
      </c>
      <c r="F227" s="5">
        <f t="shared" si="137"/>
        <v>-4.4049125038630968E-2</v>
      </c>
      <c r="G227" s="7"/>
      <c r="H227" s="5">
        <f t="shared" si="138"/>
        <v>3.9812796731224467E-2</v>
      </c>
      <c r="I227" s="5">
        <f t="shared" si="138"/>
        <v>-5.6116468218615038E-2</v>
      </c>
      <c r="J227" s="7"/>
      <c r="K227" s="5">
        <f t="shared" si="139"/>
        <v>6.3215893001394782E-2</v>
      </c>
      <c r="L227" s="5">
        <f t="shared" si="139"/>
        <v>-2.0801470428318557E-2</v>
      </c>
      <c r="M227" s="7"/>
      <c r="N227" s="5">
        <f t="shared" si="140"/>
        <v>8.4376375539992943E-2</v>
      </c>
      <c r="O227" s="5">
        <f t="shared" si="140"/>
        <v>-4.7453057184665706E-2</v>
      </c>
      <c r="P227" s="7"/>
      <c r="Q227" s="5">
        <f t="shared" si="141"/>
        <v>9.534395559407495E-2</v>
      </c>
      <c r="R227" s="5">
        <f t="shared" si="141"/>
        <v>-0.13256737384669939</v>
      </c>
      <c r="S227" s="7"/>
      <c r="T227" s="5">
        <f t="shared" si="142"/>
        <v>0.10010087475694353</v>
      </c>
      <c r="U227" s="5">
        <f t="shared" si="142"/>
        <v>-0.12427833883668132</v>
      </c>
      <c r="V227" s="7"/>
      <c r="W227" s="5">
        <f t="shared" si="143"/>
        <v>9.5100381246032928E-2</v>
      </c>
      <c r="X227" s="5">
        <f t="shared" si="143"/>
        <v>-0.1468994381455537</v>
      </c>
      <c r="Y227" s="7"/>
      <c r="Z227" s="5">
        <f t="shared" ref="Z227:AA233" si="145">Z216/Z10</f>
        <v>9.3376052499463541E-2</v>
      </c>
      <c r="AA227" s="5">
        <f t="shared" si="145"/>
        <v>-0.17008136194282619</v>
      </c>
      <c r="AB227" s="7"/>
      <c r="AC227" s="132">
        <f t="shared" ref="AC227:AD233" si="146">AC216/AC10</f>
        <v>8.8913834195951127E-2</v>
      </c>
      <c r="AD227" s="132">
        <f t="shared" si="146"/>
        <v>-0.17008136194282619</v>
      </c>
      <c r="AE227" s="7"/>
      <c r="AF227" s="5">
        <f t="shared" ref="AF227:AG233" si="147">AF216/AF10</f>
        <v>8.3051359327128704E-2</v>
      </c>
      <c r="AG227" s="5">
        <f t="shared" si="147"/>
        <v>-0.17008136194282619</v>
      </c>
      <c r="AH227" s="7"/>
      <c r="AI227" s="5">
        <f t="shared" ref="AI227:AJ233" si="148">AI216/AI10</f>
        <v>7.4951572649166923E-2</v>
      </c>
      <c r="AJ227" s="5">
        <f t="shared" si="148"/>
        <v>-0.17008136194282619</v>
      </c>
      <c r="AK227" s="7"/>
      <c r="AL227" s="21"/>
      <c r="AM227" s="22">
        <f t="shared" ref="AM227:AM233" si="149">AP227-AO227</f>
        <v>-0.26345741444228976</v>
      </c>
      <c r="AO227" s="44">
        <f t="shared" si="144"/>
        <v>9.3376052499463541E-2</v>
      </c>
      <c r="AP227" s="44">
        <f t="shared" si="144"/>
        <v>-0.17008136194282619</v>
      </c>
    </row>
    <row r="228" spans="1:42" ht="15.5">
      <c r="A228" s="26" t="s">
        <v>12</v>
      </c>
      <c r="B228" s="5">
        <f t="shared" si="136"/>
        <v>-9.4184174568694934E-2</v>
      </c>
      <c r="C228" s="5">
        <f t="shared" si="136"/>
        <v>1.2445246733022452E-3</v>
      </c>
      <c r="D228" s="7"/>
      <c r="E228" s="5">
        <f t="shared" si="137"/>
        <v>-7.4109292823078779E-2</v>
      </c>
      <c r="F228" s="5">
        <f t="shared" si="137"/>
        <v>1.6588165755577213E-3</v>
      </c>
      <c r="G228" s="7"/>
      <c r="H228" s="5">
        <f t="shared" si="138"/>
        <v>-4.4310371066719798E-2</v>
      </c>
      <c r="I228" s="5">
        <f t="shared" si="138"/>
        <v>-7.1709228192912014E-3</v>
      </c>
      <c r="J228" s="7"/>
      <c r="K228" s="5">
        <f t="shared" si="139"/>
        <v>-3.2059068662075058E-2</v>
      </c>
      <c r="L228" s="5">
        <f t="shared" si="139"/>
        <v>-8.7006524331627831E-3</v>
      </c>
      <c r="M228" s="7"/>
      <c r="N228" s="5">
        <f t="shared" si="140"/>
        <v>-1.7320022106209088E-2</v>
      </c>
      <c r="O228" s="5">
        <f t="shared" si="140"/>
        <v>-5.6321542252097245E-3</v>
      </c>
      <c r="P228" s="7"/>
      <c r="Q228" s="5">
        <f t="shared" si="141"/>
        <v>-8.3184360657289642E-3</v>
      </c>
      <c r="R228" s="5">
        <f t="shared" si="141"/>
        <v>-9.4119911221744422E-3</v>
      </c>
      <c r="S228" s="7"/>
      <c r="T228" s="5">
        <f t="shared" si="142"/>
        <v>-2.0035509798356743E-4</v>
      </c>
      <c r="U228" s="5">
        <f t="shared" si="142"/>
        <v>-1.3176941912211363E-2</v>
      </c>
      <c r="V228" s="7"/>
      <c r="W228" s="5">
        <f t="shared" si="143"/>
        <v>3.4114729552407437E-3</v>
      </c>
      <c r="X228" s="5">
        <f t="shared" si="143"/>
        <v>-1.5356611827587694E-2</v>
      </c>
      <c r="Y228" s="7"/>
      <c r="Z228" s="5">
        <f t="shared" si="145"/>
        <v>5.0354508309221162E-3</v>
      </c>
      <c r="AA228" s="5">
        <f t="shared" si="145"/>
        <v>-1.0860417336279904E-2</v>
      </c>
      <c r="AB228" s="7"/>
      <c r="AC228" s="132">
        <f t="shared" si="146"/>
        <v>7.4217604730728286E-3</v>
      </c>
      <c r="AD228" s="132">
        <f t="shared" si="146"/>
        <v>-1.0860417336279904E-2</v>
      </c>
      <c r="AE228" s="7"/>
      <c r="AF228" s="5">
        <f t="shared" si="147"/>
        <v>1.009705301612698E-2</v>
      </c>
      <c r="AG228" s="5">
        <f t="shared" si="147"/>
        <v>-1.0860417336279904E-2</v>
      </c>
      <c r="AH228" s="7"/>
      <c r="AI228" s="5">
        <f t="shared" si="148"/>
        <v>9.3471746255576055E-3</v>
      </c>
      <c r="AJ228" s="5">
        <f t="shared" si="148"/>
        <v>-1.0860417336279904E-2</v>
      </c>
      <c r="AK228" s="7"/>
      <c r="AL228" s="21"/>
      <c r="AM228" s="22">
        <f t="shared" si="149"/>
        <v>-1.589586816720202E-2</v>
      </c>
      <c r="AO228" s="44">
        <f t="shared" si="144"/>
        <v>5.0354508309221162E-3</v>
      </c>
      <c r="AP228" s="44">
        <f t="shared" si="144"/>
        <v>-1.0860417336279904E-2</v>
      </c>
    </row>
    <row r="229" spans="1:42" ht="15.5">
      <c r="A229" s="26" t="s">
        <v>13</v>
      </c>
      <c r="B229" s="5">
        <f t="shared" si="136"/>
        <v>-2.7590746951888862E-2</v>
      </c>
      <c r="C229" s="5">
        <f t="shared" si="136"/>
        <v>-7.5962270226340958E-2</v>
      </c>
      <c r="D229" s="7"/>
      <c r="E229" s="5">
        <f t="shared" si="137"/>
        <v>-4.3014536175746909E-2</v>
      </c>
      <c r="F229" s="5">
        <f t="shared" si="137"/>
        <v>-9.3595159296560357E-2</v>
      </c>
      <c r="G229" s="7"/>
      <c r="H229" s="5">
        <f t="shared" si="138"/>
        <v>-4.4159857589617012E-2</v>
      </c>
      <c r="I229" s="5">
        <f t="shared" si="138"/>
        <v>-0.15500141335753181</v>
      </c>
      <c r="J229" s="7"/>
      <c r="K229" s="5">
        <f t="shared" si="139"/>
        <v>-5.1920787970635242E-2</v>
      </c>
      <c r="L229" s="5">
        <f t="shared" si="139"/>
        <v>-0.20242381284016048</v>
      </c>
      <c r="M229" s="7"/>
      <c r="N229" s="5">
        <f t="shared" si="140"/>
        <v>-4.6543186626260072E-2</v>
      </c>
      <c r="O229" s="5">
        <f t="shared" si="140"/>
        <v>-0.20325875820976383</v>
      </c>
      <c r="P229" s="7"/>
      <c r="Q229" s="5">
        <f t="shared" si="141"/>
        <v>-3.9328984719520163E-2</v>
      </c>
      <c r="R229" s="5">
        <f t="shared" si="141"/>
        <v>-0.21872289557823651</v>
      </c>
      <c r="S229" s="7"/>
      <c r="T229" s="5">
        <f t="shared" si="142"/>
        <v>-3.4221929218476173E-2</v>
      </c>
      <c r="U229" s="5">
        <f t="shared" si="142"/>
        <v>-0.21591501356159123</v>
      </c>
      <c r="V229" s="7"/>
      <c r="W229" s="5">
        <f t="shared" si="143"/>
        <v>-2.9777043512472061E-2</v>
      </c>
      <c r="X229" s="5">
        <f t="shared" si="143"/>
        <v>-0.20597740845569865</v>
      </c>
      <c r="Y229" s="7"/>
      <c r="Z229" s="5">
        <f t="shared" si="145"/>
        <v>-2.3831520935017544E-2</v>
      </c>
      <c r="AA229" s="5">
        <f t="shared" si="145"/>
        <v>-0.20801209311985788</v>
      </c>
      <c r="AB229" s="7"/>
      <c r="AC229" s="132">
        <f t="shared" si="146"/>
        <v>-1.4921584108150265E-2</v>
      </c>
      <c r="AD229" s="132">
        <f t="shared" si="146"/>
        <v>-0.20801209311985788</v>
      </c>
      <c r="AE229" s="7"/>
      <c r="AF229" s="5">
        <f t="shared" si="147"/>
        <v>-7.0790252432789144E-3</v>
      </c>
      <c r="AG229" s="5">
        <f t="shared" si="147"/>
        <v>-0.20801209311985788</v>
      </c>
      <c r="AH229" s="7"/>
      <c r="AI229" s="5">
        <f t="shared" si="148"/>
        <v>1.7247009569368562E-3</v>
      </c>
      <c r="AJ229" s="5">
        <f t="shared" si="148"/>
        <v>-0.20801209311985788</v>
      </c>
      <c r="AK229" s="7"/>
      <c r="AL229" s="21"/>
      <c r="AM229" s="22">
        <f t="shared" si="149"/>
        <v>-0.18418057218484035</v>
      </c>
      <c r="AO229" s="44">
        <f t="shared" si="144"/>
        <v>-2.3831520935017544E-2</v>
      </c>
      <c r="AP229" s="44">
        <f t="shared" si="144"/>
        <v>-0.20801209311985788</v>
      </c>
    </row>
    <row r="230" spans="1:42" s="1" customFormat="1" ht="15.5">
      <c r="A230" s="26" t="s">
        <v>14</v>
      </c>
      <c r="B230" s="5">
        <f t="shared" si="136"/>
        <v>3.4722475289825146E-2</v>
      </c>
      <c r="C230" s="5">
        <f t="shared" si="136"/>
        <v>4.1981375898470868E-2</v>
      </c>
      <c r="D230" s="8"/>
      <c r="E230" s="5">
        <f t="shared" si="137"/>
        <v>3.6680976990121683E-2</v>
      </c>
      <c r="F230" s="5">
        <f t="shared" si="137"/>
        <v>4.0490280523708379E-2</v>
      </c>
      <c r="G230" s="8"/>
      <c r="H230" s="5">
        <f t="shared" si="138"/>
        <v>3.6353809921130596E-2</v>
      </c>
      <c r="I230" s="5">
        <f t="shared" si="138"/>
        <v>5.4394950638658401E-2</v>
      </c>
      <c r="J230" s="8"/>
      <c r="K230" s="5">
        <f t="shared" si="139"/>
        <v>2.0695984380820327E-2</v>
      </c>
      <c r="L230" s="5">
        <f t="shared" si="139"/>
        <v>3.8779036172078098E-2</v>
      </c>
      <c r="M230" s="8"/>
      <c r="N230" s="5">
        <f t="shared" si="140"/>
        <v>1.60930805033404E-2</v>
      </c>
      <c r="O230" s="5">
        <f t="shared" si="140"/>
        <v>3.1257294481237465E-2</v>
      </c>
      <c r="P230" s="8"/>
      <c r="Q230" s="5">
        <f t="shared" si="141"/>
        <v>1.210286746865143E-2</v>
      </c>
      <c r="R230" s="5">
        <f t="shared" si="141"/>
        <v>2.4358992281215266E-2</v>
      </c>
      <c r="S230" s="8"/>
      <c r="T230" s="5">
        <f t="shared" si="142"/>
        <v>1.1458242090440806E-2</v>
      </c>
      <c r="U230" s="5">
        <f t="shared" si="142"/>
        <v>2.3935113228841082E-2</v>
      </c>
      <c r="V230" s="8"/>
      <c r="W230" s="5">
        <f t="shared" si="143"/>
        <v>1.1871637008092524E-2</v>
      </c>
      <c r="X230" s="5">
        <f t="shared" si="143"/>
        <v>2.3035151291184379E-2</v>
      </c>
      <c r="Y230" s="8"/>
      <c r="Z230" s="5">
        <f>Z219/Z13</f>
        <v>1.2023013433485354E-2</v>
      </c>
      <c r="AA230" s="5">
        <f>AA219/AA13</f>
        <v>2.597281503446348E-2</v>
      </c>
      <c r="AB230" s="8"/>
      <c r="AC230" s="132">
        <f>AC219/AC13</f>
        <v>1.3892443342504997E-2</v>
      </c>
      <c r="AD230" s="132">
        <f>AD219/AD13</f>
        <v>2.597281503446348E-2</v>
      </c>
      <c r="AE230" s="8"/>
      <c r="AF230" s="5">
        <f>AF219/AF13</f>
        <v>1.4536368626064956E-2</v>
      </c>
      <c r="AG230" s="5">
        <f>AG219/AG13</f>
        <v>2.597281503446348E-2</v>
      </c>
      <c r="AH230" s="8"/>
      <c r="AI230" s="5">
        <f>AI219/AI13</f>
        <v>1.4146322294776694E-2</v>
      </c>
      <c r="AJ230" s="5">
        <f>AJ219/AJ13</f>
        <v>2.597281503446348E-2</v>
      </c>
      <c r="AK230" s="8"/>
      <c r="AL230" s="15"/>
      <c r="AM230" s="22">
        <f t="shared" si="149"/>
        <v>1.3949801600978126E-2</v>
      </c>
      <c r="AO230" s="44">
        <f t="shared" si="144"/>
        <v>1.2023013433485354E-2</v>
      </c>
      <c r="AP230" s="44">
        <f t="shared" si="144"/>
        <v>2.597281503446348E-2</v>
      </c>
    </row>
    <row r="231" spans="1:42" ht="15.5">
      <c r="A231" s="26" t="s">
        <v>15</v>
      </c>
      <c r="B231" s="5">
        <f t="shared" si="136"/>
        <v>2.5616010291613828E-2</v>
      </c>
      <c r="C231" s="5">
        <f t="shared" si="136"/>
        <v>5.2762217914526913E-2</v>
      </c>
      <c r="D231" s="7"/>
      <c r="E231" s="5">
        <f t="shared" si="137"/>
        <v>4.9287800636460911E-2</v>
      </c>
      <c r="F231" s="5">
        <f t="shared" si="137"/>
        <v>6.9483837893595399E-2</v>
      </c>
      <c r="G231" s="7"/>
      <c r="H231" s="5">
        <f t="shared" si="138"/>
        <v>8.1841110503025463E-2</v>
      </c>
      <c r="I231" s="5">
        <f t="shared" si="138"/>
        <v>7.2108367216902225E-2</v>
      </c>
      <c r="J231" s="7"/>
      <c r="K231" s="5">
        <f t="shared" si="139"/>
        <v>6.7431940613184055E-2</v>
      </c>
      <c r="L231" s="5">
        <f t="shared" si="139"/>
        <v>8.0085101068704964E-2</v>
      </c>
      <c r="M231" s="7"/>
      <c r="N231" s="5">
        <f t="shared" si="140"/>
        <v>6.7674359977127715E-2</v>
      </c>
      <c r="O231" s="5">
        <f t="shared" si="140"/>
        <v>7.8352275490754908E-2</v>
      </c>
      <c r="P231" s="7"/>
      <c r="Q231" s="5">
        <f t="shared" si="141"/>
        <v>7.5234439072822276E-2</v>
      </c>
      <c r="R231" s="5">
        <f t="shared" si="141"/>
        <v>8.2273279331870966E-2</v>
      </c>
      <c r="S231" s="7"/>
      <c r="T231" s="5">
        <f t="shared" si="142"/>
        <v>7.0070492510747026E-2</v>
      </c>
      <c r="U231" s="5">
        <f t="shared" si="142"/>
        <v>8.6848989680924249E-2</v>
      </c>
      <c r="V231" s="7"/>
      <c r="W231" s="5">
        <f t="shared" si="143"/>
        <v>6.2738622794116183E-2</v>
      </c>
      <c r="X231" s="5">
        <f t="shared" si="143"/>
        <v>8.1108384285287757E-2</v>
      </c>
      <c r="Y231" s="7"/>
      <c r="Z231" s="5">
        <f t="shared" si="145"/>
        <v>7.461949091552901E-2</v>
      </c>
      <c r="AA231" s="5">
        <f t="shared" si="145"/>
        <v>9.1943794857435535E-2</v>
      </c>
      <c r="AB231" s="7"/>
      <c r="AC231" s="132">
        <f t="shared" si="146"/>
        <v>7.6044745255055418E-2</v>
      </c>
      <c r="AD231" s="132">
        <f t="shared" si="146"/>
        <v>9.1943794857435535E-2</v>
      </c>
      <c r="AE231" s="7"/>
      <c r="AF231" s="5">
        <f t="shared" si="147"/>
        <v>7.7717594063049469E-2</v>
      </c>
      <c r="AG231" s="5">
        <f t="shared" si="147"/>
        <v>9.1943794857435535E-2</v>
      </c>
      <c r="AH231" s="7"/>
      <c r="AI231" s="5">
        <f t="shared" si="148"/>
        <v>7.9156563027152585E-2</v>
      </c>
      <c r="AJ231" s="5">
        <f t="shared" si="148"/>
        <v>9.1943794857435535E-2</v>
      </c>
      <c r="AK231" s="7"/>
      <c r="AL231" s="21"/>
      <c r="AM231" s="22">
        <f t="shared" si="149"/>
        <v>1.7324303941906524E-2</v>
      </c>
      <c r="AO231" s="44">
        <f t="shared" si="144"/>
        <v>7.461949091552901E-2</v>
      </c>
      <c r="AP231" s="44">
        <f t="shared" si="144"/>
        <v>9.1943794857435535E-2</v>
      </c>
    </row>
    <row r="232" spans="1:42" s="1" customFormat="1" ht="15.5">
      <c r="A232" s="26" t="s">
        <v>16</v>
      </c>
      <c r="B232" s="5">
        <f t="shared" si="136"/>
        <v>0.17418445939146909</v>
      </c>
      <c r="C232" s="5">
        <f t="shared" si="136"/>
        <v>0.12088297713145424</v>
      </c>
      <c r="D232" s="8"/>
      <c r="E232" s="5">
        <f t="shared" si="137"/>
        <v>0.16835340087532746</v>
      </c>
      <c r="F232" s="5">
        <f t="shared" si="137"/>
        <v>0.10564526737255232</v>
      </c>
      <c r="G232" s="8"/>
      <c r="H232" s="5">
        <f t="shared" si="138"/>
        <v>0.17051849977841468</v>
      </c>
      <c r="I232" s="5">
        <f t="shared" si="138"/>
        <v>0.12862994273457792</v>
      </c>
      <c r="J232" s="8"/>
      <c r="K232" s="5">
        <f t="shared" si="139"/>
        <v>0.17110520981228575</v>
      </c>
      <c r="L232" s="5">
        <f t="shared" si="139"/>
        <v>0.10595089950086167</v>
      </c>
      <c r="M232" s="8"/>
      <c r="N232" s="5">
        <f t="shared" si="140"/>
        <v>0.17579189844776505</v>
      </c>
      <c r="O232" s="5">
        <f t="shared" si="140"/>
        <v>0.12067857244683876</v>
      </c>
      <c r="P232" s="8"/>
      <c r="Q232" s="5">
        <f t="shared" si="141"/>
        <v>0.17179709172368512</v>
      </c>
      <c r="R232" s="5">
        <f t="shared" si="141"/>
        <v>0.10752447214073899</v>
      </c>
      <c r="S232" s="8"/>
      <c r="T232" s="5">
        <f t="shared" si="142"/>
        <v>0.16959915998655103</v>
      </c>
      <c r="U232" s="5">
        <f t="shared" si="142"/>
        <v>0.13585435833959697</v>
      </c>
      <c r="V232" s="8"/>
      <c r="W232" s="5">
        <f t="shared" si="143"/>
        <v>0.16157549340490621</v>
      </c>
      <c r="X232" s="5">
        <f t="shared" si="143"/>
        <v>0.13197582216762485</v>
      </c>
      <c r="Y232" s="8"/>
      <c r="Z232" s="5">
        <f>Z221/Z15</f>
        <v>0.16747539462568328</v>
      </c>
      <c r="AA232" s="5">
        <f>AA221/AA15</f>
        <v>0.14988269140839522</v>
      </c>
      <c r="AB232" s="8"/>
      <c r="AC232" s="132">
        <f>AC221/AC15</f>
        <v>0.1712665281736529</v>
      </c>
      <c r="AD232" s="132">
        <f>AD221/AD15</f>
        <v>0.14988269140839522</v>
      </c>
      <c r="AE232" s="8"/>
      <c r="AF232" s="5">
        <f>AF221/AF15</f>
        <v>0.17415843153142718</v>
      </c>
      <c r="AG232" s="5">
        <f>AG221/AG15</f>
        <v>0.14988269140839522</v>
      </c>
      <c r="AH232" s="8"/>
      <c r="AI232" s="5">
        <f>AI221/AI15</f>
        <v>0.13204255161724171</v>
      </c>
      <c r="AJ232" s="5">
        <f>AJ221/AJ15</f>
        <v>0.14988269140839522</v>
      </c>
      <c r="AK232" s="8"/>
      <c r="AL232" s="15"/>
      <c r="AM232" s="22">
        <f t="shared" si="149"/>
        <v>-1.7592703217288064E-2</v>
      </c>
      <c r="AO232" s="44">
        <f t="shared" si="144"/>
        <v>0.16747539462568328</v>
      </c>
      <c r="AP232" s="44">
        <f t="shared" si="144"/>
        <v>0.14988269140839522</v>
      </c>
    </row>
    <row r="233" spans="1:42" s="1" customFormat="1" ht="15.5">
      <c r="A233" s="26" t="s">
        <v>17</v>
      </c>
      <c r="B233" s="5">
        <f t="shared" si="136"/>
        <v>0.11215791594883567</v>
      </c>
      <c r="C233" s="5">
        <f t="shared" si="136"/>
        <v>6.6209096306177009E-2</v>
      </c>
      <c r="D233" s="8"/>
      <c r="E233" s="5">
        <f t="shared" si="137"/>
        <v>0.10070101621997746</v>
      </c>
      <c r="F233" s="5">
        <f t="shared" si="137"/>
        <v>4.2095559116538263E-2</v>
      </c>
      <c r="G233" s="8"/>
      <c r="H233" s="5">
        <f t="shared" si="138"/>
        <v>0.10593243955762885</v>
      </c>
      <c r="I233" s="5">
        <f t="shared" si="138"/>
        <v>4.2373519569599297E-2</v>
      </c>
      <c r="J233" s="8"/>
      <c r="K233" s="5">
        <f t="shared" si="139"/>
        <v>9.4547422281821572E-2</v>
      </c>
      <c r="L233" s="5">
        <f t="shared" si="139"/>
        <v>3.7917451664340733E-2</v>
      </c>
      <c r="M233" s="8"/>
      <c r="N233" s="5">
        <f t="shared" si="140"/>
        <v>9.5427433424402741E-2</v>
      </c>
      <c r="O233" s="5">
        <f t="shared" si="140"/>
        <v>4.8723763984770622E-2</v>
      </c>
      <c r="P233" s="8"/>
      <c r="Q233" s="5">
        <f t="shared" si="141"/>
        <v>9.6132839740419335E-2</v>
      </c>
      <c r="R233" s="5">
        <f t="shared" si="141"/>
        <v>5.0874048327534213E-2</v>
      </c>
      <c r="S233" s="8"/>
      <c r="T233" s="5">
        <f t="shared" si="142"/>
        <v>9.7769289294947881E-2</v>
      </c>
      <c r="U233" s="5">
        <f t="shared" si="142"/>
        <v>5.6093934009224057E-2</v>
      </c>
      <c r="V233" s="8"/>
      <c r="W233" s="5">
        <f t="shared" si="143"/>
        <v>9.0821404103709272E-2</v>
      </c>
      <c r="X233" s="5">
        <f t="shared" si="143"/>
        <v>5.627533683382599E-2</v>
      </c>
      <c r="Y233" s="8"/>
      <c r="Z233" s="5">
        <f t="shared" si="145"/>
        <v>9.9657075458234962E-2</v>
      </c>
      <c r="AA233" s="5">
        <f t="shared" si="145"/>
        <v>6.6940115429984584E-2</v>
      </c>
      <c r="AB233" s="8"/>
      <c r="AC233" s="132">
        <f t="shared" si="146"/>
        <v>0.10043599510674239</v>
      </c>
      <c r="AD233" s="132">
        <f t="shared" si="146"/>
        <v>6.6940115429984584E-2</v>
      </c>
      <c r="AE233" s="8"/>
      <c r="AF233" s="5">
        <f t="shared" si="147"/>
        <v>0.10181016347372294</v>
      </c>
      <c r="AG233" s="5">
        <f t="shared" si="147"/>
        <v>6.6940115429984584E-2</v>
      </c>
      <c r="AH233" s="8"/>
      <c r="AI233" s="5">
        <f t="shared" si="148"/>
        <v>0.10379431833078906</v>
      </c>
      <c r="AJ233" s="5">
        <f t="shared" si="148"/>
        <v>6.6940115429984584E-2</v>
      </c>
      <c r="AK233" s="8"/>
      <c r="AL233" s="15"/>
      <c r="AM233" s="22">
        <f t="shared" si="149"/>
        <v>-3.2716960028250378E-2</v>
      </c>
      <c r="AO233" s="44">
        <f t="shared" si="144"/>
        <v>9.9657075458234962E-2</v>
      </c>
      <c r="AP233" s="44">
        <f t="shared" si="144"/>
        <v>6.6940115429984584E-2</v>
      </c>
    </row>
    <row r="234" spans="1:42" s="1" customFormat="1" ht="15.5">
      <c r="A234" s="26"/>
      <c r="B234" s="7"/>
      <c r="C234" s="8"/>
      <c r="D234" s="8"/>
      <c r="E234" s="7"/>
      <c r="F234" s="8"/>
      <c r="G234" s="8"/>
      <c r="H234" s="7"/>
      <c r="I234" s="8"/>
      <c r="J234" s="8"/>
      <c r="K234" s="7"/>
      <c r="L234" s="8"/>
      <c r="M234" s="8"/>
      <c r="N234" s="7"/>
      <c r="O234" s="8"/>
      <c r="P234" s="8"/>
      <c r="Q234" s="7"/>
      <c r="R234" s="8"/>
      <c r="S234" s="8"/>
      <c r="T234" s="7"/>
      <c r="U234" s="8"/>
      <c r="V234" s="8"/>
      <c r="W234" s="7"/>
      <c r="X234" s="8"/>
      <c r="Y234" s="8"/>
      <c r="Z234" s="7"/>
      <c r="AA234" s="8"/>
      <c r="AB234" s="8"/>
      <c r="AC234" s="7"/>
      <c r="AD234" s="8"/>
      <c r="AE234" s="8"/>
      <c r="AF234" s="7"/>
      <c r="AG234" s="8"/>
      <c r="AH234" s="8"/>
      <c r="AI234" s="7"/>
      <c r="AJ234" s="8"/>
      <c r="AK234" s="8"/>
      <c r="AL234" s="15"/>
      <c r="AM234" s="16"/>
      <c r="AO234" s="44"/>
      <c r="AP234" s="44"/>
    </row>
    <row r="235" spans="1:42" s="1" customFormat="1" ht="15.5">
      <c r="A235" s="26"/>
      <c r="B235" s="7"/>
      <c r="C235" s="8"/>
      <c r="D235" s="8"/>
      <c r="E235" s="7"/>
      <c r="F235" s="8"/>
      <c r="G235" s="8"/>
      <c r="H235" s="7"/>
      <c r="I235" s="8"/>
      <c r="J235" s="8"/>
      <c r="K235" s="7"/>
      <c r="L235" s="8"/>
      <c r="M235" s="8"/>
      <c r="N235" s="7"/>
      <c r="O235" s="8"/>
      <c r="P235" s="8"/>
      <c r="Q235" s="7"/>
      <c r="R235" s="8"/>
      <c r="S235" s="8"/>
      <c r="T235" s="7"/>
      <c r="U235" s="8"/>
      <c r="V235" s="8"/>
      <c r="W235" s="7"/>
      <c r="X235" s="8"/>
      <c r="Y235" s="8"/>
      <c r="Z235" s="7"/>
      <c r="AA235" s="8"/>
      <c r="AB235" s="8"/>
      <c r="AC235" s="7"/>
      <c r="AD235" s="8"/>
      <c r="AE235" s="8"/>
      <c r="AF235" s="7"/>
      <c r="AG235" s="8"/>
      <c r="AH235" s="8"/>
      <c r="AI235" s="7"/>
      <c r="AJ235" s="8"/>
      <c r="AK235" s="8"/>
      <c r="AL235" s="15"/>
      <c r="AM235" s="16"/>
      <c r="AO235" s="44"/>
      <c r="AP235" s="44"/>
    </row>
    <row r="236" spans="1:42" s="44" customFormat="1" ht="15.5">
      <c r="A236" s="31" t="s">
        <v>84</v>
      </c>
      <c r="B236" s="32">
        <f>'Bütçe aylık-Eur'!$B$147</f>
        <v>18777052.134578682</v>
      </c>
      <c r="C236" s="32">
        <f>'gerç aylık-eur'!$B$146</f>
        <v>20036090.70777595</v>
      </c>
      <c r="D236" s="18"/>
      <c r="E236" s="32">
        <f>'Bütçe aylık-Eur'!$C$147</f>
        <v>19105761.826009043</v>
      </c>
      <c r="F236" s="32">
        <f>'gerç aylık-eur'!$C$146</f>
        <v>21119837.421659723</v>
      </c>
      <c r="G236" s="18"/>
      <c r="H236" s="32">
        <f>'Bütçe aylık-Eur'!$D$147</f>
        <v>18922814.427265674</v>
      </c>
      <c r="I236" s="32">
        <f>'gerç aylık-eur'!$D$146</f>
        <v>19130649.357705954</v>
      </c>
      <c r="J236" s="18"/>
      <c r="K236" s="32">
        <f>'Bütçe aylık-Eur'!$E$147</f>
        <v>18972614.529727899</v>
      </c>
      <c r="L236" s="32">
        <f>'gerç aylık-eur'!$E$146</f>
        <v>23829934.234262988</v>
      </c>
      <c r="M236" s="18"/>
      <c r="N236" s="32">
        <f>'Bütçe aylık-Eur'!$F$147</f>
        <v>18334223.36543091</v>
      </c>
      <c r="O236" s="32">
        <f>'gerç aylık-eur'!$F$146</f>
        <v>25781749.722575817</v>
      </c>
      <c r="P236" s="18"/>
      <c r="Q236" s="32">
        <f>'Bütçe aylık-Eur'!$G$147</f>
        <v>17660679.390012335</v>
      </c>
      <c r="R236" s="32">
        <f>'gerç aylık-eur'!$G$146</f>
        <v>26660075.913163755</v>
      </c>
      <c r="S236" s="18"/>
      <c r="T236" s="32">
        <f>'Bütçe aylık-Eur'!$H$147</f>
        <v>19504255.395108737</v>
      </c>
      <c r="U236" s="32">
        <f>'gerç aylık-eur'!$H$146</f>
        <v>28016389.354621645</v>
      </c>
      <c r="V236" s="18"/>
      <c r="W236" s="32">
        <f>'Bütçe aylık-Eur'!$I$147</f>
        <v>18749568.445826054</v>
      </c>
      <c r="X236" s="32">
        <f>'gerç aylık-eur'!$I$146</f>
        <v>27637999.406422429</v>
      </c>
      <c r="Y236" s="18"/>
      <c r="Z236" s="32">
        <f>'Bütçe aylık-Eur'!$J$147</f>
        <v>19078565.804200493</v>
      </c>
      <c r="AA236" s="32">
        <f>'gerç aylık-eur'!$J$146</f>
        <v>28489521.343984019</v>
      </c>
      <c r="AB236" s="18"/>
      <c r="AC236" s="32">
        <f>'Bütçe aylık-Eur'!$K$147</f>
        <v>17955933.696002416</v>
      </c>
      <c r="AD236" s="32">
        <f>'gerç aylık-eur'!$K$146</f>
        <v>0</v>
      </c>
      <c r="AE236" s="18"/>
      <c r="AF236" s="32">
        <f>'Bütçe aylık-Eur'!$L$147</f>
        <v>17407846.206486601</v>
      </c>
      <c r="AG236" s="32">
        <f>'gerç aylık-eur'!$L$146</f>
        <v>0</v>
      </c>
      <c r="AH236" s="18"/>
      <c r="AI236" s="32">
        <f>'Bütçe aylık-Eur'!$M$147</f>
        <v>17151330.330444451</v>
      </c>
      <c r="AJ236" s="32">
        <f>'gerç aylık-eur'!$M$146</f>
        <v>0</v>
      </c>
      <c r="AK236" s="18"/>
      <c r="AL236" s="33">
        <f>AP236-AO236</f>
        <v>9410955.5397835262</v>
      </c>
      <c r="AM236" s="34">
        <f>AP236/AO236-1</f>
        <v>0.49327374166204541</v>
      </c>
      <c r="AO236" s="44">
        <f>IF($A$1=$B$1,B236,IF($A$1=$E$1,E236,IF($A$1=$H$1,H236,IF($A$1=$K$1,K236,IF($A$1=$N$1,N236,IF($A$1=$Q$1,Q236,IF($A$1=$T$1,T236,IF($A$1=$W$1,W236,IF($A$1=$Z$1,Z236,IF($A$1=$AC$1,AC236,IF($A$1=$AF$1,AF236,IF($A$1=$AI$1,AI236))))))))))))</f>
        <v>19078565.804200493</v>
      </c>
      <c r="AP236" s="44">
        <f>IF($A$1=$B$1,C236,IF($A$1=$E$1,F236,IF($A$1=$H$1,I236,IF($A$1=$K$1,L236,IF($A$1=$N$1,O236,IF($A$1=$Q$1,R236,IF($A$1=$T$1,U236,IF($A$1=$W$1,X236,IF($A$1=$Z$1,AA236,IF($A$1=$AC$1,AD236,IF($A$1=$AF$1,AG236,IF($A$1=$AI$1,AJ236))))))))))))</f>
        <v>28489521.343984019</v>
      </c>
    </row>
    <row r="237" spans="1:42" s="13" customFormat="1" ht="15.5">
      <c r="A237" s="27"/>
      <c r="B237" s="30"/>
      <c r="C237" s="30"/>
      <c r="D237" s="41"/>
      <c r="E237" s="30"/>
      <c r="F237" s="30"/>
      <c r="G237" s="41"/>
      <c r="H237" s="30"/>
      <c r="I237" s="30"/>
      <c r="J237" s="41"/>
      <c r="K237" s="30"/>
      <c r="L237" s="30"/>
      <c r="M237" s="41"/>
      <c r="N237" s="30"/>
      <c r="O237" s="30"/>
      <c r="P237" s="41"/>
      <c r="Q237" s="30"/>
      <c r="R237" s="30"/>
      <c r="S237" s="41"/>
      <c r="T237" s="30"/>
      <c r="U237" s="30"/>
      <c r="V237" s="41"/>
      <c r="W237" s="30"/>
      <c r="X237" s="30"/>
      <c r="Y237" s="41"/>
      <c r="Z237" s="30"/>
      <c r="AA237" s="30"/>
      <c r="AB237" s="41"/>
      <c r="AC237" s="30"/>
      <c r="AD237" s="30"/>
      <c r="AE237" s="41"/>
      <c r="AF237" s="30"/>
      <c r="AG237" s="30"/>
      <c r="AH237" s="41"/>
      <c r="AI237" s="30"/>
      <c r="AJ237" s="30"/>
      <c r="AK237" s="41"/>
      <c r="AL237" s="15"/>
      <c r="AM237" s="22"/>
      <c r="AO237" s="44">
        <f>IF($A$1=$B$1,B237,IF($A$1=$E$1,E237,IF($A$1=$H$1,H237,IF($A$1=$K$1,K237,IF($A$1=$N$1,N237,IF($A$1=$Q$1,Q237,IF($A$1=$T$1,T237,IF($A$1=$W$1,W237,IF($A$1=$Z$1,Z237,IF($A$1=$AC$1,AC237,IF($A$1=$AF$1,AF237,IF($A$1=$AI$1,AI237))))))))))))</f>
        <v>0</v>
      </c>
      <c r="AP237" s="44">
        <f>IF($A$1=$B$1,C237,IF($A$1=$E$1,F237,IF($A$1=$H$1,I237,IF($A$1=$K$1,L237,IF($A$1=$N$1,O237,IF($A$1=$Q$1,R237,IF($A$1=$T$1,U237,IF($A$1=$W$1,X237,IF($A$1=$Z$1,AA237,IF($A$1=$AC$1,AD237,IF($A$1=$AF$1,AG237,IF($A$1=$AI$1,AJ237))))))))))))</f>
        <v>0</v>
      </c>
    </row>
    <row r="238" spans="1:42" s="49" customFormat="1" ht="17">
      <c r="A238" s="47" t="s">
        <v>85</v>
      </c>
      <c r="B238" s="413"/>
      <c r="C238" s="413"/>
      <c r="D238" s="413"/>
      <c r="E238" s="413"/>
      <c r="F238" s="413"/>
      <c r="G238" s="413"/>
      <c r="H238" s="413"/>
      <c r="I238" s="413"/>
      <c r="J238" s="413"/>
      <c r="K238" s="413"/>
      <c r="L238" s="413"/>
      <c r="M238" s="413"/>
      <c r="N238" s="413"/>
      <c r="O238" s="413"/>
      <c r="P238" s="413"/>
      <c r="Q238" s="413"/>
      <c r="R238" s="413"/>
      <c r="S238" s="413"/>
      <c r="T238" s="413"/>
      <c r="U238" s="413"/>
      <c r="V238" s="413"/>
      <c r="W238" s="413"/>
      <c r="X238" s="413"/>
      <c r="Y238" s="413"/>
      <c r="Z238" s="413"/>
      <c r="AA238" s="413"/>
      <c r="AB238" s="413"/>
      <c r="AC238" s="413"/>
      <c r="AD238" s="413"/>
      <c r="AE238" s="413"/>
      <c r="AF238" s="413"/>
      <c r="AG238" s="413"/>
      <c r="AH238" s="413"/>
      <c r="AI238" s="413"/>
      <c r="AJ238" s="413"/>
      <c r="AK238" s="413"/>
      <c r="AL238" s="413"/>
      <c r="AM238" s="48"/>
    </row>
    <row r="239" spans="1:42" ht="15.5">
      <c r="A239" s="26" t="s">
        <v>10</v>
      </c>
      <c r="B239" s="7">
        <f>'Bütçe aylık-Eur'!$B$148</f>
        <v>0</v>
      </c>
      <c r="C239" s="7">
        <f>'gerç aylık-eur'!$B$147</f>
        <v>0</v>
      </c>
      <c r="D239" s="7"/>
      <c r="E239" s="7">
        <f>'Bütçe aylık-Eur'!$C$148</f>
        <v>0</v>
      </c>
      <c r="F239" s="7">
        <f>'gerç aylık-eur'!$C$147</f>
        <v>0</v>
      </c>
      <c r="G239" s="7"/>
      <c r="H239" s="7">
        <f>'Bütçe aylık-Eur'!$D$148</f>
        <v>0</v>
      </c>
      <c r="I239" s="7">
        <f>'gerç aylık-eur'!$D$147</f>
        <v>0</v>
      </c>
      <c r="J239" s="7"/>
      <c r="K239" s="7">
        <f>'Bütçe aylık-Eur'!$E$148</f>
        <v>0</v>
      </c>
      <c r="L239" s="7">
        <f>'gerç aylık-eur'!$E$147</f>
        <v>0</v>
      </c>
      <c r="M239" s="7"/>
      <c r="N239" s="7">
        <f>'Bütçe aylık-Eur'!$F$148</f>
        <v>0</v>
      </c>
      <c r="O239" s="7">
        <f>'gerç aylık-eur'!$F$147</f>
        <v>0</v>
      </c>
      <c r="P239" s="7"/>
      <c r="Q239" s="7">
        <f>'Bütçe aylık-Eur'!$G$148</f>
        <v>0</v>
      </c>
      <c r="R239" s="7">
        <f>'gerç aylık-eur'!$G$147</f>
        <v>0</v>
      </c>
      <c r="S239" s="7"/>
      <c r="T239" s="7">
        <f>'Bütçe aylık-Eur'!$H$148</f>
        <v>0</v>
      </c>
      <c r="U239" s="7">
        <f>'gerç aylık-eur'!$H$147</f>
        <v>0</v>
      </c>
      <c r="V239" s="7"/>
      <c r="W239" s="7">
        <f>'Bütçe aylık-Eur'!$I$148</f>
        <v>0</v>
      </c>
      <c r="X239" s="7">
        <f>'gerç aylık-eur'!$I$147</f>
        <v>0</v>
      </c>
      <c r="Y239" s="7"/>
      <c r="Z239" s="7">
        <f>'Bütçe aylık-Eur'!$J$148</f>
        <v>0</v>
      </c>
      <c r="AA239" s="7">
        <f>'gerç aylık-eur'!$J$147</f>
        <v>0</v>
      </c>
      <c r="AB239" s="7"/>
      <c r="AC239" s="7">
        <f>'Bütçe aylık-Eur'!$K$148</f>
        <v>0</v>
      </c>
      <c r="AD239" s="7">
        <f>'gerç aylık-eur'!$K$147</f>
        <v>0</v>
      </c>
      <c r="AE239" s="7"/>
      <c r="AF239" s="7">
        <f>'Bütçe aylık-Eur'!$L$148</f>
        <v>0</v>
      </c>
      <c r="AG239" s="7">
        <f>'gerç aylık-eur'!$L$147</f>
        <v>0</v>
      </c>
      <c r="AH239" s="7"/>
      <c r="AI239" s="7">
        <f>'Bütçe aylık-Eur'!$M$148</f>
        <v>0</v>
      </c>
      <c r="AJ239" s="7">
        <f>'gerç aylık-eur'!$M$147</f>
        <v>0</v>
      </c>
      <c r="AK239" s="7"/>
      <c r="AL239" s="21">
        <f t="shared" ref="AL239:AL246" si="150">AP239-AO239</f>
        <v>0</v>
      </c>
      <c r="AM239" s="22" t="e">
        <f t="shared" ref="AM239:AM246" si="151">AP239/AO239-1</f>
        <v>#DIV/0!</v>
      </c>
      <c r="AO239" s="44">
        <f t="shared" ref="AO239:AP246" si="152">IF($A$1=$B$1,B239,IF($A$1=$E$1,E239,IF($A$1=$H$1,H239,IF($A$1=$K$1,K239,IF($A$1=$N$1,N239,IF($A$1=$Q$1,Q239,IF($A$1=$T$1,T239,IF($A$1=$W$1,W239,IF($A$1=$Z$1,Z239,IF($A$1=$AC$1,AC239,IF($A$1=$AF$1,AF239,IF($A$1=$AI$1,AI239))))))))))))</f>
        <v>0</v>
      </c>
      <c r="AP239" s="44">
        <f t="shared" si="152"/>
        <v>0</v>
      </c>
    </row>
    <row r="240" spans="1:42" ht="15.5">
      <c r="A240" s="26" t="s">
        <v>11</v>
      </c>
      <c r="B240" s="7">
        <f>'Bütçe aylık-Eur'!$B$149</f>
        <v>1968092.5017859237</v>
      </c>
      <c r="C240" s="7">
        <f>'gerç aylık-eur'!$B$148</f>
        <v>1756795.941308721</v>
      </c>
      <c r="D240" s="7"/>
      <c r="E240" s="7">
        <f>'Bütçe aylık-Eur'!$C$149</f>
        <v>2077149.6315433383</v>
      </c>
      <c r="F240" s="7">
        <f>'gerç aylık-eur'!$C$148</f>
        <v>1780717.9823640564</v>
      </c>
      <c r="G240" s="7"/>
      <c r="H240" s="7">
        <f>'Bütçe aylık-Eur'!$D$149</f>
        <v>2014206.6760741568</v>
      </c>
      <c r="I240" s="7">
        <f>'gerç aylık-eur'!$D$148</f>
        <v>1751023.0414304982</v>
      </c>
      <c r="J240" s="7"/>
      <c r="K240" s="7">
        <f>'Bütçe aylık-Eur'!$E$149</f>
        <v>1953690.446467818</v>
      </c>
      <c r="L240" s="7">
        <f>'gerç aylık-eur'!$E$148</f>
        <v>6647633.5834527463</v>
      </c>
      <c r="M240" s="7"/>
      <c r="N240" s="7">
        <f>'Bütçe aylık-Eur'!$F$149</f>
        <v>1771511.5562335348</v>
      </c>
      <c r="O240" s="7">
        <f>'gerç aylık-eur'!$F$148</f>
        <v>6543569.2963275844</v>
      </c>
      <c r="P240" s="7"/>
      <c r="Q240" s="7">
        <f>'Bütçe aylık-Eur'!$G$149</f>
        <v>1497584.4624828873</v>
      </c>
      <c r="R240" s="7">
        <f>'gerç aylık-eur'!$G$148</f>
        <v>6336207.4717631238</v>
      </c>
      <c r="S240" s="7"/>
      <c r="T240" s="7">
        <f>'Bütçe aylık-Eur'!$H$149</f>
        <v>1304054.7257856915</v>
      </c>
      <c r="U240" s="7">
        <f>'gerç aylık-eur'!$H$148</f>
        <v>6284844.3992097229</v>
      </c>
      <c r="V240" s="7"/>
      <c r="W240" s="7">
        <f>'Bütçe aylık-Eur'!$I$149</f>
        <v>976748.57259475207</v>
      </c>
      <c r="X240" s="7">
        <f>'gerç aylık-eur'!$I$148</f>
        <v>6303711.5810489263</v>
      </c>
      <c r="Y240" s="7"/>
      <c r="Z240" s="7">
        <f>'Bütçe aylık-Eur'!$J$149</f>
        <v>842866.98097643035</v>
      </c>
      <c r="AA240" s="7">
        <f>'gerç aylık-eur'!$J$148</f>
        <v>6436404.4776855726</v>
      </c>
      <c r="AB240" s="7"/>
      <c r="AC240" s="7">
        <f>'Bütçe aylık-Eur'!$K$149</f>
        <v>735161.12398465979</v>
      </c>
      <c r="AD240" s="7">
        <f>'gerç aylık-eur'!$K$148</f>
        <v>0</v>
      </c>
      <c r="AE240" s="7"/>
      <c r="AF240" s="7">
        <f>'Bütçe aylık-Eur'!$L$149</f>
        <v>785886.80108651624</v>
      </c>
      <c r="AG240" s="7">
        <f>'gerç aylık-eur'!$L$148</f>
        <v>0</v>
      </c>
      <c r="AH240" s="7"/>
      <c r="AI240" s="7">
        <f>'Bütçe aylık-Eur'!$M$149</f>
        <v>707482.99297959183</v>
      </c>
      <c r="AJ240" s="7">
        <f>'gerç aylık-eur'!$M$148</f>
        <v>0</v>
      </c>
      <c r="AK240" s="7"/>
      <c r="AL240" s="21">
        <f t="shared" si="150"/>
        <v>5593537.4967091419</v>
      </c>
      <c r="AM240" s="22">
        <f t="shared" si="151"/>
        <v>6.636322958373853</v>
      </c>
      <c r="AO240" s="44">
        <f t="shared" si="152"/>
        <v>842866.98097643035</v>
      </c>
      <c r="AP240" s="44">
        <f t="shared" si="152"/>
        <v>6436404.4776855726</v>
      </c>
    </row>
    <row r="241" spans="1:46" ht="15.5">
      <c r="A241" s="26" t="s">
        <v>12</v>
      </c>
      <c r="B241" s="7">
        <f>'Bütçe aylık-Eur'!$B$150</f>
        <v>345969.3034364371</v>
      </c>
      <c r="C241" s="7">
        <f>'gerç aylık-eur'!$B$149</f>
        <v>0</v>
      </c>
      <c r="D241" s="7"/>
      <c r="E241" s="7">
        <f>'Bütçe aylık-Eur'!$C$150</f>
        <v>685934.17673903448</v>
      </c>
      <c r="F241" s="7">
        <f>'gerç aylık-eur'!$C$149</f>
        <v>215461.67623099938</v>
      </c>
      <c r="G241" s="7"/>
      <c r="H241" s="7">
        <f>'Bütçe aylık-Eur'!$D$150</f>
        <v>527820.54401245678</v>
      </c>
      <c r="I241" s="7">
        <f>'gerç aylık-eur'!$D$149</f>
        <v>0</v>
      </c>
      <c r="J241" s="7"/>
      <c r="K241" s="7">
        <f>'Bütçe aylık-Eur'!$E$150</f>
        <v>597336.86656200944</v>
      </c>
      <c r="L241" s="7">
        <f>'gerç aylık-eur'!$E$149</f>
        <v>292683.98809604038</v>
      </c>
      <c r="M241" s="7"/>
      <c r="N241" s="7">
        <f>'Bütçe aylık-Eur'!$F$150</f>
        <v>450955.93435868114</v>
      </c>
      <c r="O241" s="7">
        <f>'gerç aylık-eur'!$F$149</f>
        <v>415774.58580333221</v>
      </c>
      <c r="P241" s="7"/>
      <c r="Q241" s="7">
        <f>'Bütçe aylık-Eur'!$G$150</f>
        <v>349733.76902945543</v>
      </c>
      <c r="R241" s="7">
        <f>'gerç aylık-eur'!$G$149</f>
        <v>285252.68202306639</v>
      </c>
      <c r="S241" s="7"/>
      <c r="T241" s="7">
        <f>'Bütçe aylık-Eur'!$H$150</f>
        <v>299578.93012011569</v>
      </c>
      <c r="U241" s="7">
        <f>'gerç aylık-eur'!$H$149</f>
        <v>480461.23221420875</v>
      </c>
      <c r="V241" s="7"/>
      <c r="W241" s="7">
        <f>'Bütçe aylık-Eur'!$I$150</f>
        <v>425077.80758017494</v>
      </c>
      <c r="X241" s="7">
        <f>'gerç aylık-eur'!$I$149</f>
        <v>363212.17468634964</v>
      </c>
      <c r="Y241" s="7"/>
      <c r="Z241" s="7">
        <f>'Bütçe aylık-Eur'!$J$150</f>
        <v>275715.6638543008</v>
      </c>
      <c r="AA241" s="7">
        <f>'gerç aylık-eur'!$J$149</f>
        <v>246670.46265100857</v>
      </c>
      <c r="AB241" s="7"/>
      <c r="AC241" s="7">
        <f>'Bütçe aylık-Eur'!$K$150</f>
        <v>309108.2121230546</v>
      </c>
      <c r="AD241" s="7">
        <f>'gerç aylık-eur'!$K$149</f>
        <v>0</v>
      </c>
      <c r="AE241" s="7"/>
      <c r="AF241" s="7">
        <f>'Bütçe aylık-Eur'!$L$150</f>
        <v>306851.0954819257</v>
      </c>
      <c r="AG241" s="7">
        <f>'gerç aylık-eur'!$L$149</f>
        <v>0</v>
      </c>
      <c r="AH241" s="7"/>
      <c r="AI241" s="7">
        <f>'Bütçe aylık-Eur'!$M$150</f>
        <v>400648.62040816329</v>
      </c>
      <c r="AJ241" s="7">
        <f>'gerç aylık-eur'!$M$149</f>
        <v>0</v>
      </c>
      <c r="AK241" s="7"/>
      <c r="AL241" s="21">
        <f t="shared" si="150"/>
        <v>-29045.201203292236</v>
      </c>
      <c r="AM241" s="22">
        <f t="shared" si="151"/>
        <v>-0.10534476277938598</v>
      </c>
      <c r="AO241" s="44">
        <f t="shared" si="152"/>
        <v>275715.6638543008</v>
      </c>
      <c r="AP241" s="44">
        <f t="shared" si="152"/>
        <v>246670.46265100857</v>
      </c>
    </row>
    <row r="242" spans="1:46" ht="15.5">
      <c r="A242" s="26" t="s">
        <v>13</v>
      </c>
      <c r="B242" s="7">
        <f>'Bütçe aylık-Eur'!$B$151</f>
        <v>41157475.823390804</v>
      </c>
      <c r="C242" s="7">
        <f>'gerç aylık-eur'!$B$150</f>
        <v>45698236.916168071</v>
      </c>
      <c r="D242" s="7"/>
      <c r="E242" s="7">
        <f>'Bütçe aylık-Eur'!$C$151</f>
        <v>40856695.044316672</v>
      </c>
      <c r="F242" s="7">
        <f>'gerç aylık-eur'!$C$150</f>
        <v>47809144.407661669</v>
      </c>
      <c r="G242" s="7"/>
      <c r="H242" s="7">
        <f>'Bütçe aylık-Eur'!$D$151</f>
        <v>40951968.017947644</v>
      </c>
      <c r="I242" s="7">
        <f>'gerç aylık-eur'!$D$150</f>
        <v>43449065.790688634</v>
      </c>
      <c r="J242" s="7"/>
      <c r="K242" s="7">
        <f>'Bütçe aylık-Eur'!$E$151</f>
        <v>41053968.041745178</v>
      </c>
      <c r="L242" s="7">
        <f>'gerç aylık-eur'!$E$150</f>
        <v>42224041.656785503</v>
      </c>
      <c r="M242" s="7"/>
      <c r="N242" s="7">
        <f>'Bütçe aylık-Eur'!$F$151</f>
        <v>40279389.68709673</v>
      </c>
      <c r="O242" s="7">
        <f>'gerç aylık-eur'!$F$150</f>
        <v>47056014.601112247</v>
      </c>
      <c r="P242" s="7"/>
      <c r="Q242" s="7">
        <f>'Bütçe aylık-Eur'!$G$151</f>
        <v>39533402.89624998</v>
      </c>
      <c r="R242" s="7">
        <f>'gerç aylık-eur'!$G$150</f>
        <v>50096539.398443907</v>
      </c>
      <c r="S242" s="7"/>
      <c r="T242" s="7">
        <f>'Bütçe aylık-Eur'!$H$151</f>
        <v>44751554.348007329</v>
      </c>
      <c r="U242" s="7">
        <f>'gerç aylık-eur'!$H$150</f>
        <v>53127709.307994284</v>
      </c>
      <c r="V242" s="7"/>
      <c r="W242" s="7">
        <f>'Bütçe aylık-Eur'!$I$151</f>
        <v>43369355.164127812</v>
      </c>
      <c r="X242" s="7">
        <f>'gerç aylık-eur'!$I$150</f>
        <v>52427689.12671788</v>
      </c>
      <c r="Y242" s="7"/>
      <c r="Z242" s="7">
        <f>'Bütçe aylık-Eur'!$J$151</f>
        <v>44899957.898424402</v>
      </c>
      <c r="AA242" s="7">
        <f>'gerç aylık-eur'!$J$150</f>
        <v>54516116.009118594</v>
      </c>
      <c r="AB242" s="7"/>
      <c r="AC242" s="7">
        <f>'Bütçe aylık-Eur'!$K$151</f>
        <v>42279160.899736747</v>
      </c>
      <c r="AD242" s="7">
        <f>'gerç aylık-eur'!$K$150</f>
        <v>0</v>
      </c>
      <c r="AE242" s="7"/>
      <c r="AF242" s="7">
        <f>'Bütçe aylık-Eur'!$L$151</f>
        <v>40787770.774795391</v>
      </c>
      <c r="AG242" s="7">
        <f>'gerç aylık-eur'!$L$150</f>
        <v>0</v>
      </c>
      <c r="AH242" s="7"/>
      <c r="AI242" s="7">
        <f>'Bütçe aylık-Eur'!$M$151</f>
        <v>40107996.792641737</v>
      </c>
      <c r="AJ242" s="7">
        <f>'gerç aylık-eur'!$M$150</f>
        <v>0</v>
      </c>
      <c r="AK242" s="7"/>
      <c r="AL242" s="21">
        <f t="shared" si="150"/>
        <v>9616158.1106941923</v>
      </c>
      <c r="AM242" s="22">
        <f t="shared" si="151"/>
        <v>0.21416853290705729</v>
      </c>
      <c r="AO242" s="44">
        <f t="shared" si="152"/>
        <v>44899957.898424402</v>
      </c>
      <c r="AP242" s="44">
        <f t="shared" si="152"/>
        <v>54516116.009118594</v>
      </c>
    </row>
    <row r="243" spans="1:46" s="1" customFormat="1" ht="15.5">
      <c r="A243" s="26" t="s">
        <v>14</v>
      </c>
      <c r="B243" s="7">
        <f>'Bütçe aylık-Eur'!$B$152</f>
        <v>0</v>
      </c>
      <c r="C243" s="7">
        <f>'gerç aylık-eur'!$B$151</f>
        <v>0</v>
      </c>
      <c r="D243" s="8"/>
      <c r="E243" s="7">
        <f>'Bütçe aylık-Eur'!$C$152</f>
        <v>0</v>
      </c>
      <c r="F243" s="7">
        <f>'gerç aylık-eur'!$C$151</f>
        <v>0</v>
      </c>
      <c r="G243" s="8"/>
      <c r="H243" s="7">
        <f>'Bütçe aylık-Eur'!$D$152</f>
        <v>0</v>
      </c>
      <c r="I243" s="7">
        <f>'gerç aylık-eur'!$D$151</f>
        <v>0</v>
      </c>
      <c r="J243" s="8"/>
      <c r="K243" s="7">
        <f>'Bütçe aylık-Eur'!$E$152</f>
        <v>0</v>
      </c>
      <c r="L243" s="7">
        <f>'gerç aylık-eur'!$E$151</f>
        <v>0</v>
      </c>
      <c r="M243" s="8"/>
      <c r="N243" s="7">
        <f>'Bütçe aylık-Eur'!$F$152</f>
        <v>0</v>
      </c>
      <c r="O243" s="7">
        <f>'gerç aylık-eur'!$F$151</f>
        <v>0</v>
      </c>
      <c r="P243" s="8"/>
      <c r="Q243" s="7">
        <f>'Bütçe aylık-Eur'!$G$152</f>
        <v>0</v>
      </c>
      <c r="R243" s="7">
        <f>'gerç aylık-eur'!$G$151</f>
        <v>0</v>
      </c>
      <c r="S243" s="8"/>
      <c r="T243" s="7">
        <f>'Bütçe aylık-Eur'!$H$152</f>
        <v>0</v>
      </c>
      <c r="U243" s="7">
        <f>'gerç aylık-eur'!$H$151</f>
        <v>0</v>
      </c>
      <c r="V243" s="8"/>
      <c r="W243" s="7">
        <f>'Bütçe aylık-Eur'!$I$152</f>
        <v>0</v>
      </c>
      <c r="X243" s="7">
        <f>'gerç aylık-eur'!$I$151</f>
        <v>0</v>
      </c>
      <c r="Y243" s="8"/>
      <c r="Z243" s="7">
        <f>'Bütçe aylık-Eur'!$J$152</f>
        <v>0</v>
      </c>
      <c r="AA243" s="7">
        <f>'gerç aylık-eur'!$J$151</f>
        <v>0</v>
      </c>
      <c r="AB243" s="8"/>
      <c r="AC243" s="7">
        <f>'Bütçe aylık-Eur'!$K$152</f>
        <v>0</v>
      </c>
      <c r="AD243" s="7">
        <f>'gerç aylık-eur'!$K$151</f>
        <v>0</v>
      </c>
      <c r="AE243" s="8"/>
      <c r="AF243" s="7">
        <f>'Bütçe aylık-Eur'!$L$152</f>
        <v>0</v>
      </c>
      <c r="AG243" s="7">
        <f>'gerç aylık-eur'!$L$151</f>
        <v>0</v>
      </c>
      <c r="AH243" s="8"/>
      <c r="AI243" s="7">
        <f>'Bütçe aylık-Eur'!$M$152</f>
        <v>0</v>
      </c>
      <c r="AJ243" s="7">
        <f>'gerç aylık-eur'!$M$151</f>
        <v>0</v>
      </c>
      <c r="AK243" s="8"/>
      <c r="AL243" s="21">
        <f t="shared" si="150"/>
        <v>0</v>
      </c>
      <c r="AM243" s="22" t="e">
        <f t="shared" si="151"/>
        <v>#DIV/0!</v>
      </c>
      <c r="AO243" s="44">
        <f t="shared" si="152"/>
        <v>0</v>
      </c>
      <c r="AP243" s="44">
        <f t="shared" si="152"/>
        <v>0</v>
      </c>
    </row>
    <row r="244" spans="1:46" ht="15.5">
      <c r="A244" s="26" t="s">
        <v>15</v>
      </c>
      <c r="B244" s="7">
        <f>'Bütçe aylık-Eur'!$B$153</f>
        <v>0</v>
      </c>
      <c r="C244" s="7">
        <f>'gerç aylık-eur'!$B$152</f>
        <v>0</v>
      </c>
      <c r="D244" s="7"/>
      <c r="E244" s="7">
        <f>'Bütçe aylık-Eur'!$C$153</f>
        <v>0</v>
      </c>
      <c r="F244" s="7">
        <f>'gerç aylık-eur'!$C$152</f>
        <v>0</v>
      </c>
      <c r="G244" s="7"/>
      <c r="H244" s="7">
        <f>'Bütçe aylık-Eur'!$D$153</f>
        <v>0</v>
      </c>
      <c r="I244" s="7">
        <f>'gerç aylık-eur'!$D$152</f>
        <v>0</v>
      </c>
      <c r="J244" s="7"/>
      <c r="K244" s="7">
        <f>'Bütçe aylık-Eur'!$E$153</f>
        <v>0</v>
      </c>
      <c r="L244" s="7">
        <f>'gerç aylık-eur'!$E$152</f>
        <v>0</v>
      </c>
      <c r="M244" s="7"/>
      <c r="N244" s="7">
        <f>'Bütçe aylık-Eur'!$F$153</f>
        <v>0</v>
      </c>
      <c r="O244" s="7">
        <f>'gerç aylık-eur'!$F$152</f>
        <v>0</v>
      </c>
      <c r="P244" s="7"/>
      <c r="Q244" s="7">
        <f>'Bütçe aylık-Eur'!$G$153</f>
        <v>0</v>
      </c>
      <c r="R244" s="7">
        <f>'gerç aylık-eur'!$G$152</f>
        <v>0</v>
      </c>
      <c r="S244" s="7"/>
      <c r="T244" s="7">
        <f>'Bütçe aylık-Eur'!$H$153</f>
        <v>0</v>
      </c>
      <c r="U244" s="7">
        <f>'gerç aylık-eur'!$H$152</f>
        <v>0</v>
      </c>
      <c r="V244" s="7"/>
      <c r="W244" s="7">
        <f>'Bütçe aylık-Eur'!$I$153</f>
        <v>0</v>
      </c>
      <c r="X244" s="7">
        <f>'gerç aylık-eur'!$I$152</f>
        <v>0</v>
      </c>
      <c r="Y244" s="7"/>
      <c r="Z244" s="7">
        <f>'Bütçe aylık-Eur'!$J$153</f>
        <v>0</v>
      </c>
      <c r="AA244" s="7">
        <f>'gerç aylık-eur'!$J$152</f>
        <v>0</v>
      </c>
      <c r="AB244" s="7"/>
      <c r="AC244" s="7">
        <f>'Bütçe aylık-Eur'!$K$153</f>
        <v>0</v>
      </c>
      <c r="AD244" s="7">
        <f>'gerç aylık-eur'!$K$152</f>
        <v>0</v>
      </c>
      <c r="AE244" s="7"/>
      <c r="AF244" s="7">
        <f>'Bütçe aylık-Eur'!$L$153</f>
        <v>0</v>
      </c>
      <c r="AG244" s="7">
        <f>'gerç aylık-eur'!$L$152</f>
        <v>0</v>
      </c>
      <c r="AH244" s="7"/>
      <c r="AI244" s="7">
        <f>'Bütçe aylık-Eur'!$M$153</f>
        <v>0</v>
      </c>
      <c r="AJ244" s="7">
        <f>'gerç aylık-eur'!$M$152</f>
        <v>0</v>
      </c>
      <c r="AK244" s="7"/>
      <c r="AL244" s="21">
        <f t="shared" si="150"/>
        <v>0</v>
      </c>
      <c r="AM244" s="22" t="e">
        <f t="shared" si="151"/>
        <v>#DIV/0!</v>
      </c>
      <c r="AO244" s="44">
        <f t="shared" si="152"/>
        <v>0</v>
      </c>
      <c r="AP244" s="44">
        <f t="shared" si="152"/>
        <v>0</v>
      </c>
    </row>
    <row r="245" spans="1:46" s="1" customFormat="1" ht="15.5">
      <c r="A245" s="26" t="s">
        <v>16</v>
      </c>
      <c r="B245" s="7">
        <f>'Bütçe aylık-Eur'!$B$154</f>
        <v>0</v>
      </c>
      <c r="C245" s="7">
        <f>'gerç aylık-eur'!$B$153</f>
        <v>0</v>
      </c>
      <c r="D245" s="8"/>
      <c r="E245" s="7">
        <f>'Bütçe aylık-Eur'!$C$154</f>
        <v>0</v>
      </c>
      <c r="F245" s="7">
        <f>'gerç aylık-eur'!$C$153</f>
        <v>0</v>
      </c>
      <c r="G245" s="8"/>
      <c r="H245" s="7">
        <f>'Bütçe aylık-Eur'!$D$154</f>
        <v>0</v>
      </c>
      <c r="I245" s="7">
        <f>'gerç aylık-eur'!$D$153</f>
        <v>0</v>
      </c>
      <c r="J245" s="8"/>
      <c r="K245" s="7">
        <f>'Bütçe aylık-Eur'!$E$154</f>
        <v>0</v>
      </c>
      <c r="L245" s="7">
        <f>'gerç aylık-eur'!$E$153</f>
        <v>0</v>
      </c>
      <c r="M245" s="8"/>
      <c r="N245" s="7">
        <f>'Bütçe aylık-Eur'!$F$154</f>
        <v>0</v>
      </c>
      <c r="O245" s="7">
        <f>'gerç aylık-eur'!$F$153</f>
        <v>0</v>
      </c>
      <c r="P245" s="8"/>
      <c r="Q245" s="7">
        <f>'Bütçe aylık-Eur'!$G$154</f>
        <v>0</v>
      </c>
      <c r="R245" s="7">
        <f>'gerç aylık-eur'!$G$153</f>
        <v>0</v>
      </c>
      <c r="S245" s="8"/>
      <c r="T245" s="7">
        <f>'Bütçe aylık-Eur'!$H$154</f>
        <v>0</v>
      </c>
      <c r="U245" s="7">
        <f>'gerç aylık-eur'!$H$153</f>
        <v>0</v>
      </c>
      <c r="V245" s="8"/>
      <c r="W245" s="7">
        <f>'Bütçe aylık-Eur'!$I$154</f>
        <v>0</v>
      </c>
      <c r="X245" s="7">
        <f>'gerç aylık-eur'!$I$153</f>
        <v>0</v>
      </c>
      <c r="Y245" s="8"/>
      <c r="Z245" s="7">
        <f>'Bütçe aylık-Eur'!$J$154</f>
        <v>0</v>
      </c>
      <c r="AA245" s="7">
        <f>'gerç aylık-eur'!$J$153</f>
        <v>0</v>
      </c>
      <c r="AB245" s="8"/>
      <c r="AC245" s="7">
        <f>'Bütçe aylık-Eur'!$K$154</f>
        <v>0</v>
      </c>
      <c r="AD245" s="7">
        <f>'gerç aylık-eur'!$K$153</f>
        <v>0</v>
      </c>
      <c r="AE245" s="8"/>
      <c r="AF245" s="7">
        <f>'Bütçe aylık-Eur'!$L$154</f>
        <v>0</v>
      </c>
      <c r="AG245" s="7">
        <f>'gerç aylık-eur'!$L$153</f>
        <v>0</v>
      </c>
      <c r="AH245" s="8"/>
      <c r="AI245" s="7">
        <f>'Bütçe aylık-Eur'!$M$154</f>
        <v>0</v>
      </c>
      <c r="AJ245" s="7">
        <f>'gerç aylık-eur'!$M$153</f>
        <v>0</v>
      </c>
      <c r="AK245" s="8"/>
      <c r="AL245" s="21">
        <f t="shared" si="150"/>
        <v>0</v>
      </c>
      <c r="AM245" s="22" t="e">
        <f t="shared" si="151"/>
        <v>#DIV/0!</v>
      </c>
      <c r="AO245" s="44">
        <f t="shared" si="152"/>
        <v>0</v>
      </c>
      <c r="AP245" s="44">
        <f t="shared" si="152"/>
        <v>0</v>
      </c>
    </row>
    <row r="246" spans="1:46" s="1" customFormat="1" ht="15.5">
      <c r="A246" s="26" t="s">
        <v>17</v>
      </c>
      <c r="B246" s="7">
        <f>'Bütçe aylık-Eur'!$B$155</f>
        <v>0</v>
      </c>
      <c r="C246" s="7">
        <f>'gerç aylık-eur'!$B$154</f>
        <v>0</v>
      </c>
      <c r="D246" s="8"/>
      <c r="E246" s="7">
        <f>'Bütçe aylık-Eur'!$C$155</f>
        <v>0</v>
      </c>
      <c r="F246" s="7">
        <f>'gerç aylık-eur'!$C$154</f>
        <v>0</v>
      </c>
      <c r="G246" s="8"/>
      <c r="H246" s="7">
        <f>'Bütçe aylık-Eur'!$D$155</f>
        <v>0</v>
      </c>
      <c r="I246" s="7">
        <f>'gerç aylık-eur'!$D$154</f>
        <v>0</v>
      </c>
      <c r="J246" s="8"/>
      <c r="K246" s="7">
        <f>'Bütçe aylık-Eur'!$E$155</f>
        <v>0</v>
      </c>
      <c r="L246" s="7">
        <f>'gerç aylık-eur'!$E$154</f>
        <v>0</v>
      </c>
      <c r="M246" s="8"/>
      <c r="N246" s="7">
        <f>'Bütçe aylık-Eur'!$F$155</f>
        <v>0</v>
      </c>
      <c r="O246" s="7">
        <f>'gerç aylık-eur'!$F$154</f>
        <v>0</v>
      </c>
      <c r="P246" s="8"/>
      <c r="Q246" s="7">
        <f>'Bütçe aylık-Eur'!$G$155</f>
        <v>0</v>
      </c>
      <c r="R246" s="7">
        <f>'gerç aylık-eur'!$G$154</f>
        <v>0</v>
      </c>
      <c r="S246" s="8"/>
      <c r="T246" s="7">
        <f>'Bütçe aylık-Eur'!$H$155</f>
        <v>0</v>
      </c>
      <c r="U246" s="7">
        <f>'gerç aylık-eur'!$H$154</f>
        <v>0</v>
      </c>
      <c r="V246" s="8"/>
      <c r="W246" s="7">
        <f>'Bütçe aylık-Eur'!$I$155</f>
        <v>0</v>
      </c>
      <c r="X246" s="7">
        <f>'gerç aylık-eur'!$I$154</f>
        <v>0</v>
      </c>
      <c r="Y246" s="8"/>
      <c r="Z246" s="7">
        <f>'Bütçe aylık-Eur'!$J$155</f>
        <v>0</v>
      </c>
      <c r="AA246" s="7">
        <f>'gerç aylık-eur'!$J$154</f>
        <v>0</v>
      </c>
      <c r="AB246" s="8"/>
      <c r="AC246" s="7">
        <f>'Bütçe aylık-Eur'!$K$155</f>
        <v>0</v>
      </c>
      <c r="AD246" s="7">
        <f>'gerç aylık-eur'!$K$154</f>
        <v>0</v>
      </c>
      <c r="AE246" s="8"/>
      <c r="AF246" s="7">
        <f>'Bütçe aylık-Eur'!$L$155</f>
        <v>0</v>
      </c>
      <c r="AG246" s="7">
        <f>'gerç aylık-eur'!$L$154</f>
        <v>0</v>
      </c>
      <c r="AH246" s="8"/>
      <c r="AI246" s="7">
        <f>'Bütçe aylık-Eur'!$M$155</f>
        <v>0</v>
      </c>
      <c r="AJ246" s="7">
        <f>'gerç aylık-eur'!$M$154</f>
        <v>0</v>
      </c>
      <c r="AK246" s="8"/>
      <c r="AL246" s="21">
        <f t="shared" si="150"/>
        <v>0</v>
      </c>
      <c r="AM246" s="22" t="e">
        <f t="shared" si="151"/>
        <v>#DIV/0!</v>
      </c>
      <c r="AO246" s="44">
        <f t="shared" si="152"/>
        <v>0</v>
      </c>
      <c r="AP246" s="44">
        <f t="shared" si="152"/>
        <v>0</v>
      </c>
    </row>
    <row r="247" spans="1:46" s="1" customFormat="1" ht="15.5">
      <c r="A247" s="26"/>
      <c r="B247" s="7"/>
      <c r="C247" s="8"/>
      <c r="D247" s="8"/>
      <c r="E247" s="7"/>
      <c r="F247" s="8"/>
      <c r="G247" s="8"/>
      <c r="H247" s="7"/>
      <c r="I247" s="8"/>
      <c r="J247" s="8"/>
      <c r="K247" s="7"/>
      <c r="L247" s="8"/>
      <c r="M247" s="8"/>
      <c r="N247" s="7"/>
      <c r="O247" s="8"/>
      <c r="P247" s="8"/>
      <c r="Q247" s="7"/>
      <c r="R247" s="8"/>
      <c r="S247" s="8"/>
      <c r="T247" s="7"/>
      <c r="U247" s="8"/>
      <c r="V247" s="8"/>
      <c r="W247" s="7"/>
      <c r="X247" s="8"/>
      <c r="Y247" s="8"/>
      <c r="Z247" s="7"/>
      <c r="AA247" s="8"/>
      <c r="AB247" s="8"/>
      <c r="AC247" s="7"/>
      <c r="AD247" s="8"/>
      <c r="AE247" s="8"/>
      <c r="AF247" s="7"/>
      <c r="AG247" s="8"/>
      <c r="AH247" s="8"/>
      <c r="AI247" s="7"/>
      <c r="AJ247" s="8"/>
      <c r="AK247" s="8"/>
      <c r="AL247" s="15"/>
      <c r="AM247" s="16"/>
      <c r="AO247" s="44"/>
      <c r="AP247" s="44"/>
    </row>
    <row r="248" spans="1:46" s="1" customFormat="1" ht="15.5">
      <c r="A248" s="26"/>
      <c r="B248" s="7"/>
      <c r="C248" s="8"/>
      <c r="D248" s="8"/>
      <c r="E248" s="7"/>
      <c r="F248" s="8"/>
      <c r="G248" s="8"/>
      <c r="H248" s="7"/>
      <c r="I248" s="8"/>
      <c r="J248" s="8"/>
      <c r="K248" s="7"/>
      <c r="L248" s="8"/>
      <c r="M248" s="8"/>
      <c r="N248" s="7"/>
      <c r="O248" s="8"/>
      <c r="P248" s="8"/>
      <c r="Q248" s="7"/>
      <c r="R248" s="8"/>
      <c r="S248" s="8"/>
      <c r="T248" s="7"/>
      <c r="U248" s="8"/>
      <c r="V248" s="8"/>
      <c r="W248" s="7"/>
      <c r="X248" s="8"/>
      <c r="Y248" s="8"/>
      <c r="Z248" s="7"/>
      <c r="AA248" s="8"/>
      <c r="AB248" s="8"/>
      <c r="AC248" s="7"/>
      <c r="AD248" s="8"/>
      <c r="AE248" s="8"/>
      <c r="AF248" s="7"/>
      <c r="AG248" s="8"/>
      <c r="AH248" s="8"/>
      <c r="AI248" s="7"/>
      <c r="AJ248" s="8"/>
      <c r="AK248" s="8"/>
      <c r="AL248" s="15"/>
      <c r="AM248" s="16"/>
      <c r="AO248" s="44"/>
      <c r="AP248" s="44"/>
    </row>
    <row r="249" spans="1:46" s="44" customFormat="1" ht="15.5">
      <c r="A249" s="31" t="s">
        <v>86</v>
      </c>
      <c r="B249" s="32">
        <f>'Bütçe aylık-Eur'!$B$160</f>
        <v>40134682.713244893</v>
      </c>
      <c r="C249" s="32">
        <f>'gerç aylık-eur'!$B$159</f>
        <v>41319909.321248107</v>
      </c>
      <c r="D249" s="18"/>
      <c r="E249" s="32">
        <f>'Bütçe aylık-Eur'!$C$160</f>
        <v>27845300.705257244</v>
      </c>
      <c r="F249" s="32">
        <f>'gerç aylık-eur'!$C$159</f>
        <v>38936517.270258456</v>
      </c>
      <c r="G249" s="18"/>
      <c r="H249" s="32">
        <f>'Bütçe aylık-Eur'!$D$160</f>
        <v>28220490.89576824</v>
      </c>
      <c r="I249" s="32">
        <f>'gerç aylık-eur'!$D$159</f>
        <v>41084822.773632959</v>
      </c>
      <c r="J249" s="18"/>
      <c r="K249" s="32">
        <f>'Bütçe aylık-Eur'!$E$160</f>
        <v>24109733.867843777</v>
      </c>
      <c r="L249" s="32">
        <f>'gerç aylık-eur'!$E$159</f>
        <v>30731239.148120958</v>
      </c>
      <c r="M249" s="18"/>
      <c r="N249" s="32">
        <f>'Bütçe aylık-Eur'!$F$160</f>
        <v>25872330.734179795</v>
      </c>
      <c r="O249" s="32">
        <f>'gerç aylık-eur'!$F$159</f>
        <v>28707186.355845306</v>
      </c>
      <c r="P249" s="18"/>
      <c r="Q249" s="32">
        <f>'Bütçe aylık-Eur'!$G$160</f>
        <v>29368993.068703972</v>
      </c>
      <c r="R249" s="32">
        <f>'gerç aylık-eur'!$G$159</f>
        <v>31088043.080712806</v>
      </c>
      <c r="S249" s="18"/>
      <c r="T249" s="32">
        <f>'Bütçe aylık-Eur'!$H$160</f>
        <v>28401237.447303653</v>
      </c>
      <c r="U249" s="32">
        <f>'gerç aylık-eur'!$H$159</f>
        <v>33100061.965776108</v>
      </c>
      <c r="V249" s="18"/>
      <c r="W249" s="32">
        <f>'Bütçe aylık-Eur'!$I$160</f>
        <v>29302147.110215943</v>
      </c>
      <c r="X249" s="32">
        <f>'gerç aylık-eur'!$I$159</f>
        <v>33849218.821108632</v>
      </c>
      <c r="Y249" s="18"/>
      <c r="Z249" s="32">
        <f>'Bütçe aylık-Eur'!$J$160</f>
        <v>33488234.406664651</v>
      </c>
      <c r="AA249" s="32">
        <f>'gerç aylık-eur'!$J$159</f>
        <v>32990715.087046489</v>
      </c>
      <c r="AB249" s="18"/>
      <c r="AC249" s="32">
        <f>'Bütçe aylık-Eur'!$K$160</f>
        <v>30595319.966970384</v>
      </c>
      <c r="AD249" s="32">
        <f>'gerç aylık-eur'!$K$159</f>
        <v>0</v>
      </c>
      <c r="AE249" s="18"/>
      <c r="AF249" s="32">
        <f>'Bütçe aylık-Eur'!$L$160</f>
        <v>33980702.482740521</v>
      </c>
      <c r="AG249" s="32">
        <f>'gerç aylık-eur'!$L$159</f>
        <v>0</v>
      </c>
      <c r="AH249" s="18"/>
      <c r="AI249" s="32">
        <f>'Bütçe aylık-Eur'!$M$160</f>
        <v>38077783.067996696</v>
      </c>
      <c r="AJ249" s="32">
        <f>'gerç aylık-eur'!$M$159</f>
        <v>0</v>
      </c>
      <c r="AK249" s="18"/>
      <c r="AL249" s="33">
        <f>AP249-AO249</f>
        <v>-497519.31961816177</v>
      </c>
      <c r="AM249" s="34">
        <f>AP249/AO249-1</f>
        <v>-1.4856540765229131E-2</v>
      </c>
      <c r="AO249" s="44">
        <f>IF($A$1=$B$1,B249,IF($A$1=$E$1,E249,IF($A$1=$H$1,H249,IF($A$1=$K$1,K249,IF($A$1=$N$1,N249,IF($A$1=$Q$1,Q249,IF($A$1=$T$1,T249,IF($A$1=$W$1,W249,IF($A$1=$Z$1,Z249,IF($A$1=$AC$1,AC249,IF($A$1=$AF$1,AF249,IF($A$1=$AI$1,AI249))))))))))))</f>
        <v>33488234.406664651</v>
      </c>
      <c r="AP249" s="44">
        <f>IF($A$1=$B$1,C249,IF($A$1=$E$1,F249,IF($A$1=$H$1,I249,IF($A$1=$K$1,L249,IF($A$1=$N$1,O249,IF($A$1=$Q$1,R249,IF($A$1=$T$1,U249,IF($A$1=$W$1,X249,IF($A$1=$Z$1,AA249,IF($A$1=$AC$1,AD249,IF($A$1=$AF$1,AG249,IF($A$1=$AI$1,AJ249))))))))))))</f>
        <v>32990715.087046489</v>
      </c>
    </row>
    <row r="250" spans="1:46" s="13" customFormat="1" ht="15.5">
      <c r="A250" s="27"/>
      <c r="B250" s="30"/>
      <c r="C250" s="30"/>
      <c r="D250" s="41"/>
      <c r="E250" s="30"/>
      <c r="F250" s="30"/>
      <c r="G250" s="41"/>
      <c r="H250" s="30"/>
      <c r="I250" s="30"/>
      <c r="J250" s="41"/>
      <c r="K250" s="30"/>
      <c r="L250" s="30"/>
      <c r="M250" s="41"/>
      <c r="N250" s="30"/>
      <c r="O250" s="30"/>
      <c r="P250" s="41"/>
      <c r="Q250" s="30"/>
      <c r="R250" s="30"/>
      <c r="S250" s="41"/>
      <c r="T250" s="30"/>
      <c r="U250" s="30"/>
      <c r="V250" s="41"/>
      <c r="W250" s="30"/>
      <c r="X250" s="30"/>
      <c r="Y250" s="41"/>
      <c r="Z250" s="30"/>
      <c r="AA250" s="30"/>
      <c r="AB250" s="41"/>
      <c r="AC250" s="30"/>
      <c r="AD250" s="30"/>
      <c r="AE250" s="41"/>
      <c r="AF250" s="30"/>
      <c r="AG250" s="30"/>
      <c r="AH250" s="41"/>
      <c r="AI250" s="30"/>
      <c r="AJ250" s="30"/>
      <c r="AK250" s="41"/>
      <c r="AL250" s="15"/>
      <c r="AM250" s="22"/>
      <c r="AO250" s="44">
        <f>IF($A$1=$B$1,B250,IF($A$1=$E$1,E250,IF($A$1=$H$1,H250,IF($A$1=$K$1,K250,IF($A$1=$N$1,N250,IF($A$1=$Q$1,Q250,IF($A$1=$T$1,T250,IF($A$1=$W$1,W250,IF($A$1=$Z$1,Z250,IF($A$1=$AC$1,AC250,IF($A$1=$AF$1,AF250,IF($A$1=$AI$1,AI250))))))))))))</f>
        <v>0</v>
      </c>
      <c r="AP250" s="44">
        <f>IF($A$1=$B$1,C250,IF($A$1=$E$1,F250,IF($A$1=$H$1,I250,IF($A$1=$K$1,L250,IF($A$1=$N$1,O250,IF($A$1=$Q$1,R250,IF($A$1=$T$1,U250,IF($A$1=$W$1,X250,IF($A$1=$Z$1,AA250,IF($A$1=$AC$1,AD250,IF($A$1=$AF$1,AG250,IF($A$1=$AI$1,AJ250))))))))))))</f>
        <v>0</v>
      </c>
    </row>
    <row r="251" spans="1:46" s="49" customFormat="1" ht="17">
      <c r="A251" s="47" t="s">
        <v>87</v>
      </c>
      <c r="B251" s="413"/>
      <c r="C251" s="413"/>
      <c r="D251" s="413"/>
      <c r="E251" s="413"/>
      <c r="F251" s="413"/>
      <c r="G251" s="413"/>
      <c r="H251" s="413"/>
      <c r="I251" s="413"/>
      <c r="J251" s="413"/>
      <c r="K251" s="413"/>
      <c r="L251" s="413"/>
      <c r="M251" s="413"/>
      <c r="N251" s="413"/>
      <c r="O251" s="413"/>
      <c r="P251" s="413"/>
      <c r="Q251" s="413"/>
      <c r="R251" s="413"/>
      <c r="S251" s="413"/>
      <c r="T251" s="413"/>
      <c r="U251" s="413"/>
      <c r="V251" s="413"/>
      <c r="W251" s="413"/>
      <c r="X251" s="413"/>
      <c r="Y251" s="413"/>
      <c r="Z251" s="413"/>
      <c r="AA251" s="413"/>
      <c r="AB251" s="413"/>
      <c r="AC251" s="413"/>
      <c r="AD251" s="413"/>
      <c r="AE251" s="413"/>
      <c r="AF251" s="413"/>
      <c r="AG251" s="413"/>
      <c r="AH251" s="413"/>
      <c r="AI251" s="413"/>
      <c r="AJ251" s="413"/>
      <c r="AK251" s="413"/>
      <c r="AL251" s="413"/>
      <c r="AM251" s="48"/>
      <c r="AR251" s="110">
        <f>SUM(AR252:AR259)</f>
        <v>28401237.447303653</v>
      </c>
      <c r="AS251" s="110">
        <f>SUM(AS252:AS259)</f>
        <v>33100061.965776108</v>
      </c>
    </row>
    <row r="252" spans="1:46" ht="15.5">
      <c r="A252" s="26" t="s">
        <v>10</v>
      </c>
      <c r="B252" s="7">
        <f>'Bütçe aylık-Eur'!$B$161</f>
        <v>23979154.75612228</v>
      </c>
      <c r="C252" s="7">
        <f>'gerç aylık-eur'!$B$160</f>
        <v>25017917.400184136</v>
      </c>
      <c r="D252" s="7"/>
      <c r="E252" s="7">
        <f>'Bütçe aylık-Eur'!$C$161</f>
        <v>13503015.999780258</v>
      </c>
      <c r="F252" s="7">
        <f>'gerç aylık-eur'!$C$160</f>
        <v>25516514.814845897</v>
      </c>
      <c r="G252" s="7"/>
      <c r="H252" s="7">
        <f>'Bütçe aylık-Eur'!$D$161</f>
        <v>10522343.839084664</v>
      </c>
      <c r="I252" s="7">
        <f>'gerç aylık-eur'!$D$160</f>
        <v>23631542.238813836</v>
      </c>
      <c r="J252" s="7"/>
      <c r="K252" s="7">
        <f>'Bütçe aylık-Eur'!$E$161</f>
        <v>10255115.456629602</v>
      </c>
      <c r="L252" s="7">
        <f>'gerç aylık-eur'!$E$160</f>
        <v>15093147.764769902</v>
      </c>
      <c r="M252" s="7"/>
      <c r="N252" s="7">
        <f>'Bütçe aylık-Eur'!$F$161</f>
        <v>10662585.527320944</v>
      </c>
      <c r="O252" s="7">
        <f>'gerç aylık-eur'!$F$160</f>
        <v>15865222.325843653</v>
      </c>
      <c r="P252" s="7"/>
      <c r="Q252" s="7">
        <f>'Bütçe aylık-Eur'!$G$161</f>
        <v>9569446.5913247932</v>
      </c>
      <c r="R252" s="7">
        <f>'gerç aylık-eur'!$G$160</f>
        <v>15508820.911184296</v>
      </c>
      <c r="S252" s="7"/>
      <c r="T252" s="7">
        <f>'Bütçe aylık-Eur'!$H$161</f>
        <v>9543711.4815096855</v>
      </c>
      <c r="U252" s="7">
        <f>'gerç aylık-eur'!$H$160</f>
        <v>18608467.26229687</v>
      </c>
      <c r="V252" s="7"/>
      <c r="W252" s="7">
        <f>'Bütçe aylık-Eur'!$I$161</f>
        <v>10036716.251756361</v>
      </c>
      <c r="X252" s="7">
        <f>'gerç aylık-eur'!$I$160</f>
        <v>19135505.520218484</v>
      </c>
      <c r="Y252" s="7"/>
      <c r="Z252" s="7">
        <f>'Bütçe aylık-Eur'!$J$161</f>
        <v>9800493.9887088854</v>
      </c>
      <c r="AA252" s="7">
        <f>'gerç aylık-eur'!$J$160</f>
        <v>17091703.990608908</v>
      </c>
      <c r="AB252" s="7"/>
      <c r="AC252" s="7">
        <f>'Bütçe aylık-Eur'!$K$161</f>
        <v>9814495.6509775184</v>
      </c>
      <c r="AD252" s="7">
        <f>'gerç aylık-eur'!$K$160</f>
        <v>0</v>
      </c>
      <c r="AE252" s="7"/>
      <c r="AF252" s="7">
        <f>'Bütçe aylık-Eur'!$L$161</f>
        <v>11311930.778356899</v>
      </c>
      <c r="AG252" s="7">
        <f>'gerç aylık-eur'!$L$160</f>
        <v>0</v>
      </c>
      <c r="AH252" s="7"/>
      <c r="AI252" s="7">
        <f>'Bütçe aylık-Eur'!$M$161</f>
        <v>10470814.648100376</v>
      </c>
      <c r="AJ252" s="7">
        <f>'gerç aylık-eur'!$M$160</f>
        <v>0</v>
      </c>
      <c r="AK252" s="7"/>
      <c r="AL252" s="21">
        <f t="shared" ref="AL252:AL259" si="153">AP252-AO252</f>
        <v>7291210.0019000228</v>
      </c>
      <c r="AM252" s="22">
        <f t="shared" ref="AM252:AM259" si="154">AP252/AO252-1</f>
        <v>0.74396351962464347</v>
      </c>
      <c r="AO252" s="44">
        <f t="shared" ref="AO252:AP259" si="155">IF($A$1=$B$1,B252,IF($A$1=$E$1,E252,IF($A$1=$H$1,H252,IF($A$1=$K$1,K252,IF($A$1=$N$1,N252,IF($A$1=$Q$1,Q252,IF($A$1=$T$1,T252,IF($A$1=$W$1,W252,IF($A$1=$Z$1,Z252,IF($A$1=$AC$1,AC252,IF($A$1=$AF$1,AF252,IF($A$1=$AI$1,AI252))))))))))))</f>
        <v>9800493.9887088854</v>
      </c>
      <c r="AP252" s="44">
        <f t="shared" si="155"/>
        <v>17091703.990608908</v>
      </c>
      <c r="AR252" s="94">
        <f t="shared" ref="AR252:AS254" si="156">T252</f>
        <v>9543711.4815096855</v>
      </c>
      <c r="AS252" s="94">
        <f t="shared" si="156"/>
        <v>18608467.26229687</v>
      </c>
      <c r="AT252" s="94">
        <f>AS252-AR252</f>
        <v>9064755.7807871848</v>
      </c>
    </row>
    <row r="253" spans="1:46" ht="15.5">
      <c r="A253" s="26" t="s">
        <v>11</v>
      </c>
      <c r="B253" s="7">
        <f>'Bütçe aylık-Eur'!$B$162</f>
        <v>9056.9735898133058</v>
      </c>
      <c r="C253" s="7">
        <f>'gerç aylık-eur'!$B$161</f>
        <v>165537.13788578007</v>
      </c>
      <c r="D253" s="7"/>
      <c r="E253" s="7">
        <f>'Bütçe aylık-Eur'!$C$162</f>
        <v>17580.214254479342</v>
      </c>
      <c r="F253" s="7">
        <f>'gerç aylık-eur'!$C$161</f>
        <v>39119.295874448879</v>
      </c>
      <c r="G253" s="7"/>
      <c r="H253" s="7">
        <f>'Bütçe aylık-Eur'!$D$162</f>
        <v>17450.87937459824</v>
      </c>
      <c r="I253" s="7">
        <f>'gerç aylık-eur'!$D$161</f>
        <v>23666.651188273765</v>
      </c>
      <c r="J253" s="7"/>
      <c r="K253" s="7">
        <f>'Bütçe aylık-Eur'!$E$162</f>
        <v>14477.878363579277</v>
      </c>
      <c r="L253" s="7">
        <f>'gerç aylık-eur'!$E$161</f>
        <v>958967.87743385718</v>
      </c>
      <c r="M253" s="7"/>
      <c r="N253" s="7">
        <f>'Bütçe aylık-Eur'!$F$162</f>
        <v>1122.1068268105209</v>
      </c>
      <c r="O253" s="7">
        <f>'gerç aylık-eur'!$F$161</f>
        <v>252698.49956856243</v>
      </c>
      <c r="P253" s="7"/>
      <c r="Q253" s="7">
        <f>'Bütçe aylık-Eur'!$G$162</f>
        <v>7557.2714605575684</v>
      </c>
      <c r="R253" s="7">
        <f>'gerç aylık-eur'!$G$161</f>
        <v>61169.872789060122</v>
      </c>
      <c r="S253" s="7"/>
      <c r="T253" s="7">
        <f>'Bütçe aylık-Eur'!$H$162</f>
        <v>8145.5587077469627</v>
      </c>
      <c r="U253" s="7">
        <f>'gerç aylık-eur'!$H$161</f>
        <v>59625.146573327293</v>
      </c>
      <c r="V253" s="7"/>
      <c r="W253" s="7">
        <f>'Bütçe aylık-Eur'!$I$162</f>
        <v>11398.446115381925</v>
      </c>
      <c r="X253" s="7">
        <f>'gerç aylık-eur'!$I$161</f>
        <v>32919.093223478099</v>
      </c>
      <c r="Y253" s="7"/>
      <c r="Z253" s="7">
        <f>'Bütçe aylık-Eur'!$J$162</f>
        <v>17139.583405154834</v>
      </c>
      <c r="AA253" s="7">
        <f>'gerç aylık-eur'!$J$161</f>
        <v>47905.157057139157</v>
      </c>
      <c r="AB253" s="7"/>
      <c r="AC253" s="7">
        <f>'Bütçe aylık-Eur'!$K$162</f>
        <v>2713.6001645937627</v>
      </c>
      <c r="AD253" s="7">
        <f>'gerç aylık-eur'!$K$161</f>
        <v>0</v>
      </c>
      <c r="AE253" s="7"/>
      <c r="AF253" s="7">
        <f>'Bütçe aylık-Eur'!$L$162</f>
        <v>8536.1912433614707</v>
      </c>
      <c r="AG253" s="7">
        <f>'gerç aylık-eur'!$L$161</f>
        <v>0</v>
      </c>
      <c r="AH253" s="7"/>
      <c r="AI253" s="7">
        <f>'Bütçe aylık-Eur'!$M$162</f>
        <v>2740.0960826557825</v>
      </c>
      <c r="AJ253" s="7">
        <f>'gerç aylık-eur'!$M$161</f>
        <v>0</v>
      </c>
      <c r="AK253" s="7"/>
      <c r="AL253" s="21">
        <f t="shared" si="153"/>
        <v>30765.573651984323</v>
      </c>
      <c r="AM253" s="22">
        <f t="shared" si="154"/>
        <v>1.7950012508898783</v>
      </c>
      <c r="AO253" s="44">
        <f t="shared" si="155"/>
        <v>17139.583405154834</v>
      </c>
      <c r="AP253" s="44">
        <f t="shared" si="155"/>
        <v>47905.157057139157</v>
      </c>
      <c r="AR253" s="94">
        <f t="shared" si="156"/>
        <v>8145.5587077469627</v>
      </c>
      <c r="AS253" s="94">
        <f t="shared" si="156"/>
        <v>59625.146573327293</v>
      </c>
      <c r="AT253" s="94">
        <f t="shared" ref="AT253:AT259" si="157">AS253-AR253</f>
        <v>51479.587865580332</v>
      </c>
    </row>
    <row r="254" spans="1:46" ht="15.5">
      <c r="A254" s="26" t="s">
        <v>12</v>
      </c>
      <c r="B254" s="7">
        <f>'Bütçe aylık-Eur'!$B$163</f>
        <v>4.2632131699879517E-3</v>
      </c>
      <c r="C254" s="7">
        <f>'gerç aylık-eur'!$B$162</f>
        <v>146950.95254999411</v>
      </c>
      <c r="D254" s="7"/>
      <c r="E254" s="7">
        <f>'Bütçe aylık-Eur'!$C$163</f>
        <v>8.1951501124569968E-3</v>
      </c>
      <c r="F254" s="7">
        <f>'gerç aylık-eur'!$C$162</f>
        <v>92367.153054797396</v>
      </c>
      <c r="G254" s="7"/>
      <c r="H254" s="7">
        <f>'Bütçe aylık-Eur'!$D$163</f>
        <v>-6.9919250952060214E-3</v>
      </c>
      <c r="I254" s="7">
        <f>'gerç aylık-eur'!$D$162</f>
        <v>224751.57179394574</v>
      </c>
      <c r="J254" s="7"/>
      <c r="K254" s="7">
        <f>'Bütçe aylık-Eur'!$E$163</f>
        <v>8.307566718995291E-3</v>
      </c>
      <c r="L254" s="7">
        <f>'gerç aylık-eur'!$E$162</f>
        <v>70176.853806042243</v>
      </c>
      <c r="M254" s="7"/>
      <c r="N254" s="7">
        <f>'Bütçe aylık-Eur'!$F$163</f>
        <v>-2.6886177519400861E-3</v>
      </c>
      <c r="O254" s="7">
        <f>'gerç aylık-eur'!$F$162</f>
        <v>117389.84789002182</v>
      </c>
      <c r="P254" s="7"/>
      <c r="Q254" s="7">
        <f>'Bütçe aylık-Eur'!$G$163</f>
        <v>6.4656369274232166E-3</v>
      </c>
      <c r="R254" s="7">
        <f>'gerç aylık-eur'!$G$162</f>
        <v>74235.058836670782</v>
      </c>
      <c r="S254" s="7"/>
      <c r="T254" s="7">
        <f>'Bütçe aylık-Eur'!$H$163</f>
        <v>-5.3135879399848962E-3</v>
      </c>
      <c r="U254" s="7">
        <f>'gerç aylık-eur'!$H$162</f>
        <v>29679.206472746555</v>
      </c>
      <c r="V254" s="7"/>
      <c r="W254" s="7">
        <f>'Bütçe aylık-Eur'!$I$163</f>
        <v>6.5069854227405247E-3</v>
      </c>
      <c r="X254" s="7">
        <f>'gerç aylık-eur'!$I$162</f>
        <v>152813.23703909878</v>
      </c>
      <c r="Y254" s="7"/>
      <c r="Z254" s="7">
        <f>'Bütçe aylık-Eur'!$J$163</f>
        <v>-3.0785552902572377E-3</v>
      </c>
      <c r="AA254" s="7">
        <f>'gerç aylık-eur'!$J$162</f>
        <v>68368.295445435462</v>
      </c>
      <c r="AB254" s="7"/>
      <c r="AC254" s="7">
        <f>'Bütçe aylık-Eur'!$K$163</f>
        <v>1.1216201304769819E-2</v>
      </c>
      <c r="AD254" s="7">
        <f>'gerç aylık-eur'!$K$162</f>
        <v>0</v>
      </c>
      <c r="AE254" s="7"/>
      <c r="AF254" s="7">
        <f>'Bütçe aylık-Eur'!$L$163</f>
        <v>2.7535259752191074E-3</v>
      </c>
      <c r="AG254" s="7">
        <f>'gerç aylık-eur'!$L$162</f>
        <v>0</v>
      </c>
      <c r="AH254" s="7"/>
      <c r="AI254" s="7">
        <f>'Bütçe aylık-Eur'!$M$163</f>
        <v>-1.0028429931972789E-2</v>
      </c>
      <c r="AJ254" s="7">
        <f>'gerç aylık-eur'!$M$162</f>
        <v>0</v>
      </c>
      <c r="AK254" s="7"/>
      <c r="AL254" s="21">
        <f t="shared" si="153"/>
        <v>68368.298523990758</v>
      </c>
      <c r="AM254" s="22">
        <f t="shared" si="154"/>
        <v>-22207916.401682701</v>
      </c>
      <c r="AO254" s="44">
        <f t="shared" si="155"/>
        <v>-3.0785552902572377E-3</v>
      </c>
      <c r="AP254" s="44">
        <f t="shared" si="155"/>
        <v>68368.295445435462</v>
      </c>
      <c r="AR254" s="94">
        <f t="shared" si="156"/>
        <v>-5.3135879399848962E-3</v>
      </c>
      <c r="AS254" s="94">
        <f t="shared" si="156"/>
        <v>29679.206472746555</v>
      </c>
      <c r="AT254" s="94">
        <f t="shared" si="157"/>
        <v>29679.211786334494</v>
      </c>
    </row>
    <row r="255" spans="1:46" ht="15.5">
      <c r="A255" s="26" t="s">
        <v>13</v>
      </c>
      <c r="B255" s="7">
        <f>'Bütçe aylık-Eur'!$B$164</f>
        <v>5866951.2365249656</v>
      </c>
      <c r="C255" s="7">
        <f>'gerç aylık-eur'!$B$163</f>
        <v>7240613.4513989743</v>
      </c>
      <c r="D255" s="7"/>
      <c r="E255" s="7">
        <f>'Bütçe aylık-Eur'!$C$164</f>
        <v>4905690.2195044048</v>
      </c>
      <c r="F255" s="7">
        <f>'gerç aylık-eur'!$C$163</f>
        <v>4360779.1951501155</v>
      </c>
      <c r="G255" s="7"/>
      <c r="H255" s="7">
        <f>'Bütçe aylık-Eur'!$D$164</f>
        <v>4672842.5258693518</v>
      </c>
      <c r="I255" s="7">
        <f>'gerç aylık-eur'!$D$163</f>
        <v>2898925.4676919258</v>
      </c>
      <c r="J255" s="7"/>
      <c r="K255" s="7">
        <f>'Bütçe aylık-Eur'!$E$164</f>
        <v>4522252.8341643699</v>
      </c>
      <c r="L255" s="7">
        <f>'gerç aylık-eur'!$E$163</f>
        <v>3093956.2970908163</v>
      </c>
      <c r="M255" s="7"/>
      <c r="N255" s="7">
        <f>'Bütçe aylık-Eur'!$F$164</f>
        <v>4442700.3414029488</v>
      </c>
      <c r="O255" s="7">
        <f>'gerç aylık-eur'!$F$163</f>
        <v>3721611.6528757233</v>
      </c>
      <c r="P255" s="7"/>
      <c r="Q255" s="7">
        <f>'Bütçe aylık-Eur'!$G$164</f>
        <v>3867583.0523899593</v>
      </c>
      <c r="R255" s="7">
        <f>'gerç aylık-eur'!$G$163</f>
        <v>1556714.726810103</v>
      </c>
      <c r="S255" s="7"/>
      <c r="T255" s="7">
        <f>'Bütçe aylık-Eur'!$H$164</f>
        <v>4357367.6092203874</v>
      </c>
      <c r="U255" s="7">
        <f>'gerç aylık-eur'!$H$163</f>
        <v>2231928.411795144</v>
      </c>
      <c r="V255" s="7"/>
      <c r="W255" s="7">
        <f>'Bütçe aylık-Eur'!$I$164</f>
        <v>4405958.3089387519</v>
      </c>
      <c r="X255" s="7">
        <f>'gerç aylık-eur'!$I$163</f>
        <v>3995914.256085183</v>
      </c>
      <c r="Y255" s="7"/>
      <c r="Z255" s="7">
        <f>'Bütçe aylık-Eur'!$J$164</f>
        <v>3716192.3453137907</v>
      </c>
      <c r="AA255" s="7">
        <f>'gerç aylık-eur'!$J$163</f>
        <v>3471586.8174464465</v>
      </c>
      <c r="AB255" s="7"/>
      <c r="AC255" s="7">
        <f>'Bütçe aylık-Eur'!$K$164</f>
        <v>2917232.7014143937</v>
      </c>
      <c r="AD255" s="7">
        <f>'gerç aylık-eur'!$K$163</f>
        <v>0</v>
      </c>
      <c r="AE255" s="7"/>
      <c r="AF255" s="7">
        <f>'Bütçe aylık-Eur'!$L$164</f>
        <v>2851138.8673350471</v>
      </c>
      <c r="AG255" s="7">
        <f>'gerç aylık-eur'!$L$163</f>
        <v>0</v>
      </c>
      <c r="AH255" s="7"/>
      <c r="AI255" s="7">
        <f>'Bütçe aylık-Eur'!$M$164</f>
        <v>3875401.2660953472</v>
      </c>
      <c r="AJ255" s="7">
        <f>'gerç aylık-eur'!$M$163</f>
        <v>0</v>
      </c>
      <c r="AK255" s="7"/>
      <c r="AL255" s="21">
        <f t="shared" si="153"/>
        <v>-244605.52786734421</v>
      </c>
      <c r="AM255" s="22">
        <f t="shared" si="154"/>
        <v>-6.5821546663427655E-2</v>
      </c>
      <c r="AO255" s="44">
        <f t="shared" si="155"/>
        <v>3716192.3453137907</v>
      </c>
      <c r="AP255" s="44">
        <f t="shared" si="155"/>
        <v>3471586.8174464465</v>
      </c>
      <c r="AR255" s="94">
        <f t="shared" ref="AR255:AS259" si="158">T255*0.4</f>
        <v>1742947.043688155</v>
      </c>
      <c r="AS255" s="94">
        <f t="shared" si="158"/>
        <v>892771.36471805768</v>
      </c>
      <c r="AT255" s="94">
        <f t="shared" si="157"/>
        <v>-850175.67897009733</v>
      </c>
    </row>
    <row r="256" spans="1:46" s="1" customFormat="1" ht="15.5">
      <c r="A256" s="26" t="s">
        <v>14</v>
      </c>
      <c r="B256" s="7">
        <f>'Bütçe aylık-Eur'!$B$165</f>
        <v>1602174.7421430019</v>
      </c>
      <c r="C256" s="7">
        <f>'gerç aylık-eur'!$B$164</f>
        <v>796564.25517152366</v>
      </c>
      <c r="D256" s="8"/>
      <c r="E256" s="7">
        <f>'Bütçe aylık-Eur'!$C$165</f>
        <v>1883834.2538189928</v>
      </c>
      <c r="F256" s="7">
        <f>'gerç aylık-eur'!$C$164</f>
        <v>645764.42105815664</v>
      </c>
      <c r="G256" s="8"/>
      <c r="H256" s="7">
        <f>'Bütçe aylık-Eur'!$D$165</f>
        <v>699769.91031290579</v>
      </c>
      <c r="I256" s="7">
        <f>'gerç aylık-eur'!$D$164</f>
        <v>2363380.8719003289</v>
      </c>
      <c r="J256" s="8"/>
      <c r="K256" s="7">
        <f>'Bütçe aylık-Eur'!$E$165</f>
        <v>858214.03818720253</v>
      </c>
      <c r="L256" s="7">
        <f>'gerç aylık-eur'!$E$164</f>
        <v>2506225.653187077</v>
      </c>
      <c r="M256" s="8"/>
      <c r="N256" s="7">
        <f>'Bütçe aylık-Eur'!$F$165</f>
        <v>769826.93272168981</v>
      </c>
      <c r="O256" s="7">
        <f>'gerç aylık-eur'!$F$164</f>
        <v>1957287.4234819496</v>
      </c>
      <c r="P256" s="8"/>
      <c r="Q256" s="7">
        <f>'Bütçe aylık-Eur'!$G$165</f>
        <v>1540227.0455505054</v>
      </c>
      <c r="R256" s="7">
        <f>'gerç aylık-eur'!$G$164</f>
        <v>1358723.2979468387</v>
      </c>
      <c r="S256" s="8"/>
      <c r="T256" s="7">
        <f>'Bütçe aylık-Eur'!$H$165</f>
        <v>918140.09816812875</v>
      </c>
      <c r="U256" s="7">
        <f>'gerç aylık-eur'!$H$164</f>
        <v>2382930.2742877668</v>
      </c>
      <c r="V256" s="8"/>
      <c r="W256" s="7">
        <f>'Bütçe aylık-Eur'!$I$165</f>
        <v>1381234.3658162798</v>
      </c>
      <c r="X256" s="7">
        <f>'gerç aylık-eur'!$I$164</f>
        <v>2409644.8504837384</v>
      </c>
      <c r="Y256" s="8"/>
      <c r="Z256" s="7">
        <f>'Bütçe aylık-Eur'!$J$165</f>
        <v>1621111.2144241144</v>
      </c>
      <c r="AA256" s="7">
        <f>'gerç aylık-eur'!$J$164</f>
        <v>1603079.2023910594</v>
      </c>
      <c r="AB256" s="8"/>
      <c r="AC256" s="7">
        <f>'Bütçe aylık-Eur'!$K$165</f>
        <v>903932.0276087852</v>
      </c>
      <c r="AD256" s="7">
        <f>'gerç aylık-eur'!$K$164</f>
        <v>0</v>
      </c>
      <c r="AE256" s="8"/>
      <c r="AF256" s="7">
        <f>'Bütçe aylık-Eur'!$L$165</f>
        <v>1840192.5537057773</v>
      </c>
      <c r="AG256" s="7">
        <f>'gerç aylık-eur'!$L$164</f>
        <v>0</v>
      </c>
      <c r="AH256" s="8"/>
      <c r="AI256" s="7">
        <f>'Bütçe aylık-Eur'!$M$165</f>
        <v>2143759.1538198856</v>
      </c>
      <c r="AJ256" s="7">
        <f>'gerç aylık-eur'!$M$164</f>
        <v>0</v>
      </c>
      <c r="AK256" s="8"/>
      <c r="AL256" s="21">
        <f t="shared" si="153"/>
        <v>-18032.012033055071</v>
      </c>
      <c r="AM256" s="22">
        <f t="shared" si="154"/>
        <v>-1.1123241806368478E-2</v>
      </c>
      <c r="AO256" s="44">
        <f t="shared" si="155"/>
        <v>1621111.2144241144</v>
      </c>
      <c r="AP256" s="44">
        <f t="shared" si="155"/>
        <v>1603079.2023910594</v>
      </c>
      <c r="AR256" s="94">
        <f t="shared" si="158"/>
        <v>367256.0392672515</v>
      </c>
      <c r="AS256" s="94">
        <f t="shared" si="158"/>
        <v>953172.10971510678</v>
      </c>
      <c r="AT256" s="94">
        <f t="shared" si="157"/>
        <v>585916.07044785528</v>
      </c>
    </row>
    <row r="257" spans="1:46" ht="15.5">
      <c r="A257" s="26" t="s">
        <v>15</v>
      </c>
      <c r="B257" s="7">
        <f>'Bütçe aylık-Eur'!$B$166</f>
        <v>6126231.2503359998</v>
      </c>
      <c r="C257" s="7">
        <f>'gerç aylık-eur'!$B$165</f>
        <v>8176307.5499999998</v>
      </c>
      <c r="D257" s="7"/>
      <c r="E257" s="7">
        <f>'Bütçe aylık-Eur'!$C$166</f>
        <v>6434386.3653509999</v>
      </c>
      <c r="F257" s="7">
        <f>'gerç aylık-eur'!$C$165</f>
        <v>5105706.58</v>
      </c>
      <c r="G257" s="7"/>
      <c r="H257" s="7">
        <f>'Bütçe aylık-Eur'!$D$166</f>
        <v>8704545.1007010005</v>
      </c>
      <c r="I257" s="7">
        <f>'gerç aylık-eur'!$D$165</f>
        <v>3716834.46</v>
      </c>
      <c r="J257" s="7"/>
      <c r="K257" s="7">
        <f>'Bütçe aylık-Eur'!$E$166</f>
        <v>6028791.141108999</v>
      </c>
      <c r="L257" s="7">
        <f>'gerç aylık-eur'!$E$165</f>
        <v>5231278.49</v>
      </c>
      <c r="M257" s="7"/>
      <c r="N257" s="7">
        <f>'Bütçe aylık-Eur'!$F$166</f>
        <v>6549153.8382550003</v>
      </c>
      <c r="O257" s="7">
        <f>'gerç aylık-eur'!$F$165</f>
        <v>2386392.87</v>
      </c>
      <c r="P257" s="7"/>
      <c r="Q257" s="7">
        <f>'Bütçe aylık-Eur'!$G$166</f>
        <v>8431690.774487</v>
      </c>
      <c r="R257" s="7">
        <f>'gerç aylık-eur'!$G$165</f>
        <v>3324160.27</v>
      </c>
      <c r="S257" s="7"/>
      <c r="T257" s="7">
        <f>'Bütçe aylık-Eur'!$H$166</f>
        <v>9410637.3285639994</v>
      </c>
      <c r="U257" s="7">
        <f>'gerç aylık-eur'!$H$165</f>
        <v>6850161.1400000006</v>
      </c>
      <c r="V257" s="7"/>
      <c r="W257" s="7">
        <f>'Bütçe aylık-Eur'!$I$166</f>
        <v>10030741.338553</v>
      </c>
      <c r="X257" s="7">
        <f>'gerç aylık-eur'!$I$165</f>
        <v>7307009.0199999996</v>
      </c>
      <c r="Y257" s="7"/>
      <c r="Z257" s="7">
        <f>'Bütçe aylık-Eur'!$J$166</f>
        <v>13264540.672984002</v>
      </c>
      <c r="AA257" s="7">
        <f>'gerç aylık-eur'!$J$165</f>
        <v>8134848</v>
      </c>
      <c r="AB257" s="7"/>
      <c r="AC257" s="7">
        <f>'Bütçe aylık-Eur'!$K$166</f>
        <v>14507966.191679999</v>
      </c>
      <c r="AD257" s="7">
        <f>'gerç aylık-eur'!$K$165</f>
        <v>0</v>
      </c>
      <c r="AE257" s="7"/>
      <c r="AF257" s="7">
        <f>'Bütçe aylık-Eur'!$L$166</f>
        <v>16503196.753796</v>
      </c>
      <c r="AG257" s="7">
        <f>'gerç aylık-eur'!$L$165</f>
        <v>0</v>
      </c>
      <c r="AH257" s="7"/>
      <c r="AI257" s="7">
        <f>'Bütçe aylık-Eur'!$M$166</f>
        <v>14707174.447736001</v>
      </c>
      <c r="AJ257" s="7">
        <f>'gerç aylık-eur'!$M$165</f>
        <v>0</v>
      </c>
      <c r="AK257" s="7"/>
      <c r="AL257" s="21">
        <f t="shared" si="153"/>
        <v>-5129692.6729840022</v>
      </c>
      <c r="AM257" s="22">
        <f t="shared" si="154"/>
        <v>-0.386722224270584</v>
      </c>
      <c r="AO257" s="44">
        <f t="shared" si="155"/>
        <v>13264540.672984002</v>
      </c>
      <c r="AP257" s="44">
        <f t="shared" si="155"/>
        <v>8134848</v>
      </c>
      <c r="AR257" s="94">
        <f t="shared" si="158"/>
        <v>3764254.9314255998</v>
      </c>
      <c r="AS257" s="94">
        <f t="shared" si="158"/>
        <v>2740064.4560000002</v>
      </c>
      <c r="AT257" s="94">
        <f t="shared" si="157"/>
        <v>-1024190.4754255996</v>
      </c>
    </row>
    <row r="258" spans="1:46" s="1" customFormat="1" ht="15.5">
      <c r="A258" s="26" t="s">
        <v>16</v>
      </c>
      <c r="B258" s="7">
        <f>'Bütçe aylık-Eur'!$B$167</f>
        <v>16263649.335984999</v>
      </c>
      <c r="C258" s="7">
        <f>'gerç aylık-eur'!$B$166</f>
        <v>15586616.51</v>
      </c>
      <c r="D258" s="8"/>
      <c r="E258" s="7">
        <f>'Bütçe aylık-Eur'!$C$167</f>
        <v>14675847.500402</v>
      </c>
      <c r="F258" s="7">
        <f>'gerç aylık-eur'!$C$166</f>
        <v>19661179.25</v>
      </c>
      <c r="G258" s="8"/>
      <c r="H258" s="7">
        <f>'Bütçe aylık-Eur'!$D$167</f>
        <v>18736710.437259998</v>
      </c>
      <c r="I258" s="7">
        <f>'gerç aylık-eur'!$D$166</f>
        <v>16422110.949999999</v>
      </c>
      <c r="J258" s="8"/>
      <c r="K258" s="7">
        <f>'Bütçe aylık-Eur'!$E$167</f>
        <v>16908600.035195999</v>
      </c>
      <c r="L258" s="7">
        <f>'gerç aylık-eur'!$E$166</f>
        <v>13817389.810000001</v>
      </c>
      <c r="M258" s="8"/>
      <c r="N258" s="7">
        <f>'Bütçe aylık-Eur'!$F$167</f>
        <v>18485806.392241001</v>
      </c>
      <c r="O258" s="7">
        <f>'gerç aylık-eur'!$F$166</f>
        <v>14923552.49</v>
      </c>
      <c r="P258" s="8"/>
      <c r="Q258" s="7">
        <f>'Bütçe aylık-Eur'!$G$167</f>
        <v>22368357.731807999</v>
      </c>
      <c r="R258" s="7">
        <f>'gerç aylık-eur'!$G$166</f>
        <v>19032801.07</v>
      </c>
      <c r="S258" s="8"/>
      <c r="T258" s="7">
        <f>'Bütçe aylık-Eur'!$H$167</f>
        <v>22232538.116560999</v>
      </c>
      <c r="U258" s="7">
        <f>'gerç aylık-eur'!$H$166</f>
        <v>12734684.58</v>
      </c>
      <c r="V258" s="8"/>
      <c r="W258" s="7">
        <f>'Bütçe aylık-Eur'!$I$167</f>
        <v>23425853.756569002</v>
      </c>
      <c r="X258" s="7">
        <f>'gerç aylık-eur'!$I$166</f>
        <v>11336876.699999999</v>
      </c>
      <c r="Y258" s="8"/>
      <c r="Z258" s="7">
        <f>'Bütçe aylık-Eur'!$J$167</f>
        <v>26905596.464221001</v>
      </c>
      <c r="AA258" s="7">
        <f>'gerç aylık-eur'!$J$166</f>
        <v>14279442.130000001</v>
      </c>
      <c r="AB258" s="8"/>
      <c r="AC258" s="7">
        <f>'Bütçe aylık-Eur'!$K$167</f>
        <v>24423751.737918001</v>
      </c>
      <c r="AD258" s="7">
        <f>'gerç aylık-eur'!$K$166</f>
        <v>0</v>
      </c>
      <c r="AE258" s="8"/>
      <c r="AF258" s="7">
        <f>'Bütçe aylık-Eur'!$L$167</f>
        <v>20101455.503773998</v>
      </c>
      <c r="AG258" s="7">
        <f>'gerç aylık-eur'!$L$166</f>
        <v>0</v>
      </c>
      <c r="AH258" s="8"/>
      <c r="AI258" s="7">
        <f>'Bütçe aylık-Eur'!$M$167</f>
        <v>26556103.486790005</v>
      </c>
      <c r="AJ258" s="7">
        <f>'gerç aylık-eur'!$M$166</f>
        <v>0</v>
      </c>
      <c r="AK258" s="8"/>
      <c r="AL258" s="21">
        <f t="shared" si="153"/>
        <v>-12626154.334221</v>
      </c>
      <c r="AM258" s="22">
        <f t="shared" si="154"/>
        <v>-0.46927613558061165</v>
      </c>
      <c r="AO258" s="44">
        <f t="shared" si="155"/>
        <v>26905596.464221001</v>
      </c>
      <c r="AP258" s="44">
        <f t="shared" si="155"/>
        <v>14279442.130000001</v>
      </c>
      <c r="AR258" s="94">
        <f t="shared" si="158"/>
        <v>8893015.2466244008</v>
      </c>
      <c r="AS258" s="94">
        <f t="shared" si="158"/>
        <v>5093873.8320000004</v>
      </c>
      <c r="AT258" s="94">
        <f t="shared" si="157"/>
        <v>-3799141.4146244004</v>
      </c>
    </row>
    <row r="259" spans="1:46" s="1" customFormat="1" ht="15.5">
      <c r="A259" s="26" t="s">
        <v>17</v>
      </c>
      <c r="B259" s="7">
        <f>'Bütçe aylık-Eur'!$B$168</f>
        <v>10507170.883184999</v>
      </c>
      <c r="C259" s="7">
        <f>'gerç aylık-eur'!$B$167</f>
        <v>8173657.8099999996</v>
      </c>
      <c r="D259" s="8"/>
      <c r="E259" s="7">
        <f>'Bütçe aylık-Eur'!$C$168</f>
        <v>7912002.8684919998</v>
      </c>
      <c r="F259" s="7">
        <f>'gerç aylık-eur'!$C$167</f>
        <v>3447860.5700000003</v>
      </c>
      <c r="G259" s="8"/>
      <c r="H259" s="7">
        <f>'Bütçe aylık-Eur'!$D$168</f>
        <v>11387872.486609001</v>
      </c>
      <c r="I259" s="7">
        <f>'gerç aylık-eur'!$D$167</f>
        <v>17610904.030000001</v>
      </c>
      <c r="J259" s="8"/>
      <c r="K259" s="7">
        <f>'Bütçe aylık-Eur'!$E$168</f>
        <v>6282493.2627010001</v>
      </c>
      <c r="L259" s="7">
        <f>'gerç aylık-eur'!$E$167</f>
        <v>11873516.379999999</v>
      </c>
      <c r="M259" s="8"/>
      <c r="N259" s="7">
        <f>'Bütçe aylık-Eur'!$F$168</f>
        <v>7774070.2521810001</v>
      </c>
      <c r="O259" s="7">
        <f>'gerç aylık-eur'!$F$167</f>
        <v>8190844.7699999996</v>
      </c>
      <c r="P259" s="8"/>
      <c r="Q259" s="7">
        <f>'Bütçe aylık-Eur'!$G$168</f>
        <v>13272114.394397</v>
      </c>
      <c r="R259" s="7">
        <f>'gerç aylık-eur'!$G$167</f>
        <v>13337143.73</v>
      </c>
      <c r="S259" s="8"/>
      <c r="T259" s="7">
        <f>'Bütçe aylık-Eur'!$H$168</f>
        <v>10204767.878486</v>
      </c>
      <c r="U259" s="7">
        <f>'gerç aylık-eur'!$H$167</f>
        <v>11806021.470000001</v>
      </c>
      <c r="V259" s="8"/>
      <c r="W259" s="7">
        <f>'Bütçe aylık-Eur'!$I$168</f>
        <v>8891293.2447159998</v>
      </c>
      <c r="X259" s="7">
        <f>'gerç aylık-eur'!$I$167</f>
        <v>11270507.6</v>
      </c>
      <c r="Y259" s="8"/>
      <c r="Z259" s="7">
        <f>'Bütçe aylık-Eur'!$J$168</f>
        <v>13669061.397129999</v>
      </c>
      <c r="AA259" s="7">
        <f>'gerç aylık-eur'!$J$167</f>
        <v>11967887.960000001</v>
      </c>
      <c r="AB259" s="8"/>
      <c r="AC259" s="7">
        <f>'Bütçe aylık-Eur'!$K$168</f>
        <v>9192394.1029090006</v>
      </c>
      <c r="AD259" s="7">
        <f>'gerç aylık-eur'!$K$167</f>
        <v>0</v>
      </c>
      <c r="AE259" s="8"/>
      <c r="AF259" s="7">
        <f>'Bütçe aylık-Eur'!$L$168</f>
        <v>15354605.097356001</v>
      </c>
      <c r="AG259" s="7">
        <f>'gerç aylık-eur'!$L$167</f>
        <v>0</v>
      </c>
      <c r="AH259" s="8"/>
      <c r="AI259" s="7">
        <f>'Bütçe aylık-Eur'!$M$168</f>
        <v>21728132.480163995</v>
      </c>
      <c r="AJ259" s="7">
        <f>'gerç aylık-eur'!$M$167</f>
        <v>0</v>
      </c>
      <c r="AK259" s="8"/>
      <c r="AL259" s="21">
        <f t="shared" si="153"/>
        <v>-1701173.4371299986</v>
      </c>
      <c r="AM259" s="22">
        <f t="shared" si="154"/>
        <v>-0.12445429775355188</v>
      </c>
      <c r="AO259" s="44">
        <f t="shared" si="155"/>
        <v>13669061.397129999</v>
      </c>
      <c r="AP259" s="44">
        <f t="shared" si="155"/>
        <v>11967887.960000001</v>
      </c>
      <c r="AR259" s="94">
        <f t="shared" si="158"/>
        <v>4081907.1513944003</v>
      </c>
      <c r="AS259" s="94">
        <f t="shared" si="158"/>
        <v>4722408.5880000005</v>
      </c>
      <c r="AT259" s="94">
        <f t="shared" si="157"/>
        <v>640501.43660560017</v>
      </c>
    </row>
    <row r="260" spans="1:46" s="1" customFormat="1" ht="15.5">
      <c r="A260" s="26"/>
      <c r="B260" s="7"/>
      <c r="C260" s="8"/>
      <c r="D260" s="8"/>
      <c r="E260" s="7"/>
      <c r="F260" s="8"/>
      <c r="G260" s="8"/>
      <c r="H260" s="7"/>
      <c r="I260" s="8"/>
      <c r="J260" s="8"/>
      <c r="K260" s="7"/>
      <c r="L260" s="8"/>
      <c r="M260" s="8"/>
      <c r="N260" s="7"/>
      <c r="O260" s="8"/>
      <c r="P260" s="8"/>
      <c r="Q260" s="7"/>
      <c r="R260" s="8"/>
      <c r="S260" s="8"/>
      <c r="T260" s="7"/>
      <c r="U260" s="8"/>
      <c r="V260" s="8"/>
      <c r="W260" s="7"/>
      <c r="X260" s="8"/>
      <c r="Y260" s="8"/>
      <c r="Z260" s="7"/>
      <c r="AA260" s="8"/>
      <c r="AB260" s="8"/>
      <c r="AC260" s="7"/>
      <c r="AD260" s="8"/>
      <c r="AE260" s="8"/>
      <c r="AF260" s="7"/>
      <c r="AG260" s="8"/>
      <c r="AH260" s="8"/>
      <c r="AI260" s="7"/>
      <c r="AJ260" s="8"/>
      <c r="AK260" s="8"/>
      <c r="AL260" s="15"/>
      <c r="AM260" s="16"/>
      <c r="AO260" s="44"/>
      <c r="AP260" s="44"/>
    </row>
    <row r="261" spans="1:46" s="1" customFormat="1" ht="15.5">
      <c r="A261" s="7"/>
      <c r="B261" s="8"/>
      <c r="C261" s="7"/>
      <c r="D261" s="8"/>
      <c r="E261" s="7"/>
      <c r="F261" s="8"/>
      <c r="G261" s="7"/>
      <c r="H261" s="8"/>
      <c r="I261" s="7"/>
      <c r="J261" s="8"/>
      <c r="K261" s="7"/>
      <c r="L261" s="8"/>
      <c r="M261" s="8"/>
      <c r="N261" s="7"/>
      <c r="O261" s="8"/>
      <c r="P261" s="8"/>
      <c r="Q261" s="7"/>
      <c r="R261" s="8"/>
      <c r="S261" s="8"/>
      <c r="T261" s="7"/>
      <c r="U261" s="8"/>
      <c r="V261" s="8"/>
      <c r="W261" s="7"/>
      <c r="X261" s="8"/>
      <c r="Y261" s="8"/>
      <c r="Z261" s="7"/>
      <c r="AA261" s="8"/>
      <c r="AB261" s="8"/>
      <c r="AC261" s="7"/>
      <c r="AD261" s="8"/>
      <c r="AE261" s="8"/>
      <c r="AF261" s="7"/>
      <c r="AG261" s="8"/>
      <c r="AH261" s="8"/>
      <c r="AI261" s="7"/>
      <c r="AJ261" s="8"/>
      <c r="AK261" s="8"/>
      <c r="AL261" s="15"/>
      <c r="AM261" s="16"/>
      <c r="AO261" s="44"/>
      <c r="AP261" s="44"/>
    </row>
    <row r="262" spans="1:46" s="44" customFormat="1" ht="15.5">
      <c r="A262" s="31" t="s">
        <v>88</v>
      </c>
      <c r="B262" s="32">
        <f>B249-B236</f>
        <v>21357630.57866621</v>
      </c>
      <c r="C262" s="32">
        <f>C249-C236</f>
        <v>21283818.613472156</v>
      </c>
      <c r="D262" s="18"/>
      <c r="E262" s="32">
        <f>E249-E236</f>
        <v>8739538.8792482018</v>
      </c>
      <c r="F262" s="32">
        <f>F249-F236</f>
        <v>17816679.848598734</v>
      </c>
      <c r="G262" s="18"/>
      <c r="H262" s="32">
        <f>H249-H236</f>
        <v>9297676.4685025662</v>
      </c>
      <c r="I262" s="32">
        <f>I249-I236</f>
        <v>21954173.415927004</v>
      </c>
      <c r="J262" s="18">
        <f>I262-H262</f>
        <v>12656496.947424438</v>
      </c>
      <c r="K262" s="32">
        <f>K249-K236</f>
        <v>5137119.3381158784</v>
      </c>
      <c r="L262" s="32">
        <f>L249-L236</f>
        <v>6901304.9138579704</v>
      </c>
      <c r="M262" s="18"/>
      <c r="N262" s="32">
        <f>N249-N236</f>
        <v>7538107.3687488846</v>
      </c>
      <c r="O262" s="32">
        <f>O249-O236</f>
        <v>2925436.6332694888</v>
      </c>
      <c r="P262" s="18"/>
      <c r="Q262" s="32">
        <f>Q249-Q236</f>
        <v>11708313.678691637</v>
      </c>
      <c r="R262" s="32">
        <f>R249-R236</f>
        <v>4427967.1675490513</v>
      </c>
      <c r="S262" s="18"/>
      <c r="T262" s="32">
        <f>T249-T236</f>
        <v>8896982.0521949157</v>
      </c>
      <c r="U262" s="32">
        <f>U249-U236</f>
        <v>5083672.6111544631</v>
      </c>
      <c r="V262" s="18"/>
      <c r="W262" s="32">
        <f>W249-W236</f>
        <v>10552578.66438989</v>
      </c>
      <c r="X262" s="32">
        <f>X249-X236</f>
        <v>6211219.414686203</v>
      </c>
      <c r="Y262" s="18"/>
      <c r="Z262" s="32">
        <f>Z249-Z236</f>
        <v>14409668.602464158</v>
      </c>
      <c r="AA262" s="32">
        <f>AA249-AA236</f>
        <v>4501193.7430624701</v>
      </c>
      <c r="AB262" s="18"/>
      <c r="AC262" s="32">
        <f>AC249-AC236</f>
        <v>12639386.270967968</v>
      </c>
      <c r="AD262" s="32">
        <f>AD249-AD236</f>
        <v>0</v>
      </c>
      <c r="AE262" s="18"/>
      <c r="AF262" s="32">
        <f>AF249-AF236</f>
        <v>16572856.27625392</v>
      </c>
      <c r="AG262" s="32">
        <f>AG249-AG236</f>
        <v>0</v>
      </c>
      <c r="AH262" s="18"/>
      <c r="AI262" s="32">
        <f>AI249-AI236</f>
        <v>20926452.737552244</v>
      </c>
      <c r="AJ262" s="32">
        <f>AJ249-AJ236</f>
        <v>0</v>
      </c>
      <c r="AK262" s="18"/>
      <c r="AL262" s="33">
        <f>AP262-AO262</f>
        <v>-9908474.859401688</v>
      </c>
      <c r="AM262" s="34">
        <f>AP262/AO262-1</f>
        <v>-0.68762683811529612</v>
      </c>
      <c r="AO262" s="44">
        <f>IF($A$1=$B$1,B262,IF($A$1=$E$1,E262,IF($A$1=$H$1,H262,IF($A$1=$K$1,K262,IF($A$1=$N$1,N262,IF($A$1=$Q$1,Q262,IF($A$1=$T$1,T262,IF($A$1=$W$1,W262,IF($A$1=$Z$1,Z262,IF($A$1=$AC$1,AC262,IF($A$1=$AF$1,AF262,IF($A$1=$AI$1,AI262))))))))))))</f>
        <v>14409668.602464158</v>
      </c>
      <c r="AP262" s="44">
        <f>IF($A$1=$B$1,C262,IF($A$1=$E$1,F262,IF($A$1=$H$1,I262,IF($A$1=$K$1,L262,IF($A$1=$N$1,O262,IF($A$1=$Q$1,R262,IF($A$1=$T$1,U262,IF($A$1=$W$1,X262,IF($A$1=$Z$1,AA262,IF($A$1=$AC$1,AD262,IF($A$1=$AF$1,AG262,IF($A$1=$AI$1,AJ262))))))))))))</f>
        <v>4501193.7430624701</v>
      </c>
    </row>
    <row r="263" spans="1:46" s="13" customFormat="1" ht="15.5">
      <c r="A263" s="27"/>
      <c r="B263" s="30"/>
      <c r="C263" s="30" t="str">
        <f>IFERROR((C220/#REF!),"")</f>
        <v/>
      </c>
      <c r="D263" s="41"/>
      <c r="E263" s="30"/>
      <c r="F263" s="30" t="str">
        <f>IFERROR((F220/#REF!),"")</f>
        <v/>
      </c>
      <c r="G263" s="41"/>
      <c r="H263" s="30"/>
      <c r="I263" s="30" t="str">
        <f>IFERROR((I220/#REF!),"")</f>
        <v/>
      </c>
      <c r="J263" s="41"/>
      <c r="K263" s="30"/>
      <c r="L263" s="30" t="str">
        <f>IFERROR((L220/#REF!),"")</f>
        <v/>
      </c>
      <c r="M263" s="41"/>
      <c r="N263" s="30"/>
      <c r="O263" s="30" t="str">
        <f>IFERROR((O220/#REF!),"")</f>
        <v/>
      </c>
      <c r="P263" s="41"/>
      <c r="Q263" s="30"/>
      <c r="R263" s="30" t="str">
        <f>IFERROR((R220/#REF!),"")</f>
        <v/>
      </c>
      <c r="S263" s="41"/>
      <c r="T263" s="30"/>
      <c r="U263" s="30" t="str">
        <f>IFERROR((U220/#REF!),"")</f>
        <v/>
      </c>
      <c r="V263" s="41"/>
      <c r="W263" s="30"/>
      <c r="X263" s="30" t="str">
        <f>IFERROR((X220/#REF!),"")</f>
        <v/>
      </c>
      <c r="Y263" s="41"/>
      <c r="Z263" s="30"/>
      <c r="AA263" s="30" t="str">
        <f>IFERROR((AA220/#REF!),"")</f>
        <v/>
      </c>
      <c r="AB263" s="41"/>
      <c r="AC263" s="30"/>
      <c r="AD263" s="30" t="str">
        <f>IFERROR((AD220/#REF!),"")</f>
        <v/>
      </c>
      <c r="AE263" s="41"/>
      <c r="AF263" s="30"/>
      <c r="AG263" s="30" t="str">
        <f>IFERROR((AG220/#REF!),"")</f>
        <v/>
      </c>
      <c r="AH263" s="41"/>
      <c r="AI263" s="30"/>
      <c r="AJ263" s="30" t="str">
        <f>IFERROR((AJ220/#REF!),"")</f>
        <v/>
      </c>
      <c r="AK263" s="41"/>
      <c r="AL263" s="15"/>
      <c r="AM263" s="22"/>
      <c r="AO263" s="44">
        <f>IF($A$1=$B$1,B263,IF($A$1=$E$1,E263,IF($A$1=$H$1,H263,IF($A$1=$K$1,K263,IF($A$1=$N$1,N263,IF($A$1=$Q$1,Q263,IF($A$1=$T$1,T263,IF($A$1=$W$1,W263,IF($A$1=$Z$1,Z263,IF($A$1=$AC$1,AC263,IF($A$1=$AF$1,AF263,IF($A$1=$AI$1,AI263))))))))))))</f>
        <v>0</v>
      </c>
      <c r="AP263" s="44" t="str">
        <f>IF($A$1=$B$1,C263,IF($A$1=$E$1,F263,IF($A$1=$H$1,I263,IF($A$1=$K$1,L263,IF($A$1=$N$1,O263,IF($A$1=$Q$1,R263,IF($A$1=$T$1,U263,IF($A$1=$W$1,X263,IF($A$1=$Z$1,AA263,IF($A$1=$AC$1,AD263,IF($A$1=$AF$1,AG263,IF($A$1=$AI$1,AJ263))))))))))))</f>
        <v/>
      </c>
    </row>
    <row r="264" spans="1:46" s="49" customFormat="1" ht="17">
      <c r="A264" s="47"/>
      <c r="B264" s="413"/>
      <c r="C264" s="413"/>
      <c r="D264" s="413"/>
      <c r="E264" s="413"/>
      <c r="F264" s="413"/>
      <c r="G264" s="413"/>
      <c r="H264" s="413"/>
      <c r="I264" s="413"/>
      <c r="J264" s="413"/>
      <c r="K264" s="413"/>
      <c r="L264" s="413"/>
      <c r="M264" s="413"/>
      <c r="N264" s="413"/>
      <c r="O264" s="413"/>
      <c r="P264" s="413"/>
      <c r="Q264" s="413"/>
      <c r="R264" s="413"/>
      <c r="S264" s="413"/>
      <c r="T264" s="413"/>
      <c r="U264" s="413"/>
      <c r="V264" s="413"/>
      <c r="W264" s="413"/>
      <c r="X264" s="413"/>
      <c r="Y264" s="413"/>
      <c r="Z264" s="413"/>
      <c r="AA264" s="413"/>
      <c r="AB264" s="413"/>
      <c r="AC264" s="413"/>
      <c r="AD264" s="413"/>
      <c r="AE264" s="413"/>
      <c r="AF264" s="413"/>
      <c r="AG264" s="413"/>
      <c r="AH264" s="413"/>
      <c r="AI264" s="413"/>
      <c r="AJ264" s="413"/>
      <c r="AK264" s="413"/>
      <c r="AL264" s="413"/>
      <c r="AM264" s="48"/>
      <c r="AR264" s="110">
        <f>SUM(AR265:AR272)</f>
        <v>8896982.052194912</v>
      </c>
      <c r="AS264" s="110">
        <f>SUM(AS265:AS272)</f>
        <v>5083672.611154465</v>
      </c>
    </row>
    <row r="265" spans="1:46" ht="15.5">
      <c r="A265" s="26" t="s">
        <v>10</v>
      </c>
      <c r="B265" s="7">
        <f>B252-B239</f>
        <v>23979154.75612228</v>
      </c>
      <c r="C265" s="7">
        <f>C252-C239</f>
        <v>25017917.400184136</v>
      </c>
      <c r="D265" s="7"/>
      <c r="E265" s="7">
        <f>E252-E239</f>
        <v>13503015.999780258</v>
      </c>
      <c r="F265" s="7">
        <f>F252-F239</f>
        <v>25516514.814845897</v>
      </c>
      <c r="G265" s="7"/>
      <c r="H265" s="7">
        <f>H252-H239</f>
        <v>10522343.839084664</v>
      </c>
      <c r="I265" s="7">
        <f>I252-I239</f>
        <v>23631542.238813836</v>
      </c>
      <c r="J265" s="7"/>
      <c r="K265" s="7">
        <f>K252-K239</f>
        <v>10255115.456629602</v>
      </c>
      <c r="L265" s="7">
        <f>L252-L239</f>
        <v>15093147.764769902</v>
      </c>
      <c r="M265" s="7"/>
      <c r="N265" s="7">
        <f>N252-N239</f>
        <v>10662585.527320944</v>
      </c>
      <c r="O265" s="7">
        <f>O252-O239</f>
        <v>15865222.325843653</v>
      </c>
      <c r="P265" s="7"/>
      <c r="Q265" s="7">
        <f>Q252-Q239</f>
        <v>9569446.5913247932</v>
      </c>
      <c r="R265" s="7">
        <f>R252-R239</f>
        <v>15508820.911184296</v>
      </c>
      <c r="S265" s="7"/>
      <c r="T265" s="7">
        <f>T252-T239</f>
        <v>9543711.4815096855</v>
      </c>
      <c r="U265" s="7">
        <f>U252-U239</f>
        <v>18608467.26229687</v>
      </c>
      <c r="V265" s="7"/>
      <c r="W265" s="7">
        <f>W252-W239</f>
        <v>10036716.251756361</v>
      </c>
      <c r="X265" s="7">
        <f>X252-X239</f>
        <v>19135505.520218484</v>
      </c>
      <c r="Y265" s="7"/>
      <c r="Z265" s="7">
        <f>Z252-Z239</f>
        <v>9800493.9887088854</v>
      </c>
      <c r="AA265" s="7">
        <f>AA252-AA239</f>
        <v>17091703.990608908</v>
      </c>
      <c r="AB265" s="5">
        <f>Z265/AA265-1</f>
        <v>-0.42659351027294889</v>
      </c>
      <c r="AC265" s="7">
        <f>AC252-AC239</f>
        <v>9814495.6509775184</v>
      </c>
      <c r="AD265" s="7">
        <f>AD252-AD239</f>
        <v>0</v>
      </c>
      <c r="AE265" s="7"/>
      <c r="AF265" s="7">
        <f>AF252-AF239</f>
        <v>11311930.778356899</v>
      </c>
      <c r="AG265" s="7">
        <f>AG252-AG239</f>
        <v>0</v>
      </c>
      <c r="AH265" s="7"/>
      <c r="AI265" s="7">
        <f>AI252-AI239</f>
        <v>10470814.648100376</v>
      </c>
      <c r="AJ265" s="7">
        <f>AJ252-AJ239</f>
        <v>0</v>
      </c>
      <c r="AK265" s="7"/>
      <c r="AL265" s="21">
        <f t="shared" ref="AL265:AL272" si="159">AP265-AO265</f>
        <v>7291210.0019000228</v>
      </c>
      <c r="AM265" s="22">
        <f t="shared" ref="AM265:AM272" si="160">AP265/AO265-1</f>
        <v>0.74396351962464347</v>
      </c>
      <c r="AO265" s="44">
        <f t="shared" ref="AO265:AP272" si="161">IF($A$1=$B$1,B265,IF($A$1=$E$1,E265,IF($A$1=$H$1,H265,IF($A$1=$K$1,K265,IF($A$1=$N$1,N265,IF($A$1=$Q$1,Q265,IF($A$1=$T$1,T265,IF($A$1=$W$1,W265,IF($A$1=$Z$1,Z265,IF($A$1=$AC$1,AC265,IF($A$1=$AF$1,AF265,IF($A$1=$AI$1,AI265))))))))))))</f>
        <v>9800493.9887088854</v>
      </c>
      <c r="AP265" s="44">
        <f t="shared" si="161"/>
        <v>17091703.990608908</v>
      </c>
      <c r="AR265" s="94">
        <f t="shared" ref="AR265:AS267" si="162">T265</f>
        <v>9543711.4815096855</v>
      </c>
      <c r="AS265" s="94">
        <f t="shared" si="162"/>
        <v>18608467.26229687</v>
      </c>
      <c r="AT265" s="94">
        <f>AS265-AR265</f>
        <v>9064755.7807871848</v>
      </c>
    </row>
    <row r="266" spans="1:46" ht="15.5">
      <c r="A266" s="26" t="s">
        <v>11</v>
      </c>
      <c r="B266" s="7">
        <f t="shared" ref="B266:C272" si="163">B253-B240</f>
        <v>-1959035.5281961104</v>
      </c>
      <c r="C266" s="7">
        <f t="shared" si="163"/>
        <v>-1591258.8034229409</v>
      </c>
      <c r="D266" s="7"/>
      <c r="E266" s="7">
        <f t="shared" ref="E266:F272" si="164">E253-E240</f>
        <v>-2059569.4172888589</v>
      </c>
      <c r="F266" s="7">
        <f t="shared" si="164"/>
        <v>-1741598.6864896074</v>
      </c>
      <c r="G266" s="7"/>
      <c r="H266" s="7">
        <f t="shared" ref="H266:I272" si="165">H253-H240</f>
        <v>-1996755.7966995586</v>
      </c>
      <c r="I266" s="7">
        <f t="shared" si="165"/>
        <v>-1727356.3902422246</v>
      </c>
      <c r="J266" s="7"/>
      <c r="K266" s="7">
        <f t="shared" ref="K266:L272" si="166">K253-K240</f>
        <v>-1939212.5681042387</v>
      </c>
      <c r="L266" s="7">
        <f t="shared" si="166"/>
        <v>-5688665.7060188893</v>
      </c>
      <c r="M266" s="7"/>
      <c r="N266" s="7">
        <f t="shared" ref="N266:O272" si="167">N253-N240</f>
        <v>-1770389.4494067242</v>
      </c>
      <c r="O266" s="7">
        <f t="shared" si="167"/>
        <v>-6290870.7967590224</v>
      </c>
      <c r="P266" s="7"/>
      <c r="Q266" s="7">
        <f t="shared" ref="Q266:R272" si="168">Q253-Q240</f>
        <v>-1490027.1910223297</v>
      </c>
      <c r="R266" s="7">
        <f t="shared" si="168"/>
        <v>-6275037.598974064</v>
      </c>
      <c r="S266" s="7"/>
      <c r="T266" s="7">
        <f t="shared" ref="T266:U272" si="169">T253-T240</f>
        <v>-1295909.1670779446</v>
      </c>
      <c r="U266" s="7">
        <f t="shared" si="169"/>
        <v>-6225219.2526363954</v>
      </c>
      <c r="V266" s="7"/>
      <c r="W266" s="7">
        <f t="shared" ref="W266:X272" si="170">W253-W240</f>
        <v>-965350.12647937017</v>
      </c>
      <c r="X266" s="7">
        <f t="shared" si="170"/>
        <v>-6270792.4878254486</v>
      </c>
      <c r="Y266" s="7"/>
      <c r="Z266" s="7">
        <f t="shared" ref="Z266:AA272" si="171">Z253-Z240</f>
        <v>-825727.39757127548</v>
      </c>
      <c r="AA266" s="7">
        <f t="shared" si="171"/>
        <v>-6388499.3206284335</v>
      </c>
      <c r="AB266" s="5">
        <f t="shared" ref="AB266:AB272" si="172">Z266/AA266-1</f>
        <v>-0.87074783041691717</v>
      </c>
      <c r="AC266" s="7">
        <f t="shared" ref="AC266:AD272" si="173">AC253-AC240</f>
        <v>-732447.52382006601</v>
      </c>
      <c r="AD266" s="7">
        <f t="shared" si="173"/>
        <v>0</v>
      </c>
      <c r="AE266" s="7"/>
      <c r="AF266" s="7">
        <f t="shared" ref="AF266:AG272" si="174">AF253-AF240</f>
        <v>-777350.60984315479</v>
      </c>
      <c r="AG266" s="7">
        <f t="shared" si="174"/>
        <v>0</v>
      </c>
      <c r="AH266" s="7"/>
      <c r="AI266" s="7">
        <f t="shared" ref="AI266:AJ272" si="175">AI253-AI240</f>
        <v>-704742.896896936</v>
      </c>
      <c r="AJ266" s="7">
        <f t="shared" si="175"/>
        <v>0</v>
      </c>
      <c r="AK266" s="7"/>
      <c r="AL266" s="21">
        <f t="shared" si="159"/>
        <v>-5562771.9230571575</v>
      </c>
      <c r="AM266" s="22">
        <f t="shared" si="160"/>
        <v>6.7368140374402294</v>
      </c>
      <c r="AO266" s="44">
        <f t="shared" si="161"/>
        <v>-825727.39757127548</v>
      </c>
      <c r="AP266" s="44">
        <f t="shared" si="161"/>
        <v>-6388499.3206284335</v>
      </c>
      <c r="AR266" s="94">
        <f t="shared" si="162"/>
        <v>-1295909.1670779446</v>
      </c>
      <c r="AS266" s="94">
        <f t="shared" si="162"/>
        <v>-6225219.2526363954</v>
      </c>
      <c r="AT266" s="94">
        <f t="shared" ref="AT266:AT272" si="176">AS266-AR266</f>
        <v>-4929310.0855584508</v>
      </c>
    </row>
    <row r="267" spans="1:46" ht="15.5">
      <c r="A267" s="26" t="s">
        <v>12</v>
      </c>
      <c r="B267" s="7">
        <f t="shared" si="163"/>
        <v>-345969.2991732239</v>
      </c>
      <c r="C267" s="7">
        <f t="shared" si="163"/>
        <v>146950.95254999411</v>
      </c>
      <c r="D267" s="7"/>
      <c r="E267" s="7">
        <f t="shared" si="164"/>
        <v>-685934.16854388441</v>
      </c>
      <c r="F267" s="7">
        <f t="shared" si="164"/>
        <v>-123094.52317620198</v>
      </c>
      <c r="G267" s="7"/>
      <c r="H267" s="7">
        <f t="shared" si="165"/>
        <v>-527820.55100438185</v>
      </c>
      <c r="I267" s="7">
        <f t="shared" si="165"/>
        <v>224751.57179394574</v>
      </c>
      <c r="J267" s="7"/>
      <c r="K267" s="7">
        <f t="shared" si="166"/>
        <v>-597336.85825444269</v>
      </c>
      <c r="L267" s="7">
        <f t="shared" si="166"/>
        <v>-222507.13428999815</v>
      </c>
      <c r="M267" s="7"/>
      <c r="N267" s="7">
        <f t="shared" si="167"/>
        <v>-450955.93704729888</v>
      </c>
      <c r="O267" s="7">
        <f t="shared" si="167"/>
        <v>-298384.73791331041</v>
      </c>
      <c r="P267" s="7"/>
      <c r="Q267" s="7">
        <f t="shared" si="168"/>
        <v>-349733.76256381848</v>
      </c>
      <c r="R267" s="7">
        <f t="shared" si="168"/>
        <v>-211017.62318639562</v>
      </c>
      <c r="S267" s="7"/>
      <c r="T267" s="7">
        <f t="shared" si="169"/>
        <v>-299578.93543370365</v>
      </c>
      <c r="U267" s="7">
        <f t="shared" si="169"/>
        <v>-450782.02574146219</v>
      </c>
      <c r="V267" s="7"/>
      <c r="W267" s="7">
        <f t="shared" si="170"/>
        <v>-425077.80107318953</v>
      </c>
      <c r="X267" s="7">
        <f t="shared" si="170"/>
        <v>-210398.93764725086</v>
      </c>
      <c r="Y267" s="7"/>
      <c r="Z267" s="7">
        <f t="shared" si="171"/>
        <v>-275715.66693285608</v>
      </c>
      <c r="AA267" s="7">
        <f t="shared" si="171"/>
        <v>-178302.16720557312</v>
      </c>
      <c r="AB267" s="5">
        <f t="shared" si="172"/>
        <v>0.54633940379967605</v>
      </c>
      <c r="AC267" s="7">
        <f t="shared" si="173"/>
        <v>-309108.20090685331</v>
      </c>
      <c r="AD267" s="7">
        <f t="shared" si="173"/>
        <v>0</v>
      </c>
      <c r="AE267" s="7"/>
      <c r="AF267" s="7">
        <f t="shared" si="174"/>
        <v>-306851.09272839973</v>
      </c>
      <c r="AG267" s="7">
        <f t="shared" si="174"/>
        <v>0</v>
      </c>
      <c r="AH267" s="7"/>
      <c r="AI267" s="7">
        <f t="shared" si="175"/>
        <v>-400648.6304365932</v>
      </c>
      <c r="AJ267" s="7">
        <f t="shared" si="175"/>
        <v>0</v>
      </c>
      <c r="AK267" s="7"/>
      <c r="AL267" s="21">
        <f t="shared" si="159"/>
        <v>97413.499727282964</v>
      </c>
      <c r="AM267" s="22">
        <f t="shared" si="160"/>
        <v>-0.35331144149674187</v>
      </c>
      <c r="AO267" s="44">
        <f t="shared" si="161"/>
        <v>-275715.66693285608</v>
      </c>
      <c r="AP267" s="44">
        <f t="shared" si="161"/>
        <v>-178302.16720557312</v>
      </c>
      <c r="AR267" s="94">
        <f t="shared" si="162"/>
        <v>-299578.93543370365</v>
      </c>
      <c r="AS267" s="94">
        <f t="shared" si="162"/>
        <v>-450782.02574146219</v>
      </c>
      <c r="AT267" s="94">
        <f t="shared" si="176"/>
        <v>-151203.09030775854</v>
      </c>
    </row>
    <row r="268" spans="1:46" ht="15.5">
      <c r="A268" s="26" t="s">
        <v>13</v>
      </c>
      <c r="B268" s="7">
        <f t="shared" si="163"/>
        <v>-35290524.586865842</v>
      </c>
      <c r="C268" s="7">
        <f t="shared" si="163"/>
        <v>-38457623.464769095</v>
      </c>
      <c r="D268" s="7"/>
      <c r="E268" s="7">
        <f t="shared" si="164"/>
        <v>-35951004.824812263</v>
      </c>
      <c r="F268" s="7">
        <f t="shared" si="164"/>
        <v>-43448365.212511554</v>
      </c>
      <c r="G268" s="7"/>
      <c r="H268" s="7">
        <f t="shared" si="165"/>
        <v>-36279125.492078289</v>
      </c>
      <c r="I268" s="7">
        <f t="shared" si="165"/>
        <v>-40550140.322996706</v>
      </c>
      <c r="J268" s="7"/>
      <c r="K268" s="7">
        <f t="shared" si="166"/>
        <v>-36531715.207580805</v>
      </c>
      <c r="L268" s="7">
        <f t="shared" si="166"/>
        <v>-39130085.35969469</v>
      </c>
      <c r="M268" s="7"/>
      <c r="N268" s="7">
        <f t="shared" si="167"/>
        <v>-35836689.345693782</v>
      </c>
      <c r="O268" s="7">
        <f t="shared" si="167"/>
        <v>-43334402.948236525</v>
      </c>
      <c r="P268" s="7"/>
      <c r="Q268" s="7">
        <f t="shared" si="168"/>
        <v>-35665819.843860023</v>
      </c>
      <c r="R268" s="7">
        <f t="shared" si="168"/>
        <v>-48539824.671633802</v>
      </c>
      <c r="S268" s="7"/>
      <c r="T268" s="7">
        <f t="shared" si="169"/>
        <v>-40394186.738786943</v>
      </c>
      <c r="U268" s="7">
        <f t="shared" si="169"/>
        <v>-50895780.896199137</v>
      </c>
      <c r="V268" s="7"/>
      <c r="W268" s="7">
        <f t="shared" si="170"/>
        <v>-38963396.855189063</v>
      </c>
      <c r="X268" s="7">
        <f t="shared" si="170"/>
        <v>-48431774.870632701</v>
      </c>
      <c r="Y268" s="7"/>
      <c r="Z268" s="7">
        <f t="shared" si="171"/>
        <v>-41183765.553110614</v>
      </c>
      <c r="AA268" s="7">
        <f t="shared" si="171"/>
        <v>-51044529.191672146</v>
      </c>
      <c r="AB268" s="5">
        <f t="shared" si="172"/>
        <v>-0.19317963736200561</v>
      </c>
      <c r="AC268" s="7">
        <f t="shared" si="173"/>
        <v>-39361928.198322356</v>
      </c>
      <c r="AD268" s="7">
        <f t="shared" si="173"/>
        <v>0</v>
      </c>
      <c r="AE268" s="7"/>
      <c r="AF268" s="7">
        <f t="shared" si="174"/>
        <v>-37936631.907460347</v>
      </c>
      <c r="AG268" s="7">
        <f t="shared" si="174"/>
        <v>0</v>
      </c>
      <c r="AH268" s="7"/>
      <c r="AI268" s="7">
        <f t="shared" si="175"/>
        <v>-36232595.526546389</v>
      </c>
      <c r="AJ268" s="7">
        <f t="shared" si="175"/>
        <v>0</v>
      </c>
      <c r="AK268" s="7"/>
      <c r="AL268" s="21">
        <f t="shared" si="159"/>
        <v>-9860763.6385615319</v>
      </c>
      <c r="AM268" s="22">
        <f t="shared" si="160"/>
        <v>0.23943326954513378</v>
      </c>
      <c r="AO268" s="44">
        <f t="shared" si="161"/>
        <v>-41183765.553110614</v>
      </c>
      <c r="AP268" s="44">
        <f t="shared" si="161"/>
        <v>-51044529.191672146</v>
      </c>
      <c r="AR268" s="94">
        <f t="shared" ref="AR268:AS272" si="177">T268*0.4</f>
        <v>-16157674.695514778</v>
      </c>
      <c r="AS268" s="94">
        <f t="shared" si="177"/>
        <v>-20358312.358479656</v>
      </c>
      <c r="AT268" s="94">
        <f t="shared" si="176"/>
        <v>-4200637.6629648786</v>
      </c>
    </row>
    <row r="269" spans="1:46" s="1" customFormat="1" ht="15.5">
      <c r="A269" s="26" t="s">
        <v>14</v>
      </c>
      <c r="B269" s="7">
        <f t="shared" si="163"/>
        <v>1602174.7421430019</v>
      </c>
      <c r="C269" s="7">
        <f t="shared" si="163"/>
        <v>796564.25517152366</v>
      </c>
      <c r="D269" s="8"/>
      <c r="E269" s="7">
        <f t="shared" si="164"/>
        <v>1883834.2538189928</v>
      </c>
      <c r="F269" s="7">
        <f t="shared" si="164"/>
        <v>645764.42105815664</v>
      </c>
      <c r="G269" s="8"/>
      <c r="H269" s="7">
        <f t="shared" si="165"/>
        <v>699769.91031290579</v>
      </c>
      <c r="I269" s="7">
        <f t="shared" si="165"/>
        <v>2363380.8719003289</v>
      </c>
      <c r="J269" s="8"/>
      <c r="K269" s="7">
        <f t="shared" si="166"/>
        <v>858214.03818720253</v>
      </c>
      <c r="L269" s="7">
        <f t="shared" si="166"/>
        <v>2506225.653187077</v>
      </c>
      <c r="M269" s="8"/>
      <c r="N269" s="7">
        <f t="shared" si="167"/>
        <v>769826.93272168981</v>
      </c>
      <c r="O269" s="7">
        <f t="shared" si="167"/>
        <v>1957287.4234819496</v>
      </c>
      <c r="P269" s="8"/>
      <c r="Q269" s="7">
        <f t="shared" si="168"/>
        <v>1540227.0455505054</v>
      </c>
      <c r="R269" s="7">
        <f t="shared" si="168"/>
        <v>1358723.2979468387</v>
      </c>
      <c r="S269" s="8"/>
      <c r="T269" s="7">
        <f t="shared" si="169"/>
        <v>918140.09816812875</v>
      </c>
      <c r="U269" s="7">
        <f t="shared" si="169"/>
        <v>2382930.2742877668</v>
      </c>
      <c r="V269" s="8"/>
      <c r="W269" s="7">
        <f t="shared" si="170"/>
        <v>1381234.3658162798</v>
      </c>
      <c r="X269" s="7">
        <f t="shared" si="170"/>
        <v>2409644.8504837384</v>
      </c>
      <c r="Y269" s="8"/>
      <c r="Z269" s="7">
        <f t="shared" si="171"/>
        <v>1621111.2144241144</v>
      </c>
      <c r="AA269" s="7">
        <f t="shared" si="171"/>
        <v>1603079.2023910594</v>
      </c>
      <c r="AB269" s="5">
        <f t="shared" si="172"/>
        <v>1.1248360034962435E-2</v>
      </c>
      <c r="AC269" s="7">
        <f t="shared" si="173"/>
        <v>903932.0276087852</v>
      </c>
      <c r="AD269" s="7">
        <f t="shared" si="173"/>
        <v>0</v>
      </c>
      <c r="AE269" s="8"/>
      <c r="AF269" s="7">
        <f t="shared" si="174"/>
        <v>1840192.5537057773</v>
      </c>
      <c r="AG269" s="7">
        <f t="shared" si="174"/>
        <v>0</v>
      </c>
      <c r="AH269" s="8"/>
      <c r="AI269" s="7">
        <f t="shared" si="175"/>
        <v>2143759.1538198856</v>
      </c>
      <c r="AJ269" s="7">
        <f t="shared" si="175"/>
        <v>0</v>
      </c>
      <c r="AK269" s="8"/>
      <c r="AL269" s="21">
        <f t="shared" si="159"/>
        <v>-18032.012033055071</v>
      </c>
      <c r="AM269" s="22">
        <f t="shared" si="160"/>
        <v>-1.1123241806368478E-2</v>
      </c>
      <c r="AO269" s="44">
        <f t="shared" si="161"/>
        <v>1621111.2144241144</v>
      </c>
      <c r="AP269" s="44">
        <f t="shared" si="161"/>
        <v>1603079.2023910594</v>
      </c>
      <c r="AR269" s="94">
        <f t="shared" si="177"/>
        <v>367256.0392672515</v>
      </c>
      <c r="AS269" s="94">
        <f t="shared" si="177"/>
        <v>953172.10971510678</v>
      </c>
      <c r="AT269" s="94">
        <f t="shared" si="176"/>
        <v>585916.07044785528</v>
      </c>
    </row>
    <row r="270" spans="1:46" ht="15.5">
      <c r="A270" s="26" t="s">
        <v>15</v>
      </c>
      <c r="B270" s="7">
        <f t="shared" si="163"/>
        <v>6126231.2503359998</v>
      </c>
      <c r="C270" s="7">
        <f t="shared" si="163"/>
        <v>8176307.5499999998</v>
      </c>
      <c r="D270" s="7"/>
      <c r="E270" s="7">
        <f t="shared" si="164"/>
        <v>6434386.3653509999</v>
      </c>
      <c r="F270" s="7">
        <f t="shared" si="164"/>
        <v>5105706.58</v>
      </c>
      <c r="G270" s="7"/>
      <c r="H270" s="7">
        <f t="shared" si="165"/>
        <v>8704545.1007010005</v>
      </c>
      <c r="I270" s="7">
        <f t="shared" si="165"/>
        <v>3716834.46</v>
      </c>
      <c r="J270" s="7"/>
      <c r="K270" s="7">
        <f t="shared" si="166"/>
        <v>6028791.141108999</v>
      </c>
      <c r="L270" s="7">
        <f t="shared" si="166"/>
        <v>5231278.49</v>
      </c>
      <c r="M270" s="7"/>
      <c r="N270" s="7">
        <f t="shared" si="167"/>
        <v>6549153.8382550003</v>
      </c>
      <c r="O270" s="7">
        <f t="shared" si="167"/>
        <v>2386392.87</v>
      </c>
      <c r="P270" s="7"/>
      <c r="Q270" s="7">
        <f t="shared" si="168"/>
        <v>8431690.774487</v>
      </c>
      <c r="R270" s="7">
        <f t="shared" si="168"/>
        <v>3324160.27</v>
      </c>
      <c r="S270" s="7"/>
      <c r="T270" s="7">
        <f t="shared" si="169"/>
        <v>9410637.3285639994</v>
      </c>
      <c r="U270" s="7">
        <f t="shared" si="169"/>
        <v>6850161.1400000006</v>
      </c>
      <c r="V270" s="7"/>
      <c r="W270" s="7">
        <f t="shared" si="170"/>
        <v>10030741.338553</v>
      </c>
      <c r="X270" s="7">
        <f t="shared" si="170"/>
        <v>7307009.0199999996</v>
      </c>
      <c r="Y270" s="7"/>
      <c r="Z270" s="7">
        <f t="shared" si="171"/>
        <v>13264540.672984002</v>
      </c>
      <c r="AA270" s="7">
        <f t="shared" si="171"/>
        <v>8134848</v>
      </c>
      <c r="AB270" s="5">
        <f t="shared" si="172"/>
        <v>0.63058248574331111</v>
      </c>
      <c r="AC270" s="7">
        <f t="shared" si="173"/>
        <v>14507966.191679999</v>
      </c>
      <c r="AD270" s="7">
        <f t="shared" si="173"/>
        <v>0</v>
      </c>
      <c r="AE270" s="7"/>
      <c r="AF270" s="7">
        <f t="shared" si="174"/>
        <v>16503196.753796</v>
      </c>
      <c r="AG270" s="7">
        <f t="shared" si="174"/>
        <v>0</v>
      </c>
      <c r="AH270" s="7"/>
      <c r="AI270" s="7">
        <f t="shared" si="175"/>
        <v>14707174.447736001</v>
      </c>
      <c r="AJ270" s="7">
        <f t="shared" si="175"/>
        <v>0</v>
      </c>
      <c r="AK270" s="7"/>
      <c r="AL270" s="21">
        <f t="shared" si="159"/>
        <v>-5129692.6729840022</v>
      </c>
      <c r="AM270" s="22">
        <f t="shared" si="160"/>
        <v>-0.386722224270584</v>
      </c>
      <c r="AO270" s="44">
        <f t="shared" si="161"/>
        <v>13264540.672984002</v>
      </c>
      <c r="AP270" s="44">
        <f t="shared" si="161"/>
        <v>8134848</v>
      </c>
      <c r="AR270" s="94">
        <f t="shared" si="177"/>
        <v>3764254.9314255998</v>
      </c>
      <c r="AS270" s="94">
        <f t="shared" si="177"/>
        <v>2740064.4560000002</v>
      </c>
      <c r="AT270" s="94">
        <f t="shared" si="176"/>
        <v>-1024190.4754255996</v>
      </c>
    </row>
    <row r="271" spans="1:46" s="1" customFormat="1" ht="15.5">
      <c r="A271" s="26" t="s">
        <v>16</v>
      </c>
      <c r="B271" s="7">
        <f t="shared" si="163"/>
        <v>16263649.335984999</v>
      </c>
      <c r="C271" s="7">
        <f t="shared" si="163"/>
        <v>15586616.51</v>
      </c>
      <c r="D271" s="8"/>
      <c r="E271" s="7">
        <f t="shared" si="164"/>
        <v>14675847.500402</v>
      </c>
      <c r="F271" s="7">
        <f t="shared" si="164"/>
        <v>19661179.25</v>
      </c>
      <c r="G271" s="8"/>
      <c r="H271" s="7">
        <f t="shared" si="165"/>
        <v>18736710.437259998</v>
      </c>
      <c r="I271" s="7">
        <f t="shared" si="165"/>
        <v>16422110.949999999</v>
      </c>
      <c r="J271" s="8"/>
      <c r="K271" s="7">
        <f t="shared" si="166"/>
        <v>16908600.035195999</v>
      </c>
      <c r="L271" s="7">
        <f t="shared" si="166"/>
        <v>13817389.810000001</v>
      </c>
      <c r="M271" s="8"/>
      <c r="N271" s="7">
        <f t="shared" si="167"/>
        <v>18485806.392241001</v>
      </c>
      <c r="O271" s="7">
        <f t="shared" si="167"/>
        <v>14923552.49</v>
      </c>
      <c r="P271" s="8"/>
      <c r="Q271" s="7">
        <f t="shared" si="168"/>
        <v>22368357.731807999</v>
      </c>
      <c r="R271" s="7">
        <f t="shared" si="168"/>
        <v>19032801.07</v>
      </c>
      <c r="S271" s="8"/>
      <c r="T271" s="7">
        <f t="shared" si="169"/>
        <v>22232538.116560999</v>
      </c>
      <c r="U271" s="7">
        <f t="shared" si="169"/>
        <v>12734684.58</v>
      </c>
      <c r="V271" s="8"/>
      <c r="W271" s="7">
        <f t="shared" si="170"/>
        <v>23425853.756569002</v>
      </c>
      <c r="X271" s="7">
        <f t="shared" si="170"/>
        <v>11336876.699999999</v>
      </c>
      <c r="Y271" s="8"/>
      <c r="Z271" s="7">
        <f t="shared" si="171"/>
        <v>26905596.464221001</v>
      </c>
      <c r="AA271" s="7">
        <f t="shared" si="171"/>
        <v>14279442.130000001</v>
      </c>
      <c r="AB271" s="5">
        <f t="shared" si="172"/>
        <v>0.88421902055224044</v>
      </c>
      <c r="AC271" s="7">
        <f t="shared" si="173"/>
        <v>24423751.737918001</v>
      </c>
      <c r="AD271" s="7">
        <f t="shared" si="173"/>
        <v>0</v>
      </c>
      <c r="AE271" s="8"/>
      <c r="AF271" s="7">
        <f t="shared" si="174"/>
        <v>20101455.503773998</v>
      </c>
      <c r="AG271" s="7">
        <f t="shared" si="174"/>
        <v>0</v>
      </c>
      <c r="AH271" s="8"/>
      <c r="AI271" s="7">
        <f t="shared" si="175"/>
        <v>26556103.486790005</v>
      </c>
      <c r="AJ271" s="7">
        <f t="shared" si="175"/>
        <v>0</v>
      </c>
      <c r="AK271" s="8"/>
      <c r="AL271" s="21">
        <f t="shared" si="159"/>
        <v>-12626154.334221</v>
      </c>
      <c r="AM271" s="22">
        <f t="shared" si="160"/>
        <v>-0.46927613558061165</v>
      </c>
      <c r="AO271" s="44">
        <f t="shared" si="161"/>
        <v>26905596.464221001</v>
      </c>
      <c r="AP271" s="44">
        <f t="shared" si="161"/>
        <v>14279442.130000001</v>
      </c>
      <c r="AR271" s="94">
        <f t="shared" si="177"/>
        <v>8893015.2466244008</v>
      </c>
      <c r="AS271" s="94">
        <f t="shared" si="177"/>
        <v>5093873.8320000004</v>
      </c>
      <c r="AT271" s="94">
        <f t="shared" si="176"/>
        <v>-3799141.4146244004</v>
      </c>
    </row>
    <row r="272" spans="1:46" s="1" customFormat="1" ht="15.5">
      <c r="A272" s="26" t="s">
        <v>17</v>
      </c>
      <c r="B272" s="7">
        <f t="shared" si="163"/>
        <v>10507170.883184999</v>
      </c>
      <c r="C272" s="7">
        <f t="shared" si="163"/>
        <v>8173657.8099999996</v>
      </c>
      <c r="D272" s="8"/>
      <c r="E272" s="7">
        <f t="shared" si="164"/>
        <v>7912002.8684919998</v>
      </c>
      <c r="F272" s="7">
        <f t="shared" si="164"/>
        <v>3447860.5700000003</v>
      </c>
      <c r="G272" s="8"/>
      <c r="H272" s="7">
        <f t="shared" si="165"/>
        <v>11387872.486609001</v>
      </c>
      <c r="I272" s="7">
        <f t="shared" si="165"/>
        <v>17610904.030000001</v>
      </c>
      <c r="J272" s="8"/>
      <c r="K272" s="7">
        <f t="shared" si="166"/>
        <v>6282493.2627010001</v>
      </c>
      <c r="L272" s="7">
        <f t="shared" si="166"/>
        <v>11873516.379999999</v>
      </c>
      <c r="M272" s="8"/>
      <c r="N272" s="7">
        <f t="shared" si="167"/>
        <v>7774070.2521810001</v>
      </c>
      <c r="O272" s="7">
        <f t="shared" si="167"/>
        <v>8190844.7699999996</v>
      </c>
      <c r="P272" s="8"/>
      <c r="Q272" s="7">
        <f t="shared" si="168"/>
        <v>13272114.394397</v>
      </c>
      <c r="R272" s="7">
        <f t="shared" si="168"/>
        <v>13337143.73</v>
      </c>
      <c r="S272" s="8"/>
      <c r="T272" s="7">
        <f t="shared" si="169"/>
        <v>10204767.878486</v>
      </c>
      <c r="U272" s="7">
        <f t="shared" si="169"/>
        <v>11806021.470000001</v>
      </c>
      <c r="V272" s="8"/>
      <c r="W272" s="7">
        <f t="shared" si="170"/>
        <v>8891293.2447159998</v>
      </c>
      <c r="X272" s="7">
        <f t="shared" si="170"/>
        <v>11270507.6</v>
      </c>
      <c r="Y272" s="8"/>
      <c r="Z272" s="7">
        <f t="shared" si="171"/>
        <v>13669061.397129999</v>
      </c>
      <c r="AA272" s="7">
        <f t="shared" si="171"/>
        <v>11967887.960000001</v>
      </c>
      <c r="AB272" s="5">
        <f t="shared" si="172"/>
        <v>0.1421448331414692</v>
      </c>
      <c r="AC272" s="7">
        <f t="shared" si="173"/>
        <v>9192394.1029090006</v>
      </c>
      <c r="AD272" s="7">
        <f t="shared" si="173"/>
        <v>0</v>
      </c>
      <c r="AE272" s="8"/>
      <c r="AF272" s="7">
        <f t="shared" si="174"/>
        <v>15354605.097356001</v>
      </c>
      <c r="AG272" s="7">
        <f t="shared" si="174"/>
        <v>0</v>
      </c>
      <c r="AH272" s="8"/>
      <c r="AI272" s="7">
        <f t="shared" si="175"/>
        <v>21728132.480163995</v>
      </c>
      <c r="AJ272" s="7">
        <f t="shared" si="175"/>
        <v>0</v>
      </c>
      <c r="AK272" s="8"/>
      <c r="AL272" s="21">
        <f t="shared" si="159"/>
        <v>-1701173.4371299986</v>
      </c>
      <c r="AM272" s="22">
        <f t="shared" si="160"/>
        <v>-0.12445429775355188</v>
      </c>
      <c r="AO272" s="44">
        <f t="shared" si="161"/>
        <v>13669061.397129999</v>
      </c>
      <c r="AP272" s="44">
        <f t="shared" si="161"/>
        <v>11967887.960000001</v>
      </c>
      <c r="AR272" s="94">
        <f t="shared" si="177"/>
        <v>4081907.1513944003</v>
      </c>
      <c r="AS272" s="94">
        <f t="shared" si="177"/>
        <v>4722408.5880000005</v>
      </c>
      <c r="AT272" s="94">
        <f t="shared" si="176"/>
        <v>640501.43660560017</v>
      </c>
    </row>
    <row r="273" spans="1:50" s="1" customFormat="1" ht="15.5">
      <c r="A273" s="26"/>
      <c r="B273" s="7"/>
      <c r="C273" s="8"/>
      <c r="D273" s="8"/>
      <c r="E273" s="7"/>
      <c r="F273" s="8"/>
      <c r="G273" s="8"/>
      <c r="H273" s="7"/>
      <c r="I273" s="8"/>
      <c r="J273" s="8"/>
      <c r="K273" s="7"/>
      <c r="L273" s="8"/>
      <c r="M273" s="8"/>
      <c r="N273" s="7"/>
      <c r="O273" s="8"/>
      <c r="P273" s="8"/>
      <c r="Q273" s="7"/>
      <c r="R273" s="8"/>
      <c r="S273" s="8"/>
      <c r="T273" s="7"/>
      <c r="U273" s="8"/>
      <c r="V273" s="8"/>
      <c r="W273" s="7"/>
      <c r="X273" s="8"/>
      <c r="Y273" s="8"/>
      <c r="Z273" s="7"/>
      <c r="AA273" s="8"/>
      <c r="AB273" s="8"/>
      <c r="AC273" s="7"/>
      <c r="AD273" s="8"/>
      <c r="AE273" s="8"/>
      <c r="AF273" s="7"/>
      <c r="AG273" s="8"/>
      <c r="AH273" s="8"/>
      <c r="AI273" s="7"/>
      <c r="AJ273" s="8"/>
      <c r="AK273" s="8"/>
      <c r="AL273" s="15"/>
      <c r="AM273" s="16"/>
      <c r="AO273" s="44"/>
      <c r="AP273" s="44"/>
    </row>
    <row r="274" spans="1:50" s="1" customFormat="1" ht="15.5">
      <c r="A274" s="26"/>
      <c r="B274" s="7"/>
      <c r="C274" s="8"/>
      <c r="D274" s="8"/>
      <c r="E274" s="7"/>
      <c r="F274" s="8"/>
      <c r="G274" s="8"/>
      <c r="H274" s="7"/>
      <c r="I274" s="8"/>
      <c r="J274" s="8"/>
      <c r="K274" s="7"/>
      <c r="L274" s="8"/>
      <c r="M274" s="8"/>
      <c r="N274" s="7"/>
      <c r="O274" s="8"/>
      <c r="P274" s="8"/>
      <c r="Q274" s="7"/>
      <c r="R274" s="8"/>
      <c r="S274" s="8"/>
      <c r="T274" s="7"/>
      <c r="U274" s="8"/>
      <c r="V274" s="8"/>
      <c r="W274" s="7"/>
      <c r="X274" s="8"/>
      <c r="Y274" s="8"/>
      <c r="Z274" s="7"/>
      <c r="AA274" s="8"/>
      <c r="AB274" s="8"/>
      <c r="AC274" s="7"/>
      <c r="AD274" s="8"/>
      <c r="AE274" s="8"/>
      <c r="AF274" s="7"/>
      <c r="AG274" s="8"/>
      <c r="AH274" s="8"/>
      <c r="AI274" s="7"/>
      <c r="AJ274" s="8"/>
      <c r="AK274" s="8"/>
      <c r="AL274" s="15"/>
      <c r="AM274" s="16"/>
      <c r="AO274" s="44"/>
      <c r="AP274" s="44"/>
    </row>
    <row r="275" spans="1:50" s="44" customFormat="1" ht="15.5">
      <c r="A275" s="31" t="s">
        <v>90</v>
      </c>
      <c r="B275" s="32">
        <f>'A -Döviz'!B275</f>
        <v>460695.53136583423</v>
      </c>
      <c r="C275" s="32">
        <f>'A -Döviz'!C275</f>
        <v>265319.59503838257</v>
      </c>
      <c r="D275" s="18"/>
      <c r="E275" s="32">
        <f>B275+'A -Döviz'!E275</f>
        <v>977938.91054120078</v>
      </c>
      <c r="F275" s="32">
        <f>C275+'A -Döviz'!F275</f>
        <v>464387.91809175687</v>
      </c>
      <c r="G275" s="18"/>
      <c r="H275" s="32">
        <f>E275+'A -Döviz'!H275</f>
        <v>1599601.9140899444</v>
      </c>
      <c r="I275" s="32">
        <f>F275+'A -Döviz'!I275</f>
        <v>820640.72884254763</v>
      </c>
      <c r="J275" s="18"/>
      <c r="K275" s="32">
        <f>H275+'A -Döviz'!K275</f>
        <v>2276401.9213321726</v>
      </c>
      <c r="L275" s="32">
        <f>I275+'A -Döviz'!L275</f>
        <v>2605401.0803523394</v>
      </c>
      <c r="M275" s="18"/>
      <c r="N275" s="32">
        <f>K275+'A -Döviz'!N275</f>
        <v>2899217.5245224722</v>
      </c>
      <c r="O275" s="32">
        <f>L275+'A -Döviz'!O275</f>
        <v>3477325.5481890398</v>
      </c>
      <c r="P275" s="18"/>
      <c r="Q275" s="32">
        <f>N275+'A -Döviz'!Q275</f>
        <v>3680262.0854810318</v>
      </c>
      <c r="R275" s="32">
        <f>O275+'A -Döviz'!R275</f>
        <v>3896487.9995547845</v>
      </c>
      <c r="S275" s="18"/>
      <c r="T275" s="32">
        <f>Q275+'A -Döviz'!T275</f>
        <v>4317560.1726674959</v>
      </c>
      <c r="U275" s="32">
        <f>R275+'A -Döviz'!U275</f>
        <v>2281267.584610838</v>
      </c>
      <c r="V275" s="18"/>
      <c r="W275" s="32">
        <f>T275+'A -Döviz'!W275</f>
        <v>5004076.4675384033</v>
      </c>
      <c r="X275" s="32">
        <f>U275+'A -Döviz'!X275</f>
        <v>3329853.3317549201</v>
      </c>
      <c r="Y275" s="18"/>
      <c r="Z275" s="32">
        <f>W275+'A -Döviz'!Z275</f>
        <v>5755610.4747348977</v>
      </c>
      <c r="AA275" s="32">
        <f>X275+'A -Döviz'!AA275</f>
        <v>3808310.4499683576</v>
      </c>
      <c r="AB275" s="18"/>
      <c r="AC275" s="32">
        <f>Z275+'A -Döviz'!AC275</f>
        <v>6358705.1162508</v>
      </c>
      <c r="AD275" s="32">
        <f>AA275+'A -Döviz'!AD275</f>
        <v>3808310.4499683576</v>
      </c>
      <c r="AE275" s="18"/>
      <c r="AF275" s="32">
        <f>AC275+'A -Döviz'!AF275</f>
        <v>6904174.2421047948</v>
      </c>
      <c r="AG275" s="32">
        <f>AD275+'A -Döviz'!AG275</f>
        <v>3808310.4499683576</v>
      </c>
      <c r="AH275" s="18"/>
      <c r="AI275" s="32">
        <f>AF275+'A -Döviz'!AI275</f>
        <v>7517398.6407287335</v>
      </c>
      <c r="AJ275" s="32">
        <f>AG275+'A -Döviz'!AJ275</f>
        <v>3808310.4499683576</v>
      </c>
      <c r="AK275" s="18"/>
      <c r="AL275" s="33">
        <f>AP275-AO275</f>
        <v>-1947300.0247665402</v>
      </c>
      <c r="AM275" s="34">
        <f>AP275/AO275-1</f>
        <v>-0.33833075280450287</v>
      </c>
      <c r="AO275" s="44">
        <f>IF($A$1=$B$1,B275,IF($A$1=$E$1,E275,IF($A$1=$H$1,H275,IF($A$1=$K$1,K275,IF($A$1=$N$1,N275,IF($A$1=$Q$1,Q275,IF($A$1=$T$1,T275,IF($A$1=$W$1,W275,IF($A$1=$Z$1,Z275,IF($A$1=$AC$1,AC275,IF($A$1=$AF$1,AF275,IF($A$1=$AI$1,AI275))))))))))))</f>
        <v>5755610.4747348977</v>
      </c>
      <c r="AP275" s="44">
        <f>IF($A$1=$B$1,C275,IF($A$1=$E$1,F275,IF($A$1=$H$1,I275,IF($A$1=$K$1,L275,IF($A$1=$N$1,O275,IF($A$1=$Q$1,R275,IF($A$1=$T$1,U275,IF($A$1=$W$1,X275,IF($A$1=$Z$1,AA275,IF($A$1=$AC$1,AD275,IF($A$1=$AF$1,AG275,IF($A$1=$AI$1,AJ275))))))))))))</f>
        <v>3808310.4499683576</v>
      </c>
    </row>
    <row r="276" spans="1:50" s="13" customFormat="1" ht="15.5">
      <c r="A276" s="27"/>
      <c r="B276" s="30"/>
      <c r="C276" s="30"/>
      <c r="D276" s="41"/>
      <c r="E276" s="30"/>
      <c r="F276" s="30"/>
      <c r="G276" s="41"/>
      <c r="H276" s="30"/>
      <c r="I276" s="30"/>
      <c r="J276" s="41"/>
      <c r="K276" s="30"/>
      <c r="L276" s="30"/>
      <c r="M276" s="41"/>
      <c r="N276" s="30"/>
      <c r="O276" s="30"/>
      <c r="P276" s="41"/>
      <c r="Q276" s="30"/>
      <c r="R276" s="30"/>
      <c r="S276" s="41"/>
      <c r="T276" s="30"/>
      <c r="U276" s="30"/>
      <c r="V276" s="41"/>
      <c r="W276" s="30"/>
      <c r="X276" s="30"/>
      <c r="Y276" s="41"/>
      <c r="Z276" s="30"/>
      <c r="AA276" s="30"/>
      <c r="AB276" s="41"/>
      <c r="AC276" s="30"/>
      <c r="AD276" s="30"/>
      <c r="AE276" s="41"/>
      <c r="AF276" s="30"/>
      <c r="AG276" s="30"/>
      <c r="AH276" s="41"/>
      <c r="AI276" s="30"/>
      <c r="AJ276" s="30"/>
      <c r="AK276" s="41"/>
      <c r="AL276" s="15"/>
      <c r="AM276" s="22"/>
      <c r="AO276" s="44">
        <f>IF($A$1=$B$1,B276,IF($A$1=$E$1,E276,IF($A$1=$H$1,H276,IF($A$1=$K$1,K276,IF($A$1=$N$1,N276,IF($A$1=$Q$1,Q276,IF($A$1=$T$1,T276,IF($A$1=$W$1,W276,IF($A$1=$Z$1,Z276,IF($A$1=$AC$1,AC276,IF($A$1=$AF$1,AF276,IF($A$1=$AI$1,AI276))))))))))))</f>
        <v>0</v>
      </c>
      <c r="AP276" s="44">
        <f>IF($A$1=$B$1,C276,IF($A$1=$E$1,F276,IF($A$1=$H$1,I276,IF($A$1=$K$1,L276,IF($A$1=$N$1,O276,IF($A$1=$Q$1,R276,IF($A$1=$T$1,U276,IF($A$1=$W$1,X276,IF($A$1=$Z$1,AA276,IF($A$1=$AC$1,AD276,IF($A$1=$AF$1,AG276,IF($A$1=$AI$1,AJ276))))))))))))</f>
        <v>0</v>
      </c>
    </row>
    <row r="277" spans="1:50" s="49" customFormat="1" ht="17">
      <c r="A277" s="47" t="s">
        <v>91</v>
      </c>
      <c r="B277" s="413"/>
      <c r="C277" s="413"/>
      <c r="D277" s="413"/>
      <c r="E277" s="413"/>
      <c r="F277" s="413"/>
      <c r="G277" s="413"/>
      <c r="H277" s="413"/>
      <c r="I277" s="413"/>
      <c r="J277" s="413"/>
      <c r="K277" s="413"/>
      <c r="L277" s="413"/>
      <c r="M277" s="413"/>
      <c r="N277" s="413"/>
      <c r="O277" s="413"/>
      <c r="P277" s="413"/>
      <c r="Q277" s="413"/>
      <c r="R277" s="413"/>
      <c r="S277" s="413"/>
      <c r="T277" s="413"/>
      <c r="U277" s="413"/>
      <c r="V277" s="413"/>
      <c r="W277" s="413"/>
      <c r="X277" s="413"/>
      <c r="Y277" s="413"/>
      <c r="Z277" s="413"/>
      <c r="AA277" s="413"/>
      <c r="AB277" s="413"/>
      <c r="AC277" s="413"/>
      <c r="AD277" s="413"/>
      <c r="AE277" s="413"/>
      <c r="AF277" s="413"/>
      <c r="AG277" s="413"/>
      <c r="AH277" s="413"/>
      <c r="AI277" s="413"/>
      <c r="AJ277" s="413"/>
      <c r="AK277" s="413"/>
      <c r="AL277" s="413"/>
      <c r="AM277" s="48"/>
      <c r="AR277" s="110">
        <f>SUM(AR278:AR285)</f>
        <v>4317560.1726674959</v>
      </c>
      <c r="AS277" s="110">
        <f>SUM(AS278:AS285)</f>
        <v>2281267.5846108384</v>
      </c>
    </row>
    <row r="278" spans="1:50" ht="15.5">
      <c r="A278" s="26" t="s">
        <v>10</v>
      </c>
      <c r="B278" s="7">
        <f>'A -Döviz'!B278</f>
        <v>1924.399273230136</v>
      </c>
      <c r="C278" s="7">
        <f>'A -Döviz'!C278</f>
        <v>0</v>
      </c>
      <c r="D278" s="7"/>
      <c r="E278" s="7">
        <f>B278+'A -Döviz'!E278</f>
        <v>1924.399273230136</v>
      </c>
      <c r="F278" s="7">
        <f>C278+'A -Döviz'!F278</f>
        <v>410.26079482154972</v>
      </c>
      <c r="G278" s="7"/>
      <c r="H278" s="7">
        <f>E278+'A -Döviz'!H278</f>
        <v>1924.399273230136</v>
      </c>
      <c r="I278" s="7">
        <f>F278+'A -Döviz'!I278</f>
        <v>410.26079482154972</v>
      </c>
      <c r="J278" s="7"/>
      <c r="K278" s="7">
        <f>H278+'A -Döviz'!K278</f>
        <v>1924.399273230136</v>
      </c>
      <c r="L278" s="7">
        <f>I278+'A -Döviz'!L278</f>
        <v>410.26079482154972</v>
      </c>
      <c r="M278" s="7"/>
      <c r="N278" s="7">
        <f>K278+'A -Döviz'!N278</f>
        <v>2885.850819381054</v>
      </c>
      <c r="O278" s="7">
        <f>L278+'A -Döviz'!O278</f>
        <v>410.26079482154972</v>
      </c>
      <c r="P278" s="7"/>
      <c r="Q278" s="7">
        <f>N278+'A -Döviz'!Q278</f>
        <v>4808.4159973922797</v>
      </c>
      <c r="R278" s="7">
        <f>O278+'A -Döviz'!R278</f>
        <v>7545.036519435118</v>
      </c>
      <c r="S278" s="7"/>
      <c r="T278" s="7">
        <f>Q278+'A -Döviz'!T278</f>
        <v>4808.4159973922797</v>
      </c>
      <c r="U278" s="7">
        <f>R278+'A -Döviz'!U278</f>
        <v>7545.036519435118</v>
      </c>
      <c r="V278" s="7"/>
      <c r="W278" s="7">
        <f>T278+'A -Döviz'!W278</f>
        <v>10691.848721515766</v>
      </c>
      <c r="X278" s="7">
        <f>U278+'A -Döviz'!X278</f>
        <v>7545.036519435118</v>
      </c>
      <c r="Y278" s="7"/>
      <c r="Z278" s="7">
        <f>W278+'A -Döviz'!Z278</f>
        <v>12656.812265662717</v>
      </c>
      <c r="AA278" s="7">
        <f>X278+'A -Döviz'!AA278</f>
        <v>7545.036519435118</v>
      </c>
      <c r="AB278" s="7"/>
      <c r="AC278" s="7">
        <f>Z278+'A -Döviz'!AC278</f>
        <v>14928.331503159139</v>
      </c>
      <c r="AD278" s="7">
        <f>AA278+'A -Döviz'!AD278</f>
        <v>7545.036519435118</v>
      </c>
      <c r="AE278" s="7"/>
      <c r="AF278" s="7">
        <f>AC278+'A -Döviz'!AF278</f>
        <v>14928.331503159139</v>
      </c>
      <c r="AG278" s="7">
        <f>AD278+'A -Döviz'!AG278</f>
        <v>7545.036519435118</v>
      </c>
      <c r="AH278" s="7"/>
      <c r="AI278" s="7">
        <f>AF278+'A -Döviz'!AI278</f>
        <v>14928.331503159139</v>
      </c>
      <c r="AJ278" s="7">
        <f>AG278+'A -Döviz'!AJ278</f>
        <v>7545.036519435118</v>
      </c>
      <c r="AK278" s="7"/>
      <c r="AL278" s="21">
        <f t="shared" ref="AL278:AL285" si="178">AP278-AO278</f>
        <v>-5111.7757462275986</v>
      </c>
      <c r="AM278" s="22">
        <f t="shared" ref="AM278:AM285" si="179">AP278/AO278-1</f>
        <v>-0.40387544975250877</v>
      </c>
      <c r="AO278" s="44">
        <f t="shared" ref="AO278:AP285" si="180">IF($A$1=$B$1,B278,IF($A$1=$E$1,E278,IF($A$1=$H$1,H278,IF($A$1=$K$1,K278,IF($A$1=$N$1,N278,IF($A$1=$Q$1,Q278,IF($A$1=$T$1,T278,IF($A$1=$W$1,W278,IF($A$1=$Z$1,Z278,IF($A$1=$AC$1,AC278,IF($A$1=$AF$1,AF278,IF($A$1=$AI$1,AI278))))))))))))</f>
        <v>12656.812265662717</v>
      </c>
      <c r="AP278" s="44">
        <f t="shared" si="180"/>
        <v>7545.036519435118</v>
      </c>
      <c r="AR278" s="94">
        <f t="shared" ref="AR278:AS280" si="181">T278</f>
        <v>4808.4159973922797</v>
      </c>
      <c r="AS278" s="94">
        <f t="shared" si="181"/>
        <v>7545.036519435118</v>
      </c>
      <c r="AT278" s="94">
        <f>AS278-AR278</f>
        <v>2736.6205220428383</v>
      </c>
    </row>
    <row r="279" spans="1:50" ht="15.5">
      <c r="A279" s="26" t="s">
        <v>11</v>
      </c>
      <c r="B279" s="7">
        <f>'A -Döviz'!B279</f>
        <v>37421.013228197167</v>
      </c>
      <c r="C279" s="7">
        <f>'A -Döviz'!C279</f>
        <v>53252.056358936352</v>
      </c>
      <c r="D279" s="7"/>
      <c r="E279" s="7">
        <f>B279+'A -Döviz'!E279</f>
        <v>66651.798696712984</v>
      </c>
      <c r="F279" s="7">
        <f>C279+'A -Döviz'!F279</f>
        <v>118897.99719886063</v>
      </c>
      <c r="G279" s="7"/>
      <c r="H279" s="7">
        <f>E279+'A -Döviz'!H279</f>
        <v>98911.776298674493</v>
      </c>
      <c r="I279" s="7">
        <f>F279+'A -Döviz'!I279</f>
        <v>200261.29703550559</v>
      </c>
      <c r="J279" s="7"/>
      <c r="K279" s="7">
        <f>H279+'A -Döviz'!K279</f>
        <v>303186.72639974044</v>
      </c>
      <c r="L279" s="7">
        <f>I279+'A -Döviz'!L279</f>
        <v>259667.46732842887</v>
      </c>
      <c r="M279" s="7"/>
      <c r="N279" s="7">
        <f>K279+'A -Döviz'!N279</f>
        <v>363206.67898126115</v>
      </c>
      <c r="O279" s="7">
        <f>L279+'A -Döviz'!O279</f>
        <v>310392.66930658789</v>
      </c>
      <c r="P279" s="7"/>
      <c r="Q279" s="7">
        <f>N279+'A -Döviz'!Q279</f>
        <v>443063.32275617821</v>
      </c>
      <c r="R279" s="7">
        <f>O279+'A -Döviz'!R279</f>
        <v>375412.29421822849</v>
      </c>
      <c r="S279" s="7"/>
      <c r="T279" s="7">
        <f>Q279+'A -Döviz'!T279</f>
        <v>500820.24519893655</v>
      </c>
      <c r="U279" s="7">
        <f>R279+'A -Döviz'!U279</f>
        <v>426176.36293281551</v>
      </c>
      <c r="V279" s="7"/>
      <c r="W279" s="7">
        <f>T279+'A -Döviz'!W279</f>
        <v>523987.06169702328</v>
      </c>
      <c r="X279" s="7">
        <f>U279+'A -Döviz'!X279</f>
        <v>478743.87333617196</v>
      </c>
      <c r="Y279" s="7"/>
      <c r="Z279" s="7">
        <f>W279+'A -Döviz'!Z279</f>
        <v>578543.69656980922</v>
      </c>
      <c r="AA279" s="7">
        <f>X279+'A -Döviz'!AA279</f>
        <v>529489.86070220626</v>
      </c>
      <c r="AB279" s="7"/>
      <c r="AC279" s="7">
        <f>Z279+'A -Döviz'!AC279</f>
        <v>594979.66017098492</v>
      </c>
      <c r="AD279" s="7">
        <f>AA279+'A -Döviz'!AD279</f>
        <v>529489.86070220626</v>
      </c>
      <c r="AE279" s="7"/>
      <c r="AF279" s="7">
        <f>AC279+'A -Döviz'!AF279</f>
        <v>611162.52609148785</v>
      </c>
      <c r="AG279" s="7">
        <f>AD279+'A -Döviz'!AG279</f>
        <v>529489.86070220626</v>
      </c>
      <c r="AH279" s="7"/>
      <c r="AI279" s="7">
        <f>AF279+'A -Döviz'!AI279</f>
        <v>627112.66954540147</v>
      </c>
      <c r="AJ279" s="7">
        <f>AG279+'A -Döviz'!AJ279</f>
        <v>529489.86070220626</v>
      </c>
      <c r="AK279" s="7"/>
      <c r="AL279" s="21">
        <f t="shared" si="178"/>
        <v>-49053.83586760296</v>
      </c>
      <c r="AM279" s="22">
        <f t="shared" si="179"/>
        <v>-8.478847174110371E-2</v>
      </c>
      <c r="AO279" s="44">
        <f t="shared" si="180"/>
        <v>578543.69656980922</v>
      </c>
      <c r="AP279" s="44">
        <f t="shared" si="180"/>
        <v>529489.86070220626</v>
      </c>
      <c r="AR279" s="94">
        <f t="shared" si="181"/>
        <v>500820.24519893655</v>
      </c>
      <c r="AS279" s="94">
        <f t="shared" si="181"/>
        <v>426176.36293281551</v>
      </c>
      <c r="AT279" s="94">
        <f t="shared" ref="AT279:AT285" si="182">AS279-AR279</f>
        <v>-74643.882266121043</v>
      </c>
    </row>
    <row r="280" spans="1:50" ht="15.5">
      <c r="A280" s="26" t="s">
        <v>12</v>
      </c>
      <c r="B280" s="7">
        <f>'A -Döviz'!B280</f>
        <v>0</v>
      </c>
      <c r="C280" s="7">
        <f>'A -Döviz'!C280</f>
        <v>0</v>
      </c>
      <c r="D280" s="7"/>
      <c r="E280" s="7">
        <f>B280+'A -Döviz'!E280</f>
        <v>0</v>
      </c>
      <c r="F280" s="7">
        <f>C280+'A -Döviz'!F280</f>
        <v>0</v>
      </c>
      <c r="G280" s="7"/>
      <c r="H280" s="7">
        <f>E280+'A -Döviz'!H280</f>
        <v>0</v>
      </c>
      <c r="I280" s="7">
        <f>F280+'A -Döviz'!I280</f>
        <v>0</v>
      </c>
      <c r="J280" s="7"/>
      <c r="K280" s="7">
        <f>H280+'A -Döviz'!K280</f>
        <v>0</v>
      </c>
      <c r="L280" s="7">
        <f>I280+'A -Döviz'!L280</f>
        <v>0</v>
      </c>
      <c r="M280" s="7"/>
      <c r="N280" s="7">
        <f>K280+'A -Döviz'!N280</f>
        <v>0</v>
      </c>
      <c r="O280" s="7">
        <f>L280+'A -Döviz'!O280</f>
        <v>0</v>
      </c>
      <c r="P280" s="7"/>
      <c r="Q280" s="7">
        <f>N280+'A -Döviz'!Q280</f>
        <v>0</v>
      </c>
      <c r="R280" s="7">
        <f>O280+'A -Döviz'!R280</f>
        <v>0</v>
      </c>
      <c r="S280" s="7"/>
      <c r="T280" s="7">
        <f>Q280+'A -Döviz'!T280</f>
        <v>0</v>
      </c>
      <c r="U280" s="7">
        <f>R280+'A -Döviz'!U280</f>
        <v>0</v>
      </c>
      <c r="V280" s="7"/>
      <c r="W280" s="7">
        <f>T280+'A -Döviz'!W280</f>
        <v>0</v>
      </c>
      <c r="X280" s="7">
        <f>U280+'A -Döviz'!X280</f>
        <v>0</v>
      </c>
      <c r="Y280" s="7"/>
      <c r="Z280" s="7">
        <f>W280+'A -Döviz'!Z280</f>
        <v>0</v>
      </c>
      <c r="AA280" s="7">
        <f>X280+'A -Döviz'!AA280</f>
        <v>0</v>
      </c>
      <c r="AB280" s="7"/>
      <c r="AC280" s="7">
        <f>Z280+'A -Döviz'!AC280</f>
        <v>0</v>
      </c>
      <c r="AD280" s="7">
        <f>AA280+'A -Döviz'!AD280</f>
        <v>0</v>
      </c>
      <c r="AE280" s="7"/>
      <c r="AF280" s="7">
        <f>AC280+'A -Döviz'!AF280</f>
        <v>0</v>
      </c>
      <c r="AG280" s="7">
        <f>AD280+'A -Döviz'!AG280</f>
        <v>0</v>
      </c>
      <c r="AH280" s="7"/>
      <c r="AI280" s="7">
        <f>AF280+'A -Döviz'!AI280</f>
        <v>0</v>
      </c>
      <c r="AJ280" s="7">
        <f>AG280+'A -Döviz'!AJ280</f>
        <v>0</v>
      </c>
      <c r="AK280" s="7"/>
      <c r="AL280" s="21">
        <f t="shared" si="178"/>
        <v>0</v>
      </c>
      <c r="AM280" s="22" t="e">
        <f t="shared" si="179"/>
        <v>#DIV/0!</v>
      </c>
      <c r="AO280" s="44">
        <f t="shared" si="180"/>
        <v>0</v>
      </c>
      <c r="AP280" s="44">
        <f t="shared" si="180"/>
        <v>0</v>
      </c>
      <c r="AR280" s="94">
        <f t="shared" si="181"/>
        <v>0</v>
      </c>
      <c r="AS280" s="94">
        <f t="shared" si="181"/>
        <v>0</v>
      </c>
      <c r="AT280" s="94">
        <f t="shared" si="182"/>
        <v>0</v>
      </c>
    </row>
    <row r="281" spans="1:50" ht="15.5">
      <c r="A281" s="26" t="s">
        <v>13</v>
      </c>
      <c r="B281" s="7">
        <f>'A -Döviz'!B281</f>
        <v>309454.4406993278</v>
      </c>
      <c r="C281" s="7">
        <f>'A -Döviz'!C281</f>
        <v>179430.80014359477</v>
      </c>
      <c r="D281" s="7"/>
      <c r="E281" s="7">
        <f>B281+'A -Döviz'!E281</f>
        <v>618345.5633982016</v>
      </c>
      <c r="F281" s="7">
        <f>C281+'A -Döviz'!F281</f>
        <v>271944.30360946042</v>
      </c>
      <c r="G281" s="7"/>
      <c r="H281" s="7">
        <f>E281+'A -Döviz'!H281</f>
        <v>926799.47482039942</v>
      </c>
      <c r="I281" s="7">
        <f>F281+'A -Döviz'!I281</f>
        <v>438875.71338453551</v>
      </c>
      <c r="J281" s="7"/>
      <c r="K281" s="7">
        <f>H281+'A -Döviz'!K281</f>
        <v>1358194.0056075219</v>
      </c>
      <c r="L281" s="7">
        <f>I281+'A -Döviz'!L281</f>
        <v>438875.71338453551</v>
      </c>
      <c r="M281" s="7"/>
      <c r="N281" s="7">
        <f>K281+'A -Döviz'!N281</f>
        <v>1789310.5782066814</v>
      </c>
      <c r="O281" s="7">
        <f>L281+'A -Döviz'!O281</f>
        <v>438875.71338453551</v>
      </c>
      <c r="P281" s="7"/>
      <c r="Q281" s="7">
        <f>N281+'A -Döviz'!Q281</f>
        <v>2302400.0466778087</v>
      </c>
      <c r="R281" s="7">
        <f>O281+'A -Döviz'!R281</f>
        <v>438875.71338453551</v>
      </c>
      <c r="S281" s="7"/>
      <c r="T281" s="7">
        <f>Q281+'A -Döviz'!T281</f>
        <v>2815523.0412504314</v>
      </c>
      <c r="U281" s="7">
        <f>R281+'A -Döviz'!U281</f>
        <v>438875.71338453551</v>
      </c>
      <c r="V281" s="7"/>
      <c r="W281" s="7">
        <f>T281+'A -Döviz'!W281</f>
        <v>3328853.6293486943</v>
      </c>
      <c r="X281" s="7">
        <f>U281+'A -Döviz'!X281</f>
        <v>1159839.2679244056</v>
      </c>
      <c r="Y281" s="7"/>
      <c r="Z281" s="7">
        <f>W281+'A -Döviz'!Z281</f>
        <v>3945299.6634652931</v>
      </c>
      <c r="AA281" s="7">
        <f>X281+'A -Döviz'!AA281</f>
        <v>1427295.1749291504</v>
      </c>
      <c r="AB281" s="7"/>
      <c r="AC281" s="7">
        <f>Z281+'A -Döviz'!AC281</f>
        <v>4562388.6497004768</v>
      </c>
      <c r="AD281" s="7">
        <f>AA281+'A -Döviz'!AD281</f>
        <v>1427295.1749291504</v>
      </c>
      <c r="AE281" s="7"/>
      <c r="AF281" s="7">
        <f>AC281+'A -Döviz'!AF281</f>
        <v>5303890.3838710226</v>
      </c>
      <c r="AG281" s="7">
        <f>AD281+'A -Döviz'!AG281</f>
        <v>1427295.1749291504</v>
      </c>
      <c r="AH281" s="7"/>
      <c r="AI281" s="7">
        <f>AF281+'A -Döviz'!AI281</f>
        <v>6170487.7931394409</v>
      </c>
      <c r="AJ281" s="7">
        <f>AG281+'A -Döviz'!AJ281</f>
        <v>1427295.1749291504</v>
      </c>
      <c r="AK281" s="7"/>
      <c r="AL281" s="21">
        <f t="shared" si="178"/>
        <v>-2518004.4885361427</v>
      </c>
      <c r="AM281" s="22">
        <f t="shared" si="179"/>
        <v>-0.63822895681502989</v>
      </c>
      <c r="AO281" s="44">
        <f t="shared" si="180"/>
        <v>3945299.6634652931</v>
      </c>
      <c r="AP281" s="44">
        <f t="shared" si="180"/>
        <v>1427295.1749291504</v>
      </c>
      <c r="AR281" s="94">
        <f t="shared" ref="AR281:AS285" si="183">T281*0.4</f>
        <v>1126209.2165001726</v>
      </c>
      <c r="AS281" s="94">
        <f t="shared" si="183"/>
        <v>175550.28535381422</v>
      </c>
      <c r="AT281" s="94">
        <f t="shared" si="182"/>
        <v>-950658.93114635837</v>
      </c>
    </row>
    <row r="282" spans="1:50" s="1" customFormat="1" ht="15.5">
      <c r="A282" s="26" t="s">
        <v>14</v>
      </c>
      <c r="B282" s="7">
        <f>'A -Döviz'!B282</f>
        <v>104087.52312868946</v>
      </c>
      <c r="C282" s="7">
        <f>'A -Döviz'!C282</f>
        <v>112475.8565550208</v>
      </c>
      <c r="D282" s="8"/>
      <c r="E282" s="7">
        <f>B282+'A -Döviz'!E282</f>
        <v>173894.55136294209</v>
      </c>
      <c r="F282" s="7">
        <f>C282+'A -Döviz'!F282</f>
        <v>218516.98846472637</v>
      </c>
      <c r="G282" s="8"/>
      <c r="H282" s="7">
        <f>E282+'A -Döviz'!H282</f>
        <v>256114.87147469952</v>
      </c>
      <c r="I282" s="7">
        <f>F282+'A -Döviz'!I282</f>
        <v>552444.83984401589</v>
      </c>
      <c r="J282" s="8"/>
      <c r="K282" s="7">
        <f>H282+'A -Döviz'!K282</f>
        <v>332199.65020748216</v>
      </c>
      <c r="L282" s="7">
        <f>I282+'A -Döviz'!L282</f>
        <v>584107.26002318703</v>
      </c>
      <c r="M282" s="8"/>
      <c r="N282" s="7">
        <f>K282+'A -Döviz'!N282</f>
        <v>406835.24193089257</v>
      </c>
      <c r="O282" s="7">
        <f>L282+'A -Döviz'!O282</f>
        <v>613604.73871854017</v>
      </c>
      <c r="P282" s="8"/>
      <c r="Q282" s="7">
        <f>N282+'A -Döviz'!Q282</f>
        <v>480075.82014084398</v>
      </c>
      <c r="R282" s="7">
        <f>O282+'A -Döviz'!R282</f>
        <v>719912.91160826734</v>
      </c>
      <c r="S282" s="8"/>
      <c r="T282" s="7">
        <f>Q282+'A -Döviz'!T282</f>
        <v>551972.4040944851</v>
      </c>
      <c r="U282" s="7">
        <f>R282+'A -Döviz'!U282</f>
        <v>1093018.5822339337</v>
      </c>
      <c r="V282" s="8"/>
      <c r="W282" s="7">
        <f>T282+'A -Döviz'!W282</f>
        <v>622573.59678396699</v>
      </c>
      <c r="X282" s="7">
        <f>U282+'A -Döviz'!X282</f>
        <v>1105191.199779877</v>
      </c>
      <c r="Y282" s="8"/>
      <c r="Z282" s="7">
        <f>W282+'A -Döviz'!Z282</f>
        <v>691925.25128327112</v>
      </c>
      <c r="AA282" s="7">
        <f>X282+'A -Döviz'!AA282</f>
        <v>1166323.5434146402</v>
      </c>
      <c r="AB282" s="8"/>
      <c r="AC282" s="7">
        <f>Z282+'A -Döviz'!AC282</f>
        <v>760070.82840816374</v>
      </c>
      <c r="AD282" s="7">
        <f>AA282+'A -Döviz'!AD282</f>
        <v>1166323.5434146402</v>
      </c>
      <c r="AE282" s="8"/>
      <c r="AF282" s="7">
        <f>AC282+'A -Döviz'!AF282</f>
        <v>827051.41073734651</v>
      </c>
      <c r="AG282" s="7">
        <f>AD282+'A -Döviz'!AG282</f>
        <v>1166323.5434146402</v>
      </c>
      <c r="AH282" s="8"/>
      <c r="AI282" s="7">
        <f>AF282+'A -Döviz'!AI282</f>
        <v>892906.30606099044</v>
      </c>
      <c r="AJ282" s="7">
        <f>AG282+'A -Döviz'!AJ282</f>
        <v>1166323.5434146402</v>
      </c>
      <c r="AK282" s="8"/>
      <c r="AL282" s="21">
        <f t="shared" si="178"/>
        <v>474398.29213136912</v>
      </c>
      <c r="AM282" s="22">
        <f t="shared" si="179"/>
        <v>0.68562072456747591</v>
      </c>
      <c r="AO282" s="44">
        <f t="shared" si="180"/>
        <v>691925.25128327112</v>
      </c>
      <c r="AP282" s="44">
        <f t="shared" si="180"/>
        <v>1166323.5434146402</v>
      </c>
      <c r="AR282" s="94">
        <f t="shared" si="183"/>
        <v>220788.96163779404</v>
      </c>
      <c r="AS282" s="94">
        <f t="shared" si="183"/>
        <v>437207.43289357354</v>
      </c>
      <c r="AT282" s="94">
        <f t="shared" si="182"/>
        <v>216418.4712557795</v>
      </c>
    </row>
    <row r="283" spans="1:50" ht="15.5">
      <c r="A283" s="26" t="s">
        <v>15</v>
      </c>
      <c r="B283" s="7">
        <f>'A -Döviz'!B283</f>
        <v>274833.33333300002</v>
      </c>
      <c r="C283" s="7">
        <f>'A -Döviz'!C283</f>
        <v>126976.17</v>
      </c>
      <c r="D283" s="7"/>
      <c r="E283" s="7">
        <f>B283+'A -Döviz'!E283</f>
        <v>549666.66666700004</v>
      </c>
      <c r="F283" s="7">
        <f>C283+'A -Döviz'!F283</f>
        <v>172048.43817099999</v>
      </c>
      <c r="G283" s="7"/>
      <c r="H283" s="7">
        <f>E283+'A -Döviz'!H283</f>
        <v>824500</v>
      </c>
      <c r="I283" s="7">
        <f>F283+'A -Döviz'!I283</f>
        <v>197472.81877000001</v>
      </c>
      <c r="J283" s="7"/>
      <c r="K283" s="7">
        <f>H283+'A -Döviz'!K283</f>
        <v>1099333.3333330001</v>
      </c>
      <c r="L283" s="7">
        <f>I283+'A -Döviz'!L283</f>
        <v>445895.97249199997</v>
      </c>
      <c r="M283" s="7"/>
      <c r="N283" s="7">
        <f>K283+'A -Döviz'!N283</f>
        <v>1374166.6666669999</v>
      </c>
      <c r="O283" s="7">
        <f>L283+'A -Döviz'!O283</f>
        <v>714505.76649099996</v>
      </c>
      <c r="P283" s="7"/>
      <c r="Q283" s="7">
        <f>N283+'A -Döviz'!Q283</f>
        <v>1649000</v>
      </c>
      <c r="R283" s="7">
        <f>O283+'A -Döviz'!R283</f>
        <v>911291.86542499997</v>
      </c>
      <c r="S283" s="7"/>
      <c r="T283" s="7">
        <f>Q283+'A -Döviz'!T283</f>
        <v>1923833.3333330001</v>
      </c>
      <c r="U283" s="7">
        <f>R283+'A -Döviz'!U283</f>
        <v>816213.85061099997</v>
      </c>
      <c r="V283" s="7"/>
      <c r="W283" s="7">
        <f>T283+'A -Döviz'!W283</f>
        <v>2198666.6666669999</v>
      </c>
      <c r="X283" s="7">
        <f>U283+'A -Döviz'!X283</f>
        <v>2127175.58</v>
      </c>
      <c r="Y283" s="7"/>
      <c r="Z283" s="7">
        <f>W283+'A -Döviz'!Z283</f>
        <v>2473500</v>
      </c>
      <c r="AA283" s="7">
        <f>X283+'A -Döviz'!AA283</f>
        <v>2422582.4</v>
      </c>
      <c r="AB283" s="7"/>
      <c r="AC283" s="7">
        <f>Z283+'A -Döviz'!AC283</f>
        <v>2748333.3333330001</v>
      </c>
      <c r="AD283" s="7">
        <f>AA283+'A -Döviz'!AD283</f>
        <v>2422582.4</v>
      </c>
      <c r="AE283" s="7"/>
      <c r="AF283" s="7">
        <f>AC283+'A -Döviz'!AF283</f>
        <v>3023166.6666669999</v>
      </c>
      <c r="AG283" s="7">
        <f>AD283+'A -Döviz'!AG283</f>
        <v>2422582.4</v>
      </c>
      <c r="AH283" s="7"/>
      <c r="AI283" s="7">
        <f>AF283+'A -Döviz'!AI283</f>
        <v>3298000</v>
      </c>
      <c r="AJ283" s="7">
        <f>AG283+'A -Döviz'!AJ283</f>
        <v>2422582.4</v>
      </c>
      <c r="AK283" s="7"/>
      <c r="AL283" s="21">
        <f t="shared" si="178"/>
        <v>-50917.600000000093</v>
      </c>
      <c r="AM283" s="22">
        <f t="shared" si="179"/>
        <v>-2.0585243581968893E-2</v>
      </c>
      <c r="AO283" s="44">
        <f t="shared" si="180"/>
        <v>2473500</v>
      </c>
      <c r="AP283" s="44">
        <f t="shared" si="180"/>
        <v>2422582.4</v>
      </c>
      <c r="AR283" s="94">
        <f t="shared" si="183"/>
        <v>769533.33333320008</v>
      </c>
      <c r="AS283" s="94">
        <f t="shared" si="183"/>
        <v>326485.54024440004</v>
      </c>
      <c r="AT283" s="94">
        <f t="shared" si="182"/>
        <v>-443047.79308880004</v>
      </c>
    </row>
    <row r="284" spans="1:50" s="1" customFormat="1" ht="15.5">
      <c r="A284" s="26" t="s">
        <v>16</v>
      </c>
      <c r="B284" s="7">
        <f>'A -Döviz'!B284</f>
        <v>30000</v>
      </c>
      <c r="C284" s="7">
        <f>'A -Döviz'!C284</f>
        <v>9435.4500000000007</v>
      </c>
      <c r="D284" s="8"/>
      <c r="E284" s="7">
        <f>B284+'A -Döviz'!E284</f>
        <v>296000</v>
      </c>
      <c r="F284" s="7">
        <f>C284+'A -Döviz'!F284</f>
        <v>29807.4</v>
      </c>
      <c r="G284" s="8"/>
      <c r="H284" s="7">
        <f>E284+'A -Döviz'!H284</f>
        <v>761000</v>
      </c>
      <c r="I284" s="7">
        <f>F284+'A -Döviz'!I284</f>
        <v>35239.365532000003</v>
      </c>
      <c r="J284" s="8"/>
      <c r="K284" s="7">
        <f>H284+'A -Döviz'!K284</f>
        <v>1022000</v>
      </c>
      <c r="L284" s="7">
        <f>I284+'A -Döviz'!L284</f>
        <v>3247404.4246729999</v>
      </c>
      <c r="M284" s="8"/>
      <c r="N284" s="7">
        <f>K284+'A -Döviz'!N284</f>
        <v>1308000</v>
      </c>
      <c r="O284" s="7">
        <f>L284+'A -Döviz'!O284</f>
        <v>4745607.2166250004</v>
      </c>
      <c r="P284" s="8"/>
      <c r="Q284" s="7">
        <f>N284+'A -Döviz'!Q284</f>
        <v>1987000</v>
      </c>
      <c r="R284" s="7">
        <f>O284+'A -Döviz'!R284</f>
        <v>5205266.6616249997</v>
      </c>
      <c r="S284" s="8"/>
      <c r="T284" s="7">
        <f>Q284+'A -Döviz'!T284</f>
        <v>2038000</v>
      </c>
      <c r="U284" s="7">
        <f>R284+'A -Döviz'!U284</f>
        <v>637077.92738999985</v>
      </c>
      <c r="V284" s="8"/>
      <c r="W284" s="7">
        <f>T284+'A -Döviz'!W284</f>
        <v>2477000</v>
      </c>
      <c r="X284" s="7">
        <f>U284+'A -Döviz'!X284</f>
        <v>790411.20276599983</v>
      </c>
      <c r="Y284" s="8"/>
      <c r="Z284" s="7">
        <f>W284+'A -Döviz'!Z284</f>
        <v>2828000</v>
      </c>
      <c r="AA284" s="7">
        <f>X284+'A -Döviz'!AA284</f>
        <v>1040411.2027659998</v>
      </c>
      <c r="AB284" s="8"/>
      <c r="AC284" s="7">
        <f>Z284+'A -Döviz'!AC284</f>
        <v>3005000</v>
      </c>
      <c r="AD284" s="7">
        <f>AA284+'A -Döviz'!AD284</f>
        <v>1040411.2027659998</v>
      </c>
      <c r="AE284" s="8"/>
      <c r="AF284" s="7">
        <f>AC284+'A -Döviz'!AF284</f>
        <v>3061000</v>
      </c>
      <c r="AG284" s="7">
        <f>AD284+'A -Döviz'!AG284</f>
        <v>1040411.2027659998</v>
      </c>
      <c r="AH284" s="8"/>
      <c r="AI284" s="7">
        <f>AF284+'A -Döviz'!AI284</f>
        <v>3087000</v>
      </c>
      <c r="AJ284" s="7">
        <f>AG284+'A -Döviz'!AJ284</f>
        <v>1040411.2027659998</v>
      </c>
      <c r="AK284" s="8"/>
      <c r="AL284" s="21">
        <f t="shared" si="178"/>
        <v>-1787588.7972340002</v>
      </c>
      <c r="AM284" s="22">
        <f t="shared" si="179"/>
        <v>-0.6321035350898162</v>
      </c>
      <c r="AO284" s="44">
        <f t="shared" si="180"/>
        <v>2828000</v>
      </c>
      <c r="AP284" s="44">
        <f t="shared" si="180"/>
        <v>1040411.2027659998</v>
      </c>
      <c r="AR284" s="94">
        <f t="shared" si="183"/>
        <v>815200</v>
      </c>
      <c r="AS284" s="94">
        <f t="shared" si="183"/>
        <v>254831.17095599996</v>
      </c>
      <c r="AT284" s="94">
        <f t="shared" si="182"/>
        <v>-560368.82904400001</v>
      </c>
    </row>
    <row r="285" spans="1:50" s="1" customFormat="1" ht="15.5">
      <c r="A285" s="26" t="s">
        <v>17</v>
      </c>
      <c r="B285" s="7">
        <f>'A -Döviz'!B285</f>
        <v>335000</v>
      </c>
      <c r="C285" s="7">
        <f>'A -Döviz'!C285</f>
        <v>101850.57</v>
      </c>
      <c r="D285" s="8"/>
      <c r="E285" s="7">
        <f>B285+'A -Döviz'!E285</f>
        <v>635500</v>
      </c>
      <c r="F285" s="7">
        <f>C285+'A -Döviz'!F285</f>
        <v>170382.02</v>
      </c>
      <c r="G285" s="8"/>
      <c r="H285" s="7">
        <f>E285+'A -Döviz'!H285</f>
        <v>978500</v>
      </c>
      <c r="I285" s="7">
        <f>F285+'A -Döviz'!I285</f>
        <v>325890.19</v>
      </c>
      <c r="J285" s="8"/>
      <c r="K285" s="7">
        <f>H285+'A -Döviz'!K285</f>
        <v>1116500</v>
      </c>
      <c r="L285" s="7">
        <f>I285+'A -Döviz'!L285</f>
        <v>1147025.0100000002</v>
      </c>
      <c r="M285" s="8"/>
      <c r="N285" s="7">
        <f>K285+'A -Döviz'!N285</f>
        <v>1454500</v>
      </c>
      <c r="O285" s="7">
        <f>L285+'A -Döviz'!O285</f>
        <v>1403713.1100000003</v>
      </c>
      <c r="P285" s="8"/>
      <c r="Q285" s="7">
        <f>N285+'A -Döviz'!Q285</f>
        <v>1662500</v>
      </c>
      <c r="R285" s="7">
        <f>O285+'A -Döviz'!R285</f>
        <v>1508479.5200000003</v>
      </c>
      <c r="S285" s="8"/>
      <c r="T285" s="7">
        <f>Q285+'A -Döviz'!T285</f>
        <v>2200500</v>
      </c>
      <c r="U285" s="7">
        <f>R285+'A -Döviz'!U285</f>
        <v>1633679.3892770002</v>
      </c>
      <c r="V285" s="8"/>
      <c r="W285" s="7">
        <f>T285+'A -Döviz'!W285</f>
        <v>2546400</v>
      </c>
      <c r="X285" s="7">
        <f>U285+'A -Döviz'!X285</f>
        <v>1926293.8042780003</v>
      </c>
      <c r="Y285" s="8"/>
      <c r="Z285" s="7">
        <f>W285+'A -Döviz'!Z285</f>
        <v>2972300</v>
      </c>
      <c r="AA285" s="7">
        <f>X285+'A -Döviz'!AA285</f>
        <v>2121576.560757</v>
      </c>
      <c r="AB285" s="8"/>
      <c r="AC285" s="7">
        <f>Z285+'A -Döviz'!AC285</f>
        <v>3296200</v>
      </c>
      <c r="AD285" s="7">
        <f>AA285+'A -Döviz'!AD285</f>
        <v>2121576.560757</v>
      </c>
      <c r="AE285" s="8"/>
      <c r="AF285" s="7">
        <f>AC285+'A -Döviz'!AF285</f>
        <v>3480100</v>
      </c>
      <c r="AG285" s="7">
        <f>AD285+'A -Döviz'!AG285</f>
        <v>2121576.560757</v>
      </c>
      <c r="AH285" s="8"/>
      <c r="AI285" s="7">
        <f>AF285+'A -Döviz'!AI285</f>
        <v>3740000</v>
      </c>
      <c r="AJ285" s="7">
        <f>AG285+'A -Döviz'!AJ285</f>
        <v>2121576.560757</v>
      </c>
      <c r="AK285" s="8"/>
      <c r="AL285" s="21">
        <f t="shared" si="178"/>
        <v>-850723.439243</v>
      </c>
      <c r="AM285" s="22">
        <f t="shared" si="179"/>
        <v>-0.2862172187339771</v>
      </c>
      <c r="AO285" s="44">
        <f t="shared" si="180"/>
        <v>2972300</v>
      </c>
      <c r="AP285" s="44">
        <f t="shared" si="180"/>
        <v>2121576.560757</v>
      </c>
      <c r="AR285" s="94">
        <f t="shared" si="183"/>
        <v>880200</v>
      </c>
      <c r="AS285" s="94">
        <f t="shared" si="183"/>
        <v>653471.75571080018</v>
      </c>
      <c r="AT285" s="94">
        <f t="shared" si="182"/>
        <v>-226728.24428919982</v>
      </c>
    </row>
    <row r="286" spans="1:50" s="1" customFormat="1" ht="15.5">
      <c r="A286" s="26"/>
      <c r="B286" s="7"/>
      <c r="C286" s="8"/>
      <c r="D286" s="8"/>
      <c r="E286" s="7"/>
      <c r="F286" s="8"/>
      <c r="G286" s="8"/>
      <c r="H286" s="7"/>
      <c r="I286" s="8"/>
      <c r="J286" s="8"/>
      <c r="K286" s="7"/>
      <c r="L286" s="8"/>
      <c r="M286" s="8"/>
      <c r="N286" s="7"/>
      <c r="O286" s="8"/>
      <c r="P286" s="8"/>
      <c r="Q286" s="7"/>
      <c r="R286" s="8"/>
      <c r="S286" s="8"/>
      <c r="T286" s="7"/>
      <c r="U286" s="8"/>
      <c r="V286" s="8"/>
      <c r="W286" s="7"/>
      <c r="X286" s="8"/>
      <c r="Y286" s="8"/>
      <c r="Z286" s="7"/>
      <c r="AA286" s="8"/>
      <c r="AB286" s="8"/>
      <c r="AC286" s="7"/>
      <c r="AD286" s="8"/>
      <c r="AE286" s="8"/>
      <c r="AF286" s="7"/>
      <c r="AG286" s="8"/>
      <c r="AH286" s="8"/>
      <c r="AI286" s="7"/>
      <c r="AJ286" s="8"/>
      <c r="AK286" s="8"/>
      <c r="AL286" s="15"/>
      <c r="AM286" s="16"/>
      <c r="AO286" s="44"/>
      <c r="AP286" s="44"/>
    </row>
    <row r="287" spans="1:50" s="1" customFormat="1" ht="15.5">
      <c r="A287" s="26"/>
      <c r="B287" s="7"/>
      <c r="C287" s="8"/>
      <c r="D287" s="8"/>
      <c r="E287" s="7"/>
      <c r="F287" s="8"/>
      <c r="G287" s="8"/>
      <c r="H287" s="7"/>
      <c r="I287" s="8"/>
      <c r="J287" s="8"/>
      <c r="K287" s="7"/>
      <c r="L287" s="8"/>
      <c r="M287" s="8"/>
      <c r="N287" s="7"/>
      <c r="O287" s="8"/>
      <c r="P287" s="8"/>
      <c r="R287" s="8"/>
      <c r="S287" s="8"/>
      <c r="T287" s="7"/>
      <c r="U287" s="8"/>
      <c r="V287" s="8"/>
      <c r="W287" s="7"/>
      <c r="X287" s="8"/>
      <c r="Y287" s="8"/>
      <c r="Z287" s="7"/>
      <c r="AA287" s="8"/>
      <c r="AB287" s="8"/>
      <c r="AC287" s="7"/>
      <c r="AD287" s="8"/>
      <c r="AE287" s="8"/>
      <c r="AF287" s="7"/>
      <c r="AG287" s="8"/>
      <c r="AH287" s="8"/>
      <c r="AI287" s="7"/>
      <c r="AJ287" s="8"/>
      <c r="AK287" s="8"/>
      <c r="AL287" s="15"/>
      <c r="AM287" s="16"/>
      <c r="AO287" s="44"/>
      <c r="AP287" s="44"/>
    </row>
    <row r="288" spans="1:50" s="44" customFormat="1" ht="21">
      <c r="A288" s="31" t="s">
        <v>19</v>
      </c>
      <c r="B288" s="32">
        <f>'A -Döviz'!B288</f>
        <v>-3809780.3382335203</v>
      </c>
      <c r="C288" s="32">
        <f>'A -Döviz'!C288</f>
        <v>-2420699.2818680145</v>
      </c>
      <c r="D288" s="18"/>
      <c r="E288" s="32">
        <f>B288+'A -Döviz'!E288</f>
        <v>-2242790.7644393072</v>
      </c>
      <c r="F288" s="32">
        <f>C288+'A -Döviz'!F288</f>
        <v>-4207905.3343839468</v>
      </c>
      <c r="G288" s="18"/>
      <c r="H288" s="32">
        <f>E288+'A -Döviz'!H288</f>
        <v>5998850.0727517577</v>
      </c>
      <c r="I288" s="32">
        <f>F288+'A -Döviz'!I288</f>
        <v>2982672.1345715337</v>
      </c>
      <c r="J288" s="18"/>
      <c r="K288" s="32">
        <f>H288+'A -Döviz'!K288</f>
        <v>4960497.2424176624</v>
      </c>
      <c r="L288" s="32">
        <f>I288+'A -Döviz'!L288</f>
        <v>-4299687.3070171755</v>
      </c>
      <c r="M288" s="18"/>
      <c r="N288" s="32">
        <f>K288+'A -Döviz'!N288</f>
        <v>9683025.5053552594</v>
      </c>
      <c r="O288" s="32">
        <f>L288+'A -Döviz'!O288</f>
        <v>-7481300.6583846826</v>
      </c>
      <c r="P288" s="18"/>
      <c r="Q288" s="32">
        <f>N288+'A -Döviz'!Q288</f>
        <v>16450851.223629462</v>
      </c>
      <c r="R288" s="32">
        <f>O288+'A -Döviz'!R288</f>
        <v>4133309.9123634379</v>
      </c>
      <c r="S288" s="18"/>
      <c r="T288" s="32">
        <f>Q288+'A -Döviz'!T288</f>
        <v>15636999.158906922</v>
      </c>
      <c r="U288" s="32">
        <f>R288+'A -Döviz'!U288</f>
        <v>13387644.322027065</v>
      </c>
      <c r="V288" s="18"/>
      <c r="W288" s="32">
        <f>T288+'A -Döviz'!W288</f>
        <v>20374255.294155143</v>
      </c>
      <c r="X288" s="32">
        <f>U288+'A -Döviz'!X288</f>
        <v>16462341.365895649</v>
      </c>
      <c r="Y288" s="18"/>
      <c r="Z288" s="32">
        <f>W288+'A -Döviz'!Z288</f>
        <v>27106607.326851245</v>
      </c>
      <c r="AA288" s="32">
        <f>X288+'A -Döviz'!AA288</f>
        <v>20538189.691964827</v>
      </c>
      <c r="AB288" s="18"/>
      <c r="AC288" s="32">
        <f>Z288+'A -Döviz'!AC288</f>
        <v>27021636.758514177</v>
      </c>
      <c r="AD288" s="32">
        <f>AA288+'A -Döviz'!AD288</f>
        <v>20538189.691964827</v>
      </c>
      <c r="AE288" s="18"/>
      <c r="AF288" s="32">
        <f>AC288+'A -Döviz'!AF288</f>
        <v>33987201.114628509</v>
      </c>
      <c r="AG288" s="32">
        <f>AD288+'A -Döviz'!AG288</f>
        <v>20538189.691964827</v>
      </c>
      <c r="AH288" s="18"/>
      <c r="AI288" s="32">
        <f>AF288+'A -Döviz'!AI288</f>
        <v>40926965.045080028</v>
      </c>
      <c r="AJ288" s="32">
        <f>AG288+'A -Döviz'!AJ288</f>
        <v>20538189.691964827</v>
      </c>
      <c r="AK288" s="18"/>
      <c r="AL288" s="33">
        <f>AP288-AO288</f>
        <v>-6568417.6348864175</v>
      </c>
      <c r="AM288" s="34">
        <f>AP288/AO288-1</f>
        <v>-0.24231795427898783</v>
      </c>
      <c r="AO288" s="44">
        <f>IF($A$1=$B$1,B288,IF($A$1=$E$1,E288,IF($A$1=$H$1,H288,IF($A$1=$K$1,K288,IF($A$1=$N$1,N288,IF($A$1=$Q$1,Q288,IF($A$1=$T$1,T288,IF($A$1=$W$1,W288,IF($A$1=$Z$1,Z288,IF($A$1=$AC$1,AC288,IF($A$1=$AF$1,AF288,IF($A$1=$AI$1,AI288))))))))))))</f>
        <v>27106607.326851245</v>
      </c>
      <c r="AP288" s="44">
        <f>IF($A$1=$B$1,C288,IF($A$1=$E$1,F288,IF($A$1=$H$1,I288,IF($A$1=$K$1,L288,IF($A$1=$N$1,O288,IF($A$1=$Q$1,R288,IF($A$1=$T$1,U288,IF($A$1=$W$1,X288,IF($A$1=$Z$1,AA288,IF($A$1=$AC$1,AD288,IF($A$1=$AF$1,AG288,IF($A$1=$AI$1,AJ288))))))))))))</f>
        <v>20538189.691964827</v>
      </c>
      <c r="AR288" s="44">
        <f>Q288/1000000</f>
        <v>16.45085122362946</v>
      </c>
      <c r="AS288" s="44">
        <f>R288/1000000</f>
        <v>4.1333099123634378</v>
      </c>
      <c r="AV288" s="131">
        <f>+AC288/1000000</f>
        <v>27.021636758514177</v>
      </c>
      <c r="AW288" s="128">
        <f>AI288/1000000</f>
        <v>40.926965045080031</v>
      </c>
      <c r="AX288" s="126">
        <f>AM288</f>
        <v>-0.24231795427898783</v>
      </c>
    </row>
    <row r="289" spans="1:50" s="13" customFormat="1" ht="15.5">
      <c r="A289" s="27"/>
      <c r="B289" s="30"/>
      <c r="C289" s="30"/>
      <c r="D289" s="41"/>
      <c r="E289" s="30"/>
      <c r="F289" s="30"/>
      <c r="G289" s="41"/>
      <c r="H289" s="30"/>
      <c r="I289" s="30"/>
      <c r="J289" s="41"/>
      <c r="K289" s="30"/>
      <c r="L289" s="30"/>
      <c r="M289" s="41"/>
      <c r="N289" s="30"/>
      <c r="O289" s="30"/>
      <c r="P289" s="41"/>
      <c r="Q289" s="125">
        <f>Q288/1000000</f>
        <v>16.45085122362946</v>
      </c>
      <c r="R289" s="30"/>
      <c r="S289" s="41"/>
      <c r="T289" s="30"/>
      <c r="U289" s="95">
        <f>U288/1000000</f>
        <v>13.387644322027064</v>
      </c>
      <c r="V289" s="41"/>
      <c r="W289" s="30"/>
      <c r="X289" s="30"/>
      <c r="Y289" s="41"/>
      <c r="Z289" s="30"/>
      <c r="AA289" s="30"/>
      <c r="AB289" s="41"/>
      <c r="AC289" s="30"/>
      <c r="AD289" s="30">
        <f>AD288/AD6</f>
        <v>8.5854705829673375E-2</v>
      </c>
      <c r="AE289" s="41"/>
      <c r="AF289" s="30"/>
      <c r="AG289" s="30"/>
      <c r="AH289" s="41"/>
      <c r="AI289" s="30"/>
      <c r="AJ289" s="30"/>
      <c r="AK289" s="41"/>
      <c r="AL289" s="15"/>
      <c r="AM289" s="22"/>
      <c r="AO289" s="44">
        <f>IF($A$1=$B$1,B289,IF($A$1=$E$1,E289,IF($A$1=$H$1,H289,IF($A$1=$K$1,K289,IF($A$1=$N$1,N289,IF($A$1=$Q$1,Q289,IF($A$1=$T$1,T289,IF($A$1=$W$1,W289,IF($A$1=$Z$1,Z289,IF($A$1=$AC$1,AC289,IF($A$1=$AF$1,AF289,IF($A$1=$AI$1,AI289))))))))))))</f>
        <v>0</v>
      </c>
      <c r="AP289" s="44">
        <f>IF($A$1=$B$1,C289,IF($A$1=$E$1,F289,IF($A$1=$H$1,I289,IF($A$1=$K$1,L289,IF($A$1=$N$1,O289,IF($A$1=$Q$1,R289,IF($A$1=$T$1,U289,IF($A$1=$W$1,X289,IF($A$1=$Z$1,AA289,IF($A$1=$AC$1,AD289,IF($A$1=$AF$1,AG289,IF($A$1=$AI$1,AJ289))))))))))))</f>
        <v>0</v>
      </c>
    </row>
    <row r="290" spans="1:50" s="49" customFormat="1" ht="17">
      <c r="A290" s="47" t="s">
        <v>92</v>
      </c>
      <c r="B290" s="413"/>
      <c r="C290" s="413"/>
      <c r="D290" s="413"/>
      <c r="E290" s="413"/>
      <c r="F290" s="413"/>
      <c r="G290" s="413"/>
      <c r="H290" s="413"/>
      <c r="I290" s="413"/>
      <c r="J290" s="413"/>
      <c r="K290" s="413"/>
      <c r="L290" s="413"/>
      <c r="M290" s="413"/>
      <c r="N290" s="413"/>
      <c r="O290" s="413"/>
      <c r="P290" s="413"/>
      <c r="Q290" s="413"/>
      <c r="R290" s="413"/>
      <c r="S290" s="413"/>
      <c r="T290" s="413"/>
      <c r="U290" s="413"/>
      <c r="V290" s="413"/>
      <c r="W290" s="413"/>
      <c r="X290" s="413"/>
      <c r="Y290" s="413"/>
      <c r="Z290" s="413"/>
      <c r="AA290" s="413"/>
      <c r="AB290" s="413"/>
      <c r="AC290" s="413"/>
      <c r="AD290" s="413"/>
      <c r="AE290" s="413"/>
      <c r="AF290" s="413"/>
      <c r="AG290" s="413"/>
      <c r="AH290" s="413"/>
      <c r="AI290" s="413"/>
      <c r="AJ290" s="413"/>
      <c r="AK290" s="413"/>
      <c r="AL290" s="413"/>
      <c r="AM290" s="48"/>
      <c r="AR290" s="110">
        <f>SUM(AR291:AR298)</f>
        <v>28591634.05393742</v>
      </c>
      <c r="AS290" s="110">
        <f>SUM(AS291:AS298)</f>
        <v>20538189.691964827</v>
      </c>
    </row>
    <row r="291" spans="1:50" ht="15.5">
      <c r="A291" s="26" t="s">
        <v>10</v>
      </c>
      <c r="B291" s="7">
        <f>'A -Döviz'!B291</f>
        <v>285699.2736404764</v>
      </c>
      <c r="C291" s="7">
        <f>'A -Döviz'!C291</f>
        <v>342118.89949938818</v>
      </c>
      <c r="D291" s="7"/>
      <c r="E291" s="7">
        <f>B291+'A -Döviz'!E291</f>
        <v>1281412.7208111961</v>
      </c>
      <c r="F291" s="7">
        <f>C291+'A -Döviz'!F291</f>
        <v>1413074.7839497086</v>
      </c>
      <c r="G291" s="7"/>
      <c r="H291" s="7">
        <f>E291+'A -Döviz'!H291</f>
        <v>1384286.0031916299</v>
      </c>
      <c r="I291" s="7">
        <f>F291+'A -Döviz'!I291</f>
        <v>1151124.9071957106</v>
      </c>
      <c r="J291" s="7"/>
      <c r="K291" s="7">
        <f>H291+'A -Döviz'!K291</f>
        <v>1643548.7315037388</v>
      </c>
      <c r="L291" s="7">
        <f>I291+'A -Döviz'!L291</f>
        <v>-6882160.3569304431</v>
      </c>
      <c r="M291" s="7"/>
      <c r="N291" s="7">
        <f>K291+'A -Döviz'!N291</f>
        <v>2543920.5227254527</v>
      </c>
      <c r="O291" s="7">
        <f>L291+'A -Döviz'!O291</f>
        <v>-6191062.693662825</v>
      </c>
      <c r="P291" s="7"/>
      <c r="Q291" s="7">
        <f>N291+'A -Döviz'!Q291</f>
        <v>1798798.9047561712</v>
      </c>
      <c r="R291" s="7">
        <f>O291+'A -Döviz'!R291</f>
        <v>-5769305.7056488805</v>
      </c>
      <c r="S291" s="7"/>
      <c r="T291" s="7">
        <f>Q291+'A -Döviz'!T291</f>
        <v>2059586.6867075386</v>
      </c>
      <c r="U291" s="7">
        <f>R291+'A -Döviz'!U291</f>
        <v>1897483.0459986757</v>
      </c>
      <c r="V291" s="7"/>
      <c r="W291" s="7">
        <f>T291+'A -Döviz'!W291</f>
        <v>3008507.9881414333</v>
      </c>
      <c r="X291" s="7">
        <f>U291+'A -Döviz'!X291</f>
        <v>2653449.1538889208</v>
      </c>
      <c r="Y291" s="7"/>
      <c r="Z291" s="7">
        <f>W291+'A -Döviz'!Z291</f>
        <v>3163312.6260918789</v>
      </c>
      <c r="AA291" s="7">
        <f>X291+'A -Döviz'!AA291</f>
        <v>2331099.4900877899</v>
      </c>
      <c r="AB291" s="7"/>
      <c r="AC291" s="7">
        <f>Z291+'A -Döviz'!AC291</f>
        <v>3419189.655596592</v>
      </c>
      <c r="AD291" s="7">
        <f>AA291+'A -Döviz'!AD291</f>
        <v>2331099.4900877899</v>
      </c>
      <c r="AE291" s="7"/>
      <c r="AF291" s="7">
        <f>AC291+'A -Döviz'!AF291</f>
        <v>4563119.4353233967</v>
      </c>
      <c r="AG291" s="7">
        <f>AD291+'A -Döviz'!AG291</f>
        <v>2331099.4900877899</v>
      </c>
      <c r="AH291" s="7"/>
      <c r="AI291" s="7">
        <f>AF291+'A -Döviz'!AI291</f>
        <v>3229384.849010895</v>
      </c>
      <c r="AJ291" s="7">
        <f>AG291+'A -Döviz'!AJ291</f>
        <v>2331099.4900877899</v>
      </c>
      <c r="AK291" s="7"/>
      <c r="AL291" s="21">
        <f t="shared" ref="AL291:AL298" si="184">AP291-AO291</f>
        <v>-832213.13600408891</v>
      </c>
      <c r="AM291" s="22">
        <f t="shared" ref="AM291:AM298" si="185">AP291/AO291-1</f>
        <v>-0.263082797804986</v>
      </c>
      <c r="AO291" s="44">
        <f t="shared" ref="AO291:AP298" si="186">IF($A$1=$B$1,B291,IF($A$1=$E$1,E291,IF($A$1=$H$1,H291,IF($A$1=$K$1,K291,IF($A$1=$N$1,N291,IF($A$1=$Q$1,Q291,IF($A$1=$T$1,T291,IF($A$1=$W$1,W291,IF($A$1=$Z$1,Z291,IF($A$1=$AC$1,AC291,IF($A$1=$AF$1,AF291,IF($A$1=$AI$1,AI291))))))))))))</f>
        <v>3163312.6260918789</v>
      </c>
      <c r="AP291" s="44">
        <f t="shared" si="186"/>
        <v>2331099.4900877899</v>
      </c>
      <c r="AR291" s="94">
        <f t="shared" ref="AR291:AS293" si="187">AC291</f>
        <v>3419189.655596592</v>
      </c>
      <c r="AS291" s="94">
        <f t="shared" si="187"/>
        <v>2331099.4900877899</v>
      </c>
      <c r="AT291" s="94">
        <f>AS291-AR291</f>
        <v>-1088090.165508802</v>
      </c>
    </row>
    <row r="292" spans="1:50" ht="15.5">
      <c r="A292" s="26" t="s">
        <v>11</v>
      </c>
      <c r="B292" s="7">
        <f>'A -Döviz'!B292</f>
        <v>-664594.88840917335</v>
      </c>
      <c r="C292" s="7">
        <f>'A -Döviz'!C292</f>
        <v>-276093.95271020074</v>
      </c>
      <c r="D292" s="7"/>
      <c r="E292" s="7">
        <f>B292+'A -Döviz'!E292</f>
        <v>-922633.35876985476</v>
      </c>
      <c r="F292" s="7">
        <f>C292+'A -Döviz'!F292</f>
        <v>-268874.62760194618</v>
      </c>
      <c r="G292" s="7"/>
      <c r="H292" s="7">
        <f>E292+'A -Döviz'!H292</f>
        <v>-1031291.7353754789</v>
      </c>
      <c r="I292" s="7">
        <f>F292+'A -Döviz'!I292</f>
        <v>-74912.446015945054</v>
      </c>
      <c r="J292" s="7"/>
      <c r="K292" s="7">
        <f>H292+'A -Döviz'!K292</f>
        <v>-616656.48865791259</v>
      </c>
      <c r="L292" s="7">
        <f>I292+'A -Döviz'!L292</f>
        <v>-145991.20524747996</v>
      </c>
      <c r="M292" s="7"/>
      <c r="N292" s="7">
        <f>K292+'A -Döviz'!N292</f>
        <v>-440564.94640040625</v>
      </c>
      <c r="O292" s="7">
        <f>L292+'A -Döviz'!O292</f>
        <v>-290751.43271278666</v>
      </c>
      <c r="P292" s="7"/>
      <c r="Q292" s="7">
        <f>N292+'A -Döviz'!Q292</f>
        <v>168738.12082691892</v>
      </c>
      <c r="R292" s="7">
        <f>O292+'A -Döviz'!R292</f>
        <v>-249314.19569648823</v>
      </c>
      <c r="S292" s="7"/>
      <c r="T292" s="7">
        <f>Q292+'A -Döviz'!T292</f>
        <v>579371.47895857948</v>
      </c>
      <c r="U292" s="7">
        <f>R292+'A -Döviz'!U292</f>
        <v>-20733.267762946431</v>
      </c>
      <c r="V292" s="7"/>
      <c r="W292" s="7">
        <f>T292+'A -Döviz'!W292</f>
        <v>856426.54869856429</v>
      </c>
      <c r="X292" s="7">
        <f>U292+'A -Döviz'!X292</f>
        <v>-88114.099259311508</v>
      </c>
      <c r="Y292" s="7"/>
      <c r="Z292" s="7">
        <f>W292+'A -Döviz'!Z292</f>
        <v>1083499.1686772343</v>
      </c>
      <c r="AA292" s="7">
        <f>X292+'A -Döviz'!AA292</f>
        <v>94449.463773359457</v>
      </c>
      <c r="AB292" s="7"/>
      <c r="AC292" s="7">
        <f>Z292+'A -Döviz'!AC292</f>
        <v>1283568.9363102228</v>
      </c>
      <c r="AD292" s="7">
        <f>AA292+'A -Döviz'!AD292</f>
        <v>94449.463773359457</v>
      </c>
      <c r="AE292" s="7"/>
      <c r="AF292" s="7">
        <f>AC292+'A -Döviz'!AF292</f>
        <v>1178553.43153876</v>
      </c>
      <c r="AG292" s="7">
        <f>AD292+'A -Döviz'!AG292</f>
        <v>94449.463773359457</v>
      </c>
      <c r="AH292" s="7"/>
      <c r="AI292" s="7">
        <f>AF292+'A -Döviz'!AI292</f>
        <v>1203317.9337457598</v>
      </c>
      <c r="AJ292" s="7">
        <f>AG292+'A -Döviz'!AJ292</f>
        <v>94449.463773359457</v>
      </c>
      <c r="AK292" s="7"/>
      <c r="AL292" s="21">
        <f t="shared" si="184"/>
        <v>-989049.7049038749</v>
      </c>
      <c r="AM292" s="22">
        <f t="shared" si="185"/>
        <v>-0.91282922358983809</v>
      </c>
      <c r="AO292" s="44">
        <f t="shared" si="186"/>
        <v>1083499.1686772343</v>
      </c>
      <c r="AP292" s="44">
        <f t="shared" si="186"/>
        <v>94449.463773359457</v>
      </c>
      <c r="AR292" s="94">
        <f t="shared" si="187"/>
        <v>1283568.9363102228</v>
      </c>
      <c r="AS292" s="94">
        <f t="shared" si="187"/>
        <v>94449.463773359457</v>
      </c>
      <c r="AT292" s="94">
        <f t="shared" ref="AT292:AT298" si="188">AS292-AR292</f>
        <v>-1189119.4725368633</v>
      </c>
    </row>
    <row r="293" spans="1:50" ht="15.5">
      <c r="A293" s="26" t="s">
        <v>12</v>
      </c>
      <c r="B293" s="7">
        <f>'A -Döviz'!B293</f>
        <v>-554871.04796804884</v>
      </c>
      <c r="C293" s="7">
        <f>'A -Döviz'!C293</f>
        <v>-17760.80919464046</v>
      </c>
      <c r="D293" s="7"/>
      <c r="E293" s="7">
        <f>B293+'A -Döviz'!E293</f>
        <v>-709681.97112224612</v>
      </c>
      <c r="F293" s="7">
        <f>C293+'A -Döviz'!F293</f>
        <v>-136736.59474650113</v>
      </c>
      <c r="G293" s="7"/>
      <c r="H293" s="7">
        <f>E293+'A -Döviz'!H293</f>
        <v>-643502.08052874659</v>
      </c>
      <c r="I293" s="7">
        <f>F293+'A -Döviz'!I293</f>
        <v>355782.86823902623</v>
      </c>
      <c r="J293" s="7"/>
      <c r="K293" s="7">
        <f>H293+'A -Döviz'!K293</f>
        <v>-672976.20484284859</v>
      </c>
      <c r="L293" s="7">
        <f>I293+'A -Döviz'!L293</f>
        <v>-88440.958177312801</v>
      </c>
      <c r="M293" s="7"/>
      <c r="N293" s="7">
        <f>K293+'A -Döviz'!N293</f>
        <v>-695989.61757953861</v>
      </c>
      <c r="O293" s="7">
        <f>L293+'A -Döviz'!O293</f>
        <v>-37549.336403702677</v>
      </c>
      <c r="P293" s="7"/>
      <c r="Q293" s="7">
        <f>N293+'A -Döviz'!Q293</f>
        <v>-517498.17887634714</v>
      </c>
      <c r="R293" s="7">
        <f>O293+'A -Döviz'!R293</f>
        <v>27634.772330219042</v>
      </c>
      <c r="S293" s="7"/>
      <c r="T293" s="7">
        <f>Q293+'A -Döviz'!T293</f>
        <v>-588646.91838857299</v>
      </c>
      <c r="U293" s="7">
        <f>R293+'A -Döviz'!U293</f>
        <v>-252916.12621099537</v>
      </c>
      <c r="V293" s="7"/>
      <c r="W293" s="7">
        <f>T293+'A -Döviz'!W293</f>
        <v>-395960.66157970473</v>
      </c>
      <c r="X293" s="7">
        <f>U293+'A -Döviz'!X293</f>
        <v>64708.295237309649</v>
      </c>
      <c r="Y293" s="7"/>
      <c r="Z293" s="7">
        <f>W293+'A -Döviz'!Z293</f>
        <v>-219882.5365953818</v>
      </c>
      <c r="AA293" s="7">
        <f>X293+'A -Döviz'!AA293</f>
        <v>123074.83963359272</v>
      </c>
      <c r="AB293" s="7"/>
      <c r="AC293" s="7">
        <f>Z293+'A -Döviz'!AC293</f>
        <v>-427070.73710303259</v>
      </c>
      <c r="AD293" s="7">
        <f>AA293+'A -Döviz'!AD293</f>
        <v>123074.83963359272</v>
      </c>
      <c r="AE293" s="7"/>
      <c r="AF293" s="7">
        <f>AC293+'A -Döviz'!AF293</f>
        <v>-361741.37482806377</v>
      </c>
      <c r="AG293" s="7">
        <f>AD293+'A -Döviz'!AG293</f>
        <v>123074.83963359272</v>
      </c>
      <c r="AH293" s="7"/>
      <c r="AI293" s="7">
        <f>AF293+'A -Döviz'!AI293</f>
        <v>-314950.47293846705</v>
      </c>
      <c r="AJ293" s="7">
        <f>AG293+'A -Döviz'!AJ293</f>
        <v>123074.83963359272</v>
      </c>
      <c r="AK293" s="7">
        <v>-12557.921294161</v>
      </c>
      <c r="AL293" s="90">
        <f t="shared" si="184"/>
        <v>342957.37622897455</v>
      </c>
      <c r="AM293" s="22">
        <f t="shared" si="185"/>
        <v>-1.5597299428106455</v>
      </c>
      <c r="AO293" s="44">
        <f t="shared" si="186"/>
        <v>-219882.5365953818</v>
      </c>
      <c r="AP293" s="44">
        <f t="shared" si="186"/>
        <v>123074.83963359272</v>
      </c>
      <c r="AQ293" s="9">
        <f>AG293-AF293</f>
        <v>484816.21446165652</v>
      </c>
      <c r="AR293" s="94">
        <f t="shared" si="187"/>
        <v>-427070.73710303259</v>
      </c>
      <c r="AS293" s="94">
        <f t="shared" si="187"/>
        <v>123074.83963359272</v>
      </c>
      <c r="AT293" s="94">
        <f t="shared" si="188"/>
        <v>550145.57673662528</v>
      </c>
    </row>
    <row r="294" spans="1:50" ht="21">
      <c r="A294" s="26" t="s">
        <v>13</v>
      </c>
      <c r="B294" s="7">
        <f>'A -Döviz'!B294</f>
        <v>-3810637.8477682825</v>
      </c>
      <c r="C294" s="7">
        <f>'A -Döviz'!C294</f>
        <v>-3437595.3209682051</v>
      </c>
      <c r="D294" s="7"/>
      <c r="E294" s="7">
        <f>B294+'A -Döviz'!E294</f>
        <v>-1965387.4467990657</v>
      </c>
      <c r="F294" s="7">
        <f>C294+'A -Döviz'!F294</f>
        <v>-8005498.3104056977</v>
      </c>
      <c r="G294" s="7"/>
      <c r="H294" s="7">
        <f>E294+'A -Döviz'!H294</f>
        <v>132014.76041453122</v>
      </c>
      <c r="I294" s="7">
        <f>F294+'A -Döviz'!I294</f>
        <v>-4349120.552979622</v>
      </c>
      <c r="J294" s="7"/>
      <c r="K294" s="7">
        <f>H294+'A -Döviz'!K294</f>
        <v>2740852.71690246</v>
      </c>
      <c r="L294" s="7">
        <f>I294+'A -Döviz'!L294</f>
        <v>-535821.05434326967</v>
      </c>
      <c r="M294" s="7"/>
      <c r="N294" s="7">
        <f>K294+'A -Döviz'!N294</f>
        <v>5374755.5903239949</v>
      </c>
      <c r="O294" s="7">
        <f>L294+'A -Döviz'!O294</f>
        <v>-8435994.7264299653</v>
      </c>
      <c r="P294" s="7"/>
      <c r="Q294" s="7">
        <f>N294+'A -Döviz'!Q294</f>
        <v>7275353.9846697897</v>
      </c>
      <c r="R294" s="7">
        <f>O294+'A -Döviz'!R294</f>
        <v>-310371.81400353089</v>
      </c>
      <c r="S294" s="7"/>
      <c r="T294" s="7">
        <f>Q294+'A -Döviz'!T294</f>
        <v>4915159.8238081224</v>
      </c>
      <c r="U294" s="7">
        <f>R294+'A -Döviz'!U294</f>
        <v>-1812658.6245977553</v>
      </c>
      <c r="V294" s="7"/>
      <c r="W294" s="7">
        <f>T294+'A -Döviz'!W294</f>
        <v>8630059.4601127747</v>
      </c>
      <c r="X294" s="7">
        <f>U294+'A -Döviz'!X294</f>
        <v>-560110.89043865935</v>
      </c>
      <c r="Y294" s="7"/>
      <c r="Z294" s="7">
        <f>W294+'A -Döviz'!Z294</f>
        <v>8900684.2097466514</v>
      </c>
      <c r="AA294" s="7">
        <f>X294+'A -Döviz'!AA294</f>
        <v>2616400.3557719542</v>
      </c>
      <c r="AB294" s="7"/>
      <c r="AC294" s="7">
        <f>Z294+'A -Döviz'!AC294</f>
        <v>13060842.162553817</v>
      </c>
      <c r="AD294" s="7">
        <f>AA294+'A -Döviz'!AD294</f>
        <v>2616400.3557719542</v>
      </c>
      <c r="AE294" s="7"/>
      <c r="AF294" s="7">
        <f>AC294+'A -Döviz'!AF294</f>
        <v>16985835.401111938</v>
      </c>
      <c r="AG294" s="7">
        <f>AD294+'A -Döviz'!AG294</f>
        <v>2616400.3557719542</v>
      </c>
      <c r="AH294" s="7"/>
      <c r="AI294" s="7">
        <f>AF294+'A -Döviz'!AI294</f>
        <v>21305733.359923005</v>
      </c>
      <c r="AJ294" s="7">
        <f>AG294+'A -Döviz'!AJ294</f>
        <v>2616400.3557719542</v>
      </c>
      <c r="AK294" s="7"/>
      <c r="AL294" s="21">
        <f t="shared" si="184"/>
        <v>-6284283.8539746972</v>
      </c>
      <c r="AM294" s="22">
        <f t="shared" si="185"/>
        <v>-0.70604503045879574</v>
      </c>
      <c r="AN294" s="129">
        <f>AL294*0.4</f>
        <v>-2513713.541589879</v>
      </c>
      <c r="AO294" s="44">
        <f t="shared" si="186"/>
        <v>8900684.2097466514</v>
      </c>
      <c r="AP294" s="44">
        <f t="shared" si="186"/>
        <v>2616400.3557719542</v>
      </c>
      <c r="AR294" s="94">
        <f>AF294*0.4</f>
        <v>6794334.1604447756</v>
      </c>
      <c r="AS294" s="94">
        <f>AG294*0.4</f>
        <v>1046560.1423087817</v>
      </c>
      <c r="AT294" s="94">
        <f t="shared" si="188"/>
        <v>-5747774.0181359937</v>
      </c>
      <c r="AV294" s="128">
        <f>AN294/1000000</f>
        <v>-2.5137135415898788</v>
      </c>
      <c r="AW294" s="128">
        <f>AT294/1000000</f>
        <v>-5.7477740181359938</v>
      </c>
    </row>
    <row r="295" spans="1:50" s="1" customFormat="1" ht="15.5">
      <c r="A295" s="26" t="s">
        <v>14</v>
      </c>
      <c r="B295" s="7">
        <f>'A -Döviz'!B295</f>
        <v>1442974.5930446924</v>
      </c>
      <c r="C295" s="7">
        <f>'A -Döviz'!C295</f>
        <v>334452.51804979035</v>
      </c>
      <c r="D295" s="8"/>
      <c r="E295" s="7">
        <f>B295+'A -Döviz'!E295</f>
        <v>1925764.8930325415</v>
      </c>
      <c r="F295" s="7">
        <f>C295+'A -Döviz'!F295</f>
        <v>392968.88044267613</v>
      </c>
      <c r="G295" s="8"/>
      <c r="H295" s="7">
        <f>E295+'A -Döviz'!H295</f>
        <v>2269501.1143042417</v>
      </c>
      <c r="I295" s="7">
        <f>F295+'A -Döviz'!I295</f>
        <v>2640745.3658614834</v>
      </c>
      <c r="J295" s="8"/>
      <c r="K295" s="7">
        <f>H295+'A -Döviz'!K295</f>
        <v>2061380.8088861636</v>
      </c>
      <c r="L295" s="7">
        <f>I295+'A -Döviz'!L295</f>
        <v>3434993.0676884265</v>
      </c>
      <c r="M295" s="8"/>
      <c r="N295" s="7">
        <f>K295+'A -Döviz'!N295</f>
        <v>2185792.5114275701</v>
      </c>
      <c r="O295" s="7">
        <f>L295+'A -Döviz'!O295</f>
        <v>2719991.8874165332</v>
      </c>
      <c r="P295" s="8"/>
      <c r="Q295" s="7">
        <f>N295+'A -Döviz'!Q295</f>
        <v>3133482.5932875481</v>
      </c>
      <c r="R295" s="7">
        <f>O295+'A -Döviz'!R295</f>
        <v>3618942.7787310025</v>
      </c>
      <c r="S295" s="8"/>
      <c r="T295" s="7">
        <f>Q295+'A -Döviz'!T295</f>
        <v>2768060.0524144256</v>
      </c>
      <c r="U295" s="7">
        <f>R295+'A -Döviz'!U295</f>
        <v>4953635.3496036036</v>
      </c>
      <c r="V295" s="8"/>
      <c r="W295" s="7">
        <f>T295+'A -Döviz'!W295</f>
        <v>3511680.5966808107</v>
      </c>
      <c r="X295" s="7">
        <f>U295+'A -Döviz'!X295</f>
        <v>5262721.2805104721</v>
      </c>
      <c r="Y295" s="8"/>
      <c r="Z295" s="7">
        <f>W295+'A -Döviz'!Z295</f>
        <v>4024711.3058513142</v>
      </c>
      <c r="AA295" s="7">
        <f>X295+'A -Döviz'!AA295</f>
        <v>5080074.7104032403</v>
      </c>
      <c r="AB295" s="8"/>
      <c r="AC295" s="7">
        <f>Z295+'A -Döviz'!AC295</f>
        <v>3672014.115806649</v>
      </c>
      <c r="AD295" s="7">
        <f>AA295+'A -Döviz'!AD295</f>
        <v>5080074.7104032403</v>
      </c>
      <c r="AE295" s="8"/>
      <c r="AF295" s="7">
        <f>AC295+'A -Döviz'!AF295</f>
        <v>4915418.7764525823</v>
      </c>
      <c r="AG295" s="7">
        <f>AD295+'A -Döviz'!AG295</f>
        <v>5080074.7104032403</v>
      </c>
      <c r="AH295" s="8"/>
      <c r="AI295" s="7">
        <f>AF295+'A -Döviz'!AI295</f>
        <v>5475114.9001935665</v>
      </c>
      <c r="AJ295" s="7">
        <f>AG295+'A -Döviz'!AJ295</f>
        <v>5080074.7104032403</v>
      </c>
      <c r="AK295" s="8"/>
      <c r="AL295" s="21">
        <f t="shared" si="184"/>
        <v>1055363.4045519261</v>
      </c>
      <c r="AM295" s="22">
        <f t="shared" si="185"/>
        <v>0.262220895947888</v>
      </c>
      <c r="AN295" s="1">
        <f>AL295*0.4</f>
        <v>422145.36182077043</v>
      </c>
      <c r="AO295" s="44">
        <f t="shared" si="186"/>
        <v>4024711.3058513142</v>
      </c>
      <c r="AP295" s="44">
        <f t="shared" si="186"/>
        <v>5080074.7104032403</v>
      </c>
      <c r="AR295" s="94">
        <f t="shared" ref="AR295:AS298" si="189">AC295*0.4</f>
        <v>1468805.6463226597</v>
      </c>
      <c r="AS295" s="94">
        <f t="shared" si="189"/>
        <v>2032029.8841612963</v>
      </c>
      <c r="AT295" s="94">
        <f t="shared" si="188"/>
        <v>563224.23783863662</v>
      </c>
    </row>
    <row r="296" spans="1:50" ht="15.5">
      <c r="A296" s="26" t="s">
        <v>15</v>
      </c>
      <c r="B296" s="7">
        <f>'A -Döviz'!B296</f>
        <v>-2899301.0186640024</v>
      </c>
      <c r="C296" s="7">
        <f>'A -Döviz'!C296</f>
        <v>1559763.9099999962</v>
      </c>
      <c r="D296" s="7"/>
      <c r="E296" s="7">
        <f>B296+'A -Döviz'!E296</f>
        <v>-2087309.9115470008</v>
      </c>
      <c r="F296" s="7">
        <f>C296+'A -Döviz'!F296</f>
        <v>-884036.78000000422</v>
      </c>
      <c r="G296" s="7"/>
      <c r="H296" s="7">
        <f>E296+'A -Döviz'!H296</f>
        <v>-25881.642422000179</v>
      </c>
      <c r="I296" s="7">
        <f>F296+'A -Döviz'!I296</f>
        <v>-1433065.1200000003</v>
      </c>
      <c r="J296" s="7"/>
      <c r="K296" s="7">
        <f>H296+'A -Döviz'!K296</f>
        <v>-1896470.8489430011</v>
      </c>
      <c r="L296" s="7">
        <f>I296+'A -Döviz'!L296</f>
        <v>-1388884.390000006</v>
      </c>
      <c r="M296" s="7"/>
      <c r="N296" s="7">
        <f>K296+'A -Döviz'!N296</f>
        <v>-533187.36770699709</v>
      </c>
      <c r="O296" s="7">
        <f>L296+'A -Döviz'!O296</f>
        <v>-2076785.0299999956</v>
      </c>
      <c r="P296" s="7"/>
      <c r="Q296" s="7">
        <f>N296+'A -Döviz'!Q296</f>
        <v>1929900.1381150049</v>
      </c>
      <c r="R296" s="7">
        <f>O296+'A -Döviz'!R296</f>
        <v>1374033.4299999918</v>
      </c>
      <c r="S296" s="7"/>
      <c r="T296" s="7">
        <f>Q296+'A -Döviz'!T296</f>
        <v>2755576.6343320031</v>
      </c>
      <c r="U296" s="7">
        <f>R296+'A -Döviz'!U296</f>
        <v>5741790.5499999896</v>
      </c>
      <c r="V296" s="7"/>
      <c r="W296" s="7">
        <f>T296+'A -Döviz'!W296</f>
        <v>4317500.1880580038</v>
      </c>
      <c r="X296" s="7">
        <f>U296+'A -Döviz'!X296</f>
        <v>9097280.6899999939</v>
      </c>
      <c r="Y296" s="7"/>
      <c r="Z296" s="7">
        <f>W296+'A -Döviz'!Z296</f>
        <v>7569358.7512079999</v>
      </c>
      <c r="AA296" s="7">
        <f>X296+'A -Döviz'!AA296</f>
        <v>8127259.179999996</v>
      </c>
      <c r="AB296" s="7"/>
      <c r="AC296" s="7">
        <f>Z296+'A -Döviz'!AC296</f>
        <v>8331746.4285439998</v>
      </c>
      <c r="AD296" s="7">
        <f>AA296+'A -Döviz'!AD296</f>
        <v>8127259.179999996</v>
      </c>
      <c r="AE296" s="7"/>
      <c r="AF296" s="7">
        <f>AC296+'A -Döviz'!AF296</f>
        <v>10768204.776363997</v>
      </c>
      <c r="AG296" s="7">
        <f>AD296+'A -Döviz'!AG296</f>
        <v>8127259.179999996</v>
      </c>
      <c r="AH296" s="7"/>
      <c r="AI296" s="7">
        <f>AF296+'A -Döviz'!AI296</f>
        <v>15590942.397215003</v>
      </c>
      <c r="AJ296" s="7">
        <f>AG296+'A -Döviz'!AJ296</f>
        <v>8127259.179999996</v>
      </c>
      <c r="AK296" s="7"/>
      <c r="AL296" s="21">
        <f t="shared" si="184"/>
        <v>557900.42879199609</v>
      </c>
      <c r="AM296" s="22">
        <f t="shared" si="185"/>
        <v>7.3705111242476251E-2</v>
      </c>
      <c r="AN296" s="1">
        <f>AL296*0.4</f>
        <v>223160.17151679844</v>
      </c>
      <c r="AO296" s="44">
        <f t="shared" si="186"/>
        <v>7569358.7512079999</v>
      </c>
      <c r="AP296" s="44">
        <f t="shared" si="186"/>
        <v>8127259.179999996</v>
      </c>
      <c r="AR296" s="94">
        <f t="shared" si="189"/>
        <v>3332698.5714175999</v>
      </c>
      <c r="AS296" s="94">
        <f t="shared" si="189"/>
        <v>3250903.6719999984</v>
      </c>
      <c r="AT296" s="94">
        <f t="shared" si="188"/>
        <v>-81794.899417601526</v>
      </c>
    </row>
    <row r="297" spans="1:50" s="1" customFormat="1" ht="15.5">
      <c r="A297" s="26" t="s">
        <v>16</v>
      </c>
      <c r="B297" s="7">
        <f>'A -Döviz'!B297</f>
        <v>4111678.8193519996</v>
      </c>
      <c r="C297" s="7">
        <f>'A -Döviz'!C297</f>
        <v>275897.4500000017</v>
      </c>
      <c r="D297" s="8"/>
      <c r="E297" s="7">
        <f>B297+'A -Döviz'!E297</f>
        <v>3687584.9879279952</v>
      </c>
      <c r="F297" s="7">
        <f>C297+'A -Döviz'!F297</f>
        <v>-855102.07000000158</v>
      </c>
      <c r="G297" s="8"/>
      <c r="H297" s="7">
        <f>E297+'A -Döviz'!H297</f>
        <v>11168152.213348998</v>
      </c>
      <c r="I297" s="7">
        <f>F297+'A -Döviz'!I297</f>
        <v>2975967.1499999953</v>
      </c>
      <c r="J297" s="8"/>
      <c r="K297" s="7">
        <f>H297+'A -Döviz'!K297</f>
        <v>9687527.7818700019</v>
      </c>
      <c r="L297" s="7">
        <f>I297+'A -Döviz'!L297</f>
        <v>4970186.9300000025</v>
      </c>
      <c r="M297" s="8"/>
      <c r="N297" s="7">
        <f>K297+'A -Döviz'!N297</f>
        <v>11531695.857102001</v>
      </c>
      <c r="O297" s="7">
        <f>L297+'A -Döviz'!O297</f>
        <v>5666633.2999999942</v>
      </c>
      <c r="P297" s="8"/>
      <c r="Q297" s="7">
        <f>N297+'A -Döviz'!Q297</f>
        <v>15805658.056091003</v>
      </c>
      <c r="R297" s="7">
        <f>O297+'A -Döviz'!R297</f>
        <v>11238586.108718995</v>
      </c>
      <c r="S297" s="8"/>
      <c r="T297" s="7">
        <f>Q297+'A -Döviz'!T297</f>
        <v>15526744.678282997</v>
      </c>
      <c r="U297" s="7">
        <f>R297+'A -Döviz'!U297</f>
        <v>11936343.78999999</v>
      </c>
      <c r="V297" s="8"/>
      <c r="W297" s="7">
        <f>T297+'A -Döviz'!W297</f>
        <v>17328942.756528992</v>
      </c>
      <c r="X297" s="7">
        <f>U297+'A -Döviz'!X297</f>
        <v>11230455.579999996</v>
      </c>
      <c r="Y297" s="8"/>
      <c r="Z297" s="7">
        <f>W297+'A -Döviz'!Z297</f>
        <v>20882487.500161994</v>
      </c>
      <c r="AA297" s="7">
        <f>X297+'A -Döviz'!AA297</f>
        <v>15566602.010000004</v>
      </c>
      <c r="AB297" s="8"/>
      <c r="AC297" s="7">
        <f>Z297+'A -Döviz'!AC297</f>
        <v>18386781.157895993</v>
      </c>
      <c r="AD297" s="7">
        <f>AA297+'A -Döviz'!AD297</f>
        <v>15566602.010000004</v>
      </c>
      <c r="AE297" s="8"/>
      <c r="AF297" s="7">
        <f>AC297+'A -Döviz'!AF297</f>
        <v>18584275.955567993</v>
      </c>
      <c r="AG297" s="7">
        <f>AD297+'A -Döviz'!AG297</f>
        <v>15566602.010000004</v>
      </c>
      <c r="AH297" s="8"/>
      <c r="AI297" s="7">
        <f>AF297+'A -Döviz'!AI297</f>
        <v>21555498.662085995</v>
      </c>
      <c r="AJ297" s="7">
        <f>AG297+'A -Döviz'!AJ297</f>
        <v>15566602.010000004</v>
      </c>
      <c r="AK297" s="8"/>
      <c r="AL297" s="21">
        <f t="shared" si="184"/>
        <v>-5315885.4901619907</v>
      </c>
      <c r="AM297" s="22">
        <f t="shared" si="185"/>
        <v>-0.25456189020205344</v>
      </c>
      <c r="AN297" s="1">
        <f>AL297*0.4</f>
        <v>-2126354.1960647963</v>
      </c>
      <c r="AO297" s="44">
        <f t="shared" si="186"/>
        <v>20882487.500161994</v>
      </c>
      <c r="AP297" s="44">
        <f t="shared" si="186"/>
        <v>15566602.010000004</v>
      </c>
      <c r="AR297" s="94">
        <f t="shared" si="189"/>
        <v>7354712.4631583979</v>
      </c>
      <c r="AS297" s="94">
        <f t="shared" si="189"/>
        <v>6226640.8040000014</v>
      </c>
      <c r="AT297" s="94">
        <f t="shared" si="188"/>
        <v>-1128071.6591583965</v>
      </c>
      <c r="AX297" s="129"/>
    </row>
    <row r="298" spans="1:50" s="1" customFormat="1" ht="15.5">
      <c r="A298" s="26" t="s">
        <v>17</v>
      </c>
      <c r="B298" s="7">
        <f>'A -Döviz'!B298</f>
        <v>-6034748.7347063422</v>
      </c>
      <c r="C298" s="7">
        <f>'A -Döviz'!C298</f>
        <v>-4904927.105737987</v>
      </c>
      <c r="D298" s="8"/>
      <c r="E298" s="7">
        <f>B298+'A -Döviz'!E298</f>
        <v>-6290372.9110104758</v>
      </c>
      <c r="F298" s="7">
        <f>C298+'A -Döviz'!F298</f>
        <v>-3686753.9599999925</v>
      </c>
      <c r="G298" s="8"/>
      <c r="H298" s="7">
        <f>E298+'A -Döviz'!H298</f>
        <v>2179608.2680151109</v>
      </c>
      <c r="I298" s="7">
        <f>F298+'A -Döviz'!I298</f>
        <v>4042165.1699999962</v>
      </c>
      <c r="J298" s="8"/>
      <c r="K298" s="7">
        <f>H298+'A -Döviz'!K298</f>
        <v>-1076837.4476789134</v>
      </c>
      <c r="L298" s="7">
        <f>I298+'A -Döviz'!L298</f>
        <v>561788.47999999532</v>
      </c>
      <c r="M298" s="8"/>
      <c r="N298" s="7">
        <f>K298+'A -Döviz'!N298</f>
        <v>2130092.2753778091</v>
      </c>
      <c r="O298" s="7">
        <f>L298+'A -Döviz'!O298</f>
        <v>-278688.41999999015</v>
      </c>
      <c r="P298" s="8"/>
      <c r="Q298" s="7">
        <f>N298+'A -Döviz'!Q298</f>
        <v>9357636.1701434515</v>
      </c>
      <c r="R298" s="7">
        <f>O298+'A -Döviz'!R298</f>
        <v>9389547.1000000052</v>
      </c>
      <c r="S298" s="8"/>
      <c r="T298" s="7">
        <f>Q298+'A -Döviz'!T298</f>
        <v>8001178.5902358955</v>
      </c>
      <c r="U298" s="7">
        <f>R298+'A -Döviz'!U298</f>
        <v>8590415.609999992</v>
      </c>
      <c r="V298" s="8"/>
      <c r="W298" s="7">
        <f>T298+'A -Döviz'!W298</f>
        <v>8475020.5458565392</v>
      </c>
      <c r="X298" s="7">
        <f>U298+'A -Döviz'!X298</f>
        <v>9550398.3800000157</v>
      </c>
      <c r="Y298" s="8"/>
      <c r="Z298" s="7">
        <f>W298+'A -Döviz'!Z298</f>
        <v>16321953.404725816</v>
      </c>
      <c r="AA298" s="7">
        <f>X298+'A -Döviz'!AA298</f>
        <v>13583578.490000017</v>
      </c>
      <c r="AB298" s="8"/>
      <c r="AC298" s="7">
        <f>Z298+'A -Döviz'!AC298</f>
        <v>13413488.394475512</v>
      </c>
      <c r="AD298" s="7">
        <f>AA298+'A -Döviz'!AD298</f>
        <v>13583578.490000017</v>
      </c>
      <c r="AE298" s="8"/>
      <c r="AF298" s="7">
        <f>AC298+'A -Döviz'!AF298</f>
        <v>20264439.146989502</v>
      </c>
      <c r="AG298" s="7">
        <f>AD298+'A -Döviz'!AG298</f>
        <v>13583578.490000017</v>
      </c>
      <c r="AH298" s="8"/>
      <c r="AI298" s="7">
        <f>AF298+'A -Döviz'!AI298</f>
        <v>28095742.518737007</v>
      </c>
      <c r="AJ298" s="7">
        <f>AG298+'A -Döviz'!AJ298</f>
        <v>13583578.490000017</v>
      </c>
      <c r="AK298" s="8"/>
      <c r="AL298" s="21">
        <f t="shared" si="184"/>
        <v>-2738374.9147257991</v>
      </c>
      <c r="AM298" s="22">
        <f t="shared" si="185"/>
        <v>-0.16777249921157944</v>
      </c>
      <c r="AN298" s="1">
        <f>AL298*0.4</f>
        <v>-1095349.9658903198</v>
      </c>
      <c r="AO298" s="44">
        <f t="shared" si="186"/>
        <v>16321953.404725816</v>
      </c>
      <c r="AP298" s="44">
        <f t="shared" si="186"/>
        <v>13583578.490000017</v>
      </c>
      <c r="AR298" s="94">
        <f t="shared" si="189"/>
        <v>5365395.3577902056</v>
      </c>
      <c r="AS298" s="94">
        <f t="shared" si="189"/>
        <v>5433431.3960000072</v>
      </c>
      <c r="AT298" s="94">
        <f t="shared" si="188"/>
        <v>68036.03820980154</v>
      </c>
      <c r="AX298" s="129"/>
    </row>
    <row r="299" spans="1:50" s="1" customFormat="1" ht="15.5">
      <c r="A299" s="26"/>
      <c r="B299" s="7"/>
      <c r="C299" s="8"/>
      <c r="D299" s="8"/>
      <c r="E299" s="7"/>
      <c r="F299" s="8"/>
      <c r="G299" s="8"/>
      <c r="H299" s="7"/>
      <c r="I299" s="8"/>
      <c r="J299" s="8"/>
      <c r="K299" s="7"/>
      <c r="L299" s="8"/>
      <c r="M299" s="8"/>
      <c r="N299" s="7"/>
      <c r="O299" s="8"/>
      <c r="P299" s="8"/>
      <c r="Q299" s="7"/>
      <c r="R299" s="8"/>
      <c r="S299" s="8"/>
      <c r="T299" s="7"/>
      <c r="U299" s="8"/>
      <c r="V299" s="8"/>
      <c r="W299" s="7"/>
      <c r="X299" s="8"/>
      <c r="Y299" s="8"/>
      <c r="Z299" s="7"/>
      <c r="AA299" s="8"/>
      <c r="AB299" s="8"/>
      <c r="AC299" s="7"/>
      <c r="AD299" s="8"/>
      <c r="AE299" s="8"/>
      <c r="AF299" s="7"/>
      <c r="AG299" s="8"/>
      <c r="AH299" s="8"/>
      <c r="AI299" s="7"/>
      <c r="AJ299" s="8"/>
      <c r="AK299" s="8"/>
      <c r="AL299" s="15"/>
      <c r="AM299" s="16"/>
      <c r="AO299" s="44"/>
      <c r="AP299" s="44"/>
    </row>
    <row r="300" spans="1:50" s="1" customFormat="1" ht="15.5">
      <c r="A300" s="7"/>
      <c r="B300" s="8"/>
      <c r="C300" s="7"/>
      <c r="D300" s="8"/>
      <c r="E300" s="7"/>
      <c r="F300" s="8"/>
      <c r="G300" s="7"/>
      <c r="H300" s="8"/>
      <c r="I300" s="7"/>
      <c r="J300" s="8"/>
      <c r="K300" s="7"/>
      <c r="L300" s="8"/>
      <c r="M300" s="8"/>
      <c r="N300" s="7"/>
      <c r="O300" s="8"/>
      <c r="P300" s="8"/>
      <c r="Q300" s="7"/>
      <c r="R300" s="8"/>
      <c r="S300" s="8"/>
      <c r="T300" s="7"/>
      <c r="U300" s="8"/>
      <c r="V300" s="8"/>
      <c r="W300" s="7"/>
      <c r="X300" s="8"/>
      <c r="Y300" s="8"/>
      <c r="Z300" s="7"/>
      <c r="AA300" s="8"/>
      <c r="AB300" s="8"/>
      <c r="AC300" s="7"/>
      <c r="AD300" s="8"/>
      <c r="AE300" s="8"/>
      <c r="AF300" s="7"/>
      <c r="AG300" s="8"/>
      <c r="AH300" s="8"/>
      <c r="AI300" s="7"/>
      <c r="AJ300" s="8"/>
      <c r="AK300" s="8"/>
      <c r="AL300" s="15"/>
      <c r="AM300" s="16"/>
      <c r="AO300" s="44"/>
      <c r="AP300" s="44"/>
    </row>
    <row r="301" spans="1:50" s="44" customFormat="1" ht="21">
      <c r="A301" s="31" t="s">
        <v>20</v>
      </c>
      <c r="B301" s="32">
        <f>'A -Döviz'!B301</f>
        <v>-4218296.0564112179</v>
      </c>
      <c r="C301" s="32">
        <f>'A -Döviz'!C301</f>
        <v>-2686018.8769063978</v>
      </c>
      <c r="D301" s="18"/>
      <c r="E301" s="32">
        <f>B301+'A -Döviz'!E301</f>
        <v>-3114843.7621027166</v>
      </c>
      <c r="F301" s="32">
        <f>C301+'A -Döviz'!F301</f>
        <v>-4672293.252475705</v>
      </c>
      <c r="G301" s="18"/>
      <c r="H301" s="32">
        <f>E301+'A -Döviz'!H301</f>
        <v>4557934.6140277674</v>
      </c>
      <c r="I301" s="32">
        <f>F301+'A -Döviz'!I301</f>
        <v>2162031.4057289856</v>
      </c>
      <c r="J301" s="18"/>
      <c r="K301" s="32">
        <f>H301+'A -Döviz'!K301</f>
        <v>2897038.9783926485</v>
      </c>
      <c r="L301" s="32">
        <f>I301+'A -Döviz'!L301</f>
        <v>-6905088.3873695144</v>
      </c>
      <c r="M301" s="18"/>
      <c r="N301" s="32">
        <f>K301+'A -Döviz'!N301</f>
        <v>7051180.7278264603</v>
      </c>
      <c r="O301" s="32">
        <f>L301+'A -Döviz'!O301</f>
        <v>-10958626.206573723</v>
      </c>
      <c r="P301" s="18"/>
      <c r="Q301" s="32">
        <f>N301+'A -Döviz'!Q301</f>
        <v>13090014.521348648</v>
      </c>
      <c r="R301" s="32">
        <f>O301+'A -Döviz'!R301</f>
        <v>236821.9128086511</v>
      </c>
      <c r="S301" s="18"/>
      <c r="T301" s="32">
        <f>Q301+'A -Döviz'!T301</f>
        <v>11693021.435775869</v>
      </c>
      <c r="U301" s="32">
        <f>R301+'A -Döviz'!U301</f>
        <v>7375763.3381770244</v>
      </c>
      <c r="V301" s="18"/>
      <c r="W301" s="32">
        <f>T301+'A -Döviz'!W301</f>
        <v>15796891.92291332</v>
      </c>
      <c r="X301" s="32">
        <f>U301+'A -Döviz'!X301</f>
        <v>9401874.6349015273</v>
      </c>
      <c r="Y301" s="18"/>
      <c r="Z301" s="32">
        <f>W301+'A -Döviz'!Z301</f>
        <v>21830856.763752826</v>
      </c>
      <c r="AA301" s="32">
        <f>X301+'A -Döviz'!AA301</f>
        <v>12999265.84275727</v>
      </c>
      <c r="AB301" s="18"/>
      <c r="AC301" s="32">
        <f>Z301+'A -Döviz'!AC301</f>
        <v>21195798.870691564</v>
      </c>
      <c r="AD301" s="32">
        <f>AA301+'A -Döviz'!AD301</f>
        <v>12999265.84275727</v>
      </c>
      <c r="AE301" s="18"/>
      <c r="AF301" s="32">
        <f>AC301+'A -Döviz'!AF301</f>
        <v>27668239.848750707</v>
      </c>
      <c r="AG301" s="32">
        <f>AD301+'A -Döviz'!AG301</f>
        <v>12999265.84275727</v>
      </c>
      <c r="AH301" s="18"/>
      <c r="AI301" s="32">
        <f>AF301+'A -Döviz'!AI301</f>
        <v>34029615.881311685</v>
      </c>
      <c r="AJ301" s="32">
        <f>AG301+'A -Döviz'!AJ301</f>
        <v>12999265.84275727</v>
      </c>
      <c r="AK301" s="18"/>
      <c r="AL301" s="33">
        <f>AP301-AO301</f>
        <v>-8831590.9209955558</v>
      </c>
      <c r="AM301" s="34">
        <f>AP301/AO301-1</f>
        <v>-0.40454623547616386</v>
      </c>
      <c r="AO301" s="44">
        <f>IF($A$1=$B$1,B301,IF($A$1=$E$1,E301,IF($A$1=$H$1,H301,IF($A$1=$K$1,K301,IF($A$1=$N$1,N301,IF($A$1=$Q$1,Q301,IF($A$1=$T$1,T301,IF($A$1=$W$1,W301,IF($A$1=$Z$1,Z301,IF($A$1=$AC$1,AC301,IF($A$1=$AF$1,AF301,IF($A$1=$AI$1,AI301))))))))))))</f>
        <v>21830856.763752826</v>
      </c>
      <c r="AP301" s="44">
        <f>IF($A$1=$B$1,C301,IF($A$1=$E$1,F301,IF($A$1=$H$1,I301,IF($A$1=$K$1,L301,IF($A$1=$N$1,O301,IF($A$1=$Q$1,R301,IF($A$1=$T$1,U301,IF($A$1=$W$1,X301,IF($A$1=$Z$1,AA301,IF($A$1=$AC$1,AD301,IF($A$1=$AF$1,AG301,IF($A$1=$AI$1,AJ301))))))))))))</f>
        <v>12999265.84275727</v>
      </c>
      <c r="AR301" s="44">
        <f>Q301/1000000</f>
        <v>13.090014521348648</v>
      </c>
      <c r="AS301" s="44">
        <f>R301/1000000</f>
        <v>0.23682191280865111</v>
      </c>
      <c r="AV301" s="128">
        <f>+AI301/1000000</f>
        <v>34.029615881311685</v>
      </c>
      <c r="AW301" s="126">
        <f>AM301</f>
        <v>-0.40454623547616386</v>
      </c>
    </row>
    <row r="302" spans="1:50" s="13" customFormat="1" ht="21">
      <c r="A302" s="27"/>
      <c r="B302" s="30"/>
      <c r="C302" s="30"/>
      <c r="D302" s="41"/>
      <c r="E302" s="30"/>
      <c r="F302" s="30"/>
      <c r="G302" s="41"/>
      <c r="H302" s="30"/>
      <c r="I302" s="30"/>
      <c r="J302" s="41"/>
      <c r="K302" s="30"/>
      <c r="L302" s="30"/>
      <c r="M302" s="41"/>
      <c r="N302" s="30"/>
      <c r="O302" s="30"/>
      <c r="P302" s="41"/>
      <c r="Q302" s="30"/>
      <c r="R302" s="30"/>
      <c r="S302" s="41"/>
      <c r="T302" s="30"/>
      <c r="U302" s="30"/>
      <c r="V302" s="41"/>
      <c r="W302" s="30"/>
      <c r="X302" s="30"/>
      <c r="Y302" s="41"/>
      <c r="Z302" s="30"/>
      <c r="AA302" s="30"/>
      <c r="AB302" s="41"/>
      <c r="AC302" s="30"/>
      <c r="AD302" s="30"/>
      <c r="AE302" s="41"/>
      <c r="AF302" s="30"/>
      <c r="AG302" s="30"/>
      <c r="AH302" s="41"/>
      <c r="AI302" s="30"/>
      <c r="AJ302" s="30"/>
      <c r="AK302" s="41"/>
      <c r="AL302" s="15"/>
      <c r="AM302" s="22"/>
      <c r="AO302" s="44">
        <f>IF($A$1=$B$1,B302,IF($A$1=$E$1,E302,IF($A$1=$H$1,H302,IF($A$1=$K$1,K302,IF($A$1=$N$1,N302,IF($A$1=$Q$1,Q302,IF($A$1=$T$1,T302,IF($A$1=$W$1,W302,IF($A$1=$Z$1,Z302,IF($A$1=$AC$1,AC302,IF($A$1=$AF$1,AF302,IF($A$1=$AI$1,AI302))))))))))))</f>
        <v>0</v>
      </c>
      <c r="AP302" s="44">
        <f>IF($A$1=$B$1,C302,IF($A$1=$E$1,F302,IF($A$1=$H$1,I302,IF($A$1=$K$1,L302,IF($A$1=$N$1,O302,IF($A$1=$Q$1,R302,IF($A$1=$T$1,U302,IF($A$1=$W$1,X302,IF($A$1=$Z$1,AA302,IF($A$1=$AC$1,AD302,IF($A$1=$AF$1,AG302,IF($A$1=$AI$1,AJ302))))))))))))</f>
        <v>0</v>
      </c>
      <c r="AW302" s="126"/>
    </row>
    <row r="303" spans="1:50" s="49" customFormat="1" ht="17">
      <c r="A303" s="47"/>
      <c r="B303" s="413"/>
      <c r="C303" s="413"/>
      <c r="D303" s="413"/>
      <c r="E303" s="413"/>
      <c r="F303" s="413"/>
      <c r="G303" s="413"/>
      <c r="H303" s="413"/>
      <c r="I303" s="413"/>
      <c r="J303" s="413"/>
      <c r="K303" s="413"/>
      <c r="L303" s="413"/>
      <c r="M303" s="413"/>
      <c r="N303" s="413"/>
      <c r="O303" s="413"/>
      <c r="P303" s="413"/>
      <c r="Q303" s="413"/>
      <c r="R303" s="413"/>
      <c r="S303" s="413"/>
      <c r="T303" s="413"/>
      <c r="U303" s="413"/>
      <c r="V303" s="413"/>
      <c r="W303" s="413"/>
      <c r="X303" s="413"/>
      <c r="Y303" s="413"/>
      <c r="Z303" s="413"/>
      <c r="AA303" s="413"/>
      <c r="AB303" s="413"/>
      <c r="AC303" s="413"/>
      <c r="AD303" s="413"/>
      <c r="AE303" s="413"/>
      <c r="AF303" s="413"/>
      <c r="AG303" s="413"/>
      <c r="AH303" s="413"/>
      <c r="AI303" s="413"/>
      <c r="AJ303" s="413"/>
      <c r="AK303" s="413"/>
      <c r="AL303" s="413"/>
      <c r="AM303" s="48"/>
      <c r="AR303" s="110">
        <f>SUM(AR304:AR311)</f>
        <v>15796891.922913318</v>
      </c>
      <c r="AS303" s="110">
        <f>SUM(AS304:AS311)</f>
        <v>10937033.576309927</v>
      </c>
    </row>
    <row r="304" spans="1:50" ht="15.5">
      <c r="A304" s="26" t="s">
        <v>10</v>
      </c>
      <c r="B304" s="7">
        <f>'A -Döviz'!B304</f>
        <v>283774.87436724629</v>
      </c>
      <c r="C304" s="7">
        <f>'A -Döviz'!C304</f>
        <v>342118.89949938818</v>
      </c>
      <c r="D304" s="7"/>
      <c r="E304" s="7">
        <f>B304+'A -Döviz'!E304</f>
        <v>1279488.3215379659</v>
      </c>
      <c r="F304" s="7">
        <f>C304+'A -Döviz'!F304</f>
        <v>1412664.5231548869</v>
      </c>
      <c r="G304" s="7"/>
      <c r="H304" s="7">
        <f>E304+'A -Döviz'!H304</f>
        <v>1382361.6039183997</v>
      </c>
      <c r="I304" s="7">
        <f>F304+'A -Döviz'!I304</f>
        <v>1150714.6464008889</v>
      </c>
      <c r="J304" s="7"/>
      <c r="K304" s="7">
        <f>H304+'A -Döviz'!K304</f>
        <v>1641624.3322305086</v>
      </c>
      <c r="L304" s="7">
        <f>I304+'A -Döviz'!L304</f>
        <v>-6882570.6177252643</v>
      </c>
      <c r="M304" s="7"/>
      <c r="N304" s="7">
        <f>K304+'A -Döviz'!N304</f>
        <v>2541034.6719060712</v>
      </c>
      <c r="O304" s="7">
        <f>L304+'A -Döviz'!O304</f>
        <v>-6191472.9544576462</v>
      </c>
      <c r="P304" s="7"/>
      <c r="Q304" s="7">
        <f>N304+'A -Döviz'!Q304</f>
        <v>1793990.4887587787</v>
      </c>
      <c r="R304" s="7">
        <f>O304+'A -Döviz'!R304</f>
        <v>-5776850.7421683157</v>
      </c>
      <c r="S304" s="7"/>
      <c r="T304" s="7">
        <f>Q304+'A -Döviz'!T304</f>
        <v>2054778.2707101461</v>
      </c>
      <c r="U304" s="7">
        <f>R304+'A -Döviz'!U304</f>
        <v>1889938.0094792405</v>
      </c>
      <c r="V304" s="7"/>
      <c r="W304" s="7">
        <f>T304+'A -Döviz'!W304</f>
        <v>2997816.1394199175</v>
      </c>
      <c r="X304" s="7">
        <f>U304+'A -Döviz'!X304</f>
        <v>2645904.1173694856</v>
      </c>
      <c r="Y304" s="7"/>
      <c r="Z304" s="7">
        <f>W304+'A -Döviz'!Z304</f>
        <v>3150655.8138262159</v>
      </c>
      <c r="AA304" s="7">
        <f>X304+'A -Döviz'!AA304</f>
        <v>2323554.4535683547</v>
      </c>
      <c r="AB304" s="7"/>
      <c r="AC304" s="7">
        <f>Z304+'A -Döviz'!AC304</f>
        <v>3404261.3240934326</v>
      </c>
      <c r="AD304" s="7">
        <f>AA304+'A -Döviz'!AD304</f>
        <v>2323554.4535683547</v>
      </c>
      <c r="AE304" s="7"/>
      <c r="AF304" s="7">
        <f>AC304+'A -Döviz'!AF304</f>
        <v>4548191.1038202383</v>
      </c>
      <c r="AG304" s="7">
        <f>AD304+'A -Döviz'!AG304</f>
        <v>2323554.4535683547</v>
      </c>
      <c r="AH304" s="7"/>
      <c r="AI304" s="7">
        <f>AF304+'A -Döviz'!AI304</f>
        <v>3214456.5175077366</v>
      </c>
      <c r="AJ304" s="7">
        <f>AG304+'A -Döviz'!AJ304</f>
        <v>2323554.4535683547</v>
      </c>
      <c r="AK304" s="7"/>
      <c r="AL304" s="21">
        <f t="shared" ref="AL304:AL311" si="190">AP304-AO304</f>
        <v>-827101.3602578612</v>
      </c>
      <c r="AM304" s="22">
        <f t="shared" ref="AM304:AM311" si="191">AP304/AO304-1</f>
        <v>-0.26251720566500525</v>
      </c>
      <c r="AO304" s="44">
        <f t="shared" ref="AO304:AP311" si="192">IF($A$1=$B$1,B304,IF($A$1=$E$1,E304,IF($A$1=$H$1,H304,IF($A$1=$K$1,K304,IF($A$1=$N$1,N304,IF($A$1=$Q$1,Q304,IF($A$1=$T$1,T304,IF($A$1=$W$1,W304,IF($A$1=$Z$1,Z304,IF($A$1=$AC$1,AC304,IF($A$1=$AF$1,AF304,IF($A$1=$AI$1,AI304))))))))))))</f>
        <v>3150655.8138262159</v>
      </c>
      <c r="AP304" s="44">
        <f t="shared" si="192"/>
        <v>2323554.4535683547</v>
      </c>
      <c r="AR304" s="94">
        <f t="shared" ref="AR304:AS306" si="193">W304</f>
        <v>2997816.1394199175</v>
      </c>
      <c r="AS304" s="94">
        <f t="shared" si="193"/>
        <v>2645904.1173694856</v>
      </c>
      <c r="AT304" s="94">
        <f>AS304-AR304</f>
        <v>-351912.02205043193</v>
      </c>
    </row>
    <row r="305" spans="1:46" ht="15.5">
      <c r="A305" s="26" t="s">
        <v>11</v>
      </c>
      <c r="B305" s="7">
        <f>'A -Döviz'!B305</f>
        <v>-702015.90163737047</v>
      </c>
      <c r="C305" s="7">
        <f>'A -Döviz'!C305</f>
        <v>-329346.0090691371</v>
      </c>
      <c r="D305" s="7"/>
      <c r="E305" s="7">
        <f>B305+'A -Döviz'!E305</f>
        <v>-989285.15746656759</v>
      </c>
      <c r="F305" s="7">
        <f>C305+'A -Döviz'!F305</f>
        <v>-387772.62480080681</v>
      </c>
      <c r="G305" s="7"/>
      <c r="H305" s="7">
        <f>E305+'A -Döviz'!H305</f>
        <v>-1130203.5116741532</v>
      </c>
      <c r="I305" s="7">
        <f>F305+'A -Döviz'!I305</f>
        <v>-275173.74305145064</v>
      </c>
      <c r="J305" s="7"/>
      <c r="K305" s="7">
        <f>H305+'A -Döviz'!K305</f>
        <v>-919843.21505765291</v>
      </c>
      <c r="L305" s="7">
        <f>I305+'A -Döviz'!L305</f>
        <v>-405658.67257590883</v>
      </c>
      <c r="M305" s="7"/>
      <c r="N305" s="7">
        <f>K305+'A -Döviz'!N305</f>
        <v>-803771.62538166728</v>
      </c>
      <c r="O305" s="7">
        <f>L305+'A -Döviz'!O305</f>
        <v>-601144.10201937449</v>
      </c>
      <c r="P305" s="7"/>
      <c r="Q305" s="7">
        <f>N305+'A -Döviz'!Q305</f>
        <v>-274325.20192925911</v>
      </c>
      <c r="R305" s="7">
        <f>O305+'A -Döviz'!R305</f>
        <v>-624726.48991471669</v>
      </c>
      <c r="S305" s="7"/>
      <c r="T305" s="7">
        <f>Q305+'A -Döviz'!T305</f>
        <v>78551.233759643044</v>
      </c>
      <c r="U305" s="7">
        <f>R305+'A -Döviz'!U305</f>
        <v>-446909.63069576194</v>
      </c>
      <c r="V305" s="7"/>
      <c r="W305" s="7">
        <f>T305+'A -Döviz'!W305</f>
        <v>332439.48700154119</v>
      </c>
      <c r="X305" s="7">
        <f>U305+'A -Döviz'!X305</f>
        <v>-566857.97259548353</v>
      </c>
      <c r="Y305" s="7"/>
      <c r="Z305" s="7">
        <f>W305+'A -Döviz'!Z305</f>
        <v>504955.47210742522</v>
      </c>
      <c r="AA305" s="7">
        <f>X305+'A -Döviz'!AA305</f>
        <v>-435040.39692884684</v>
      </c>
      <c r="AB305" s="7"/>
      <c r="AC305" s="7">
        <f>Z305+'A -Döviz'!AC305</f>
        <v>688589.27613923803</v>
      </c>
      <c r="AD305" s="7">
        <f>AA305+'A -Döviz'!AD305</f>
        <v>-435040.39692884684</v>
      </c>
      <c r="AE305" s="7"/>
      <c r="AF305" s="7">
        <f>AC305+'A -Döviz'!AF305</f>
        <v>567390.90544727223</v>
      </c>
      <c r="AG305" s="7">
        <f>AD305+'A -Döviz'!AG305</f>
        <v>-435040.39692884684</v>
      </c>
      <c r="AH305" s="7"/>
      <c r="AI305" s="7">
        <f>AF305+'A -Döviz'!AI305</f>
        <v>576205.2642003583</v>
      </c>
      <c r="AJ305" s="7">
        <f>AG305+'A -Döviz'!AJ305</f>
        <v>-435040.39692884684</v>
      </c>
      <c r="AK305" s="7"/>
      <c r="AL305" s="21">
        <f t="shared" si="190"/>
        <v>-939995.86903627205</v>
      </c>
      <c r="AM305" s="22">
        <f t="shared" si="191"/>
        <v>-1.8615420981838482</v>
      </c>
      <c r="AO305" s="44">
        <f t="shared" si="192"/>
        <v>504955.47210742522</v>
      </c>
      <c r="AP305" s="44">
        <f t="shared" si="192"/>
        <v>-435040.39692884684</v>
      </c>
      <c r="AR305" s="94">
        <f t="shared" si="193"/>
        <v>332439.48700154119</v>
      </c>
      <c r="AS305" s="94">
        <f t="shared" si="193"/>
        <v>-566857.97259548353</v>
      </c>
      <c r="AT305" s="94">
        <f t="shared" ref="AT305:AT311" si="194">AS305-AR305</f>
        <v>-899297.45959702472</v>
      </c>
    </row>
    <row r="306" spans="1:46" ht="15.5">
      <c r="A306" s="26" t="s">
        <v>12</v>
      </c>
      <c r="B306" s="7">
        <f>'A -Döviz'!B306</f>
        <v>-554871.04796804884</v>
      </c>
      <c r="C306" s="7">
        <f>'A -Döviz'!C306</f>
        <v>-17760.80919464046</v>
      </c>
      <c r="D306" s="7"/>
      <c r="E306" s="7">
        <f>B306+'A -Döviz'!E306</f>
        <v>-709681.97112224612</v>
      </c>
      <c r="F306" s="7">
        <f>C306+'A -Döviz'!F306</f>
        <v>-136736.59474650113</v>
      </c>
      <c r="G306" s="7"/>
      <c r="H306" s="7">
        <f>E306+'A -Döviz'!H306</f>
        <v>-643502.08052874659</v>
      </c>
      <c r="I306" s="7">
        <f>F306+'A -Döviz'!I306</f>
        <v>355782.86823902623</v>
      </c>
      <c r="J306" s="7"/>
      <c r="K306" s="7">
        <f>H306+'A -Döviz'!K306</f>
        <v>-672976.20484284859</v>
      </c>
      <c r="L306" s="7">
        <f>I306+'A -Döviz'!L306</f>
        <v>-88440.958177312801</v>
      </c>
      <c r="M306" s="7"/>
      <c r="N306" s="7">
        <f>K306+'A -Döviz'!N306</f>
        <v>-695989.61757953861</v>
      </c>
      <c r="O306" s="7">
        <f>L306+'A -Döviz'!O306</f>
        <v>-37549.336403702677</v>
      </c>
      <c r="P306" s="7"/>
      <c r="Q306" s="7">
        <f>N306+'A -Döviz'!Q306</f>
        <v>-517498.17887634714</v>
      </c>
      <c r="R306" s="7">
        <f>O306+'A -Döviz'!R306</f>
        <v>27634.772330219042</v>
      </c>
      <c r="S306" s="7"/>
      <c r="T306" s="7">
        <f>Q306+'A -Döviz'!T306</f>
        <v>-588646.91838857299</v>
      </c>
      <c r="U306" s="7">
        <f>R306+'A -Döviz'!U306</f>
        <v>-252916.12621099537</v>
      </c>
      <c r="V306" s="7"/>
      <c r="W306" s="7">
        <f>T306+'A -Döviz'!W306</f>
        <v>-395960.66157970473</v>
      </c>
      <c r="X306" s="7">
        <f>U306+'A -Döviz'!X306</f>
        <v>64708.295237309649</v>
      </c>
      <c r="Y306" s="7"/>
      <c r="Z306" s="7">
        <f>W306+'A -Döviz'!Z306</f>
        <v>-219882.5365953818</v>
      </c>
      <c r="AA306" s="7">
        <f>X306+'A -Döviz'!AA306</f>
        <v>123074.83963359272</v>
      </c>
      <c r="AB306" s="7"/>
      <c r="AC306" s="7">
        <f>Z306+'A -Döviz'!AC306</f>
        <v>-427070.73710303259</v>
      </c>
      <c r="AD306" s="7">
        <f>AA306+'A -Döviz'!AD306</f>
        <v>123074.83963359272</v>
      </c>
      <c r="AE306" s="7"/>
      <c r="AF306" s="7">
        <f>AC306+'A -Döviz'!AF306</f>
        <v>-361741.37482806377</v>
      </c>
      <c r="AG306" s="7">
        <f>AD306+'A -Döviz'!AG306</f>
        <v>123074.83963359272</v>
      </c>
      <c r="AH306" s="7"/>
      <c r="AI306" s="7">
        <f>AF306+'A -Döviz'!AI306</f>
        <v>-314950.47293846705</v>
      </c>
      <c r="AJ306" s="7">
        <f>AG306+'A -Döviz'!AJ306</f>
        <v>123074.83963359272</v>
      </c>
      <c r="AK306" s="7"/>
      <c r="AL306" s="21">
        <f t="shared" si="190"/>
        <v>342957.37622897455</v>
      </c>
      <c r="AM306" s="22">
        <f t="shared" si="191"/>
        <v>-1.5597299428106455</v>
      </c>
      <c r="AO306" s="44">
        <f t="shared" si="192"/>
        <v>-219882.5365953818</v>
      </c>
      <c r="AP306" s="44">
        <f t="shared" si="192"/>
        <v>123074.83963359272</v>
      </c>
      <c r="AR306" s="94">
        <f t="shared" si="193"/>
        <v>-395960.66157970473</v>
      </c>
      <c r="AS306" s="94">
        <f t="shared" si="193"/>
        <v>64708.295237309649</v>
      </c>
      <c r="AT306" s="94">
        <f t="shared" si="194"/>
        <v>460668.95681701438</v>
      </c>
    </row>
    <row r="307" spans="1:46" ht="15.5">
      <c r="A307" s="26" t="s">
        <v>13</v>
      </c>
      <c r="B307" s="7">
        <f>'A -Döviz'!B307</f>
        <v>-4120092.2884676103</v>
      </c>
      <c r="C307" s="7">
        <f>'A -Döviz'!C307</f>
        <v>-3617026.1211118</v>
      </c>
      <c r="D307" s="7"/>
      <c r="E307" s="7">
        <f>B307+'A -Döviz'!E307</f>
        <v>-2583733.0101972669</v>
      </c>
      <c r="F307" s="7">
        <f>C307+'A -Döviz'!F307</f>
        <v>-8277442.6140151592</v>
      </c>
      <c r="G307" s="7"/>
      <c r="H307" s="7">
        <f>E307+'A -Döviz'!H307</f>
        <v>-794784.71440586797</v>
      </c>
      <c r="I307" s="7">
        <f>F307+'A -Döviz'!I307</f>
        <v>-4787996.2663641581</v>
      </c>
      <c r="J307" s="7"/>
      <c r="K307" s="7">
        <f>H307+'A -Döviz'!K307</f>
        <v>1382658.7112949381</v>
      </c>
      <c r="L307" s="7">
        <f>I307+'A -Döviz'!L307</f>
        <v>-974696.7677278053</v>
      </c>
      <c r="M307" s="7"/>
      <c r="N307" s="7">
        <f>K307+'A -Döviz'!N307</f>
        <v>3585445.0121173132</v>
      </c>
      <c r="O307" s="7">
        <f>L307+'A -Döviz'!O307</f>
        <v>-8874870.4398145005</v>
      </c>
      <c r="P307" s="7"/>
      <c r="Q307" s="7">
        <f>N307+'A -Döviz'!Q307</f>
        <v>4972953.9379919814</v>
      </c>
      <c r="R307" s="7">
        <f>O307+'A -Döviz'!R307</f>
        <v>-749247.52738806698</v>
      </c>
      <c r="S307" s="7"/>
      <c r="T307" s="7">
        <f>Q307+'A -Döviz'!T307</f>
        <v>2099636.7825576914</v>
      </c>
      <c r="U307" s="7">
        <f>R307+'A -Döviz'!U307</f>
        <v>-2251534.3379822914</v>
      </c>
      <c r="V307" s="7"/>
      <c r="W307" s="7">
        <f>T307+'A -Döviz'!W307</f>
        <v>5301205.8307640804</v>
      </c>
      <c r="X307" s="7">
        <f>U307+'A -Döviz'!X307</f>
        <v>-1719950.1583630654</v>
      </c>
      <c r="Y307" s="7"/>
      <c r="Z307" s="7">
        <f>W307+'A -Döviz'!Z307</f>
        <v>4955384.5462813592</v>
      </c>
      <c r="AA307" s="7">
        <f>X307+'A -Döviz'!AA307</f>
        <v>1189105.1808428036</v>
      </c>
      <c r="AB307" s="7"/>
      <c r="AC307" s="7">
        <f>Z307+'A -Döviz'!AC307</f>
        <v>8498453.5128533412</v>
      </c>
      <c r="AD307" s="7">
        <f>AA307+'A -Döviz'!AD307</f>
        <v>1189105.1808428036</v>
      </c>
      <c r="AE307" s="7"/>
      <c r="AF307" s="7">
        <f>AC307+'A -Döviz'!AF307</f>
        <v>11681945.017240915</v>
      </c>
      <c r="AG307" s="7">
        <f>AD307+'A -Döviz'!AG307</f>
        <v>1189105.1808428036</v>
      </c>
      <c r="AH307" s="7"/>
      <c r="AI307" s="7">
        <f>AF307+'A -Döviz'!AI307</f>
        <v>15135245.566783566</v>
      </c>
      <c r="AJ307" s="7">
        <f>AG307+'A -Döviz'!AJ307</f>
        <v>1189105.1808428036</v>
      </c>
      <c r="AK307" s="7"/>
      <c r="AL307" s="21">
        <f t="shared" si="190"/>
        <v>-3766279.3654385554</v>
      </c>
      <c r="AM307" s="22">
        <f t="shared" si="191"/>
        <v>-0.76003775897974724</v>
      </c>
      <c r="AO307" s="44">
        <f t="shared" si="192"/>
        <v>4955384.5462813592</v>
      </c>
      <c r="AP307" s="44">
        <f t="shared" si="192"/>
        <v>1189105.1808428036</v>
      </c>
      <c r="AR307" s="94">
        <f t="shared" ref="AR307:AS311" si="195">W307*0.4</f>
        <v>2120482.3323056321</v>
      </c>
      <c r="AS307" s="94">
        <f t="shared" si="195"/>
        <v>-687980.06334522623</v>
      </c>
      <c r="AT307" s="94">
        <f t="shared" si="194"/>
        <v>-2808462.3956508581</v>
      </c>
    </row>
    <row r="308" spans="1:46" s="1" customFormat="1" ht="15.5">
      <c r="A308" s="26" t="s">
        <v>14</v>
      </c>
      <c r="B308" s="7">
        <f>'A -Döviz'!B308</f>
        <v>1338887.0699160029</v>
      </c>
      <c r="C308" s="7">
        <f>'A -Döviz'!C308</f>
        <v>221976.66149476956</v>
      </c>
      <c r="D308" s="8"/>
      <c r="E308" s="7">
        <f>B308+'A -Döviz'!E308</f>
        <v>1751870.3416695993</v>
      </c>
      <c r="F308" s="7">
        <f>C308+'A -Döviz'!F308</f>
        <v>174451.89197794977</v>
      </c>
      <c r="G308" s="8"/>
      <c r="H308" s="7">
        <f>E308+'A -Döviz'!H308</f>
        <v>2013386.2428295424</v>
      </c>
      <c r="I308" s="7">
        <f>F308+'A -Döviz'!I308</f>
        <v>2088300.5260174677</v>
      </c>
      <c r="J308" s="8"/>
      <c r="K308" s="7">
        <f>H308+'A -Döviz'!K308</f>
        <v>1729181.1586786816</v>
      </c>
      <c r="L308" s="7">
        <f>I308+'A -Döviz'!L308</f>
        <v>2850885.8076652396</v>
      </c>
      <c r="M308" s="8"/>
      <c r="N308" s="7">
        <f>K308+'A -Döviz'!N308</f>
        <v>1778957.2694966777</v>
      </c>
      <c r="O308" s="7">
        <f>L308+'A -Döviz'!O308</f>
        <v>2106387.1486979933</v>
      </c>
      <c r="P308" s="8"/>
      <c r="Q308" s="7">
        <f>N308+'A -Döviz'!Q308</f>
        <v>2653406.7731467043</v>
      </c>
      <c r="R308" s="7">
        <f>O308+'A -Döviz'!R308</f>
        <v>2899029.8671227349</v>
      </c>
      <c r="S308" s="8"/>
      <c r="T308" s="7">
        <f>Q308+'A -Döviz'!T308</f>
        <v>2216087.648319941</v>
      </c>
      <c r="U308" s="7">
        <f>R308+'A -Döviz'!U308</f>
        <v>3860616.7673696699</v>
      </c>
      <c r="V308" s="8"/>
      <c r="W308" s="7">
        <f>T308+'A -Döviz'!W308</f>
        <v>2889106.9998968444</v>
      </c>
      <c r="X308" s="7">
        <f>U308+'A -Döviz'!X308</f>
        <v>4157530.0807305947</v>
      </c>
      <c r="Y308" s="8"/>
      <c r="Z308" s="7">
        <f>W308+'A -Döviz'!Z308</f>
        <v>3332786.0545680434</v>
      </c>
      <c r="AA308" s="7">
        <f>X308+'A -Döviz'!AA308</f>
        <v>3913751.1669885996</v>
      </c>
      <c r="AB308" s="8"/>
      <c r="AC308" s="7">
        <f>Z308+'A -Döviz'!AC308</f>
        <v>2911943.2873984855</v>
      </c>
      <c r="AD308" s="7">
        <f>AA308+'A -Döviz'!AD308</f>
        <v>3913751.1669885996</v>
      </c>
      <c r="AE308" s="8"/>
      <c r="AF308" s="7">
        <f>AC308+'A -Döviz'!AF308</f>
        <v>4088367.3657152359</v>
      </c>
      <c r="AG308" s="7">
        <f>AD308+'A -Döviz'!AG308</f>
        <v>3913751.1669885996</v>
      </c>
      <c r="AH308" s="8"/>
      <c r="AI308" s="7">
        <f>AF308+'A -Döviz'!AI308</f>
        <v>4582208.5941325761</v>
      </c>
      <c r="AJ308" s="7">
        <f>AG308+'A -Döviz'!AJ308</f>
        <v>3913751.1669885996</v>
      </c>
      <c r="AK308" s="8"/>
      <c r="AL308" s="21">
        <f t="shared" si="190"/>
        <v>580965.11242055614</v>
      </c>
      <c r="AM308" s="22">
        <f t="shared" si="191"/>
        <v>0.17431815391337935</v>
      </c>
      <c r="AO308" s="44">
        <f t="shared" si="192"/>
        <v>3332786.0545680434</v>
      </c>
      <c r="AP308" s="44">
        <f t="shared" si="192"/>
        <v>3913751.1669885996</v>
      </c>
      <c r="AR308" s="94">
        <f t="shared" si="195"/>
        <v>1155642.7999587378</v>
      </c>
      <c r="AS308" s="94">
        <f t="shared" si="195"/>
        <v>1663012.032292238</v>
      </c>
      <c r="AT308" s="94">
        <f t="shared" si="194"/>
        <v>507369.23233350017</v>
      </c>
    </row>
    <row r="309" spans="1:46" ht="15.5">
      <c r="A309" s="26" t="s">
        <v>15</v>
      </c>
      <c r="B309" s="7">
        <f>'A -Döviz'!B309</f>
        <v>-3136859.9909959994</v>
      </c>
      <c r="C309" s="7">
        <f>'A -Döviz'!C309</f>
        <v>1432787.7399999963</v>
      </c>
      <c r="D309" s="7"/>
      <c r="E309" s="7">
        <f>B309+'A -Döviz'!E309</f>
        <v>-2562559.9902389981</v>
      </c>
      <c r="F309" s="7">
        <f>C309+'A -Döviz'!F309</f>
        <v>-1056085.2181710044</v>
      </c>
      <c r="G309" s="7"/>
      <c r="H309" s="7">
        <f>E309+'A -Döviz'!H309</f>
        <v>-738838.59872700018</v>
      </c>
      <c r="I309" s="7">
        <f>F309+'A -Döviz'!I309</f>
        <v>-1630537.9387700006</v>
      </c>
      <c r="J309" s="7"/>
      <c r="K309" s="7">
        <f>H309+'A -Döviz'!K309</f>
        <v>-2847517.3576660054</v>
      </c>
      <c r="L309" s="7">
        <f>I309+'A -Döviz'!L309</f>
        <v>-1834780.362492006</v>
      </c>
      <c r="M309" s="7"/>
      <c r="N309" s="7">
        <f>K309+'A -Döviz'!N309</f>
        <v>-1720250.2501320047</v>
      </c>
      <c r="O309" s="7">
        <f>L309+'A -Döviz'!O309</f>
        <v>-2791290.7964909952</v>
      </c>
      <c r="P309" s="7"/>
      <c r="Q309" s="7">
        <f>N309+'A -Döviz'!Q309</f>
        <v>506809.97915899474</v>
      </c>
      <c r="R309" s="7">
        <f>O309+'A -Döviz'!R309</f>
        <v>462741.56457499182</v>
      </c>
      <c r="S309" s="7"/>
      <c r="T309" s="7">
        <f>Q309+'A -Döviz'!T309</f>
        <v>1097515.9888450026</v>
      </c>
      <c r="U309" s="7">
        <f>R309+'A -Döviz'!U309</f>
        <v>4735420.6697609909</v>
      </c>
      <c r="V309" s="7"/>
      <c r="W309" s="7">
        <f>T309+'A -Döviz'!W309</f>
        <v>2425159.0160429925</v>
      </c>
      <c r="X309" s="7">
        <f>U309+'A -Döviz'!X309</f>
        <v>6779949.0803719945</v>
      </c>
      <c r="Y309" s="7"/>
      <c r="Z309" s="7">
        <f>W309+'A -Döviz'!Z309</f>
        <v>5442737.052663994</v>
      </c>
      <c r="AA309" s="7">
        <f>X309+'A -Döviz'!AA309</f>
        <v>5514520.7503719963</v>
      </c>
      <c r="AB309" s="7"/>
      <c r="AC309" s="7">
        <f>Z309+'A -Döviz'!AC309</f>
        <v>5970844.2034679921</v>
      </c>
      <c r="AD309" s="7">
        <f>AA309+'A -Döviz'!AD309</f>
        <v>5514520.7503719963</v>
      </c>
      <c r="AE309" s="7"/>
      <c r="AF309" s="7">
        <f>AC309+'A -Döviz'!AF309</f>
        <v>8173022.0247579943</v>
      </c>
      <c r="AG309" s="7">
        <f>AD309+'A -Döviz'!AG309</f>
        <v>5514520.7503719963</v>
      </c>
      <c r="AH309" s="7"/>
      <c r="AI309" s="7">
        <f>AF309+'A -Döviz'!AI309</f>
        <v>12720926.312276</v>
      </c>
      <c r="AJ309" s="7">
        <f>AG309+'A -Döviz'!AJ309</f>
        <v>5514520.7503719963</v>
      </c>
      <c r="AK309" s="7"/>
      <c r="AL309" s="21">
        <f t="shared" si="190"/>
        <v>71783.697708002292</v>
      </c>
      <c r="AM309" s="22">
        <f t="shared" si="191"/>
        <v>1.3188896875491629E-2</v>
      </c>
      <c r="AO309" s="44">
        <f t="shared" si="192"/>
        <v>5442737.052663994</v>
      </c>
      <c r="AP309" s="44">
        <f t="shared" si="192"/>
        <v>5514520.7503719963</v>
      </c>
      <c r="AR309" s="94">
        <f t="shared" si="195"/>
        <v>970063.60641719704</v>
      </c>
      <c r="AS309" s="94">
        <f t="shared" si="195"/>
        <v>2711979.6321487981</v>
      </c>
      <c r="AT309" s="94">
        <f t="shared" si="194"/>
        <v>1741916.0257316011</v>
      </c>
    </row>
    <row r="310" spans="1:46" s="1" customFormat="1" ht="15.5">
      <c r="A310" s="26" t="s">
        <v>16</v>
      </c>
      <c r="B310" s="7">
        <f>'A -Döviz'!B310</f>
        <v>4081678.8193519996</v>
      </c>
      <c r="C310" s="7">
        <f>'A -Döviz'!C310</f>
        <v>266462.00000000169</v>
      </c>
      <c r="D310" s="8"/>
      <c r="E310" s="7">
        <f>B310+'A -Döviz'!E310</f>
        <v>3391584.9879279952</v>
      </c>
      <c r="F310" s="7">
        <f>C310+'A -Döviz'!F310</f>
        <v>-884909.47000000183</v>
      </c>
      <c r="G310" s="8"/>
      <c r="H310" s="7">
        <f>E310+'A -Döviz'!H310</f>
        <v>10407152.213348998</v>
      </c>
      <c r="I310" s="7">
        <f>F310+'A -Döviz'!I310</f>
        <v>2940727.7844679952</v>
      </c>
      <c r="J310" s="8"/>
      <c r="K310" s="7">
        <f>H310+'A -Döviz'!K310</f>
        <v>8665527.7818700019</v>
      </c>
      <c r="L310" s="7">
        <f>I310+'A -Döviz'!L310</f>
        <v>1722782.5053270033</v>
      </c>
      <c r="M310" s="8"/>
      <c r="N310" s="7">
        <f>K310+'A -Döviz'!N310</f>
        <v>10223695.857102001</v>
      </c>
      <c r="O310" s="7">
        <f>L310+'A -Döviz'!O310</f>
        <v>921026.08337499434</v>
      </c>
      <c r="P310" s="8"/>
      <c r="Q310" s="7">
        <f>N310+'A -Döviz'!Q310</f>
        <v>13818658.056091003</v>
      </c>
      <c r="R310" s="7">
        <f>O310+'A -Döviz'!R310</f>
        <v>6033319.4470939972</v>
      </c>
      <c r="S310" s="8"/>
      <c r="T310" s="7">
        <f>Q310+'A -Döviz'!T310</f>
        <v>13488744.678282997</v>
      </c>
      <c r="U310" s="7">
        <f>R310+'A -Döviz'!U310</f>
        <v>2162888.3941399911</v>
      </c>
      <c r="V310" s="8"/>
      <c r="W310" s="7">
        <f>T310+'A -Döviz'!W310</f>
        <v>14851942.756528994</v>
      </c>
      <c r="X310" s="7">
        <f>U310+'A -Döviz'!X310</f>
        <v>1303666.9087639987</v>
      </c>
      <c r="Y310" s="8"/>
      <c r="Z310" s="7">
        <f>W310+'A -Döviz'!Z310</f>
        <v>18054487.500161998</v>
      </c>
      <c r="AA310" s="7">
        <f>X310+'A -Döviz'!AA310</f>
        <v>5389813.3387640044</v>
      </c>
      <c r="AB310" s="8"/>
      <c r="AC310" s="7">
        <f>Z310+'A -Döviz'!AC310</f>
        <v>15381781.157895999</v>
      </c>
      <c r="AD310" s="7">
        <f>AA310+'A -Döviz'!AD310</f>
        <v>5389813.3387640044</v>
      </c>
      <c r="AE310" s="8"/>
      <c r="AF310" s="7">
        <f>AC310+'A -Döviz'!AF310</f>
        <v>15523275.955567999</v>
      </c>
      <c r="AG310" s="7">
        <f>AD310+'A -Döviz'!AG310</f>
        <v>5389813.3387640044</v>
      </c>
      <c r="AH310" s="8"/>
      <c r="AI310" s="7">
        <f>AF310+'A -Döviz'!AI310</f>
        <v>18468498.662085999</v>
      </c>
      <c r="AJ310" s="7">
        <f>AG310+'A -Döviz'!AJ310</f>
        <v>5389813.3387640044</v>
      </c>
      <c r="AK310" s="8"/>
      <c r="AL310" s="21">
        <f t="shared" si="190"/>
        <v>-12664674.161397994</v>
      </c>
      <c r="AM310" s="22">
        <f t="shared" si="191"/>
        <v>-0.70146960201913</v>
      </c>
      <c r="AO310" s="44">
        <f t="shared" si="192"/>
        <v>18054487.500161998</v>
      </c>
      <c r="AP310" s="44">
        <f t="shared" si="192"/>
        <v>5389813.3387640044</v>
      </c>
      <c r="AR310" s="94">
        <f t="shared" si="195"/>
        <v>5940777.1026115976</v>
      </c>
      <c r="AS310" s="94">
        <f t="shared" si="195"/>
        <v>521466.76350559946</v>
      </c>
      <c r="AT310" s="94">
        <f t="shared" si="194"/>
        <v>-5419310.3391059982</v>
      </c>
    </row>
    <row r="311" spans="1:46" s="1" customFormat="1" ht="15.5">
      <c r="A311" s="26" t="s">
        <v>17</v>
      </c>
      <c r="B311" s="7">
        <f>'A -Döviz'!B311</f>
        <v>-6276573.562737003</v>
      </c>
      <c r="C311" s="7">
        <f>'A -Döviz'!C311</f>
        <v>-5006777.6757379873</v>
      </c>
      <c r="D311" s="8"/>
      <c r="E311" s="7">
        <f>B311+'A -Döviz'!E311</f>
        <v>-6735574.7167910002</v>
      </c>
      <c r="F311" s="7">
        <f>C311+'A -Döviz'!F311</f>
        <v>-3857135.9799999921</v>
      </c>
      <c r="G311" s="8"/>
      <c r="H311" s="7">
        <f>E311+'A -Döviz'!H311</f>
        <v>1486281.3627349995</v>
      </c>
      <c r="I311" s="7">
        <f>F311+'A -Döviz'!I311</f>
        <v>3716274.9799999967</v>
      </c>
      <c r="J311" s="8"/>
      <c r="K311" s="7">
        <f>H311+'A -Döviz'!K311</f>
        <v>-1809265.1290210104</v>
      </c>
      <c r="L311" s="7">
        <f>I311+'A -Döviz'!L311</f>
        <v>-585236.53000000492</v>
      </c>
      <c r="M311" s="8"/>
      <c r="N311" s="7">
        <f>K311+'A -Döviz'!N311</f>
        <v>1156920.3586200029</v>
      </c>
      <c r="O311" s="7">
        <f>L311+'A -Döviz'!O311</f>
        <v>-1682401.5299999905</v>
      </c>
      <c r="P311" s="8"/>
      <c r="Q311" s="7">
        <f>N311+'A -Döviz'!Q311</f>
        <v>8267789.787100004</v>
      </c>
      <c r="R311" s="7">
        <f>O311+'A -Döviz'!R311</f>
        <v>7881067.5800000057</v>
      </c>
      <c r="S311" s="8"/>
      <c r="T311" s="7">
        <f>Q311+'A -Döviz'!T311</f>
        <v>6468862.0262309983</v>
      </c>
      <c r="U311" s="7">
        <f>R311+'A -Döviz'!U311</f>
        <v>6956736.220722992</v>
      </c>
      <c r="V311" s="8"/>
      <c r="W311" s="7">
        <f>T311+'A -Döviz'!W311</f>
        <v>6689077.7919460023</v>
      </c>
      <c r="X311" s="7">
        <f>U311+'A -Döviz'!X311</f>
        <v>7624104.5757220145</v>
      </c>
      <c r="Y311" s="8"/>
      <c r="Z311" s="7">
        <f>W311+'A -Döviz'!Z311</f>
        <v>14202424.882361013</v>
      </c>
      <c r="AA311" s="7">
        <f>X311+'A -Döviz'!AA311</f>
        <v>11462001.929243015</v>
      </c>
      <c r="AB311" s="8"/>
      <c r="AC311" s="7">
        <f>Z311+'A -Döviz'!AC311</f>
        <v>11062025.35728899</v>
      </c>
      <c r="AD311" s="7">
        <f>AA311+'A -Döviz'!AD311</f>
        <v>11462001.929243015</v>
      </c>
      <c r="AE311" s="8"/>
      <c r="AF311" s="7">
        <f>AC311+'A -Döviz'!AF311</f>
        <v>17819387.672495998</v>
      </c>
      <c r="AG311" s="7">
        <f>AD311+'A -Döviz'!AG311</f>
        <v>11462001.929243015</v>
      </c>
      <c r="AH311" s="8"/>
      <c r="AI311" s="7">
        <f>AF311+'A -Döviz'!AI311</f>
        <v>25477882.296076994</v>
      </c>
      <c r="AJ311" s="7">
        <f>AG311+'A -Döviz'!AJ311</f>
        <v>11462001.929243015</v>
      </c>
      <c r="AK311" s="8"/>
      <c r="AL311" s="21">
        <f t="shared" si="190"/>
        <v>-2740422.9531179983</v>
      </c>
      <c r="AM311" s="22">
        <f t="shared" si="191"/>
        <v>-0.19295458175748015</v>
      </c>
      <c r="AO311" s="44">
        <f t="shared" si="192"/>
        <v>14202424.882361013</v>
      </c>
      <c r="AP311" s="44">
        <f t="shared" si="192"/>
        <v>11462001.929243015</v>
      </c>
      <c r="AR311" s="94">
        <f t="shared" si="195"/>
        <v>2675631.1167784012</v>
      </c>
      <c r="AS311" s="94">
        <f>AD311*0.4</f>
        <v>4584800.7716972064</v>
      </c>
      <c r="AT311" s="94">
        <f t="shared" si="194"/>
        <v>1909169.6549188052</v>
      </c>
    </row>
    <row r="312" spans="1:46" s="1" customFormat="1" ht="15.5">
      <c r="A312" s="26"/>
      <c r="B312" s="7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7"/>
      <c r="R312" s="8"/>
      <c r="S312" s="8"/>
      <c r="T312" s="7"/>
      <c r="U312" s="8"/>
      <c r="V312" s="8"/>
      <c r="W312" s="7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15"/>
      <c r="AM312" s="16"/>
      <c r="AO312" s="44"/>
      <c r="AP312" s="44"/>
    </row>
    <row r="313" spans="1:46" s="1" customFormat="1" ht="15.5">
      <c r="A313" s="26"/>
      <c r="B313" s="7"/>
      <c r="C313" s="8"/>
      <c r="D313" s="8"/>
      <c r="E313" s="8"/>
      <c r="F313" s="8"/>
      <c r="G313" s="8"/>
      <c r="H313" s="8"/>
      <c r="I313" s="8"/>
      <c r="J313" s="8"/>
      <c r="K313" s="8">
        <f>SUM(K304:K306)+SUM(K308:K311)*0.4+K307*0.5</f>
        <v>3035304.8495221431</v>
      </c>
      <c r="L313" s="8">
        <f>SUM(L304:L306)+SUM(L308:L311)*0.4+L307*0.5</f>
        <v>-7002558.0641422961</v>
      </c>
      <c r="M313" s="8"/>
      <c r="N313" s="8"/>
      <c r="O313" s="8"/>
      <c r="P313" s="8"/>
      <c r="Q313" s="7"/>
      <c r="R313" s="8"/>
      <c r="S313" s="8"/>
      <c r="T313" s="7"/>
      <c r="U313" s="8"/>
      <c r="V313" s="8"/>
      <c r="W313" s="7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15"/>
      <c r="AM313" s="16"/>
      <c r="AO313" s="44"/>
      <c r="AP313" s="44"/>
    </row>
    <row r="314" spans="1:46" s="1" customFormat="1" ht="15.5">
      <c r="A314" s="26"/>
      <c r="B314" s="7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7"/>
      <c r="R314" s="8"/>
      <c r="S314" s="8"/>
      <c r="T314" s="7"/>
      <c r="U314" s="8"/>
      <c r="V314" s="8"/>
      <c r="W314" s="7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15"/>
      <c r="AM314" s="16"/>
      <c r="AO314" s="44"/>
      <c r="AP314" s="44"/>
    </row>
    <row r="315" spans="1:46" s="1" customFormat="1" ht="15.5">
      <c r="A315" s="26"/>
      <c r="B315" s="7"/>
      <c r="C315" s="8"/>
      <c r="D315" s="8"/>
      <c r="E315" s="402">
        <f>E298/E16</f>
        <v>-0.15863757206459017</v>
      </c>
      <c r="F315" s="402">
        <f>F298/F16</f>
        <v>-8.7567728101976189E-2</v>
      </c>
      <c r="G315" s="402"/>
      <c r="H315" s="8"/>
      <c r="I315" s="8"/>
      <c r="J315" s="8"/>
      <c r="K315" s="8"/>
      <c r="L315" s="8"/>
      <c r="M315" s="8"/>
      <c r="N315" s="8"/>
      <c r="O315" s="8"/>
      <c r="P315" s="8"/>
      <c r="Q315" s="7"/>
      <c r="R315" s="8"/>
      <c r="S315" s="8"/>
      <c r="T315" s="7"/>
      <c r="U315" s="8"/>
      <c r="V315" s="8"/>
      <c r="W315" s="7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15"/>
      <c r="AM315" s="16"/>
      <c r="AO315" s="44"/>
      <c r="AP315" s="44"/>
    </row>
    <row r="316" spans="1:46" s="1" customFormat="1" ht="15.5">
      <c r="A316" s="26"/>
      <c r="B316" s="7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7"/>
      <c r="R316" s="8"/>
      <c r="S316" s="8"/>
      <c r="T316" s="7"/>
      <c r="U316" s="8"/>
      <c r="V316" s="8"/>
      <c r="W316" s="7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15"/>
      <c r="AM316" s="16"/>
      <c r="AO316" s="44"/>
      <c r="AP316" s="44"/>
    </row>
    <row r="317" spans="1:46" s="1" customFormat="1" ht="15.5">
      <c r="A317" s="26"/>
      <c r="B317" s="7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7"/>
      <c r="R317" s="8"/>
      <c r="S317" s="8"/>
      <c r="T317" s="7"/>
      <c r="U317" s="8"/>
      <c r="V317" s="8"/>
      <c r="W317" s="7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15"/>
      <c r="AM317" s="16"/>
      <c r="AO317" s="44"/>
      <c r="AP317" s="44"/>
    </row>
    <row r="318" spans="1:46" s="1" customFormat="1" ht="15.5">
      <c r="A318" s="26"/>
      <c r="B318" s="7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7"/>
      <c r="R318" s="8"/>
      <c r="S318" s="8"/>
      <c r="T318" s="7"/>
      <c r="U318" s="8"/>
      <c r="V318" s="8"/>
      <c r="W318" s="7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15"/>
      <c r="AM318" s="16"/>
      <c r="AO318" s="44"/>
      <c r="AP318" s="44"/>
    </row>
    <row r="319" spans="1:46" s="1" customFormat="1" ht="15.5">
      <c r="A319" s="26"/>
      <c r="B319" s="7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7"/>
      <c r="R319" s="8"/>
      <c r="S319" s="8"/>
      <c r="T319" s="7"/>
      <c r="U319" s="8"/>
      <c r="V319" s="8"/>
      <c r="W319" s="7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15"/>
      <c r="AM319" s="16"/>
      <c r="AO319" s="44"/>
      <c r="AP319" s="44"/>
    </row>
    <row r="320" spans="1:46" s="1" customFormat="1" ht="15.5">
      <c r="A320" s="26"/>
      <c r="B320" s="7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7"/>
      <c r="R320" s="8"/>
      <c r="S320" s="8"/>
      <c r="T320" s="7"/>
      <c r="U320" s="8"/>
      <c r="V320" s="8"/>
      <c r="W320" s="7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15"/>
      <c r="AM320" s="16"/>
      <c r="AO320" s="44"/>
      <c r="AP320" s="44"/>
    </row>
    <row r="321" spans="1:42" s="1" customFormat="1" ht="15.5">
      <c r="A321" s="26"/>
      <c r="B321" s="7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7"/>
      <c r="R321" s="8"/>
      <c r="S321" s="8"/>
      <c r="T321" s="7"/>
      <c r="U321" s="8"/>
      <c r="V321" s="8"/>
      <c r="W321" s="7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15"/>
      <c r="AM321" s="16"/>
      <c r="AO321" s="44"/>
      <c r="AP321" s="44"/>
    </row>
    <row r="322" spans="1:42" s="1" customFormat="1" ht="15.5">
      <c r="A322" s="26"/>
      <c r="B322" s="7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7"/>
      <c r="R322" s="8"/>
      <c r="S322" s="8"/>
      <c r="T322" s="7"/>
      <c r="U322" s="8"/>
      <c r="V322" s="8"/>
      <c r="W322" s="7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15"/>
      <c r="AM322" s="16"/>
      <c r="AO322" s="44"/>
      <c r="AP322" s="44"/>
    </row>
    <row r="323" spans="1:42" s="1" customFormat="1" ht="15.5">
      <c r="A323" s="26"/>
      <c r="B323" s="7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7"/>
      <c r="R323" s="8"/>
      <c r="S323" s="8"/>
      <c r="T323" s="7"/>
      <c r="U323" s="8"/>
      <c r="V323" s="8"/>
      <c r="W323" s="7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15"/>
      <c r="AM323" s="16"/>
      <c r="AO323" s="44"/>
      <c r="AP323" s="44"/>
    </row>
    <row r="324" spans="1:42" s="1" customFormat="1" ht="15.5">
      <c r="A324" s="26"/>
      <c r="B324" s="7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7"/>
      <c r="R324" s="8"/>
      <c r="S324" s="8"/>
      <c r="T324" s="7"/>
      <c r="U324" s="8"/>
      <c r="V324" s="8"/>
      <c r="W324" s="7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15"/>
      <c r="AM324" s="16"/>
      <c r="AO324" s="44"/>
      <c r="AP324" s="44"/>
    </row>
    <row r="325" spans="1:42" s="1" customFormat="1" ht="15.5">
      <c r="A325" s="26"/>
      <c r="B325" s="7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7"/>
      <c r="R325" s="8"/>
      <c r="S325" s="8"/>
      <c r="T325" s="7"/>
      <c r="U325" s="8"/>
      <c r="V325" s="8"/>
      <c r="W325" s="7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15"/>
      <c r="AM325" s="16"/>
      <c r="AO325" s="44"/>
      <c r="AP325" s="44"/>
    </row>
    <row r="326" spans="1:42" s="1" customFormat="1" ht="15.5">
      <c r="A326" s="26"/>
      <c r="B326" s="7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7"/>
      <c r="R326" s="8"/>
      <c r="S326" s="8"/>
      <c r="T326" s="7"/>
      <c r="U326" s="8"/>
      <c r="V326" s="8"/>
      <c r="W326" s="7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15"/>
      <c r="AM326" s="16"/>
      <c r="AO326" s="44"/>
      <c r="AP326" s="44"/>
    </row>
    <row r="327" spans="1:42" s="1" customFormat="1" ht="15.5">
      <c r="A327" s="26"/>
      <c r="B327" s="7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7"/>
      <c r="R327" s="8"/>
      <c r="S327" s="8"/>
      <c r="T327" s="7"/>
      <c r="U327" s="8"/>
      <c r="V327" s="8"/>
      <c r="W327" s="7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15"/>
      <c r="AM327" s="16"/>
      <c r="AO327" s="44"/>
      <c r="AP327" s="44"/>
    </row>
    <row r="328" spans="1:42" s="1" customFormat="1" ht="15.5">
      <c r="A328" s="26"/>
      <c r="B328" s="7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7"/>
      <c r="R328" s="8"/>
      <c r="S328" s="8"/>
      <c r="T328" s="7"/>
      <c r="U328" s="8"/>
      <c r="V328" s="8"/>
      <c r="W328" s="7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15"/>
      <c r="AM328" s="16"/>
      <c r="AO328" s="44"/>
      <c r="AP328" s="44"/>
    </row>
    <row r="329" spans="1:42" s="1" customFormat="1" ht="15.5">
      <c r="A329" s="26"/>
      <c r="B329" s="7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7"/>
      <c r="R329" s="8"/>
      <c r="S329" s="8"/>
      <c r="T329" s="7"/>
      <c r="U329" s="8"/>
      <c r="V329" s="8"/>
      <c r="W329" s="7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15"/>
      <c r="AM329" s="16"/>
      <c r="AO329" s="44"/>
      <c r="AP329" s="44"/>
    </row>
    <row r="330" spans="1:42" s="1" customFormat="1" ht="15.5">
      <c r="A330" s="26"/>
      <c r="B330" s="7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7"/>
      <c r="R330" s="8"/>
      <c r="S330" s="8"/>
      <c r="T330" s="7"/>
      <c r="U330" s="8"/>
      <c r="V330" s="8"/>
      <c r="W330" s="7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15"/>
      <c r="AM330" s="16"/>
      <c r="AO330" s="44"/>
      <c r="AP330" s="44"/>
    </row>
    <row r="331" spans="1:42" s="1" customFormat="1" ht="15.5">
      <c r="A331" s="26"/>
      <c r="B331" s="7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7"/>
      <c r="R331" s="8"/>
      <c r="S331" s="8"/>
      <c r="T331" s="7"/>
      <c r="U331" s="8"/>
      <c r="V331" s="8"/>
      <c r="W331" s="7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15"/>
      <c r="AM331" s="16"/>
      <c r="AO331" s="44"/>
      <c r="AP331" s="44"/>
    </row>
    <row r="332" spans="1:42" s="1" customFormat="1" ht="15.5">
      <c r="A332" s="26"/>
      <c r="B332" s="7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7"/>
      <c r="R332" s="8"/>
      <c r="S332" s="8"/>
      <c r="T332" s="7"/>
      <c r="U332" s="8"/>
      <c r="V332" s="8"/>
      <c r="W332" s="7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15"/>
      <c r="AM332" s="16"/>
      <c r="AO332" s="44"/>
      <c r="AP332" s="44"/>
    </row>
    <row r="333" spans="1:42" s="1" customFormat="1" ht="15.5">
      <c r="A333" s="26"/>
      <c r="B333" s="7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7"/>
      <c r="R333" s="8"/>
      <c r="S333" s="8"/>
      <c r="T333" s="7"/>
      <c r="U333" s="8"/>
      <c r="V333" s="8"/>
      <c r="W333" s="7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15"/>
      <c r="AM333" s="16"/>
      <c r="AO333" s="44"/>
      <c r="AP333" s="44"/>
    </row>
    <row r="334" spans="1:42" s="1" customFormat="1" ht="15.5">
      <c r="A334" s="26"/>
      <c r="B334" s="7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7"/>
      <c r="R334" s="8"/>
      <c r="S334" s="8"/>
      <c r="T334" s="7"/>
      <c r="U334" s="8"/>
      <c r="V334" s="8"/>
      <c r="W334" s="7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15"/>
      <c r="AM334" s="16"/>
      <c r="AO334" s="44"/>
      <c r="AP334" s="44"/>
    </row>
    <row r="335" spans="1:42" s="1" customFormat="1" ht="15.5">
      <c r="A335" s="26"/>
      <c r="B335" s="7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7"/>
      <c r="R335" s="8"/>
      <c r="S335" s="8"/>
      <c r="T335" s="7"/>
      <c r="U335" s="8"/>
      <c r="V335" s="8"/>
      <c r="W335" s="7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15"/>
      <c r="AM335" s="16"/>
      <c r="AO335" s="44"/>
      <c r="AP335" s="44"/>
    </row>
    <row r="336" spans="1:42" s="1" customFormat="1" ht="15.5">
      <c r="A336" s="26"/>
      <c r="B336" s="7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7"/>
      <c r="R336" s="8"/>
      <c r="S336" s="8"/>
      <c r="T336" s="7"/>
      <c r="U336" s="8"/>
      <c r="V336" s="8"/>
      <c r="W336" s="7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15"/>
      <c r="AM336" s="16"/>
      <c r="AO336" s="44"/>
      <c r="AP336" s="44"/>
    </row>
    <row r="337" spans="1:42" s="1" customFormat="1" ht="15.5">
      <c r="A337" s="26"/>
      <c r="B337" s="7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7"/>
      <c r="R337" s="8"/>
      <c r="S337" s="8"/>
      <c r="T337" s="7"/>
      <c r="U337" s="8"/>
      <c r="V337" s="8"/>
      <c r="W337" s="7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15"/>
      <c r="AM337" s="16"/>
      <c r="AO337" s="44"/>
      <c r="AP337" s="44"/>
    </row>
    <row r="338" spans="1:42" s="1" customFormat="1" ht="15.5">
      <c r="A338" s="26"/>
      <c r="B338" s="7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7"/>
      <c r="R338" s="8"/>
      <c r="S338" s="8"/>
      <c r="T338" s="7"/>
      <c r="U338" s="8"/>
      <c r="V338" s="8"/>
      <c r="W338" s="7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15"/>
      <c r="AM338" s="16"/>
      <c r="AO338" s="44"/>
      <c r="AP338" s="44"/>
    </row>
    <row r="339" spans="1:42" s="1" customFormat="1" ht="15.5">
      <c r="A339" s="26"/>
      <c r="B339" s="7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7"/>
      <c r="R339" s="8"/>
      <c r="S339" s="8"/>
      <c r="T339" s="7"/>
      <c r="U339" s="8"/>
      <c r="V339" s="8"/>
      <c r="W339" s="7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15"/>
      <c r="AM339" s="16"/>
      <c r="AO339" s="44"/>
      <c r="AP339" s="44"/>
    </row>
    <row r="340" spans="1:42" s="1" customFormat="1" ht="15.5">
      <c r="A340" s="26"/>
      <c r="B340" s="7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7"/>
      <c r="R340" s="8"/>
      <c r="S340" s="8"/>
      <c r="T340" s="7"/>
      <c r="U340" s="8"/>
      <c r="V340" s="8"/>
      <c r="W340" s="7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15"/>
      <c r="AM340" s="16"/>
      <c r="AO340" s="44"/>
      <c r="AP340" s="44"/>
    </row>
    <row r="341" spans="1:42" s="1" customFormat="1" ht="15.5">
      <c r="A341" s="26"/>
      <c r="B341" s="7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7"/>
      <c r="R341" s="8"/>
      <c r="S341" s="8"/>
      <c r="T341" s="7"/>
      <c r="U341" s="8"/>
      <c r="V341" s="8"/>
      <c r="W341" s="7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15"/>
      <c r="AM341" s="16"/>
      <c r="AO341" s="44"/>
      <c r="AP341" s="44"/>
    </row>
    <row r="342" spans="1:42" s="1" customFormat="1" ht="15.5">
      <c r="A342" s="26"/>
      <c r="B342" s="7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7"/>
      <c r="R342" s="8"/>
      <c r="S342" s="8"/>
      <c r="T342" s="7"/>
      <c r="U342" s="8"/>
      <c r="V342" s="8"/>
      <c r="W342" s="7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15"/>
      <c r="AM342" s="16"/>
      <c r="AO342" s="44"/>
      <c r="AP342" s="44"/>
    </row>
    <row r="343" spans="1:42" s="1" customFormat="1" ht="15.5">
      <c r="A343" s="26"/>
      <c r="B343" s="7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7"/>
      <c r="R343" s="8"/>
      <c r="S343" s="8"/>
      <c r="T343" s="7"/>
      <c r="U343" s="8"/>
      <c r="V343" s="8"/>
      <c r="W343" s="7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15"/>
      <c r="AM343" s="16"/>
      <c r="AO343" s="44"/>
      <c r="AP343" s="44"/>
    </row>
    <row r="344" spans="1:42" s="1" customFormat="1" ht="15.5">
      <c r="A344" s="26"/>
      <c r="B344" s="7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7"/>
      <c r="R344" s="8"/>
      <c r="S344" s="8"/>
      <c r="T344" s="7"/>
      <c r="U344" s="8"/>
      <c r="V344" s="8"/>
      <c r="W344" s="7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15"/>
      <c r="AM344" s="16"/>
      <c r="AO344" s="44"/>
      <c r="AP344" s="44"/>
    </row>
    <row r="345" spans="1:42" s="1" customFormat="1" ht="15.5">
      <c r="A345" s="26"/>
      <c r="B345" s="7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7"/>
      <c r="R345" s="8"/>
      <c r="S345" s="8"/>
      <c r="T345" s="7"/>
      <c r="U345" s="8"/>
      <c r="V345" s="8"/>
      <c r="W345" s="7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15"/>
      <c r="AM345" s="16"/>
      <c r="AO345" s="44"/>
      <c r="AP345" s="44"/>
    </row>
    <row r="346" spans="1:42" s="1" customFormat="1" ht="15.5">
      <c r="A346" s="26"/>
      <c r="B346" s="7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7"/>
      <c r="R346" s="8"/>
      <c r="S346" s="8"/>
      <c r="T346" s="7"/>
      <c r="U346" s="8"/>
      <c r="V346" s="8"/>
      <c r="W346" s="7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15"/>
      <c r="AM346" s="16"/>
      <c r="AO346" s="44"/>
      <c r="AP346" s="44"/>
    </row>
    <row r="347" spans="1:42" s="1" customFormat="1" ht="15.5">
      <c r="A347" s="26"/>
      <c r="B347" s="7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7"/>
      <c r="R347" s="8"/>
      <c r="S347" s="8"/>
      <c r="T347" s="7"/>
      <c r="U347" s="8"/>
      <c r="V347" s="8"/>
      <c r="W347" s="7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15"/>
      <c r="AM347" s="16"/>
      <c r="AO347" s="44"/>
      <c r="AP347" s="44"/>
    </row>
    <row r="348" spans="1:42" s="1" customFormat="1" ht="15.5">
      <c r="A348" s="26"/>
      <c r="B348" s="7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7"/>
      <c r="R348" s="8"/>
      <c r="S348" s="8"/>
      <c r="T348" s="7"/>
      <c r="U348" s="8"/>
      <c r="V348" s="8"/>
      <c r="W348" s="7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15"/>
      <c r="AM348" s="16"/>
      <c r="AO348" s="44"/>
      <c r="AP348" s="44"/>
    </row>
    <row r="349" spans="1:42" s="1" customFormat="1" ht="15.5">
      <c r="A349" s="26"/>
      <c r="B349" s="7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7"/>
      <c r="R349" s="8"/>
      <c r="S349" s="8"/>
      <c r="T349" s="7"/>
      <c r="U349" s="8"/>
      <c r="V349" s="8"/>
      <c r="W349" s="7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15"/>
      <c r="AM349" s="16"/>
      <c r="AO349" s="44"/>
      <c r="AP349" s="44"/>
    </row>
    <row r="350" spans="1:42" s="1" customFormat="1" ht="15.5">
      <c r="A350" s="26"/>
      <c r="B350" s="7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7"/>
      <c r="R350" s="8"/>
      <c r="S350" s="8"/>
      <c r="T350" s="7"/>
      <c r="U350" s="8"/>
      <c r="V350" s="8"/>
      <c r="W350" s="7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15"/>
      <c r="AM350" s="16"/>
      <c r="AO350" s="44"/>
      <c r="AP350" s="44"/>
    </row>
    <row r="351" spans="1:42" s="1" customFormat="1" ht="15.5">
      <c r="A351" s="26"/>
      <c r="B351" s="7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7"/>
      <c r="R351" s="8"/>
      <c r="S351" s="8"/>
      <c r="T351" s="7"/>
      <c r="U351" s="8"/>
      <c r="V351" s="8"/>
      <c r="W351" s="7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15"/>
      <c r="AM351" s="16"/>
      <c r="AO351" s="44"/>
      <c r="AP351" s="44"/>
    </row>
    <row r="352" spans="1:42" s="1" customFormat="1" ht="15.5">
      <c r="A352" s="26"/>
      <c r="B352" s="7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7"/>
      <c r="R352" s="8"/>
      <c r="S352" s="8"/>
      <c r="T352" s="7"/>
      <c r="U352" s="8"/>
      <c r="V352" s="8"/>
      <c r="W352" s="7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15"/>
      <c r="AM352" s="16"/>
      <c r="AO352" s="44"/>
      <c r="AP352" s="44"/>
    </row>
    <row r="353" spans="1:42" s="1" customFormat="1" ht="15.5">
      <c r="A353" s="26"/>
      <c r="B353" s="7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7"/>
      <c r="R353" s="8"/>
      <c r="S353" s="8"/>
      <c r="T353" s="7"/>
      <c r="U353" s="8"/>
      <c r="V353" s="8"/>
      <c r="W353" s="7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15"/>
      <c r="AM353" s="16"/>
      <c r="AO353" s="44"/>
      <c r="AP353" s="44"/>
    </row>
    <row r="354" spans="1:42" s="1" customFormat="1" ht="15.5">
      <c r="A354" s="26"/>
      <c r="B354" s="7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7"/>
      <c r="R354" s="8"/>
      <c r="S354" s="8"/>
      <c r="T354" s="7"/>
      <c r="U354" s="8"/>
      <c r="V354" s="8"/>
      <c r="W354" s="7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15"/>
      <c r="AM354" s="16"/>
      <c r="AO354" s="44"/>
      <c r="AP354" s="44"/>
    </row>
    <row r="355" spans="1:42" s="1" customFormat="1" ht="15.5">
      <c r="A355" s="26"/>
      <c r="B355" s="7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7"/>
      <c r="R355" s="8"/>
      <c r="S355" s="8"/>
      <c r="T355" s="7"/>
      <c r="U355" s="8"/>
      <c r="V355" s="8"/>
      <c r="W355" s="7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15"/>
      <c r="AM355" s="16"/>
      <c r="AO355" s="44"/>
      <c r="AP355" s="44"/>
    </row>
    <row r="356" spans="1:42" s="1" customFormat="1" ht="15.5">
      <c r="A356" s="26"/>
      <c r="B356" s="7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7"/>
      <c r="R356" s="8"/>
      <c r="S356" s="8"/>
      <c r="T356" s="7"/>
      <c r="U356" s="8"/>
      <c r="V356" s="8"/>
      <c r="W356" s="7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15"/>
      <c r="AM356" s="16"/>
      <c r="AO356" s="44"/>
      <c r="AP356" s="44"/>
    </row>
    <row r="357" spans="1:42" s="1" customFormat="1" ht="15.5">
      <c r="A357" s="26"/>
      <c r="B357" s="7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7"/>
      <c r="R357" s="8"/>
      <c r="S357" s="8"/>
      <c r="T357" s="7"/>
      <c r="U357" s="8"/>
      <c r="V357" s="8"/>
      <c r="W357" s="7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15"/>
      <c r="AM357" s="16"/>
      <c r="AO357" s="44"/>
      <c r="AP357" s="44"/>
    </row>
    <row r="358" spans="1:42" s="1" customFormat="1" ht="15.5">
      <c r="A358" s="26"/>
      <c r="B358" s="7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7"/>
      <c r="R358" s="8"/>
      <c r="S358" s="8"/>
      <c r="T358" s="7"/>
      <c r="U358" s="8"/>
      <c r="V358" s="8"/>
      <c r="W358" s="7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15"/>
      <c r="AM358" s="16"/>
      <c r="AO358" s="44"/>
      <c r="AP358" s="44"/>
    </row>
    <row r="359" spans="1:42" s="1" customFormat="1" ht="15.5">
      <c r="A359" s="26"/>
      <c r="B359" s="7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7"/>
      <c r="R359" s="8"/>
      <c r="S359" s="8"/>
      <c r="T359" s="7"/>
      <c r="U359" s="8"/>
      <c r="V359" s="8"/>
      <c r="W359" s="7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15"/>
      <c r="AM359" s="16"/>
      <c r="AO359" s="44"/>
      <c r="AP359" s="44"/>
    </row>
    <row r="360" spans="1:42" s="1" customFormat="1" ht="15.5">
      <c r="A360" s="26"/>
      <c r="B360" s="7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7"/>
      <c r="R360" s="8"/>
      <c r="S360" s="8"/>
      <c r="T360" s="7"/>
      <c r="U360" s="8"/>
      <c r="V360" s="8"/>
      <c r="W360" s="7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15"/>
      <c r="AM360" s="16"/>
      <c r="AO360" s="44"/>
      <c r="AP360" s="44"/>
    </row>
    <row r="361" spans="1:42" s="1" customFormat="1" ht="15.5">
      <c r="A361" s="26"/>
      <c r="B361" s="7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7"/>
      <c r="R361" s="8"/>
      <c r="S361" s="8"/>
      <c r="T361" s="7"/>
      <c r="U361" s="8"/>
      <c r="V361" s="8"/>
      <c r="W361" s="7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15"/>
      <c r="AM361" s="16"/>
      <c r="AO361" s="44"/>
      <c r="AP361" s="44"/>
    </row>
    <row r="362" spans="1:42" s="1" customFormat="1" ht="15.5">
      <c r="A362" s="26"/>
      <c r="B362" s="7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7"/>
      <c r="R362" s="8"/>
      <c r="S362" s="8"/>
      <c r="T362" s="7"/>
      <c r="U362" s="8"/>
      <c r="V362" s="8"/>
      <c r="W362" s="7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15"/>
      <c r="AM362" s="16"/>
      <c r="AO362" s="44"/>
      <c r="AP362" s="44"/>
    </row>
    <row r="363" spans="1:42" s="1" customFormat="1" ht="15.5">
      <c r="A363" s="26"/>
      <c r="B363" s="7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7"/>
      <c r="R363" s="8"/>
      <c r="S363" s="8"/>
      <c r="T363" s="7"/>
      <c r="U363" s="8"/>
      <c r="V363" s="8"/>
      <c r="W363" s="7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15"/>
      <c r="AM363" s="16"/>
      <c r="AO363" s="44"/>
      <c r="AP363" s="44"/>
    </row>
  </sheetData>
  <mergeCells count="13">
    <mergeCell ref="Q1:R1"/>
    <mergeCell ref="B1:C1"/>
    <mergeCell ref="E1:F1"/>
    <mergeCell ref="H1:I1"/>
    <mergeCell ref="K1:L1"/>
    <mergeCell ref="N1:O1"/>
    <mergeCell ref="AL1:AM1"/>
    <mergeCell ref="T1:U1"/>
    <mergeCell ref="W1:X1"/>
    <mergeCell ref="Z1:AA1"/>
    <mergeCell ref="AC1:AD1"/>
    <mergeCell ref="AF1:AG1"/>
    <mergeCell ref="AI1:AJ1"/>
  </mergeCells>
  <pageMargins left="0.7" right="0.7" top="0.75" bottom="0.75" header="0.3" footer="0.3"/>
  <pageSetup paperSize="9" orientation="portrait" r:id="rId1"/>
  <customProperties>
    <customPr name="_pios_id" r:id="rId2"/>
    <customPr name="EpmWorksheetKeyString_GUID" r:id="rId3"/>
  </customProperties>
  <ignoredErrors>
    <ignoredError sqref="AB265:AB272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165E2-E16F-4D1F-8612-283E55BF1DE3}">
  <dimension ref="A1:BE362"/>
  <sheetViews>
    <sheetView showGridLines="0" zoomScale="55" zoomScaleNormal="55" workbookViewId="0">
      <pane xSplit="1" ySplit="4" topLeftCell="T5" activePane="bottomRight" state="frozen"/>
      <selection pane="topRight" activeCell="B1" sqref="B1"/>
      <selection pane="bottomLeft" activeCell="A5" sqref="A5"/>
      <selection pane="bottomRight" activeCell="AA12" sqref="AA12"/>
    </sheetView>
  </sheetViews>
  <sheetFormatPr defaultColWidth="9.1796875" defaultRowHeight="14.5"/>
  <cols>
    <col min="1" max="1" width="51.54296875" style="4" bestFit="1" customWidth="1"/>
    <col min="2" max="3" width="14.453125" style="9" bestFit="1" customWidth="1"/>
    <col min="4" max="4" width="2.81640625" style="9" customWidth="1"/>
    <col min="5" max="6" width="14.453125" style="9" customWidth="1"/>
    <col min="7" max="7" width="2.81640625" style="9" customWidth="1"/>
    <col min="8" max="9" width="14.453125" style="9" customWidth="1"/>
    <col min="10" max="10" width="2.81640625" style="9" customWidth="1"/>
    <col min="11" max="11" width="14.453125" style="9" customWidth="1"/>
    <col min="12" max="12" width="16.453125" style="9" customWidth="1"/>
    <col min="13" max="13" width="2.81640625" style="9" customWidth="1"/>
    <col min="14" max="15" width="14.453125" style="9" customWidth="1"/>
    <col min="16" max="16" width="2.81640625" style="9" customWidth="1"/>
    <col min="17" max="18" width="14.453125" style="9" customWidth="1"/>
    <col min="19" max="19" width="2.81640625" style="9" customWidth="1"/>
    <col min="20" max="21" width="14.453125" style="9" customWidth="1"/>
    <col min="22" max="22" width="2.81640625" style="9" customWidth="1"/>
    <col min="23" max="24" width="14.453125" style="9" customWidth="1"/>
    <col min="25" max="25" width="2.81640625" style="9" customWidth="1"/>
    <col min="26" max="27" width="14.453125" style="9" customWidth="1"/>
    <col min="28" max="28" width="2.81640625" style="9" customWidth="1"/>
    <col min="29" max="29" width="15" style="9" hidden="1" customWidth="1"/>
    <col min="30" max="30" width="14.453125" style="9" hidden="1" customWidth="1"/>
    <col min="31" max="31" width="2.81640625" style="9" hidden="1" customWidth="1"/>
    <col min="32" max="33" width="14.453125" style="9" hidden="1" customWidth="1"/>
    <col min="34" max="34" width="2.81640625" style="9" hidden="1" customWidth="1"/>
    <col min="35" max="36" width="14.453125" style="9" hidden="1" customWidth="1"/>
    <col min="37" max="37" width="0.453125" style="9" hidden="1" customWidth="1"/>
    <col min="38" max="38" width="14.453125" style="9" bestFit="1" customWidth="1"/>
    <col min="39" max="39" width="10.453125" style="6" customWidth="1"/>
    <col min="41" max="42" width="9.1796875" customWidth="1"/>
    <col min="43" max="43" width="14.453125" bestFit="1" customWidth="1"/>
    <col min="44" max="44" width="13.26953125" bestFit="1" customWidth="1"/>
    <col min="46" max="47" width="11.453125" bestFit="1" customWidth="1"/>
  </cols>
  <sheetData>
    <row r="1" spans="1:46" s="42" customFormat="1">
      <c r="A1" s="59" t="str">
        <f>Z1</f>
        <v>EYLÜL</v>
      </c>
      <c r="B1" s="449" t="s">
        <v>41</v>
      </c>
      <c r="C1" s="450"/>
      <c r="D1" s="39"/>
      <c r="E1" s="449" t="s">
        <v>42</v>
      </c>
      <c r="F1" s="450"/>
      <c r="G1" s="39"/>
      <c r="H1" s="449" t="s">
        <v>43</v>
      </c>
      <c r="I1" s="450"/>
      <c r="J1" s="39"/>
      <c r="K1" s="449" t="s">
        <v>44</v>
      </c>
      <c r="L1" s="450"/>
      <c r="M1" s="39"/>
      <c r="N1" s="449" t="s">
        <v>45</v>
      </c>
      <c r="O1" s="450"/>
      <c r="P1" s="39"/>
      <c r="Q1" s="449" t="s">
        <v>46</v>
      </c>
      <c r="R1" s="450"/>
      <c r="S1" s="39"/>
      <c r="T1" s="449" t="s">
        <v>47</v>
      </c>
      <c r="U1" s="450"/>
      <c r="V1" s="39"/>
      <c r="W1" s="449" t="s">
        <v>48</v>
      </c>
      <c r="X1" s="450"/>
      <c r="Y1" s="39"/>
      <c r="Z1" s="449" t="s">
        <v>49</v>
      </c>
      <c r="AA1" s="450"/>
      <c r="AB1" s="39"/>
      <c r="AC1" s="449" t="s">
        <v>50</v>
      </c>
      <c r="AD1" s="450"/>
      <c r="AE1" s="39"/>
      <c r="AF1" s="449" t="s">
        <v>51</v>
      </c>
      <c r="AG1" s="450"/>
      <c r="AH1" s="39"/>
      <c r="AI1" s="449" t="s">
        <v>52</v>
      </c>
      <c r="AJ1" s="450"/>
      <c r="AK1" s="39"/>
      <c r="AL1" s="448"/>
      <c r="AM1" s="448"/>
    </row>
    <row r="2" spans="1:46" s="1" customFormat="1">
      <c r="A2" s="3"/>
      <c r="B2" s="11" t="s">
        <v>53</v>
      </c>
      <c r="C2" s="11" t="s">
        <v>54</v>
      </c>
      <c r="D2" s="8"/>
      <c r="E2" s="11" t="s">
        <v>53</v>
      </c>
      <c r="F2" s="11" t="s">
        <v>54</v>
      </c>
      <c r="G2" s="8"/>
      <c r="H2" s="11" t="s">
        <v>53</v>
      </c>
      <c r="I2" s="11" t="s">
        <v>54</v>
      </c>
      <c r="J2" s="8"/>
      <c r="K2" s="11" t="s">
        <v>53</v>
      </c>
      <c r="L2" s="11" t="s">
        <v>54</v>
      </c>
      <c r="M2" s="8"/>
      <c r="N2" s="11" t="s">
        <v>53</v>
      </c>
      <c r="O2" s="11" t="s">
        <v>54</v>
      </c>
      <c r="P2" s="8"/>
      <c r="Q2" s="11" t="s">
        <v>53</v>
      </c>
      <c r="R2" s="11" t="s">
        <v>54</v>
      </c>
      <c r="S2" s="8"/>
      <c r="T2" s="11" t="s">
        <v>53</v>
      </c>
      <c r="U2" s="11" t="s">
        <v>54</v>
      </c>
      <c r="V2" s="8"/>
      <c r="W2" s="11" t="s">
        <v>53</v>
      </c>
      <c r="X2" s="11" t="s">
        <v>54</v>
      </c>
      <c r="Y2" s="8"/>
      <c r="Z2" s="11" t="s">
        <v>53</v>
      </c>
      <c r="AA2" s="11" t="s">
        <v>54</v>
      </c>
      <c r="AB2" s="8"/>
      <c r="AC2" s="11" t="s">
        <v>53</v>
      </c>
      <c r="AD2" s="11" t="s">
        <v>54</v>
      </c>
      <c r="AE2" s="8"/>
      <c r="AF2" s="11" t="s">
        <v>53</v>
      </c>
      <c r="AG2" s="11" t="s">
        <v>54</v>
      </c>
      <c r="AH2" s="8"/>
      <c r="AI2" s="11" t="s">
        <v>53</v>
      </c>
      <c r="AJ2" s="11" t="s">
        <v>54</v>
      </c>
      <c r="AK2" s="8"/>
      <c r="AL2" s="11" t="s">
        <v>55</v>
      </c>
      <c r="AM2" s="11" t="s">
        <v>56</v>
      </c>
      <c r="AO2" s="43" t="s">
        <v>53</v>
      </c>
      <c r="AP2" s="43" t="s">
        <v>54</v>
      </c>
    </row>
    <row r="3" spans="1:46" ht="15.5">
      <c r="A3" s="2" t="s">
        <v>57</v>
      </c>
      <c r="B3" s="10">
        <f>'Bütçe aylık-TL'!$B$2</f>
        <v>37.515625</v>
      </c>
      <c r="C3" s="10">
        <f>'gerç aylık-tl'!$B$2</f>
        <v>37.184399999999997</v>
      </c>
      <c r="D3" s="10"/>
      <c r="E3" s="10">
        <f>'Bütçe aylık-TL'!$C$2</f>
        <v>38.281250000000007</v>
      </c>
      <c r="F3" s="10">
        <f>'gerç aylık-tl'!$C$2</f>
        <v>38.103999999999999</v>
      </c>
      <c r="G3" s="10"/>
      <c r="H3" s="10">
        <f>'Bütçe aylık-TL'!$D$2</f>
        <v>39.046875</v>
      </c>
      <c r="I3" s="10">
        <f>'gerç aylık-tl'!$D$2</f>
        <v>40.701900000000002</v>
      </c>
      <c r="J3" s="10"/>
      <c r="K3" s="10">
        <f>'Bütçe aylık-TL'!$E$2</f>
        <v>39.8125</v>
      </c>
      <c r="L3" s="10">
        <f>'gerç aylık-tl'!$E$2</f>
        <v>43.6858</v>
      </c>
      <c r="M3" s="10"/>
      <c r="N3" s="10">
        <f>'Bütçe aylık-TL'!$F$2</f>
        <v>40.578125000000007</v>
      </c>
      <c r="O3" s="10">
        <f>'gerç aylık-tl'!$F$2</f>
        <v>44.270600000000002</v>
      </c>
      <c r="P3" s="10"/>
      <c r="Q3" s="10">
        <f>'Bütçe aylık-TL'!$G$2</f>
        <v>41.34375</v>
      </c>
      <c r="R3" s="10">
        <f>'gerç aylık-tl'!$G$2</f>
        <v>46.552599999999998</v>
      </c>
      <c r="S3" s="10"/>
      <c r="T3" s="10">
        <f>'Bütçe aylık-TL'!$H$2</f>
        <v>42.109375</v>
      </c>
      <c r="U3" s="10">
        <f>'gerç aylık-tl'!$H$2</f>
        <v>46.7684</v>
      </c>
      <c r="V3" s="10"/>
      <c r="W3" s="10">
        <f>'Bütçe aylık-TL'!$I$2</f>
        <v>42.875000000000007</v>
      </c>
      <c r="X3" s="10">
        <f>'gerç aylık-tl'!$I$2</f>
        <v>47.784100000000002</v>
      </c>
      <c r="Y3" s="10"/>
      <c r="Z3" s="10">
        <f>'Bütçe aylık-TL'!$J$2</f>
        <v>43.640625</v>
      </c>
      <c r="AA3" s="10">
        <f>'gerç aylık-tl'!$J$2</f>
        <v>48.647899999999993</v>
      </c>
      <c r="AB3" s="10"/>
      <c r="AC3" s="10">
        <f>'Bütçe aylık-TL'!$K$2</f>
        <v>44.40625</v>
      </c>
      <c r="AD3" s="10" t="e">
        <f>'gerç aylık-tl'!$K$2</f>
        <v>#DIV/0!</v>
      </c>
      <c r="AE3" s="10"/>
      <c r="AF3" s="10">
        <f>'Bütçe aylık-TL'!$L$2</f>
        <v>45.171875000000007</v>
      </c>
      <c r="AG3" s="10" t="e">
        <f>'gerç aylık-tl'!$L$2</f>
        <v>#DIV/0!</v>
      </c>
      <c r="AH3" s="10"/>
      <c r="AI3" s="10">
        <f>'Bütçe aylık-TL'!$M$2</f>
        <v>45.9375</v>
      </c>
      <c r="AJ3" s="10" t="e">
        <f>'gerç aylık-tl'!$M$2</f>
        <v>#DIV/0!</v>
      </c>
      <c r="AK3" s="10"/>
      <c r="AL3" s="25">
        <f>AP3-AO3</f>
        <v>5.0072749999999928</v>
      </c>
      <c r="AM3" s="22">
        <f>AP3/AO3-1</f>
        <v>0.11473884711779436</v>
      </c>
      <c r="AO3" s="44">
        <f>IF($A$1=$B$1,B3,IF($A$1=$E$1,E3,IF($A$1=$H$1,H3,IF($A$1=$K$1,K3,IF($A$1=$N$1,N3,IF($A$1=$Q$1,Q3,IF($A$1=$T$1,T3,IF($A$1=$W$1,W3,IF($A$1=$Z$1,Z3,IF($A$1=$AC$1,AC3,IF($A$1=$AF$1,AF3,IF($A$1=$AI$1,AI3))))))))))))</f>
        <v>43.640625</v>
      </c>
      <c r="AP3" s="44">
        <f>IF($A$1=$B$1,C3,IF($A$1=$E$1,F3,IF($A$1=$H$1,I3,IF($A$1=$K$1,L3,IF($A$1=$N$1,O3,IF($A$1=$Q$1,R3,IF($A$1=$T$1,U3,IF($A$1=$W$1,X3,IF($A$1=$Z$1,AA3,IF($A$1=$AC$1,AD3,IF($A$1=$AF$1,AG3,IF($A$1=$AI$1,AJ3))))))))))))</f>
        <v>48.647899999999993</v>
      </c>
    </row>
    <row r="4" spans="1:46" ht="15.5">
      <c r="A4" s="2" t="s">
        <v>58</v>
      </c>
      <c r="B4" s="10">
        <f>'Bütçe aylık-TL'!$B$3</f>
        <v>37.1328125</v>
      </c>
      <c r="C4" s="10">
        <f>'gerç aylık-tl'!$B$3</f>
        <v>36.689261290322584</v>
      </c>
      <c r="D4" s="10"/>
      <c r="E4" s="10">
        <f>'Bütçe aylık-TL'!$C$3</f>
        <v>37.8984375</v>
      </c>
      <c r="F4" s="10">
        <f>'gerç aylık-tl'!$C$3</f>
        <v>37.57770714285715</v>
      </c>
      <c r="G4" s="10"/>
      <c r="H4" s="10">
        <f>'Bütçe aylık-TL'!$D$3</f>
        <v>38.6640625</v>
      </c>
      <c r="I4" s="10">
        <f>'gerç aylık-tl'!$D$3</f>
        <v>39.849870967741943</v>
      </c>
      <c r="J4" s="10"/>
      <c r="K4" s="10">
        <f>'Bütçe aylık-TL'!$E$3</f>
        <v>39.4296875</v>
      </c>
      <c r="L4" s="10">
        <f>'gerç aylık-tl'!$E$3</f>
        <v>42.673176666666649</v>
      </c>
      <c r="M4" s="10"/>
      <c r="N4" s="10">
        <f>'Bütçe aylık-TL'!$F$3</f>
        <v>40.1953125</v>
      </c>
      <c r="O4" s="10">
        <f>'gerç aylık-tl'!$F$3</f>
        <v>43.629358064516119</v>
      </c>
      <c r="P4" s="10"/>
      <c r="Q4" s="10">
        <f>'Bütçe aylık-TL'!$G$3</f>
        <v>40.9609375</v>
      </c>
      <c r="R4" s="10">
        <f>'gerç aylık-tl'!$G$3</f>
        <v>45.227209999999999</v>
      </c>
      <c r="S4" s="10"/>
      <c r="T4" s="10">
        <f>'Bütçe aylık-TL'!$H$3</f>
        <v>41.7265625</v>
      </c>
      <c r="U4" s="10">
        <f>'gerç aylık-tl'!$H$3</f>
        <v>46.914206451612912</v>
      </c>
      <c r="V4" s="10"/>
      <c r="W4" s="10">
        <f>'Bütçe aylık-TL'!$I$3</f>
        <v>42.4921875</v>
      </c>
      <c r="X4" s="10">
        <f>'gerç aylık-tl'!$I$3</f>
        <v>47.302506451612928</v>
      </c>
      <c r="Y4" s="10"/>
      <c r="Z4" s="10">
        <f>'Bütçe aylık-TL'!$J$3</f>
        <v>43.2578125</v>
      </c>
      <c r="AA4" s="10">
        <f>'gerç aylık-tl'!$J$3</f>
        <v>48.337949999999999</v>
      </c>
      <c r="AB4" s="10"/>
      <c r="AC4" s="10">
        <f>'Bütçe aylık-TL'!$K$3</f>
        <v>44.0234375</v>
      </c>
      <c r="AD4" s="10" t="e">
        <f>'gerç aylık-tl'!$K$3</f>
        <v>#DIV/0!</v>
      </c>
      <c r="AE4" s="10"/>
      <c r="AF4" s="10">
        <f>'Bütçe aylık-TL'!$L$3</f>
        <v>44.7890625</v>
      </c>
      <c r="AG4" s="10" t="e">
        <f>'gerç aylık-tl'!$L$3</f>
        <v>#DIV/0!</v>
      </c>
      <c r="AH4" s="10"/>
      <c r="AI4" s="10">
        <f>'Bütçe aylık-TL'!$M$3</f>
        <v>45.5546875</v>
      </c>
      <c r="AJ4" s="10" t="e">
        <f>'gerç aylık-tl'!$M$3</f>
        <v>#DIV/0!</v>
      </c>
      <c r="AK4" s="10"/>
      <c r="AL4" s="25">
        <f>AP4-AO4</f>
        <v>5.0801374999999993</v>
      </c>
      <c r="AM4" s="22">
        <f>AP4/AO4-1</f>
        <v>0.11743861296731084</v>
      </c>
      <c r="AO4" s="44">
        <f>IF($A$1=$B$1,B4,IF($A$1=$E$1,E4,IF($A$1=$H$1,H4,IF($A$1=$K$1,K4,IF($A$1=$N$1,N4,IF($A$1=$Q$1,Q4,IF($A$1=$T$1,T4,IF($A$1=$W$1,W4,IF($A$1=$Z$1,Z4,IF($A$1=$AC$1,AC4,IF($A$1=$AF$1,AF4,IF($A$1=$AI$1,AI4))))))))))))</f>
        <v>43.2578125</v>
      </c>
      <c r="AP4" s="44">
        <f>IF($A$1=$B$1,C4,IF($A$1=$E$1,F4,IF($A$1=$H$1,I4,IF($A$1=$K$1,L4,IF($A$1=$N$1,O4,IF($A$1=$Q$1,R4,IF($A$1=$T$1,U4,IF($A$1=$W$1,X4,IF($A$1=$Z$1,AA4,IF($A$1=$AC$1,AD4,IF($A$1=$AF$1,AG4,IF($A$1=$AI$1,AJ4))))))))))))</f>
        <v>48.337949999999999</v>
      </c>
    </row>
    <row r="5" spans="1:46" ht="15.5">
      <c r="A5" s="2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5"/>
      <c r="AL5" s="25"/>
      <c r="AM5" s="22"/>
      <c r="AO5" s="44"/>
      <c r="AP5" s="44"/>
    </row>
    <row r="6" spans="1:46" s="44" customFormat="1" ht="15.5">
      <c r="A6" s="31" t="s">
        <v>59</v>
      </c>
      <c r="B6" s="32">
        <f>'Bütçe aylık-TL'!$B$4</f>
        <v>1024903389.2242652</v>
      </c>
      <c r="C6" s="32">
        <f>'gerç aylık-tl'!$B$4</f>
        <v>1108323900.5098851</v>
      </c>
      <c r="D6" s="18"/>
      <c r="E6" s="32">
        <f>'Bütçe aylık-TL'!$C$4</f>
        <v>1064947438.893929</v>
      </c>
      <c r="F6" s="32">
        <f>'gerç aylık-tl'!$C$4</f>
        <v>1018036724.3288656</v>
      </c>
      <c r="G6" s="18"/>
      <c r="H6" s="32">
        <f>'Bütçe aylık-TL'!$D$4</f>
        <v>1202582122.2854581</v>
      </c>
      <c r="I6" s="32">
        <f>'gerç aylık-tl'!$D$4</f>
        <v>1116680625.327153</v>
      </c>
      <c r="J6" s="18"/>
      <c r="K6" s="32">
        <f>'Bütçe aylık-TL'!$E$4</f>
        <v>1139591575.5939732</v>
      </c>
      <c r="L6" s="32">
        <f>'gerç aylık-tl'!$E$4</f>
        <v>1135215925.4054241</v>
      </c>
      <c r="M6" s="18"/>
      <c r="N6" s="32">
        <f>'Bütçe aylık-TL'!$F$4</f>
        <v>1205793757.8193243</v>
      </c>
      <c r="O6" s="32">
        <f>'gerç aylık-tl'!$F$4</f>
        <v>1234686963.0705419</v>
      </c>
      <c r="P6" s="18"/>
      <c r="Q6" s="32">
        <f>'Bütçe aylık-TL'!$G$4</f>
        <v>1192783341.4542959</v>
      </c>
      <c r="R6" s="32">
        <f>'gerç aylık-tl'!$G$4</f>
        <v>1072721651.3164947</v>
      </c>
      <c r="S6" s="18"/>
      <c r="T6" s="32">
        <f>'Bütçe aylık-TL'!$H$4</f>
        <v>1245652884.7872283</v>
      </c>
      <c r="U6" s="32">
        <f>'gerç aylık-tl'!$H$4</f>
        <v>1276100809.988601</v>
      </c>
      <c r="V6" s="18"/>
      <c r="W6" s="32">
        <f>'Bütçe aylık-TL'!$I$4</f>
        <v>1118799945.6769838</v>
      </c>
      <c r="X6" s="32">
        <f>'gerç aylık-tl'!$I$4</f>
        <v>1036995077.4614034</v>
      </c>
      <c r="Y6" s="18"/>
      <c r="Z6" s="32">
        <f>'Bütçe aylık-TL'!$J$4</f>
        <v>1422059573.9416382</v>
      </c>
      <c r="AA6" s="32">
        <f>'gerç aylık-tl'!$J$4</f>
        <v>1264247222.1315184</v>
      </c>
      <c r="AB6" s="18"/>
      <c r="AC6" s="32">
        <f>'Bütçe aylık-TL'!$K$4</f>
        <v>1454016425.6051753</v>
      </c>
      <c r="AD6" s="32">
        <f>'gerç aylık-tl'!$K$4</f>
        <v>0</v>
      </c>
      <c r="AE6" s="18"/>
      <c r="AF6" s="32">
        <f>'Bütçe aylık-TL'!$L$4</f>
        <v>1419448949.9574564</v>
      </c>
      <c r="AG6" s="32">
        <f>'gerç aylık-tl'!$L$4</f>
        <v>0</v>
      </c>
      <c r="AH6" s="18"/>
      <c r="AI6" s="32">
        <f>'Bütçe aylık-TL'!$M$4</f>
        <v>1308775017.3340573</v>
      </c>
      <c r="AJ6" s="32">
        <f>'gerç aylık-tl'!$M$4</f>
        <v>0</v>
      </c>
      <c r="AK6" s="18"/>
      <c r="AL6" s="33">
        <f>AP6-AO6</f>
        <v>-157812351.81011987</v>
      </c>
      <c r="AM6" s="34">
        <f>AP6/AO6-1</f>
        <v>-0.11097450114041185</v>
      </c>
      <c r="AO6" s="44">
        <f>IF($A$1=$B$1,B6,IF($A$1=$E$1,E6,IF($A$1=$H$1,H6,IF($A$1=$K$1,K6,IF($A$1=$N$1,N6,IF($A$1=$Q$1,Q6,IF($A$1=$T$1,T6,IF($A$1=$W$1,W6,IF($A$1=$Z$1,Z6,IF($A$1=$AC$1,AC6,IF($A$1=$AF$1,AF6,IF($A$1=$AI$1,AI6))))))))))))</f>
        <v>1422059573.9416382</v>
      </c>
      <c r="AP6" s="44">
        <f>IF($A$1=$B$1,C6,IF($A$1=$E$1,F6,IF($A$1=$H$1,I6,IF($A$1=$K$1,L6,IF($A$1=$N$1,O6,IF($A$1=$Q$1,R6,IF($A$1=$T$1,U6,IF($A$1=$W$1,X6,IF($A$1=$Z$1,AA6,IF($A$1=$AC$1,AD6,IF($A$1=$AF$1,AG6,IF($A$1=$AI$1,AJ6))))))))))))</f>
        <v>1264247222.1315184</v>
      </c>
    </row>
    <row r="7" spans="1:46" s="46" customFormat="1" ht="15.5">
      <c r="A7" s="17"/>
      <c r="B7" s="28"/>
      <c r="C7" s="28"/>
      <c r="D7" s="40"/>
      <c r="E7" s="28"/>
      <c r="F7" s="28"/>
      <c r="G7" s="40"/>
      <c r="H7" s="28"/>
      <c r="I7" s="28"/>
      <c r="J7" s="40"/>
      <c r="K7" s="28"/>
      <c r="L7" s="28"/>
      <c r="M7" s="40"/>
      <c r="N7" s="28"/>
      <c r="O7" s="28"/>
      <c r="P7" s="40"/>
      <c r="Q7" s="28"/>
      <c r="R7" s="28"/>
      <c r="S7" s="40"/>
      <c r="T7" s="28"/>
      <c r="U7" s="28"/>
      <c r="V7" s="40"/>
      <c r="W7" s="28"/>
      <c r="X7" s="28"/>
      <c r="Y7" s="40"/>
      <c r="Z7" s="28"/>
      <c r="AA7" s="28"/>
      <c r="AB7" s="40"/>
      <c r="AC7" s="28"/>
      <c r="AD7" s="28"/>
      <c r="AE7" s="40"/>
      <c r="AF7" s="28"/>
      <c r="AG7" s="28"/>
      <c r="AH7" s="40"/>
      <c r="AI7" s="28"/>
      <c r="AJ7" s="28"/>
      <c r="AK7" s="40"/>
      <c r="AL7" s="21"/>
      <c r="AM7" s="22"/>
      <c r="AO7" s="44"/>
      <c r="AP7" s="44"/>
    </row>
    <row r="8" spans="1:46" s="51" customFormat="1" ht="17">
      <c r="A8" s="47" t="s">
        <v>60</v>
      </c>
      <c r="B8" s="411"/>
      <c r="C8" s="412"/>
      <c r="D8" s="411"/>
      <c r="E8" s="411"/>
      <c r="F8" s="412"/>
      <c r="G8" s="411"/>
      <c r="H8" s="411"/>
      <c r="I8" s="412"/>
      <c r="J8" s="411"/>
      <c r="K8" s="411"/>
      <c r="L8" s="412"/>
      <c r="M8" s="411"/>
      <c r="N8" s="411"/>
      <c r="O8" s="412"/>
      <c r="P8" s="411"/>
      <c r="Q8" s="411"/>
      <c r="R8" s="412"/>
      <c r="S8" s="411"/>
      <c r="T8" s="411"/>
      <c r="U8" s="412"/>
      <c r="V8" s="411"/>
      <c r="W8" s="411"/>
      <c r="X8" s="412"/>
      <c r="Y8" s="411"/>
      <c r="Z8" s="411"/>
      <c r="AA8" s="412"/>
      <c r="AB8" s="411"/>
      <c r="AC8" s="411"/>
      <c r="AD8" s="412"/>
      <c r="AE8" s="411"/>
      <c r="AF8" s="411"/>
      <c r="AG8" s="412"/>
      <c r="AH8" s="411"/>
      <c r="AI8" s="411"/>
      <c r="AJ8" s="412"/>
      <c r="AK8" s="411"/>
      <c r="AL8" s="411"/>
      <c r="AM8" s="50"/>
    </row>
    <row r="9" spans="1:46" ht="15.5">
      <c r="A9" s="26" t="s">
        <v>10</v>
      </c>
      <c r="B9" s="14">
        <f>'Bütçe aylık-TL'!$B$5</f>
        <v>26545528.129195999</v>
      </c>
      <c r="C9" s="14">
        <f>'gerç aylık-tl'!$B$5</f>
        <v>27685618.760000002</v>
      </c>
      <c r="D9" s="14"/>
      <c r="E9" s="14">
        <f>'Bütçe aylık-TL'!$C$5</f>
        <v>27419454.852079999</v>
      </c>
      <c r="F9" s="14">
        <f>'gerç aylık-tl'!$C$5</f>
        <v>27240937.43</v>
      </c>
      <c r="G9" s="14"/>
      <c r="H9" s="14">
        <f>'Bütçe aylık-TL'!$D$5</f>
        <v>31329207.733908001</v>
      </c>
      <c r="I9" s="14">
        <f>'gerç aylık-tl'!$D$5</f>
        <v>31535255.789999999</v>
      </c>
      <c r="J9" s="14"/>
      <c r="K9" s="14">
        <f>'Bütçe aylık-TL'!$E$5</f>
        <v>29281597.259668998</v>
      </c>
      <c r="L9" s="14">
        <f>'gerç aylık-tl'!$E$5</f>
        <v>29402553.02</v>
      </c>
      <c r="M9" s="14"/>
      <c r="N9" s="14">
        <f>'Bütçe aylık-TL'!$F$5</f>
        <v>31342694.999007002</v>
      </c>
      <c r="O9" s="14">
        <f>'gerç aylık-tl'!$F$5</f>
        <v>33960256.899999999</v>
      </c>
      <c r="P9" s="14"/>
      <c r="Q9" s="14">
        <f>'Bütçe aylık-TL'!$G$5</f>
        <v>31233975.816438001</v>
      </c>
      <c r="R9" s="14">
        <f>'gerç aylık-tl'!$G$5</f>
        <v>30228396.75</v>
      </c>
      <c r="S9" s="14"/>
      <c r="T9" s="14">
        <f>'Bütçe aylık-TL'!$H$5</f>
        <v>31573143.019611999</v>
      </c>
      <c r="U9" s="14">
        <f>'gerç aylık-tl'!$H$5</f>
        <v>34244104.310000002</v>
      </c>
      <c r="V9" s="14"/>
      <c r="W9" s="14">
        <f>'Bütçe aylık-TL'!$I$5</f>
        <v>28520352.709957998</v>
      </c>
      <c r="X9" s="14">
        <f>'gerç aylık-tl'!$I$5</f>
        <v>28560673.09</v>
      </c>
      <c r="Y9" s="14"/>
      <c r="Z9" s="14">
        <f>'Bütçe aylık-TL'!$J$5</f>
        <v>37892064.132505</v>
      </c>
      <c r="AA9" s="14">
        <f>'gerç aylık-tl'!$J$5</f>
        <v>38184861.780000001</v>
      </c>
      <c r="AB9" s="14"/>
      <c r="AC9" s="14">
        <f>'Bütçe aylık-TL'!$K$5</f>
        <v>37505344.068428002</v>
      </c>
      <c r="AD9" s="14">
        <f>'gerç aylık-tl'!$K$5</f>
        <v>0</v>
      </c>
      <c r="AE9" s="14"/>
      <c r="AF9" s="14">
        <f>'Bütçe aylık-TL'!$L$5</f>
        <v>36577447.339893997</v>
      </c>
      <c r="AG9" s="14">
        <f>'gerç aylık-tl'!$L$5</f>
        <v>0</v>
      </c>
      <c r="AH9" s="14"/>
      <c r="AI9" s="14">
        <f>'Bütçe aylık-TL'!$M$5</f>
        <v>33129305.915796999</v>
      </c>
      <c r="AJ9" s="14">
        <f>'gerç aylık-tl'!$M$5</f>
        <v>0</v>
      </c>
      <c r="AK9" s="14"/>
      <c r="AL9" s="21">
        <f t="shared" ref="AL9:AL16" si="0">AP9-AO9</f>
        <v>292797.64749500155</v>
      </c>
      <c r="AM9" s="22">
        <f t="shared" ref="AM9:AM16" si="1">AP9/AO9-1</f>
        <v>7.7271495812716307E-3</v>
      </c>
      <c r="AO9" s="44">
        <f t="shared" ref="AO9:AO18" si="2">IF($A$1=$B$1,B9,IF($A$1=$E$1,E9,IF($A$1=$H$1,H9,IF($A$1=$K$1,K9,IF($A$1=$N$1,N9,IF($A$1=$Q$1,Q9,IF($A$1=$T$1,T9,IF($A$1=$W$1,W9,IF($A$1=$Z$1,Z9,IF($A$1=$AC$1,AC9,IF($A$1=$AF$1,AF9,IF($A$1=$AI$1,AI9))))))))))))</f>
        <v>37892064.132505</v>
      </c>
      <c r="AP9" s="44">
        <f t="shared" ref="AP9:AP18" si="3">IF($A$1=$B$1,C9,IF($A$1=$E$1,F9,IF($A$1=$H$1,I9,IF($A$1=$K$1,L9,IF($A$1=$N$1,O9,IF($A$1=$Q$1,R9,IF($A$1=$T$1,U9,IF($A$1=$W$1,X9,IF($A$1=$Z$1,AA9,IF($A$1=$AC$1,AD9,IF($A$1=$AF$1,AG9,IF($A$1=$AI$1,AJ9))))))))))))</f>
        <v>38184861.780000001</v>
      </c>
    </row>
    <row r="10" spans="1:46" ht="15.5">
      <c r="A10" s="26" t="s">
        <v>11</v>
      </c>
      <c r="B10" s="7">
        <f>'Bütçe aylık-TL'!$B$6</f>
        <v>30975828.359198</v>
      </c>
      <c r="C10" s="14">
        <f>'gerç aylık-tl'!$B$6</f>
        <v>32357755.789999999</v>
      </c>
      <c r="D10" s="7"/>
      <c r="E10" s="7">
        <f>'Bütçe aylık-TL'!$C$6</f>
        <v>36666749.369537003</v>
      </c>
      <c r="F10" s="14">
        <f>'gerç aylık-tl'!$C$6</f>
        <v>35193652.340000004</v>
      </c>
      <c r="G10" s="7"/>
      <c r="H10" s="7">
        <f>'Bütçe aylık-TL'!$D$6</f>
        <v>38146616.995186999</v>
      </c>
      <c r="I10" s="14">
        <f>'gerç aylık-tl'!$D$6</f>
        <v>27740792.986951999</v>
      </c>
      <c r="J10" s="7"/>
      <c r="K10" s="7">
        <f>'Bütçe aylık-TL'!$E$6</f>
        <v>41827659.784394003</v>
      </c>
      <c r="L10" s="14">
        <f>'gerç aylık-tl'!$E$6</f>
        <v>19929064.649999999</v>
      </c>
      <c r="M10" s="7"/>
      <c r="N10" s="7">
        <f>'Bütçe aylık-TL'!$F$6</f>
        <v>40063080.589518003</v>
      </c>
      <c r="O10" s="14">
        <f>'gerç aylık-tl'!$F$6</f>
        <v>30761832.024137001</v>
      </c>
      <c r="P10" s="7"/>
      <c r="Q10" s="7">
        <f>'Bütçe aylık-TL'!$G$6</f>
        <v>41660348.205920003</v>
      </c>
      <c r="R10" s="14">
        <f>'gerç aylık-tl'!$G$6</f>
        <v>28657698.271554999</v>
      </c>
      <c r="S10" s="7"/>
      <c r="T10" s="7">
        <f>'Bütçe aylık-TL'!$H$6</f>
        <v>35643814.935524002</v>
      </c>
      <c r="U10" s="14">
        <f>'gerç aylık-tl'!$H$6</f>
        <v>32542328.115862999</v>
      </c>
      <c r="V10" s="7"/>
      <c r="W10" s="7">
        <f>'Bütçe aylık-TL'!$I$6</f>
        <v>25346566.440802</v>
      </c>
      <c r="X10" s="14">
        <f>'gerç aylık-tl'!$I$6</f>
        <v>23673542.793625001</v>
      </c>
      <c r="Y10" s="7"/>
      <c r="Z10" s="7">
        <f>'Bütçe aylık-TL'!$J$6</f>
        <v>27278546.023129001</v>
      </c>
      <c r="AA10" s="14">
        <f>'gerç aylık-tl'!$J$6</f>
        <v>21918891.565492999</v>
      </c>
      <c r="AB10" s="7"/>
      <c r="AC10" s="7">
        <f>'Bütçe aylık-TL'!$K$6</f>
        <v>23703427.960809</v>
      </c>
      <c r="AD10" s="14">
        <f>'gerç aylık-tl'!$K$6</f>
        <v>0</v>
      </c>
      <c r="AE10" s="7"/>
      <c r="AF10" s="7">
        <f>'Bütçe aylık-TL'!$L$6</f>
        <v>21707748.698757999</v>
      </c>
      <c r="AG10" s="14">
        <f>'gerç aylık-tl'!$L$6</f>
        <v>0</v>
      </c>
      <c r="AH10" s="7"/>
      <c r="AI10" s="7">
        <f>'Bütçe aylık-TL'!$M$6</f>
        <v>19695934.511744998</v>
      </c>
      <c r="AJ10" s="14">
        <f>'gerç aylık-tl'!$M$6</f>
        <v>0</v>
      </c>
      <c r="AK10" s="7"/>
      <c r="AL10" s="21">
        <f t="shared" si="0"/>
        <v>-5359654.4576360025</v>
      </c>
      <c r="AM10" s="22">
        <f t="shared" si="1"/>
        <v>-0.19647874388509001</v>
      </c>
      <c r="AO10" s="44">
        <f t="shared" si="2"/>
        <v>27278546.023129001</v>
      </c>
      <c r="AP10" s="44">
        <f t="shared" si="3"/>
        <v>21918891.565492999</v>
      </c>
    </row>
    <row r="11" spans="1:46" ht="15.5">
      <c r="A11" s="26" t="s">
        <v>12</v>
      </c>
      <c r="B11" s="7">
        <f>'Bütçe aylık-TL'!$B$7</f>
        <v>36913368.130399004</v>
      </c>
      <c r="C11" s="14">
        <f>'gerç aylık-tl'!$B$7</f>
        <v>35513406</v>
      </c>
      <c r="D11" s="7"/>
      <c r="E11" s="7">
        <f>'Bütçe aylık-TL'!$C$7</f>
        <v>37421189.601752996</v>
      </c>
      <c r="F11" s="14">
        <f>'gerç aylık-tl'!$C$7</f>
        <v>39038405.439999998</v>
      </c>
      <c r="G11" s="7"/>
      <c r="H11" s="7">
        <f>'Bütçe aylık-TL'!$D$7</f>
        <v>49968968.744177997</v>
      </c>
      <c r="I11" s="14">
        <f>'gerç aylık-tl'!$D$7</f>
        <v>60533764.219999999</v>
      </c>
      <c r="J11" s="7"/>
      <c r="K11" s="7">
        <f>'Bütçe aylık-TL'!$E$7</f>
        <v>52871185.721780002</v>
      </c>
      <c r="L11" s="14">
        <f>'gerç aylık-tl'!$E$7</f>
        <v>53992372.090000004</v>
      </c>
      <c r="M11" s="7"/>
      <c r="N11" s="7">
        <f>'Bütçe aylık-TL'!$F$7</f>
        <v>58327490.752295002</v>
      </c>
      <c r="O11" s="14">
        <f>'gerç aylık-tl'!$F$7</f>
        <v>32613902.629999999</v>
      </c>
      <c r="P11" s="7"/>
      <c r="Q11" s="7">
        <f>'Bütçe aylık-TL'!$G$7</f>
        <v>59530606.564533003</v>
      </c>
      <c r="R11" s="14">
        <f>'gerç aylık-tl'!$G$7</f>
        <v>40687120</v>
      </c>
      <c r="S11" s="7"/>
      <c r="T11" s="7">
        <f>'Bütçe aylık-TL'!$H$7</f>
        <v>74416328.526947007</v>
      </c>
      <c r="U11" s="14">
        <f>'gerç aylık-tl'!$H$7</f>
        <v>43498745.082999997</v>
      </c>
      <c r="V11" s="7"/>
      <c r="W11" s="7">
        <f>'Bütçe aylık-TL'!$I$7</f>
        <v>61066437.521908</v>
      </c>
      <c r="X11" s="14">
        <f>'gerç aylık-tl'!$I$7</f>
        <v>39339382.658</v>
      </c>
      <c r="Y11" s="7"/>
      <c r="Z11" s="7">
        <f>'Bütçe aylık-TL'!$J$7</f>
        <v>61200324.314139001</v>
      </c>
      <c r="AA11" s="14">
        <f>'gerç aylık-tl'!$J$7</f>
        <v>43053392</v>
      </c>
      <c r="AB11" s="7"/>
      <c r="AC11" s="7">
        <f>'Bütçe aylık-TL'!$K$7</f>
        <v>64071597.922632001</v>
      </c>
      <c r="AD11" s="14">
        <f>'gerç aylık-tl'!$K$7</f>
        <v>0</v>
      </c>
      <c r="AE11" s="7"/>
      <c r="AF11" s="7">
        <f>'Bütçe aylık-TL'!$L$7</f>
        <v>77488469.048926994</v>
      </c>
      <c r="AG11" s="14">
        <f>'gerç aylık-tl'!$L$7</f>
        <v>0</v>
      </c>
      <c r="AH11" s="7"/>
      <c r="AI11" s="7">
        <f>'Bütçe aylık-TL'!$M$7</f>
        <v>67512216.799790993</v>
      </c>
      <c r="AJ11" s="14">
        <f>'gerç aylık-tl'!$M$7</f>
        <v>0</v>
      </c>
      <c r="AK11" s="7"/>
      <c r="AL11" s="21">
        <f t="shared" si="0"/>
        <v>-18146932.314139001</v>
      </c>
      <c r="AM11" s="22">
        <f t="shared" si="1"/>
        <v>-0.29651693054748318</v>
      </c>
      <c r="AO11" s="44">
        <f t="shared" si="2"/>
        <v>61200324.314139001</v>
      </c>
      <c r="AP11" s="44">
        <f t="shared" si="3"/>
        <v>43053392</v>
      </c>
    </row>
    <row r="12" spans="1:46" ht="15.5">
      <c r="A12" s="26" t="s">
        <v>13</v>
      </c>
      <c r="B12" s="7">
        <f>'Bütçe aylık-TL'!$B$8</f>
        <v>709368965.38185596</v>
      </c>
      <c r="C12" s="14">
        <f>'gerç aylık-tl'!$B$8</f>
        <v>782938063.39272201</v>
      </c>
      <c r="D12" s="7"/>
      <c r="E12" s="7">
        <f>'Bütçe aylık-TL'!$C$8</f>
        <v>736915987.45576704</v>
      </c>
      <c r="F12" s="14">
        <f>'gerç aylık-tl'!$C$8</f>
        <v>568538272.47659802</v>
      </c>
      <c r="G12" s="7"/>
      <c r="H12" s="7">
        <f>'Bütçe aylık-TL'!$D$8</f>
        <v>786849814.53307104</v>
      </c>
      <c r="I12" s="14">
        <f>'gerç aylık-tl'!$D$8</f>
        <v>508107712.36039102</v>
      </c>
      <c r="J12" s="7"/>
      <c r="K12" s="7">
        <f>'Bütçe aylık-TL'!$E$8</f>
        <v>764718161.91986203</v>
      </c>
      <c r="L12" s="14">
        <f>'gerç aylık-tl'!$E$8</f>
        <v>530641674.386563</v>
      </c>
      <c r="M12" s="7"/>
      <c r="N12" s="7">
        <f>'Bütçe aylık-TL'!$F$8</f>
        <v>749350187.71627998</v>
      </c>
      <c r="O12" s="14">
        <f>'gerç aylık-tl'!$F$8</f>
        <v>622131820.50458097</v>
      </c>
      <c r="P12" s="7"/>
      <c r="Q12" s="7">
        <f>'Bütçe aylık-TL'!$G$8</f>
        <v>767773853.503721</v>
      </c>
      <c r="R12" s="14">
        <f>'gerç aylık-tl'!$G$8</f>
        <v>392537865.89451092</v>
      </c>
      <c r="S12" s="7"/>
      <c r="T12" s="7">
        <f>'Bütçe aylık-TL'!$H$8</f>
        <v>913353819.40268004</v>
      </c>
      <c r="U12" s="14">
        <f>'gerç aylık-tl'!$H$8</f>
        <v>768493134.594257</v>
      </c>
      <c r="V12" s="7"/>
      <c r="W12" s="7">
        <f>'Bütçe aylık-TL'!$I$8</f>
        <v>896320785.62122297</v>
      </c>
      <c r="X12" s="14">
        <f>'gerç aylık-tl'!$I$8</f>
        <v>676204104.31007099</v>
      </c>
      <c r="Y12" s="7"/>
      <c r="Z12" s="7">
        <f>'Bütçe aylık-TL'!$J$8</f>
        <v>975159968.36942613</v>
      </c>
      <c r="AA12" s="14">
        <f>'gerç aylık-tl'!$J$8</f>
        <v>520131339.97574103</v>
      </c>
      <c r="AB12" s="7"/>
      <c r="AC12" s="7">
        <f>'Bütçe aylık-TL'!$K$8</f>
        <v>1131618188.3995399</v>
      </c>
      <c r="AD12" s="14">
        <f>'gerç aylık-tl'!$K$8</f>
        <v>0</v>
      </c>
      <c r="AE12" s="7"/>
      <c r="AF12" s="7">
        <f>'Bütçe aylık-TL'!$L$8</f>
        <v>1144323357.51107</v>
      </c>
      <c r="AG12" s="14">
        <f>'gerç aylık-tl'!$L$8</f>
        <v>0</v>
      </c>
      <c r="AH12" s="7"/>
      <c r="AI12" s="7">
        <f>'Bütçe aylık-TL'!$M$8</f>
        <v>1185874708.25933</v>
      </c>
      <c r="AJ12" s="14">
        <f>'gerç aylık-tl'!$M$8</f>
        <v>0</v>
      </c>
      <c r="AK12" s="7"/>
      <c r="AL12" s="21">
        <f t="shared" si="0"/>
        <v>-455028628.3936851</v>
      </c>
      <c r="AM12" s="22">
        <f t="shared" si="1"/>
        <v>-0.46661947080799737</v>
      </c>
      <c r="AO12" s="44">
        <f t="shared" si="2"/>
        <v>975159968.36942613</v>
      </c>
      <c r="AP12" s="44">
        <f t="shared" si="3"/>
        <v>520131339.97574103</v>
      </c>
    </row>
    <row r="13" spans="1:46" s="1" customFormat="1" ht="15.5">
      <c r="A13" s="26" t="s">
        <v>14</v>
      </c>
      <c r="B13" s="7">
        <f>'Bütçe aylık-TL'!$B$9</f>
        <v>245460323</v>
      </c>
      <c r="C13" s="14">
        <f>'gerç aylık-tl'!$B$9</f>
        <v>220670632.91999999</v>
      </c>
      <c r="D13" s="8"/>
      <c r="E13" s="7">
        <f>'Bütçe aylık-TL'!$C$9</f>
        <v>258889733</v>
      </c>
      <c r="F13" s="14">
        <f>'gerç aylık-tl'!$C$9</f>
        <v>213814573.56</v>
      </c>
      <c r="G13" s="8"/>
      <c r="H13" s="7">
        <f>'Bütçe aylık-TL'!$D$9</f>
        <v>261529390</v>
      </c>
      <c r="I13" s="14">
        <f>'gerç aylık-tl'!$D$9</f>
        <v>256039547.94408</v>
      </c>
      <c r="J13" s="8"/>
      <c r="K13" s="7">
        <f>'Bütçe aylık-TL'!$E$9</f>
        <v>265175211.06501499</v>
      </c>
      <c r="L13" s="14">
        <f>'gerç aylık-tl'!$E$9</f>
        <v>217190611.34000003</v>
      </c>
      <c r="M13" s="8"/>
      <c r="N13" s="7">
        <f>'Bütçe aylık-TL'!$F$9</f>
        <v>277344848.30275702</v>
      </c>
      <c r="O13" s="14">
        <f>'gerç aylık-tl'!$F$9</f>
        <v>245295850.72999999</v>
      </c>
      <c r="P13" s="8"/>
      <c r="Q13" s="7">
        <f>'Bütçe aylık-TL'!$G$9</f>
        <v>231445100.92182299</v>
      </c>
      <c r="R13" s="14">
        <f>'gerç aylık-tl'!$G$9</f>
        <v>197850836.74000001</v>
      </c>
      <c r="S13" s="8"/>
      <c r="T13" s="7">
        <f>'Bütçe aylık-TL'!$H$9</f>
        <v>287274704.174523</v>
      </c>
      <c r="U13" s="14">
        <f>'gerç aylık-tl'!$H$9</f>
        <v>248473969.84</v>
      </c>
      <c r="V13" s="8"/>
      <c r="W13" s="7">
        <f>'Bütçe aylık-TL'!$I$9</f>
        <v>257215657.98723599</v>
      </c>
      <c r="X13" s="14">
        <f>'gerç aylık-tl'!$I$9</f>
        <v>216259699.13000003</v>
      </c>
      <c r="Y13" s="8"/>
      <c r="Z13" s="7">
        <f>'Bütçe aylık-TL'!$J$9</f>
        <v>257739774.345415</v>
      </c>
      <c r="AA13" s="14">
        <f>'gerç aylık-tl'!$J$9</f>
        <v>261201150.17999902</v>
      </c>
      <c r="AB13" s="8"/>
      <c r="AC13" s="7">
        <f>'Bütçe aylık-TL'!$K$9</f>
        <v>335298803.01918298</v>
      </c>
      <c r="AD13" s="14">
        <f>'gerç aylık-tl'!$K$9</f>
        <v>0</v>
      </c>
      <c r="AE13" s="8"/>
      <c r="AF13" s="7">
        <f>'Bütçe aylık-TL'!$L$9</f>
        <v>285687473.35756999</v>
      </c>
      <c r="AG13" s="14">
        <f>'gerç aylık-tl'!$L$9</f>
        <v>0</v>
      </c>
      <c r="AH13" s="8"/>
      <c r="AI13" s="7">
        <f>'Bütçe aylık-TL'!$M$9</f>
        <v>286762654.74282098</v>
      </c>
      <c r="AJ13" s="14">
        <f>'gerç aylık-tl'!$M$9</f>
        <v>0</v>
      </c>
      <c r="AK13" s="8"/>
      <c r="AL13" s="21">
        <f t="shared" si="0"/>
        <v>3461375.8345840275</v>
      </c>
      <c r="AM13" s="22">
        <f t="shared" si="1"/>
        <v>1.3429730988842925E-2</v>
      </c>
      <c r="AO13" s="44">
        <f t="shared" si="2"/>
        <v>257739774.345415</v>
      </c>
      <c r="AP13" s="44">
        <f t="shared" si="3"/>
        <v>261201150.17999902</v>
      </c>
      <c r="AT13" s="129"/>
    </row>
    <row r="14" spans="1:46" ht="15.5">
      <c r="A14" s="26" t="s">
        <v>15</v>
      </c>
      <c r="B14" s="7">
        <f>'Bütçe aylık-TL'!$B$10</f>
        <v>373139832.95033634</v>
      </c>
      <c r="C14" s="14">
        <f>'gerç aylık-tl'!$B$10</f>
        <v>425797958.99209809</v>
      </c>
      <c r="D14" s="7"/>
      <c r="E14" s="7">
        <f>'Bütçe aylık-TL'!$C$10</f>
        <v>410336571.30753577</v>
      </c>
      <c r="F14" s="14">
        <f>'gerç aylık-tl'!$C$10</f>
        <v>433764461.23906916</v>
      </c>
      <c r="G14" s="7"/>
      <c r="H14" s="7">
        <f>'Bütçe aylık-TL'!$D$10</f>
        <v>486822030.33170474</v>
      </c>
      <c r="I14" s="14">
        <f>'gerç aylık-tl'!$D$10</f>
        <v>495059691.95639431</v>
      </c>
      <c r="J14" s="7"/>
      <c r="K14" s="7">
        <f>'Bütçe aylık-TL'!$E$10</f>
        <v>431063428.69562149</v>
      </c>
      <c r="L14" s="14">
        <f>'gerç aylık-tl'!$E$10</f>
        <v>516055035.604424</v>
      </c>
      <c r="M14" s="7"/>
      <c r="N14" s="7">
        <f>'Bütçe aylık-TL'!$F$10</f>
        <v>469359105.61597532</v>
      </c>
      <c r="O14" s="14">
        <f>'gerç aylık-tl'!$F$10</f>
        <v>552264529.50169766</v>
      </c>
      <c r="P14" s="7"/>
      <c r="Q14" s="7">
        <f>'Bütçe aylık-TL'!$G$10</f>
        <v>484899138.25057119</v>
      </c>
      <c r="R14" s="14">
        <f>'gerç aylık-tl'!$G$10</f>
        <v>564304126.55731869</v>
      </c>
      <c r="S14" s="7"/>
      <c r="T14" s="7">
        <f>'Bütçe aylık-TL'!$H$10</f>
        <v>392742906.17699045</v>
      </c>
      <c r="U14" s="14">
        <f>'gerç aylık-tl'!$H$10</f>
        <v>505302493.35364908</v>
      </c>
      <c r="V14" s="7"/>
      <c r="W14" s="7">
        <f>'Bütçe aylık-TL'!$I$10</f>
        <v>399632675.73426431</v>
      </c>
      <c r="X14" s="14">
        <f>'gerç aylık-tl'!$I$10</f>
        <v>452429420.28705376</v>
      </c>
      <c r="Y14" s="7"/>
      <c r="Z14" s="7">
        <f>'Bütçe aylık-TL'!$J$10</f>
        <v>599371893.94622219</v>
      </c>
      <c r="AA14" s="14">
        <f>'gerç aylık-tl'!$J$10</f>
        <v>571097340.53259325</v>
      </c>
      <c r="AB14" s="7"/>
      <c r="AC14" s="7">
        <f>'Bütçe aylık-TL'!$K$10</f>
        <v>528179495.80789781</v>
      </c>
      <c r="AD14" s="14">
        <f>'gerç aylık-tl'!$K$10</f>
        <v>0</v>
      </c>
      <c r="AE14" s="7"/>
      <c r="AF14" s="7">
        <f>'Bütçe aylık-TL'!$L$10</f>
        <v>511859012.6658023</v>
      </c>
      <c r="AG14" s="14">
        <f>'gerç aylık-tl'!$L$10</f>
        <v>0</v>
      </c>
      <c r="AH14" s="7"/>
      <c r="AI14" s="7">
        <f>'Bütçe aylık-TL'!$M$10</f>
        <v>454919773.39127201</v>
      </c>
      <c r="AJ14" s="14">
        <f>'gerç aylık-tl'!$M$10</f>
        <v>0</v>
      </c>
      <c r="AK14" s="7"/>
      <c r="AL14" s="21">
        <f>AP14-AO14</f>
        <v>-28274553.413628936</v>
      </c>
      <c r="AM14" s="22">
        <f t="shared" si="1"/>
        <v>-4.7173639103214038E-2</v>
      </c>
      <c r="AO14" s="44">
        <f t="shared" si="2"/>
        <v>599371893.94622219</v>
      </c>
      <c r="AP14" s="44">
        <f t="shared" si="3"/>
        <v>571097340.53259325</v>
      </c>
      <c r="AT14" s="94"/>
    </row>
    <row r="15" spans="1:46" ht="15.5">
      <c r="A15" s="26" t="s">
        <v>16</v>
      </c>
      <c r="B15" s="7">
        <f>'Bütçe aylık-TL'!$B$11</f>
        <v>281377812.54471111</v>
      </c>
      <c r="C15" s="14">
        <f>'gerç aylık-tl'!$B$11</f>
        <v>287297253.8614369</v>
      </c>
      <c r="D15" s="7"/>
      <c r="E15" s="7">
        <f>'Bütçe aylık-TL'!$C$11</f>
        <v>231296472.11590201</v>
      </c>
      <c r="F15" s="14">
        <f>'gerç aylık-tl'!$C$11</f>
        <v>328159694.0726437</v>
      </c>
      <c r="G15" s="7"/>
      <c r="H15" s="7">
        <f>'Bütçe aylık-TL'!$D$11</f>
        <v>308658276.42668355</v>
      </c>
      <c r="I15" s="14">
        <f>'gerç aylık-tl'!$D$11</f>
        <v>356633680.54717755</v>
      </c>
      <c r="J15" s="7"/>
      <c r="K15" s="7">
        <f>'Bütçe aylık-TL'!$E$11</f>
        <v>315230889.01873744</v>
      </c>
      <c r="L15" s="14">
        <f>'gerç aylık-tl'!$E$11</f>
        <v>374518592.54713416</v>
      </c>
      <c r="M15" s="7"/>
      <c r="N15" s="7">
        <f>'Bütçe aylık-TL'!$F$11</f>
        <v>316559097.09634161</v>
      </c>
      <c r="O15" s="14">
        <f>'gerç aylık-tl'!$F$11</f>
        <v>353121421.86434257</v>
      </c>
      <c r="P15" s="7"/>
      <c r="Q15" s="7">
        <f>'Bütçe aylık-TL'!$G$11</f>
        <v>284264282.78517014</v>
      </c>
      <c r="R15" s="14">
        <f>'gerç aylık-tl'!$G$11</f>
        <v>327589214.14316642</v>
      </c>
      <c r="S15" s="7"/>
      <c r="T15" s="7">
        <f>'Bütçe aylık-TL'!$H$11</f>
        <v>273209592.84117991</v>
      </c>
      <c r="U15" s="14">
        <f>'gerç aylık-tl'!$H$11</f>
        <v>377541295.76695955</v>
      </c>
      <c r="V15" s="7"/>
      <c r="W15" s="7">
        <f>'Bütçe aylık-TL'!$I$11</f>
        <v>249461358.51054639</v>
      </c>
      <c r="X15" s="14">
        <f>'gerç aylık-tl'!$I$11</f>
        <v>306178248.94203234</v>
      </c>
      <c r="Y15" s="7"/>
      <c r="Z15" s="7">
        <f>'Bütçe aylık-TL'!$J$11</f>
        <v>358774537.50202394</v>
      </c>
      <c r="AA15" s="14">
        <f>'gerç aylık-tl'!$J$11</f>
        <v>463530310.19122338</v>
      </c>
      <c r="AB15" s="7"/>
      <c r="AC15" s="7">
        <f>'Bütçe aylık-TL'!$K$11</f>
        <v>345908366.82625186</v>
      </c>
      <c r="AD15" s="14">
        <f>'gerç aylık-tl'!$K$11</f>
        <v>0</v>
      </c>
      <c r="AE15" s="7"/>
      <c r="AF15" s="7">
        <f>'Bütçe aylık-TL'!$L$11</f>
        <v>326425711.95134205</v>
      </c>
      <c r="AG15" s="14">
        <f>'gerç aylık-tl'!$L$11</f>
        <v>0</v>
      </c>
      <c r="AH15" s="7"/>
      <c r="AI15" s="7">
        <f>'Bütçe aylık-TL'!$M$11</f>
        <v>251291752.84330761</v>
      </c>
      <c r="AJ15" s="14">
        <f>'gerç aylık-tl'!$M$11</f>
        <v>0</v>
      </c>
      <c r="AK15" s="7"/>
      <c r="AL15" s="21">
        <f t="shared" si="0"/>
        <v>104755772.68919945</v>
      </c>
      <c r="AM15" s="22">
        <f t="shared" si="1"/>
        <v>0.29198218306840817</v>
      </c>
      <c r="AO15" s="44">
        <f t="shared" si="2"/>
        <v>358774537.50202394</v>
      </c>
      <c r="AP15" s="44">
        <f t="shared" si="3"/>
        <v>463530310.19122338</v>
      </c>
    </row>
    <row r="16" spans="1:46" ht="15.5">
      <c r="A16" s="26" t="s">
        <v>17</v>
      </c>
      <c r="B16" s="7">
        <f>'Bütçe aylık-TL'!$B$12</f>
        <v>716824727.63677692</v>
      </c>
      <c r="C16" s="14">
        <f>'gerç aylık-tl'!$B$12</f>
        <v>815213890.73345566</v>
      </c>
      <c r="D16" s="7"/>
      <c r="E16" s="7">
        <f>'Bütçe aylık-TL'!$C$12</f>
        <v>771161348.79719257</v>
      </c>
      <c r="F16" s="14">
        <f>'gerç aylık-tl'!$C$12</f>
        <v>747132321.44885278</v>
      </c>
      <c r="G16" s="7"/>
      <c r="H16" s="7">
        <f>'Bütçe aylık-TL'!$D$12</f>
        <v>863983810.73900342</v>
      </c>
      <c r="I16" s="14">
        <f>'gerç aylık-tl'!$D$12</f>
        <v>876336398.01745975</v>
      </c>
      <c r="J16" s="7"/>
      <c r="K16" s="7">
        <f>'Bütçe aylık-TL'!$E$12</f>
        <v>762840141.37108946</v>
      </c>
      <c r="L16" s="14">
        <f>'gerç aylık-tl'!$E$12</f>
        <v>941323925.23543894</v>
      </c>
      <c r="M16" s="7"/>
      <c r="N16" s="7">
        <f>'Bütçe aylık-TL'!$F$12</f>
        <v>877537989.96490669</v>
      </c>
      <c r="O16" s="14">
        <f>'gerç aylık-tl'!$F$12</f>
        <v>1070563806.1903912</v>
      </c>
      <c r="P16" s="7"/>
      <c r="Q16" s="7">
        <f>'Bütçe aylık-TL'!$G$12</f>
        <v>882513651.70722699</v>
      </c>
      <c r="R16" s="14">
        <f>'gerç aylık-tl'!$G$12</f>
        <v>950589047.40235293</v>
      </c>
      <c r="S16" s="7"/>
      <c r="T16" s="7">
        <f>'Bütçe aylık-TL'!$H$12</f>
        <v>893467973.16749001</v>
      </c>
      <c r="U16" s="14">
        <f>'gerç aylık-tl'!$H$12</f>
        <v>1014728187.6444793</v>
      </c>
      <c r="V16" s="7"/>
      <c r="W16" s="7">
        <f>'Bütçe aylık-TL'!$I$12</f>
        <v>707035994.6575197</v>
      </c>
      <c r="X16" s="14">
        <f>'gerç aylık-tl'!$I$12</f>
        <v>712482224.6302886</v>
      </c>
      <c r="Y16" s="7"/>
      <c r="Z16" s="7">
        <f>'Bütçe aylık-TL'!$J$12</f>
        <v>1048175424.5165756</v>
      </c>
      <c r="AA16" s="14">
        <f>'gerç aylık-tl'!$J$12</f>
        <v>1086765051.0855064</v>
      </c>
      <c r="AB16" s="7"/>
      <c r="AC16" s="7">
        <f>'Bütçe aylık-TL'!$K$12</f>
        <v>980835285.0803926</v>
      </c>
      <c r="AD16" s="14">
        <f>'gerç aylık-tl'!$K$12</f>
        <v>0</v>
      </c>
      <c r="AE16" s="7"/>
      <c r="AF16" s="7">
        <f>'Bütçe aylık-TL'!$L$12</f>
        <v>940892656.68890905</v>
      </c>
      <c r="AG16" s="14">
        <f>'gerç aylık-tl'!$L$12</f>
        <v>0</v>
      </c>
      <c r="AH16" s="7"/>
      <c r="AI16" s="7">
        <f>'Bütçe aylık-TL'!$M$12</f>
        <v>792245011.03007996</v>
      </c>
      <c r="AJ16" s="14">
        <f>'gerç aylık-tl'!$M$12</f>
        <v>0</v>
      </c>
      <c r="AK16" s="7"/>
      <c r="AL16" s="21">
        <f t="shared" si="0"/>
        <v>38589626.568930864</v>
      </c>
      <c r="AM16" s="22">
        <f t="shared" si="1"/>
        <v>3.6816000133497395E-2</v>
      </c>
      <c r="AO16" s="44">
        <f t="shared" si="2"/>
        <v>1048175424.5165756</v>
      </c>
      <c r="AP16" s="44">
        <f t="shared" si="3"/>
        <v>1086765051.0855064</v>
      </c>
    </row>
    <row r="17" spans="1:42" ht="15.5">
      <c r="A17" s="26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21"/>
      <c r="AM17" s="22"/>
      <c r="AO17" s="44">
        <f t="shared" si="2"/>
        <v>0</v>
      </c>
      <c r="AP17" s="44">
        <f t="shared" si="3"/>
        <v>0</v>
      </c>
    </row>
    <row r="18" spans="1:42" ht="15.5">
      <c r="A18" s="2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21"/>
      <c r="AM18" s="22"/>
      <c r="AO18" s="44">
        <f t="shared" si="2"/>
        <v>0</v>
      </c>
      <c r="AP18" s="44">
        <f t="shared" si="3"/>
        <v>0</v>
      </c>
    </row>
    <row r="19" spans="1:42" s="51" customFormat="1" ht="17">
      <c r="A19" s="47" t="s">
        <v>61</v>
      </c>
      <c r="B19" s="411"/>
      <c r="C19" s="412"/>
      <c r="D19" s="411"/>
      <c r="E19" s="411"/>
      <c r="F19" s="412"/>
      <c r="G19" s="411"/>
      <c r="H19" s="411"/>
      <c r="I19" s="412"/>
      <c r="J19" s="411"/>
      <c r="K19" s="411"/>
      <c r="L19" s="412"/>
      <c r="M19" s="411"/>
      <c r="N19" s="411"/>
      <c r="O19" s="412"/>
      <c r="P19" s="411"/>
      <c r="Q19" s="411"/>
      <c r="R19" s="412"/>
      <c r="S19" s="411"/>
      <c r="T19" s="411"/>
      <c r="U19" s="412"/>
      <c r="V19" s="411"/>
      <c r="W19" s="411"/>
      <c r="X19" s="412"/>
      <c r="Y19" s="411"/>
      <c r="Z19" s="411"/>
      <c r="AA19" s="412"/>
      <c r="AB19" s="411"/>
      <c r="AC19" s="411"/>
      <c r="AD19" s="412"/>
      <c r="AE19" s="411"/>
      <c r="AF19" s="411"/>
      <c r="AG19" s="412"/>
      <c r="AH19" s="411"/>
      <c r="AI19" s="411"/>
      <c r="AJ19" s="412"/>
      <c r="AK19" s="411"/>
      <c r="AL19" s="411"/>
      <c r="AM19" s="50"/>
    </row>
    <row r="20" spans="1:42" ht="15.5">
      <c r="A20" s="26" t="s">
        <v>10</v>
      </c>
      <c r="B20" s="56">
        <f>B9/B6</f>
        <v>2.5900517461736498E-2</v>
      </c>
      <c r="C20" s="56">
        <f>C9/C6</f>
        <v>2.4979718245959702E-2</v>
      </c>
      <c r="D20" s="14"/>
      <c r="E20" s="56">
        <f>E9/E6</f>
        <v>2.5747237704574672E-2</v>
      </c>
      <c r="F20" s="56">
        <f>F9/F6</f>
        <v>2.6758305254614874E-2</v>
      </c>
      <c r="G20" s="14"/>
      <c r="H20" s="56">
        <f>H9/H6</f>
        <v>2.6051616062916456E-2</v>
      </c>
      <c r="I20" s="56">
        <f>I9/I6</f>
        <v>2.8240174562678692E-2</v>
      </c>
      <c r="J20" s="56"/>
      <c r="K20" s="56">
        <f>K9/K6</f>
        <v>2.5694817236962257E-2</v>
      </c>
      <c r="L20" s="56">
        <f>L9/L6</f>
        <v>2.590040569550621E-2</v>
      </c>
      <c r="M20" s="56"/>
      <c r="N20" s="56">
        <f>N9/N6</f>
        <v>2.5993412883219935E-2</v>
      </c>
      <c r="O20" s="56">
        <f>O9/O6</f>
        <v>2.750515548940783E-2</v>
      </c>
      <c r="P20" s="56"/>
      <c r="Q20" s="56">
        <f>Q9/Q6</f>
        <v>2.6185791443361469E-2</v>
      </c>
      <c r="R20" s="56">
        <f>R9/R6</f>
        <v>2.8179161586700783E-2</v>
      </c>
      <c r="S20" s="56"/>
      <c r="T20" s="56">
        <f>T9/T6</f>
        <v>2.5346662304727895E-2</v>
      </c>
      <c r="U20" s="56">
        <f>U9/U6</f>
        <v>2.6834952256088524E-2</v>
      </c>
      <c r="V20" s="56"/>
      <c r="W20" s="56">
        <f>W9/W6</f>
        <v>2.5491914635999008E-2</v>
      </c>
      <c r="X20" s="56">
        <f>X9/X6</f>
        <v>2.7541763418894357E-2</v>
      </c>
      <c r="Y20" s="56"/>
      <c r="Z20" s="56">
        <f>Z9/Z6</f>
        <v>2.66459048740669E-2</v>
      </c>
      <c r="AA20" s="56">
        <f>AA9/AA6</f>
        <v>3.020363510518172E-2</v>
      </c>
      <c r="AB20" s="56"/>
      <c r="AC20" s="56">
        <f>AC9/AC6</f>
        <v>2.57943056267868E-2</v>
      </c>
      <c r="AD20" s="56" t="e">
        <f>AD9/AD6</f>
        <v>#DIV/0!</v>
      </c>
      <c r="AE20" s="56"/>
      <c r="AF20" s="56">
        <f>AF9/AF6</f>
        <v>2.5768765647394571E-2</v>
      </c>
      <c r="AG20" s="56" t="e">
        <f>AG9/AG6</f>
        <v>#DIV/0!</v>
      </c>
      <c r="AH20" s="56"/>
      <c r="AI20" s="56">
        <f>AI9/AI6</f>
        <v>2.5313216921943226E-2</v>
      </c>
      <c r="AJ20" s="56" t="e">
        <f>AJ9/AJ6</f>
        <v>#DIV/0!</v>
      </c>
      <c r="AK20" s="56"/>
      <c r="AL20" s="56">
        <f t="shared" ref="AL20:AL29" si="4">AP20-AO20</f>
        <v>3.5577302311148203E-3</v>
      </c>
      <c r="AM20" s="56"/>
      <c r="AO20" s="44">
        <f t="shared" ref="AO20:AO29" si="5">IF($A$1=$B$1,B20,IF($A$1=$E$1,E20,IF($A$1=$H$1,H20,IF($A$1=$K$1,K20,IF($A$1=$N$1,N20,IF($A$1=$Q$1,Q20,IF($A$1=$T$1,T20,IF($A$1=$W$1,W20,IF($A$1=$Z$1,Z20,IF($A$1=$AC$1,AC20,IF($A$1=$AF$1,AF20,IF($A$1=$AI$1,AI20))))))))))))</f>
        <v>2.66459048740669E-2</v>
      </c>
      <c r="AP20" s="44">
        <f t="shared" ref="AP20:AP29" si="6">IF($A$1=$B$1,C20,IF($A$1=$E$1,F20,IF($A$1=$H$1,I20,IF($A$1=$K$1,L20,IF($A$1=$N$1,O20,IF($A$1=$Q$1,R20,IF($A$1=$T$1,U20,IF($A$1=$W$1,X20,IF($A$1=$Z$1,AA20,IF($A$1=$AC$1,AD20,IF($A$1=$AF$1,AG20,IF($A$1=$AI$1,AJ20))))))))))))</f>
        <v>3.020363510518172E-2</v>
      </c>
    </row>
    <row r="21" spans="1:42" ht="15.5">
      <c r="A21" s="26" t="s">
        <v>11</v>
      </c>
      <c r="B21" s="56">
        <f>B10/B6</f>
        <v>3.0223169017562879E-2</v>
      </c>
      <c r="C21" s="56">
        <f>C10/C6</f>
        <v>2.9195216105250273E-2</v>
      </c>
      <c r="D21" s="7"/>
      <c r="E21" s="56">
        <f>E10/E6</f>
        <v>3.4430571904675092E-2</v>
      </c>
      <c r="F21" s="56">
        <f>F10/F6</f>
        <v>3.4570120604638502E-2</v>
      </c>
      <c r="G21" s="7"/>
      <c r="H21" s="56">
        <f>H10/H6</f>
        <v>3.1720592122798992E-2</v>
      </c>
      <c r="I21" s="56">
        <f>I10/I6</f>
        <v>2.4842190647683893E-2</v>
      </c>
      <c r="J21" s="56"/>
      <c r="K21" s="56">
        <f>K10/K6</f>
        <v>3.670407949672036E-2</v>
      </c>
      <c r="L21" s="56">
        <f>L10/L6</f>
        <v>1.7555307500537975E-2</v>
      </c>
      <c r="M21" s="56"/>
      <c r="N21" s="56">
        <f>N10/N6</f>
        <v>3.3225483487302178E-2</v>
      </c>
      <c r="O21" s="56">
        <f>O10/O6</f>
        <v>2.4914681165528328E-2</v>
      </c>
      <c r="P21" s="56"/>
      <c r="Q21" s="56">
        <f>Q10/Q6</f>
        <v>3.4927003721502183E-2</v>
      </c>
      <c r="R21" s="56">
        <f>R10/R6</f>
        <v>2.6714943467753185E-2</v>
      </c>
      <c r="S21" s="56"/>
      <c r="T21" s="56">
        <f>T10/T6</f>
        <v>2.8614564595667732E-2</v>
      </c>
      <c r="U21" s="56">
        <f>U10/U6</f>
        <v>2.550137721184715E-2</v>
      </c>
      <c r="V21" s="56"/>
      <c r="W21" s="56">
        <f>W10/W6</f>
        <v>2.2655137353858951E-2</v>
      </c>
      <c r="X21" s="56">
        <f>X10/X6</f>
        <v>2.2828982806339427E-2</v>
      </c>
      <c r="Y21" s="56"/>
      <c r="Z21" s="56">
        <f>Z10/Z6</f>
        <v>1.9182421413976938E-2</v>
      </c>
      <c r="AA21" s="56">
        <f>AA10/AA6</f>
        <v>1.7337504233181381E-2</v>
      </c>
      <c r="AB21" s="56"/>
      <c r="AC21" s="56">
        <f>AC10/AC6</f>
        <v>1.6302035894087932E-2</v>
      </c>
      <c r="AD21" s="56" t="e">
        <f>AD10/AD6</f>
        <v>#DIV/0!</v>
      </c>
      <c r="AE21" s="56"/>
      <c r="AF21" s="56">
        <f>AF10/AF6</f>
        <v>1.529308165637702E-2</v>
      </c>
      <c r="AG21" s="56" t="e">
        <f>AG10/AG6</f>
        <v>#DIV/0!</v>
      </c>
      <c r="AH21" s="56"/>
      <c r="AI21" s="56">
        <f>AI10/AI6</f>
        <v>1.5049136979910524E-2</v>
      </c>
      <c r="AJ21" s="56" t="e">
        <f>AJ10/AJ6</f>
        <v>#DIV/0!</v>
      </c>
      <c r="AK21" s="56"/>
      <c r="AL21" s="56">
        <f t="shared" si="4"/>
        <v>-1.8449171807955571E-3</v>
      </c>
      <c r="AM21" s="56"/>
      <c r="AO21" s="44">
        <f t="shared" si="5"/>
        <v>1.9182421413976938E-2</v>
      </c>
      <c r="AP21" s="44">
        <f t="shared" si="6"/>
        <v>1.7337504233181381E-2</v>
      </c>
    </row>
    <row r="22" spans="1:42" ht="15.5">
      <c r="A22" s="26" t="s">
        <v>12</v>
      </c>
      <c r="B22" s="56">
        <f>B11/B6</f>
        <v>3.6016436786630406E-2</v>
      </c>
      <c r="C22" s="56">
        <f>C11/C6</f>
        <v>3.2042443534477633E-2</v>
      </c>
      <c r="D22" s="7"/>
      <c r="E22" s="56">
        <f>E11/E6</f>
        <v>3.513900145214606E-2</v>
      </c>
      <c r="F22" s="56">
        <f>F11/F6</f>
        <v>3.8346755580684795E-2</v>
      </c>
      <c r="G22" s="7"/>
      <c r="H22" s="56">
        <f>H11/H6</f>
        <v>4.1551398293876197E-2</v>
      </c>
      <c r="I22" s="56">
        <f>I11/I6</f>
        <v>5.4208663468362291E-2</v>
      </c>
      <c r="J22" s="56"/>
      <c r="K22" s="56">
        <f>K11/K6</f>
        <v>4.6394854835797382E-2</v>
      </c>
      <c r="L22" s="56">
        <f>L11/L6</f>
        <v>4.7561323693303098E-2</v>
      </c>
      <c r="M22" s="56"/>
      <c r="N22" s="56">
        <f>N11/N6</f>
        <v>4.8372692572053254E-2</v>
      </c>
      <c r="O22" s="56">
        <f>O11/O6</f>
        <v>2.6414713693009698E-2</v>
      </c>
      <c r="P22" s="56"/>
      <c r="Q22" s="56">
        <f>Q11/Q6</f>
        <v>4.9908985559733395E-2</v>
      </c>
      <c r="R22" s="56">
        <f>R11/R6</f>
        <v>3.7928869945028927E-2</v>
      </c>
      <c r="S22" s="56"/>
      <c r="T22" s="56">
        <f>T11/T6</f>
        <v>5.974082301399572E-2</v>
      </c>
      <c r="U22" s="56">
        <f>U11/U6</f>
        <v>3.4087232562283666E-2</v>
      </c>
      <c r="V22" s="56"/>
      <c r="W22" s="56">
        <f>W11/W6</f>
        <v>5.4582088386638965E-2</v>
      </c>
      <c r="X22" s="56">
        <f>X11/X6</f>
        <v>3.7935939632716527E-2</v>
      </c>
      <c r="Y22" s="56"/>
      <c r="Z22" s="56">
        <f>Z11/Z6</f>
        <v>4.3036399765239854E-2</v>
      </c>
      <c r="AA22" s="56">
        <f>AA11/AA6</f>
        <v>3.4054567213058266E-2</v>
      </c>
      <c r="AB22" s="56"/>
      <c r="AC22" s="56">
        <f>AC11/AC6</f>
        <v>4.4065250429316714E-2</v>
      </c>
      <c r="AD22" s="56" t="e">
        <f>AD11/AD6</f>
        <v>#DIV/0!</v>
      </c>
      <c r="AE22" s="56"/>
      <c r="AF22" s="56">
        <f>AF11/AF6</f>
        <v>5.4590528987498617E-2</v>
      </c>
      <c r="AG22" s="56" t="e">
        <f>AG11/AG6</f>
        <v>#DIV/0!</v>
      </c>
      <c r="AH22" s="56"/>
      <c r="AI22" s="56">
        <f>AI11/AI6</f>
        <v>5.1584279884339272E-2</v>
      </c>
      <c r="AJ22" s="56" t="e">
        <f>AJ11/AJ6</f>
        <v>#DIV/0!</v>
      </c>
      <c r="AK22" s="56"/>
      <c r="AL22" s="56">
        <f t="shared" si="4"/>
        <v>-8.9818325521815873E-3</v>
      </c>
      <c r="AM22" s="56"/>
      <c r="AO22" s="44">
        <f t="shared" si="5"/>
        <v>4.3036399765239854E-2</v>
      </c>
      <c r="AP22" s="44">
        <f t="shared" si="6"/>
        <v>3.4054567213058266E-2</v>
      </c>
    </row>
    <row r="23" spans="1:42" ht="15.5">
      <c r="A23" s="26" t="s">
        <v>13</v>
      </c>
      <c r="B23" s="56">
        <f>B12*0.5/B6</f>
        <v>0.34606625992268758</v>
      </c>
      <c r="C23" s="56">
        <f>C12*0.5/C6</f>
        <v>0.35320814747048712</v>
      </c>
      <c r="D23" s="7"/>
      <c r="E23" s="56">
        <f>E12*0.5/E6</f>
        <v>0.34598702271219106</v>
      </c>
      <c r="F23" s="56">
        <f>F12*0.5/F6</f>
        <v>0.27923269312872939</v>
      </c>
      <c r="G23" s="7"/>
      <c r="H23" s="56">
        <f>H12*0.5/H6</f>
        <v>0.32715013800375442</v>
      </c>
      <c r="I23" s="56">
        <f>I12*0.5/I6</f>
        <v>0.22750807206471016</v>
      </c>
      <c r="J23" s="56"/>
      <c r="K23" s="56">
        <f>K12*0.5/K6</f>
        <v>0.33552290939026941</v>
      </c>
      <c r="L23" s="56">
        <f>L12*0.5/L6</f>
        <v>0.23371838894748276</v>
      </c>
      <c r="M23" s="56"/>
      <c r="N23" s="56">
        <f>N12*0.5/N6</f>
        <v>0.31072900438275547</v>
      </c>
      <c r="O23" s="56">
        <f>O12*0.5/O6</f>
        <v>0.25193909027653533</v>
      </c>
      <c r="P23" s="56"/>
      <c r="Q23" s="56">
        <f>Q12*0.5/Q6</f>
        <v>0.32184128786021443</v>
      </c>
      <c r="R23" s="56">
        <f>R12*0.5/R6</f>
        <v>0.1829635233952675</v>
      </c>
      <c r="S23" s="56"/>
      <c r="T23" s="56">
        <f>T12*0.5/T6</f>
        <v>0.36661650711734645</v>
      </c>
      <c r="U23" s="56">
        <f>U12*0.5/U6</f>
        <v>0.30110988433630165</v>
      </c>
      <c r="V23" s="56"/>
      <c r="W23" s="56">
        <f>W12*0.5/W6</f>
        <v>0.40057241202262522</v>
      </c>
      <c r="X23" s="56">
        <f>X12*0.5/X6</f>
        <v>0.3260401707814467</v>
      </c>
      <c r="Y23" s="56"/>
      <c r="Z23" s="56">
        <f>Z12*0.5/Z6</f>
        <v>0.3428688875763819</v>
      </c>
      <c r="AA23" s="56">
        <f>AA12*0.5/AA6</f>
        <v>0.20570792281386255</v>
      </c>
      <c r="AB23" s="56"/>
      <c r="AC23" s="56">
        <f>AC12*0.5/AC6</f>
        <v>0.38913528364321948</v>
      </c>
      <c r="AD23" s="56" t="e">
        <f>AD12*0.5/AD6</f>
        <v>#DIV/0!</v>
      </c>
      <c r="AE23" s="56"/>
      <c r="AF23" s="56">
        <f>AF12*0.5/AF6</f>
        <v>0.40308718307388497</v>
      </c>
      <c r="AG23" s="56" t="e">
        <f>AG12*0.5/AG6</f>
        <v>#DIV/0!</v>
      </c>
      <c r="AH23" s="56"/>
      <c r="AI23" s="56">
        <f>AI12*0.5/AI6</f>
        <v>0.45304757981815996</v>
      </c>
      <c r="AJ23" s="56" t="e">
        <f>AJ12*0.5/AJ6</f>
        <v>#DIV/0!</v>
      </c>
      <c r="AK23" s="56"/>
      <c r="AL23" s="56">
        <f t="shared" si="4"/>
        <v>-0.13716096476251935</v>
      </c>
      <c r="AM23" s="56"/>
      <c r="AO23" s="44">
        <f t="shared" si="5"/>
        <v>0.3428688875763819</v>
      </c>
      <c r="AP23" s="44">
        <f t="shared" si="6"/>
        <v>0.20570792281386255</v>
      </c>
    </row>
    <row r="24" spans="1:42" s="1" customFormat="1" ht="15.5">
      <c r="A24" s="26" t="s">
        <v>14</v>
      </c>
      <c r="B24" s="56">
        <f>B13*0.4/B6</f>
        <v>9.5798423765887014E-2</v>
      </c>
      <c r="C24" s="56">
        <f>C13*0.4/C6</f>
        <v>7.9641206985965149E-2</v>
      </c>
      <c r="D24" s="8"/>
      <c r="E24" s="56">
        <f>E13*0.4/E6</f>
        <v>9.724037958864408E-2</v>
      </c>
      <c r="F24" s="56">
        <f>F13*0.4/F6</f>
        <v>8.4010554216875019E-2</v>
      </c>
      <c r="G24" s="8"/>
      <c r="H24" s="56">
        <f>H13*0.4/H6</f>
        <v>8.6989282529154555E-2</v>
      </c>
      <c r="I24" s="56">
        <f>I13*0.4/I6</f>
        <v>9.171451250676739E-2</v>
      </c>
      <c r="J24" s="57"/>
      <c r="K24" s="56">
        <f>K13*0.4/K6</f>
        <v>9.3077280227102946E-2</v>
      </c>
      <c r="L24" s="56">
        <f>L13*0.4/L6</f>
        <v>7.6528387764621578E-2</v>
      </c>
      <c r="M24" s="57"/>
      <c r="N24" s="56">
        <f>N13*0.4/N6</f>
        <v>9.2004074993499607E-2</v>
      </c>
      <c r="O24" s="56">
        <f>O13*0.4/O6</f>
        <v>7.9468191717186026E-2</v>
      </c>
      <c r="P24" s="57"/>
      <c r="Q24" s="56">
        <f>Q13*0.4/Q6</f>
        <v>7.7615135248161521E-2</v>
      </c>
      <c r="R24" s="56">
        <f>R13*0.4/R6</f>
        <v>7.3775274880371111E-2</v>
      </c>
      <c r="S24" s="57"/>
      <c r="T24" s="56">
        <f>T13*0.4/T6</f>
        <v>9.2248717980079276E-2</v>
      </c>
      <c r="U24" s="56">
        <f>U13*0.4/U6</f>
        <v>7.7885373285585341E-2</v>
      </c>
      <c r="V24" s="57"/>
      <c r="W24" s="56">
        <f>W13*0.4/W6</f>
        <v>9.196126938729704E-2</v>
      </c>
      <c r="X24" s="56">
        <f>X13*0.4/X6</f>
        <v>8.3417830549171207E-2</v>
      </c>
      <c r="Y24" s="57"/>
      <c r="Z24" s="56">
        <f>Z13*0.4/Z6</f>
        <v>7.2497602510706832E-2</v>
      </c>
      <c r="AA24" s="56">
        <f>AA13*0.4/AA6</f>
        <v>8.2642428033850648E-2</v>
      </c>
      <c r="AB24" s="57"/>
      <c r="AC24" s="56">
        <f>AC13*0.4/AC6</f>
        <v>9.2240719462196849E-2</v>
      </c>
      <c r="AD24" s="56" t="e">
        <f>AD13*0.4/AD6</f>
        <v>#DIV/0!</v>
      </c>
      <c r="AE24" s="57"/>
      <c r="AF24" s="56">
        <f>AF13*0.4/AF6</f>
        <v>8.0506586268180372E-2</v>
      </c>
      <c r="AG24" s="56" t="e">
        <f>AG13*0.4/AG6</f>
        <v>#DIV/0!</v>
      </c>
      <c r="AH24" s="57"/>
      <c r="AI24" s="56">
        <f>AI13*0.4/AI6</f>
        <v>8.7643071099248057E-2</v>
      </c>
      <c r="AJ24" s="56" t="e">
        <f>AJ13*0.4/AJ6</f>
        <v>#DIV/0!</v>
      </c>
      <c r="AK24" s="57"/>
      <c r="AL24" s="56">
        <f t="shared" si="4"/>
        <v>1.0144825523143816E-2</v>
      </c>
      <c r="AM24" s="57"/>
      <c r="AO24" s="44">
        <f t="shared" si="5"/>
        <v>7.2497602510706832E-2</v>
      </c>
      <c r="AP24" s="44">
        <f t="shared" si="6"/>
        <v>8.2642428033850648E-2</v>
      </c>
    </row>
    <row r="25" spans="1:42" ht="15.5">
      <c r="A25" s="26" t="s">
        <v>15</v>
      </c>
      <c r="B25" s="56">
        <f>B14*0.4/B6</f>
        <v>0.14562927076775911</v>
      </c>
      <c r="C25" s="56">
        <f>C14*0.4/C6</f>
        <v>0.15367275172761663</v>
      </c>
      <c r="D25" s="7"/>
      <c r="E25" s="56">
        <f>E14*0.4/E6</f>
        <v>0.1541246286234437</v>
      </c>
      <c r="F25" s="56">
        <f>F14*0.4/F6</f>
        <v>0.17043175393305215</v>
      </c>
      <c r="G25" s="7"/>
      <c r="H25" s="56">
        <f>H14*0.4/H6</f>
        <v>0.16192558372862534</v>
      </c>
      <c r="I25" s="56">
        <f>I14*0.4/I6</f>
        <v>0.17733259831972353</v>
      </c>
      <c r="J25" s="56"/>
      <c r="K25" s="56">
        <f>K14*0.4/K6</f>
        <v>0.15130453328279281</v>
      </c>
      <c r="L25" s="56">
        <f>L14*0.4/L6</f>
        <v>0.18183502329572174</v>
      </c>
      <c r="M25" s="56"/>
      <c r="N25" s="56">
        <f>N14*0.4/N6</f>
        <v>0.15570128890526366</v>
      </c>
      <c r="O25" s="56">
        <f>O14*0.4/O6</f>
        <v>0.17891645284024757</v>
      </c>
      <c r="P25" s="56"/>
      <c r="Q25" s="56">
        <f>Q14*0.4/Q6</f>
        <v>0.16261096928445029</v>
      </c>
      <c r="R25" s="56">
        <f>R14*0.4/R6</f>
        <v>0.2104195905302286</v>
      </c>
      <c r="S25" s="56"/>
      <c r="T25" s="56">
        <f>T14*0.4/T6</f>
        <v>0.12611632372820311</v>
      </c>
      <c r="U25" s="56">
        <f>U14*0.4/U6</f>
        <v>0.15838952201845646</v>
      </c>
      <c r="V25" s="56"/>
      <c r="W25" s="56">
        <f>W14*0.4/W6</f>
        <v>0.1428790472428732</v>
      </c>
      <c r="X25" s="56">
        <f>X14*0.4/X6</f>
        <v>0.17451555175926786</v>
      </c>
      <c r="Y25" s="56"/>
      <c r="Z25" s="56">
        <f>Z14*0.4/Z6</f>
        <v>0.16859262577443063</v>
      </c>
      <c r="AA25" s="56">
        <f>AA14*0.4/AA6</f>
        <v>0.18069166553349408</v>
      </c>
      <c r="AB25" s="56"/>
      <c r="AC25" s="56">
        <f>AC14*0.4/AC6</f>
        <v>0.14530220883524464</v>
      </c>
      <c r="AD25" s="56" t="e">
        <f>AD14*0.4/AD6</f>
        <v>#DIV/0!</v>
      </c>
      <c r="AE25" s="56"/>
      <c r="AF25" s="56">
        <f>AF14*0.4/AF6</f>
        <v>0.14424161226260196</v>
      </c>
      <c r="AG25" s="56" t="e">
        <f>AG14*0.4/AG6</f>
        <v>#DIV/0!</v>
      </c>
      <c r="AH25" s="56"/>
      <c r="AI25" s="56">
        <f>AI14*0.4/AI6</f>
        <v>0.13903681453759181</v>
      </c>
      <c r="AJ25" s="56" t="e">
        <f>AJ14*0.4/AJ6</f>
        <v>#DIV/0!</v>
      </c>
      <c r="AK25" s="56"/>
      <c r="AL25" s="56">
        <f t="shared" si="4"/>
        <v>1.2099039759063457E-2</v>
      </c>
      <c r="AM25" s="56"/>
      <c r="AO25" s="44">
        <f t="shared" si="5"/>
        <v>0.16859262577443063</v>
      </c>
      <c r="AP25" s="44">
        <f t="shared" si="6"/>
        <v>0.18069166553349408</v>
      </c>
    </row>
    <row r="26" spans="1:42" ht="15.5">
      <c r="A26" s="26" t="s">
        <v>16</v>
      </c>
      <c r="B26" s="56">
        <f>B15*0.4/B6</f>
        <v>0.10981632630083582</v>
      </c>
      <c r="C26" s="56">
        <f>C15*0.4/C6</f>
        <v>0.10368710941964371</v>
      </c>
      <c r="D26" s="7"/>
      <c r="E26" s="56">
        <f>E15*0.4/E6</f>
        <v>8.6876202024066138E-2</v>
      </c>
      <c r="F26" s="56">
        <f>F15*0.4/F6</f>
        <v>0.12893825388823019</v>
      </c>
      <c r="G26" s="7"/>
      <c r="H26" s="56">
        <f>H15*0.4/H6</f>
        <v>0.10266518043361268</v>
      </c>
      <c r="I26" s="56">
        <f>I15*0.4/I6</f>
        <v>0.12774778122175978</v>
      </c>
      <c r="J26" s="56"/>
      <c r="K26" s="56">
        <f>K15*0.4/K6</f>
        <v>0.11064697064101553</v>
      </c>
      <c r="L26" s="56">
        <f>L15*0.4/L6</f>
        <v>0.13196382614642438</v>
      </c>
      <c r="M26" s="56"/>
      <c r="N26" s="56">
        <f>N15*0.4/N6</f>
        <v>0.10501268398298501</v>
      </c>
      <c r="O26" s="56">
        <f>O15*0.4/O6</f>
        <v>0.11440030790838361</v>
      </c>
      <c r="P26" s="56"/>
      <c r="Q26" s="56">
        <f>Q15*0.4/Q6</f>
        <v>9.5328052599588514E-2</v>
      </c>
      <c r="R26" s="56">
        <f>R15*0.4/R6</f>
        <v>0.12215255047425713</v>
      </c>
      <c r="S26" s="56"/>
      <c r="T26" s="56">
        <f>T15*0.4/T6</f>
        <v>8.773217520797448E-2</v>
      </c>
      <c r="U26" s="56">
        <f>U15*0.4/U6</f>
        <v>0.11834215378966244</v>
      </c>
      <c r="V26" s="56"/>
      <c r="W26" s="56">
        <f>W15*0.4/W6</f>
        <v>8.9188906193447395E-2</v>
      </c>
      <c r="X26" s="56">
        <f>X15*0.4/X6</f>
        <v>0.11810210312340781</v>
      </c>
      <c r="Y26" s="56"/>
      <c r="Z26" s="56">
        <f>Z15*0.4/Z6</f>
        <v>0.10091687973593944</v>
      </c>
      <c r="AA26" s="56">
        <f>AA15*0.4/AA6</f>
        <v>0.1466581225813452</v>
      </c>
      <c r="AB26" s="56"/>
      <c r="AC26" s="56">
        <f>AC15*0.4/AC6</f>
        <v>9.5159411058862442E-2</v>
      </c>
      <c r="AD26" s="56" t="e">
        <f>AD15*0.4/AD6</f>
        <v>#DIV/0!</v>
      </c>
      <c r="AE26" s="56"/>
      <c r="AF26" s="56">
        <f>AF15*0.4/AF6</f>
        <v>9.1986601409265387E-2</v>
      </c>
      <c r="AG26" s="56" t="e">
        <f>AG15*0.4/AG6</f>
        <v>#DIV/0!</v>
      </c>
      <c r="AH26" s="56"/>
      <c r="AI26" s="56">
        <f>AI15*0.4/AI6</f>
        <v>7.6802123975496656E-2</v>
      </c>
      <c r="AJ26" s="56" t="e">
        <f>AJ15*0.4/AJ6</f>
        <v>#DIV/0!</v>
      </c>
      <c r="AK26" s="56"/>
      <c r="AL26" s="56">
        <f t="shared" si="4"/>
        <v>4.5741242845405761E-2</v>
      </c>
      <c r="AM26" s="56"/>
      <c r="AO26" s="44">
        <f t="shared" si="5"/>
        <v>0.10091687973593944</v>
      </c>
      <c r="AP26" s="44">
        <f t="shared" si="6"/>
        <v>0.1466581225813452</v>
      </c>
    </row>
    <row r="27" spans="1:42" ht="15.5">
      <c r="A27" s="26" t="s">
        <v>17</v>
      </c>
      <c r="B27" s="56">
        <f>B16*0.4/B6</f>
        <v>0.27976284796143819</v>
      </c>
      <c r="C27" s="56">
        <f>C16*0.4/C6</f>
        <v>0.29421503600469723</v>
      </c>
      <c r="D27" s="7"/>
      <c r="E27" s="56">
        <f>E16*0.4/E6</f>
        <v>0.28965236053269738</v>
      </c>
      <c r="F27" s="56">
        <f>F16*0.4/F6</f>
        <v>0.29355810201892085</v>
      </c>
      <c r="G27" s="7"/>
      <c r="H27" s="56">
        <f>H16*0.4/H6</f>
        <v>0.28737623642601223</v>
      </c>
      <c r="I27" s="56">
        <f>I16*0.4/I6</f>
        <v>0.31390762162125641</v>
      </c>
      <c r="J27" s="56"/>
      <c r="K27" s="56">
        <f>K16*0.4/K6</f>
        <v>0.26775913676739321</v>
      </c>
      <c r="L27" s="56">
        <f>L16*0.4/L6</f>
        <v>0.33168101474589873</v>
      </c>
      <c r="M27" s="56"/>
      <c r="N27" s="56">
        <f>N16*0.4/N6</f>
        <v>0.29110715966947198</v>
      </c>
      <c r="O27" s="56">
        <f>O16*0.4/O6</f>
        <v>0.34682922496500879</v>
      </c>
      <c r="P27" s="56"/>
      <c r="Q27" s="56">
        <f>Q16*0.4/Q6</f>
        <v>0.29595103185503119</v>
      </c>
      <c r="R27" s="56">
        <f>R16*0.4/R6</f>
        <v>0.35445879039944617</v>
      </c>
      <c r="S27" s="56"/>
      <c r="T27" s="56">
        <f>T16*0.4/T6</f>
        <v>0.28690752747547471</v>
      </c>
      <c r="U27" s="56">
        <f>U16*0.4/U6</f>
        <v>0.31807148140703506</v>
      </c>
      <c r="V27" s="56"/>
      <c r="W27" s="56">
        <f>W16*0.4/W6</f>
        <v>0.25278370718178522</v>
      </c>
      <c r="X27" s="56">
        <f>X16*0.4/X6</f>
        <v>0.27482569208504543</v>
      </c>
      <c r="Y27" s="56"/>
      <c r="Z27" s="56">
        <f>Z16*0.4/Z6</f>
        <v>0.29483305586453384</v>
      </c>
      <c r="AA27" s="56">
        <f>AA16*0.4/AA6</f>
        <v>0.34384573904879862</v>
      </c>
      <c r="AB27" s="56"/>
      <c r="AC27" s="56">
        <f>AC16*0.4/AC6</f>
        <v>0.26982784177892899</v>
      </c>
      <c r="AD27" s="56" t="e">
        <f>AD16*0.4/AD6</f>
        <v>#DIV/0!</v>
      </c>
      <c r="AE27" s="56"/>
      <c r="AF27" s="56">
        <f>AF16*0.4/AF6</f>
        <v>0.26514307730957409</v>
      </c>
      <c r="AG27" s="56" t="e">
        <f>AG16*0.4/AG6</f>
        <v>#DIV/0!</v>
      </c>
      <c r="AH27" s="56"/>
      <c r="AI27" s="56">
        <f>AI16*0.4/AI6</f>
        <v>0.24213329274694248</v>
      </c>
      <c r="AJ27" s="56" t="e">
        <f>AJ16*0.4/AJ6</f>
        <v>#DIV/0!</v>
      </c>
      <c r="AK27" s="56"/>
      <c r="AL27" s="56">
        <f t="shared" si="4"/>
        <v>4.9012683184264771E-2</v>
      </c>
      <c r="AM27" s="56"/>
      <c r="AO27" s="44">
        <f t="shared" si="5"/>
        <v>0.29483305586453384</v>
      </c>
      <c r="AP27" s="44">
        <f t="shared" si="6"/>
        <v>0.34384573904879862</v>
      </c>
    </row>
    <row r="28" spans="1:42" ht="15.5">
      <c r="A28" s="26"/>
      <c r="B28" s="56"/>
      <c r="C28" s="56"/>
      <c r="D28" s="7"/>
      <c r="E28" s="56"/>
      <c r="F28" s="56"/>
      <c r="G28" s="7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>
        <f t="shared" si="4"/>
        <v>0</v>
      </c>
      <c r="AM28" s="56"/>
      <c r="AO28" s="44">
        <f t="shared" si="5"/>
        <v>0</v>
      </c>
      <c r="AP28" s="44">
        <f t="shared" si="6"/>
        <v>0</v>
      </c>
    </row>
    <row r="29" spans="1:42" ht="15.5">
      <c r="A29" s="26"/>
      <c r="B29" s="56"/>
      <c r="C29" s="56"/>
      <c r="D29" s="7"/>
      <c r="E29" s="56"/>
      <c r="F29" s="56"/>
      <c r="G29" s="7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>
        <f t="shared" si="4"/>
        <v>0</v>
      </c>
      <c r="AM29" s="56"/>
      <c r="AO29" s="44">
        <f t="shared" si="5"/>
        <v>0</v>
      </c>
      <c r="AP29" s="44">
        <f t="shared" si="6"/>
        <v>0</v>
      </c>
    </row>
    <row r="30" spans="1:42" s="45" customFormat="1" ht="15.5">
      <c r="A30" s="35" t="s">
        <v>59</v>
      </c>
      <c r="B30" s="36">
        <f>'Bütçe aylık-TL'!$B$4</f>
        <v>1024903389.2242652</v>
      </c>
      <c r="C30" s="36">
        <f>'gerç aylık-tl'!$B$4</f>
        <v>1108323900.5098851</v>
      </c>
      <c r="D30" s="19"/>
      <c r="E30" s="36">
        <f>'Bütçe aylık-TL'!$C$4</f>
        <v>1064947438.893929</v>
      </c>
      <c r="F30" s="36">
        <f>'gerç aylık-tl'!$C$4</f>
        <v>1018036724.3288656</v>
      </c>
      <c r="G30" s="19"/>
      <c r="H30" s="36">
        <f>'Bütçe aylık-TL'!$D$4</f>
        <v>1202582122.2854581</v>
      </c>
      <c r="I30" s="36">
        <f>'gerç aylık-tl'!$D$4</f>
        <v>1116680625.327153</v>
      </c>
      <c r="J30" s="19"/>
      <c r="K30" s="36">
        <f>'Bütçe aylık-TL'!$E$4</f>
        <v>1139591575.5939732</v>
      </c>
      <c r="L30" s="36">
        <f>'gerç aylık-tl'!$E$4</f>
        <v>1135215925.4054241</v>
      </c>
      <c r="M30" s="19"/>
      <c r="N30" s="36">
        <f>'Bütçe aylık-TL'!$F$4</f>
        <v>1205793757.8193243</v>
      </c>
      <c r="O30" s="36">
        <f>'gerç aylık-tl'!$F$4</f>
        <v>1234686963.0705419</v>
      </c>
      <c r="P30" s="19"/>
      <c r="Q30" s="36">
        <f>'Bütçe aylık-TL'!$G$4</f>
        <v>1192783341.4542959</v>
      </c>
      <c r="R30" s="36">
        <f>'gerç aylık-tl'!$G$4</f>
        <v>1072721651.3164947</v>
      </c>
      <c r="S30" s="19"/>
      <c r="T30" s="36">
        <f>'Bütçe aylık-TL'!$H$4</f>
        <v>1245652884.7872283</v>
      </c>
      <c r="U30" s="36">
        <f>'gerç aylık-tl'!$H$4</f>
        <v>1276100809.988601</v>
      </c>
      <c r="V30" s="19"/>
      <c r="W30" s="36">
        <f>'Bütçe aylık-TL'!$I$4</f>
        <v>1118799945.6769838</v>
      </c>
      <c r="X30" s="36">
        <f>'gerç aylık-tl'!$I$4</f>
        <v>1036995077.4614034</v>
      </c>
      <c r="Y30" s="19"/>
      <c r="Z30" s="36">
        <f>'Bütçe aylık-TL'!$J$4</f>
        <v>1422059573.9416382</v>
      </c>
      <c r="AA30" s="36">
        <f>'gerç aylık-tl'!$J$4</f>
        <v>1264247222.1315184</v>
      </c>
      <c r="AB30" s="19"/>
      <c r="AC30" s="36">
        <f>'Bütçe aylık-TL'!$K$4</f>
        <v>1454016425.6051753</v>
      </c>
      <c r="AD30" s="36">
        <f>'gerç aylık-tl'!$K$4</f>
        <v>0</v>
      </c>
      <c r="AE30" s="19"/>
      <c r="AF30" s="36">
        <f>'Bütçe aylık-TL'!$L$4</f>
        <v>1419448949.9574564</v>
      </c>
      <c r="AG30" s="36">
        <f>'gerç aylık-tl'!$L$4</f>
        <v>0</v>
      </c>
      <c r="AH30" s="19"/>
      <c r="AI30" s="36">
        <f>'Bütçe aylık-TL'!$M$4</f>
        <v>1308775017.3340573</v>
      </c>
      <c r="AJ30" s="36">
        <f>'gerç aylık-tl'!$M$4</f>
        <v>0</v>
      </c>
      <c r="AK30" s="19"/>
      <c r="AL30" s="37">
        <f>AP30-AO30</f>
        <v>-157812351.81011987</v>
      </c>
      <c r="AM30" s="38">
        <f>AP30/AO30-1</f>
        <v>-0.11097450114041185</v>
      </c>
      <c r="AO30" s="44">
        <f t="shared" ref="AO30:AP33" si="7">IF($A$1=$B$1,B30,IF($A$1=$E$1,E30,IF($A$1=$H$1,H30,IF($A$1=$K$1,K30,IF($A$1=$N$1,N30,IF($A$1=$Q$1,Q30,IF($A$1=$T$1,T30,IF($A$1=$W$1,W30,IF($A$1=$Z$1,Z30,IF($A$1=$AC$1,AC30,IF($A$1=$AF$1,AF30,IF($A$1=$AI$1,AI30))))))))))))</f>
        <v>1422059573.9416382</v>
      </c>
      <c r="AP30" s="44">
        <f t="shared" si="7"/>
        <v>1264247222.1315184</v>
      </c>
    </row>
    <row r="31" spans="1:42" s="45" customFormat="1" ht="15.5">
      <c r="A31" s="35" t="s">
        <v>62</v>
      </c>
      <c r="B31" s="36">
        <f>'Bütçe aylık-TL'!$B$15</f>
        <v>-828386094.12528086</v>
      </c>
      <c r="C31" s="36">
        <f>'gerç aylık-tl'!$B$15</f>
        <v>-916411931.44896662</v>
      </c>
      <c r="D31" s="19"/>
      <c r="E31" s="36">
        <f>'Bütçe aylık-TL'!$C$15</f>
        <v>-853044462.45061982</v>
      </c>
      <c r="F31" s="36">
        <f>'gerç aylık-tl'!$C$15</f>
        <v>-820665589.25922298</v>
      </c>
      <c r="G31" s="19"/>
      <c r="H31" s="36">
        <f>'Bütçe aylık-TL'!$D$15</f>
        <v>-954804526.32050633</v>
      </c>
      <c r="I31" s="36">
        <f>'gerç aylık-tl'!$D$15</f>
        <v>-913483734.52400446</v>
      </c>
      <c r="J31" s="19"/>
      <c r="K31" s="36">
        <f>'Bütçe aylık-TL'!$E$15</f>
        <v>-919860009.080899</v>
      </c>
      <c r="L31" s="36">
        <f>'gerç aylık-tl'!$E$15</f>
        <v>-933323447.61904085</v>
      </c>
      <c r="M31" s="19"/>
      <c r="N31" s="36">
        <f>'Bütçe aylık-TL'!$F$15</f>
        <v>-951598393.94032514</v>
      </c>
      <c r="O31" s="36">
        <f>'gerç aylık-tl'!$F$15</f>
        <v>-987341140.50344527</v>
      </c>
      <c r="P31" s="19"/>
      <c r="Q31" s="36">
        <f>'Bütçe aylık-TL'!$G$15</f>
        <v>-951133178.07690859</v>
      </c>
      <c r="R31" s="36">
        <f>'gerç aylık-tl'!$G$15</f>
        <v>-875585772.93423545</v>
      </c>
      <c r="S31" s="19"/>
      <c r="T31" s="36">
        <f>'Bütçe aylık-TL'!$H$15</f>
        <v>-991539399.80375934</v>
      </c>
      <c r="U31" s="36">
        <f>'gerç aylık-tl'!$H$15</f>
        <v>-1042668316.8876371</v>
      </c>
      <c r="V31" s="19"/>
      <c r="W31" s="36">
        <f>'Bütçe aylık-TL'!$I$15</f>
        <v>-920643490.14642596</v>
      </c>
      <c r="X31" s="36">
        <f>'gerç aylık-tl'!$I$15</f>
        <v>-839888610.40502715</v>
      </c>
      <c r="Y31" s="19"/>
      <c r="Z31" s="36">
        <f>'Bütçe aylık-TL'!$J$15</f>
        <v>-1081458166.2120755</v>
      </c>
      <c r="AA31" s="36">
        <f>'gerç aylık-tl'!$J$15</f>
        <v>-957188852.91998076</v>
      </c>
      <c r="AB31" s="19"/>
      <c r="AC31" s="36">
        <f>'Bütçe aylık-TL'!$K$15</f>
        <v>-1131218110.3688707</v>
      </c>
      <c r="AD31" s="36">
        <f>'gerç aylık-tl'!$K$15</f>
        <v>0</v>
      </c>
      <c r="AE31" s="19"/>
      <c r="AF31" s="36">
        <f>'Bütçe aylık-TL'!$L$15</f>
        <v>-1098253154.5863943</v>
      </c>
      <c r="AG31" s="36">
        <f>'gerç aylık-tl'!$L$15</f>
        <v>0</v>
      </c>
      <c r="AH31" s="19"/>
      <c r="AI31" s="36">
        <f>'Bütçe aylık-TL'!$M$15</f>
        <v>-1015367437.0942252</v>
      </c>
      <c r="AJ31" s="36">
        <f>'gerç aylık-tl'!$M$15</f>
        <v>0</v>
      </c>
      <c r="AK31" s="19"/>
      <c r="AL31" s="37">
        <f>AP31-AO31</f>
        <v>124269313.29209471</v>
      </c>
      <c r="AM31" s="38">
        <f>AP31/AO31-1</f>
        <v>-0.11490903409362696</v>
      </c>
      <c r="AO31" s="44">
        <f t="shared" si="7"/>
        <v>-1081458166.2120755</v>
      </c>
      <c r="AP31" s="44">
        <f t="shared" si="7"/>
        <v>-957188852.91998076</v>
      </c>
    </row>
    <row r="32" spans="1:42" s="44" customFormat="1" ht="15.5">
      <c r="A32" s="31" t="s">
        <v>63</v>
      </c>
      <c r="B32" s="32">
        <f>'Bütçe aylık-TL'!$B$26</f>
        <v>196517295.09898442</v>
      </c>
      <c r="C32" s="32">
        <f>'gerç aylık-tl'!$B$26</f>
        <v>191911969.06091854</v>
      </c>
      <c r="D32" s="18"/>
      <c r="E32" s="32">
        <f>'Bütçe aylık-TL'!$C$26</f>
        <v>211902976.44330925</v>
      </c>
      <c r="F32" s="32">
        <f>'gerç aylık-tl'!$C$26</f>
        <v>197371135.06964248</v>
      </c>
      <c r="G32" s="18"/>
      <c r="H32" s="32">
        <f>'Bütçe aylık-TL'!$D$26</f>
        <v>247777595.96495169</v>
      </c>
      <c r="I32" s="32">
        <f>'gerç aylık-tl'!$D$26</f>
        <v>203196890.80314875</v>
      </c>
      <c r="J32" s="18"/>
      <c r="K32" s="32">
        <f>'Bütçe aylık-TL'!$E$26</f>
        <v>219731566.51307413</v>
      </c>
      <c r="L32" s="32">
        <f>'gerç aylık-tl'!$E$26</f>
        <v>201892477.78638327</v>
      </c>
      <c r="M32" s="18"/>
      <c r="N32" s="32">
        <f>'Bütçe aylık-TL'!$F$26</f>
        <v>254195363.87899905</v>
      </c>
      <c r="O32" s="32">
        <f>'gerç aylık-tl'!$F$26</f>
        <v>247345822.5670968</v>
      </c>
      <c r="P32" s="18"/>
      <c r="Q32" s="32">
        <f>'Bütçe aylık-TL'!$G$26</f>
        <v>241650163.3773874</v>
      </c>
      <c r="R32" s="32">
        <f>'gerç aylık-tl'!$G$26</f>
        <v>197135878.38225931</v>
      </c>
      <c r="S32" s="18"/>
      <c r="T32" s="32">
        <f>'Bütçe aylık-TL'!$H$26</f>
        <v>254113484.98346907</v>
      </c>
      <c r="U32" s="32">
        <f>'gerç aylık-tl'!$H$26</f>
        <v>233432493.10096386</v>
      </c>
      <c r="V32" s="18"/>
      <c r="W32" s="32">
        <f>'Bütçe aylık-TL'!$I$26</f>
        <v>198156455.53055805</v>
      </c>
      <c r="X32" s="32">
        <f>'gerç aylık-tl'!$I$26</f>
        <v>197106467.05637613</v>
      </c>
      <c r="Y32" s="18"/>
      <c r="Z32" s="32">
        <f>'Bütçe aylık-TL'!$J$26</f>
        <v>340601407.7295627</v>
      </c>
      <c r="AA32" s="32">
        <f>'gerç aylık-tl'!$J$26</f>
        <v>307058369.21153766</v>
      </c>
      <c r="AB32" s="18"/>
      <c r="AC32" s="32">
        <f>'Bütçe aylık-TL'!$K$26</f>
        <v>322798315.23630428</v>
      </c>
      <c r="AD32" s="32">
        <f>'gerç aylık-tl'!$K$26</f>
        <v>0</v>
      </c>
      <c r="AE32" s="18"/>
      <c r="AF32" s="32">
        <f>'Bütçe aylık-TL'!$L$26</f>
        <v>321195795.37106222</v>
      </c>
      <c r="AG32" s="32">
        <f>'gerç aylık-tl'!$L$26</f>
        <v>0</v>
      </c>
      <c r="AH32" s="18"/>
      <c r="AI32" s="32">
        <f>'Bütçe aylık-TL'!$M$26</f>
        <v>293407580.23983228</v>
      </c>
      <c r="AJ32" s="32">
        <f>'gerç aylık-tl'!$M$26</f>
        <v>0</v>
      </c>
      <c r="AK32" s="18"/>
      <c r="AL32" s="33">
        <f>AP32-AO32</f>
        <v>-33543038.518025041</v>
      </c>
      <c r="AM32" s="34">
        <f>AP32/AO32-1</f>
        <v>-9.8481796483525397E-2</v>
      </c>
      <c r="AO32" s="44">
        <f t="shared" si="7"/>
        <v>340601407.7295627</v>
      </c>
      <c r="AP32" s="44">
        <f t="shared" si="7"/>
        <v>307058369.21153766</v>
      </c>
    </row>
    <row r="33" spans="1:42" s="46" customFormat="1" ht="15.5">
      <c r="A33" s="29" t="s">
        <v>64</v>
      </c>
      <c r="B33" s="28">
        <f>B32/B30</f>
        <v>0.19174226289535989</v>
      </c>
      <c r="C33" s="28">
        <f>C32/C30</f>
        <v>0.17315512998738847</v>
      </c>
      <c r="D33" s="40"/>
      <c r="E33" s="28">
        <f>E32/E30</f>
        <v>0.19897975121044001</v>
      </c>
      <c r="F33" s="28">
        <f>F32/F30</f>
        <v>0.19387427816001251</v>
      </c>
      <c r="G33" s="40"/>
      <c r="H33" s="28">
        <f>H32/H30</f>
        <v>0.20603798391253358</v>
      </c>
      <c r="I33" s="28">
        <f>I32/I30</f>
        <v>0.18196509028140281</v>
      </c>
      <c r="J33" s="40"/>
      <c r="K33" s="28">
        <f>K32/K30</f>
        <v>0.1928160678079307</v>
      </c>
      <c r="L33" s="28">
        <f>L32/L30</f>
        <v>0.17784500135010053</v>
      </c>
      <c r="M33" s="40"/>
      <c r="N33" s="28">
        <f>N32/N30</f>
        <v>0.21081164355893739</v>
      </c>
      <c r="O33" s="28">
        <f>O32/O30</f>
        <v>0.20033079635989084</v>
      </c>
      <c r="P33" s="40"/>
      <c r="Q33" s="28">
        <f>Q32/Q30</f>
        <v>0.20259350963332243</v>
      </c>
      <c r="R33" s="28">
        <f>R32/R30</f>
        <v>0.18377169710364738</v>
      </c>
      <c r="S33" s="40"/>
      <c r="T33" s="28">
        <f>T32/T30</f>
        <v>0.20400023801725031</v>
      </c>
      <c r="U33" s="28">
        <f>U32/U30</f>
        <v>0.1829263732722253</v>
      </c>
      <c r="V33" s="40"/>
      <c r="W33" s="28">
        <f>W32/W30</f>
        <v>0.17711518158025466</v>
      </c>
      <c r="X33" s="28">
        <f>X32/X30</f>
        <v>0.1900746409895204</v>
      </c>
      <c r="Y33" s="40"/>
      <c r="Z33" s="28">
        <f>Z32/Z30</f>
        <v>0.23951275598496205</v>
      </c>
      <c r="AA33" s="28">
        <f>AA32/AA30</f>
        <v>0.24287842111595692</v>
      </c>
      <c r="AB33" s="40"/>
      <c r="AC33" s="28">
        <f>AC32/AC30</f>
        <v>0.22200458643508969</v>
      </c>
      <c r="AD33" s="28" t="e">
        <f>AD32/AD30</f>
        <v>#DIV/0!</v>
      </c>
      <c r="AE33" s="40"/>
      <c r="AF33" s="28">
        <f>AF32/AF30</f>
        <v>0.22628203387003745</v>
      </c>
      <c r="AG33" s="28" t="e">
        <f>AG32/AG30</f>
        <v>#DIV/0!</v>
      </c>
      <c r="AH33" s="40"/>
      <c r="AI33" s="28">
        <f>AI32/AI30</f>
        <v>0.2241848876650292</v>
      </c>
      <c r="AJ33" s="28" t="e">
        <f>AJ32/AJ30</f>
        <v>#DIV/0!</v>
      </c>
      <c r="AK33" s="40"/>
      <c r="AL33" s="15"/>
      <c r="AM33" s="22">
        <f>AP33-AO33</f>
        <v>3.3656651309948715E-3</v>
      </c>
      <c r="AO33" s="44">
        <f t="shared" si="7"/>
        <v>0.23951275598496205</v>
      </c>
      <c r="AP33" s="44">
        <f t="shared" si="7"/>
        <v>0.24287842111595692</v>
      </c>
    </row>
    <row r="34" spans="1:42">
      <c r="A34" s="2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5"/>
    </row>
    <row r="35" spans="1:42" s="49" customFormat="1" ht="17">
      <c r="A35" s="47" t="s">
        <v>65</v>
      </c>
      <c r="B35" s="413"/>
      <c r="C35" s="413"/>
      <c r="D35" s="413"/>
      <c r="E35" s="413"/>
      <c r="F35" s="413"/>
      <c r="G35" s="413"/>
      <c r="H35" s="413"/>
      <c r="I35" s="413"/>
      <c r="J35" s="413"/>
      <c r="K35" s="413"/>
      <c r="L35" s="413"/>
      <c r="M35" s="413"/>
      <c r="N35" s="413"/>
      <c r="O35" s="413"/>
      <c r="P35" s="413"/>
      <c r="Q35" s="413"/>
      <c r="R35" s="413"/>
      <c r="S35" s="413"/>
      <c r="T35" s="413"/>
      <c r="U35" s="413"/>
      <c r="V35" s="413"/>
      <c r="W35" s="413"/>
      <c r="X35" s="413"/>
      <c r="Y35" s="413"/>
      <c r="Z35" s="413"/>
      <c r="AA35" s="413"/>
      <c r="AB35" s="413"/>
      <c r="AC35" s="413"/>
      <c r="AD35" s="413"/>
      <c r="AE35" s="413"/>
      <c r="AF35" s="413"/>
      <c r="AG35" s="413"/>
      <c r="AH35" s="413"/>
      <c r="AI35" s="413"/>
      <c r="AJ35" s="413"/>
      <c r="AK35" s="413"/>
      <c r="AL35" s="413"/>
      <c r="AM35" s="48"/>
    </row>
    <row r="36" spans="1:42" ht="15.5">
      <c r="A36" s="26" t="s">
        <v>10</v>
      </c>
      <c r="B36" s="7">
        <f>'Bütçe aylık-TL'!$B$27</f>
        <v>26545528.129195999</v>
      </c>
      <c r="C36" s="7">
        <f>'gerç aylık-tl'!$B$27</f>
        <v>27685618.760000002</v>
      </c>
      <c r="D36" s="7"/>
      <c r="E36" s="7">
        <f>'Bütçe aylık-TL'!$C$27</f>
        <v>27419454.852079999</v>
      </c>
      <c r="F36" s="7">
        <f>'gerç aylık-tl'!$C$27</f>
        <v>27240937.43</v>
      </c>
      <c r="G36" s="7"/>
      <c r="H36" s="7">
        <f>'Bütçe aylık-TL'!$D$27</f>
        <v>31329207.733908001</v>
      </c>
      <c r="I36" s="7">
        <f>'gerç aylık-tl'!$D$27</f>
        <v>31535255.789999999</v>
      </c>
      <c r="J36" s="7"/>
      <c r="K36" s="7">
        <f>'Bütçe aylık-TL'!$E$27</f>
        <v>29281597.259668998</v>
      </c>
      <c r="L36" s="7">
        <f>'gerç aylık-tl'!$E$27</f>
        <v>29402553.02</v>
      </c>
      <c r="M36" s="7"/>
      <c r="N36" s="7">
        <f>'Bütçe aylık-TL'!$F$27</f>
        <v>31342694.999007002</v>
      </c>
      <c r="O36" s="7">
        <f>'gerç aylık-tl'!$F$27</f>
        <v>33960256.899999999</v>
      </c>
      <c r="P36" s="7"/>
      <c r="Q36" s="7">
        <f>'Bütçe aylık-TL'!$G$27</f>
        <v>31233975.816438001</v>
      </c>
      <c r="R36" s="7">
        <f>'gerç aylık-tl'!$G$27</f>
        <v>30228396.75</v>
      </c>
      <c r="S36" s="7"/>
      <c r="T36" s="7">
        <f>'Bütçe aylık-TL'!$H$27</f>
        <v>31573143.019611999</v>
      </c>
      <c r="U36" s="7">
        <f>'gerç aylık-tl'!$H$27</f>
        <v>34244104.310000002</v>
      </c>
      <c r="V36" s="7"/>
      <c r="W36" s="7">
        <f>'Bütçe aylık-TL'!$I$27</f>
        <v>28520352.709957998</v>
      </c>
      <c r="X36" s="7">
        <f>'gerç aylık-tl'!$I$27</f>
        <v>28560673.09</v>
      </c>
      <c r="Y36" s="7"/>
      <c r="Z36" s="7">
        <f>'Bütçe aylık-TL'!$J$27</f>
        <v>37892064.132505</v>
      </c>
      <c r="AA36" s="7">
        <f>'gerç aylık-tl'!$J$27</f>
        <v>38184861.780000001</v>
      </c>
      <c r="AB36" s="7"/>
      <c r="AC36" s="7">
        <f>'Bütçe aylık-TL'!$K$27</f>
        <v>37505344.068428002</v>
      </c>
      <c r="AD36" s="7">
        <f>'gerç aylık-tl'!$K$27</f>
        <v>0</v>
      </c>
      <c r="AE36" s="7"/>
      <c r="AF36" s="7">
        <f>'Bütçe aylık-TL'!$L$27</f>
        <v>36577447.339893997</v>
      </c>
      <c r="AG36" s="7">
        <f>'gerç aylık-tl'!$L$27</f>
        <v>0</v>
      </c>
      <c r="AH36" s="7"/>
      <c r="AI36" s="7">
        <f>'Bütçe aylık-TL'!$M$27</f>
        <v>33129305.915796999</v>
      </c>
      <c r="AJ36" s="7">
        <f>'gerç aylık-tl'!$M$27</f>
        <v>0</v>
      </c>
      <c r="AK36" s="7"/>
      <c r="AL36" s="21">
        <f t="shared" ref="AL36:AL70" si="8">AP36-AO36</f>
        <v>292797.64749500155</v>
      </c>
      <c r="AM36" s="22">
        <f t="shared" ref="AM36:AM70" si="9">AP36/AO36-1</f>
        <v>7.7271495812716307E-3</v>
      </c>
      <c r="AO36" s="44">
        <f t="shared" ref="AO36:AO70" si="10">IF($A$1=$B$1,B36,IF($A$1=$E$1,E36,IF($A$1=$H$1,H36,IF($A$1=$K$1,K36,IF($A$1=$N$1,N36,IF($A$1=$Q$1,Q36,IF($A$1=$T$1,T36,IF($A$1=$W$1,W36,IF($A$1=$Z$1,Z36,IF($A$1=$AC$1,AC36,IF($A$1=$AF$1,AF36,IF($A$1=$AI$1,AI36))))))))))))</f>
        <v>37892064.132505</v>
      </c>
      <c r="AP36" s="44">
        <f t="shared" ref="AP36:AP70" si="11">IF($A$1=$B$1,C36,IF($A$1=$E$1,F36,IF($A$1=$H$1,I36,IF($A$1=$K$1,L36,IF($A$1=$N$1,O36,IF($A$1=$Q$1,R36,IF($A$1=$T$1,U36,IF($A$1=$W$1,X36,IF($A$1=$Z$1,AA36,IF($A$1=$AC$1,AD36,IF($A$1=$AF$1,AG36,IF($A$1=$AI$1,AJ36))))))))))))</f>
        <v>38184861.780000001</v>
      </c>
    </row>
    <row r="37" spans="1:42" ht="15.5">
      <c r="A37" s="26" t="s">
        <v>11</v>
      </c>
      <c r="B37" s="7">
        <f>'Bütçe aylık-TL'!$B$28</f>
        <v>5302329.4831189997</v>
      </c>
      <c r="C37" s="7">
        <f>'gerç aylık-tl'!$B$28</f>
        <v>4212328.126495</v>
      </c>
      <c r="D37" s="7"/>
      <c r="E37" s="7">
        <f>'Bütçe aylık-TL'!$C$28</f>
        <v>9397171.0841210037</v>
      </c>
      <c r="F37" s="7">
        <f>'gerç aylık-tl'!$C$28</f>
        <v>7555972.3842630051</v>
      </c>
      <c r="G37" s="7"/>
      <c r="H37" s="7">
        <f>'Bütçe aylık-TL'!$D$28</f>
        <v>10477810.995099001</v>
      </c>
      <c r="I37" s="7">
        <f>'gerç aylık-tl'!$D$28</f>
        <v>7334960.7422749996</v>
      </c>
      <c r="J37" s="7"/>
      <c r="K37" s="7">
        <f>'Bütçe aylık-TL'!$E$28</f>
        <v>13535077.198726002</v>
      </c>
      <c r="L37" s="7">
        <f>'gerç aylık-tl'!$E$28</f>
        <v>5069666.1859299988</v>
      </c>
      <c r="M37" s="7"/>
      <c r="N37" s="7">
        <f>'Bütçe aylık-TL'!$F$28</f>
        <v>14895920.988836002</v>
      </c>
      <c r="O37" s="7">
        <f>'gerç aylık-tl'!$F$28</f>
        <v>7713097.7019760013</v>
      </c>
      <c r="P37" s="7"/>
      <c r="Q37" s="7">
        <f>'Bütçe aylık-TL'!$G$28</f>
        <v>14522054.826931003</v>
      </c>
      <c r="R37" s="7">
        <f>'gerç aylık-tl'!$G$28</f>
        <v>8206395.559570998</v>
      </c>
      <c r="S37" s="7"/>
      <c r="T37" s="7">
        <f>'Bütçe aylık-TL'!$H$28</f>
        <v>12277426.118365001</v>
      </c>
      <c r="U37" s="7">
        <f>'gerç aylık-tl'!$H$28</f>
        <v>9046513.1758629978</v>
      </c>
      <c r="V37" s="7"/>
      <c r="W37" s="7">
        <f>'Bütçe aylık-TL'!$I$28</f>
        <v>7079593.5116729997</v>
      </c>
      <c r="X37" s="7">
        <f>'gerç aylık-tl'!$I$28</f>
        <v>6071839.3075920008</v>
      </c>
      <c r="Y37" s="7"/>
      <c r="Z37" s="7">
        <f>'Bütçe aylık-TL'!$J$28</f>
        <v>8739341.1260340028</v>
      </c>
      <c r="AA37" s="7">
        <f>'gerç aylık-tl'!$J$28</f>
        <v>5012771.723979</v>
      </c>
      <c r="AB37" s="7"/>
      <c r="AC37" s="7">
        <f>'Bütçe aylık-TL'!$K$28</f>
        <v>6437550.9678439982</v>
      </c>
      <c r="AD37" s="7">
        <f>'gerç aylık-tl'!$K$28</f>
        <v>0</v>
      </c>
      <c r="AE37" s="7"/>
      <c r="AF37" s="7">
        <f>'Bütçe aylık-TL'!$L$28</f>
        <v>5413090.6318029985</v>
      </c>
      <c r="AG37" s="7">
        <f>'gerç aylık-tl'!$L$28</f>
        <v>0</v>
      </c>
      <c r="AH37" s="7"/>
      <c r="AI37" s="7">
        <f>'Bütçe aylık-TL'!$M$28</f>
        <v>3621280.4679799993</v>
      </c>
      <c r="AJ37" s="7">
        <f>'gerç aylık-tl'!$M$28</f>
        <v>0</v>
      </c>
      <c r="AK37" s="7"/>
      <c r="AL37" s="21">
        <f t="shared" si="8"/>
        <v>-3726569.4020550027</v>
      </c>
      <c r="AM37" s="22">
        <f t="shared" si="9"/>
        <v>-0.4264130840428878</v>
      </c>
      <c r="AO37" s="44">
        <f t="shared" si="10"/>
        <v>8739341.1260340028</v>
      </c>
      <c r="AP37" s="44">
        <f t="shared" si="11"/>
        <v>5012771.723979</v>
      </c>
    </row>
    <row r="38" spans="1:42" ht="15.5">
      <c r="A38" s="26" t="s">
        <v>12</v>
      </c>
      <c r="B38" s="7">
        <f>'Bütçe aylık-TL'!$B$29</f>
        <v>6166778.4274010025</v>
      </c>
      <c r="C38" s="7">
        <f>'gerç aylık-tl'!$B$29</f>
        <v>5714380.9899999984</v>
      </c>
      <c r="D38" s="7"/>
      <c r="E38" s="7">
        <f>'Bütçe aylık-TL'!$C$29</f>
        <v>6355978.8981039971</v>
      </c>
      <c r="F38" s="7">
        <f>'gerç aylık-tl'!$C$29</f>
        <v>5682739.7699999958</v>
      </c>
      <c r="G38" s="7"/>
      <c r="H38" s="7">
        <f>'Bütçe aylık-TL'!$D$29</f>
        <v>9461125.3242039979</v>
      </c>
      <c r="I38" s="7">
        <f>'gerç aylık-tl'!$D$29</f>
        <v>7407579.0600000024</v>
      </c>
      <c r="J38" s="7"/>
      <c r="K38" s="7">
        <f>'Bütçe aylık-TL'!$E$29</f>
        <v>10290511.033119999</v>
      </c>
      <c r="L38" s="7">
        <f>'gerç aylık-tl'!$E$29</f>
        <v>6990713.650000006</v>
      </c>
      <c r="M38" s="7"/>
      <c r="N38" s="7">
        <f>'Bütçe aylık-TL'!$F$29</f>
        <v>11517999.647755004</v>
      </c>
      <c r="O38" s="7">
        <f>'gerç aylık-tl'!$F$29</f>
        <v>6780513.0999999978</v>
      </c>
      <c r="P38" s="7"/>
      <c r="Q38" s="7">
        <f>'Bütçe aylık-TL'!$G$29</f>
        <v>11963252.623499006</v>
      </c>
      <c r="R38" s="7">
        <f>'gerç aylık-tl'!$G$29</f>
        <v>6447239</v>
      </c>
      <c r="S38" s="7"/>
      <c r="T38" s="7">
        <f>'Bütçe aylık-TL'!$H$29</f>
        <v>13525829.706378005</v>
      </c>
      <c r="U38" s="7">
        <f>'gerç aylık-tl'!$H$29</f>
        <v>8092011.8729999959</v>
      </c>
      <c r="V38" s="7"/>
      <c r="W38" s="7">
        <f>'Bütçe aylık-TL'!$I$29</f>
        <v>12369529.930271</v>
      </c>
      <c r="X38" s="7">
        <f>'gerç aylık-tl'!$I$29</f>
        <v>6167280.2580000013</v>
      </c>
      <c r="Y38" s="7"/>
      <c r="Z38" s="7">
        <f>'Bütçe aylık-TL'!$J$29</f>
        <v>12463458.317563005</v>
      </c>
      <c r="AA38" s="7">
        <f>'gerç aylık-tl'!$J$29</f>
        <v>8233684.8800000027</v>
      </c>
      <c r="AB38" s="7"/>
      <c r="AC38" s="7">
        <f>'Bütçe aylık-TL'!$K$29</f>
        <v>12401057.222394004</v>
      </c>
      <c r="AD38" s="7">
        <f>'gerç aylık-tl'!$K$29</f>
        <v>0</v>
      </c>
      <c r="AE38" s="7"/>
      <c r="AF38" s="7">
        <f>'Bütçe aylık-TL'!$L$29</f>
        <v>13238655.187248997</v>
      </c>
      <c r="AG38" s="7">
        <f>'gerç aylık-tl'!$L$29</f>
        <v>0</v>
      </c>
      <c r="AH38" s="7"/>
      <c r="AI38" s="7">
        <f>'Bütçe aylık-TL'!$M$29</f>
        <v>12423178.971238993</v>
      </c>
      <c r="AJ38" s="7">
        <f>'gerç aylık-tl'!$M$29</f>
        <v>0</v>
      </c>
      <c r="AK38" s="7"/>
      <c r="AL38" s="21">
        <f t="shared" si="8"/>
        <v>-4229773.4375630021</v>
      </c>
      <c r="AM38" s="22">
        <f t="shared" si="9"/>
        <v>-0.33937397869759589</v>
      </c>
      <c r="AO38" s="44">
        <f t="shared" si="10"/>
        <v>12463458.317563005</v>
      </c>
      <c r="AP38" s="44">
        <f t="shared" si="11"/>
        <v>8233684.8800000027</v>
      </c>
    </row>
    <row r="39" spans="1:42" ht="15.5">
      <c r="A39" s="26" t="s">
        <v>13</v>
      </c>
      <c r="B39" s="7">
        <f>'Bütçe aylık-TL'!$B$30</f>
        <v>129004483.80444393</v>
      </c>
      <c r="C39" s="7">
        <f>'gerç aylık-tl'!$B$30</f>
        <v>116748048.34569</v>
      </c>
      <c r="D39" s="7"/>
      <c r="E39" s="7">
        <f>'Bütçe aylık-TL'!$C$30</f>
        <v>129797310.88920407</v>
      </c>
      <c r="F39" s="7">
        <f>'gerç aylık-tl'!$C$30</f>
        <v>108819972.87381403</v>
      </c>
      <c r="G39" s="7"/>
      <c r="H39" s="7">
        <f>'Bütçe aylık-TL'!$D$30</f>
        <v>142304771.512954</v>
      </c>
      <c r="I39" s="7">
        <f>'gerç aylık-tl'!$D$30</f>
        <v>69937109.669342041</v>
      </c>
      <c r="J39" s="7"/>
      <c r="K39" s="7">
        <f>'Bütçe aylık-TL'!$E$30</f>
        <v>132777145.57954401</v>
      </c>
      <c r="L39" s="7">
        <f>'gerç aylık-tl'!$E$30</f>
        <v>58098049.251123965</v>
      </c>
      <c r="M39" s="7"/>
      <c r="N39" s="7">
        <f>'Bütçe aylık-TL'!$F$30</f>
        <v>136171663.38972405</v>
      </c>
      <c r="O39" s="7">
        <f>'gerç aylık-tl'!$F$30</f>
        <v>76283859.670565054</v>
      </c>
      <c r="P39" s="7"/>
      <c r="Q39" s="7">
        <f>'Bütçe aylık-TL'!$G$30</f>
        <v>151400278.66556704</v>
      </c>
      <c r="R39" s="7">
        <f>'gerç aylık-tl'!$G$30</f>
        <v>39840471.651718915</v>
      </c>
      <c r="S39" s="7"/>
      <c r="T39" s="7">
        <f>'Bütçe aylık-TL'!$H$30</f>
        <v>174995203.81378606</v>
      </c>
      <c r="U39" s="7">
        <f>'gerç aylık-tl'!$H$30</f>
        <v>57876725.310194939</v>
      </c>
      <c r="V39" s="7"/>
      <c r="W39" s="7">
        <f>'Bütçe aylık-TL'!$I$30</f>
        <v>186065228.81657496</v>
      </c>
      <c r="X39" s="7">
        <f>'gerç aylık-tl'!$I$30</f>
        <v>112143808.440421</v>
      </c>
      <c r="Y39" s="7"/>
      <c r="Z39" s="7">
        <f>'Bütçe aylık-TL'!$J$30</f>
        <v>211148429.94853616</v>
      </c>
      <c r="AA39" s="7">
        <f>'gerç aylık-tl'!$J$30</f>
        <v>79632952.032473013</v>
      </c>
      <c r="AB39" s="7"/>
      <c r="AC39" s="7">
        <f>'Bütçe aylık-TL'!$K$30</f>
        <v>246809348.10384199</v>
      </c>
      <c r="AD39" s="7">
        <f>'gerç aylık-tl'!$K$30</f>
        <v>0</v>
      </c>
      <c r="AE39" s="7"/>
      <c r="AF39" s="7">
        <f>'Bütçe aylık-TL'!$L$30</f>
        <v>254409201.37739807</v>
      </c>
      <c r="AG39" s="7">
        <f>'gerç aylık-tl'!$L$30</f>
        <v>0</v>
      </c>
      <c r="AH39" s="7"/>
      <c r="AI39" s="7">
        <f>'Bütçe aylık-TL'!$M$30</f>
        <v>296192038.26013714</v>
      </c>
      <c r="AJ39" s="7">
        <f>'gerç aylık-tl'!$M$30</f>
        <v>0</v>
      </c>
      <c r="AK39" s="7"/>
      <c r="AL39" s="21">
        <f t="shared" si="8"/>
        <v>-131515477.91606314</v>
      </c>
      <c r="AM39" s="22">
        <f t="shared" si="9"/>
        <v>-0.62285794854414878</v>
      </c>
      <c r="AO39" s="44">
        <f t="shared" si="10"/>
        <v>211148429.94853616</v>
      </c>
      <c r="AP39" s="44">
        <f t="shared" si="11"/>
        <v>79632952.032473013</v>
      </c>
    </row>
    <row r="40" spans="1:42" s="1" customFormat="1" ht="15.5">
      <c r="A40" s="26" t="s">
        <v>14</v>
      </c>
      <c r="B40" s="7">
        <f>'Bütçe aylık-TL'!$B$31</f>
        <v>48465518.000000007</v>
      </c>
      <c r="C40" s="7">
        <f>'gerç aylık-tl'!$B$31</f>
        <v>44308044.796276987</v>
      </c>
      <c r="D40" s="8"/>
      <c r="E40" s="7">
        <f>'Bütçe aylık-TL'!$C$31</f>
        <v>50554178.000000007</v>
      </c>
      <c r="F40" s="7">
        <f>'gerç aylık-tl'!$C$31</f>
        <v>49795831.822692022</v>
      </c>
      <c r="G40" s="8"/>
      <c r="H40" s="7">
        <f>'Bütçe aylık-TL'!$D$31</f>
        <v>49747413.999999985</v>
      </c>
      <c r="I40" s="7">
        <f>'gerç aylık-tl'!$D$31</f>
        <v>47295420.354774967</v>
      </c>
      <c r="J40" s="8"/>
      <c r="K40" s="7">
        <f>'Bütçe aylık-TL'!$E$31</f>
        <v>45989120.638012797</v>
      </c>
      <c r="L40" s="7">
        <f>'gerç aylık-tl'!$E$31</f>
        <v>41118535.123713054</v>
      </c>
      <c r="M40" s="8"/>
      <c r="N40" s="7">
        <f>'Bütçe aylık-TL'!$F$31</f>
        <v>49575392.357061654</v>
      </c>
      <c r="O40" s="7">
        <f>'gerç aylık-tl'!$F$31</f>
        <v>54405532.693861984</v>
      </c>
      <c r="P40" s="8"/>
      <c r="Q40" s="7">
        <f>'Bütçe aylık-TL'!$G$31</f>
        <v>45183554.602326721</v>
      </c>
      <c r="R40" s="7">
        <f>'gerç aylık-tl'!$G$31</f>
        <v>43191476.661035009</v>
      </c>
      <c r="S40" s="8"/>
      <c r="T40" s="7">
        <f>'Bütçe aylık-TL'!$H$31</f>
        <v>51743445.522032291</v>
      </c>
      <c r="U40" s="7">
        <f>'gerç aylık-tl'!$H$31</f>
        <v>51443121.250553019</v>
      </c>
      <c r="V40" s="8"/>
      <c r="W40" s="7">
        <f>'Bütçe aylık-TL'!$I$31</f>
        <v>53746296.465896189</v>
      </c>
      <c r="X40" s="7">
        <f>'gerç aylık-tl'!$I$31</f>
        <v>52451715.761038028</v>
      </c>
      <c r="Y40" s="8"/>
      <c r="Z40" s="7">
        <f>'Bütçe aylık-TL'!$J$31</f>
        <v>53500762.652787656</v>
      </c>
      <c r="AA40" s="7">
        <f>'gerç aylık-tl'!$J$31</f>
        <v>57184827.748388015</v>
      </c>
      <c r="AB40" s="8"/>
      <c r="AC40" s="7">
        <f>'Bütçe aylık-TL'!$K$31</f>
        <v>62207733.296114683</v>
      </c>
      <c r="AD40" s="7">
        <f>'gerç aylık-tl'!$K$31</f>
        <v>0</v>
      </c>
      <c r="AE40" s="8"/>
      <c r="AF40" s="7">
        <f>'Bütçe aylık-TL'!$L$31</f>
        <v>57583667.664774925</v>
      </c>
      <c r="AG40" s="7">
        <f>'gerç aylık-tl'!$L$31</f>
        <v>0</v>
      </c>
      <c r="AH40" s="8"/>
      <c r="AI40" s="7">
        <f>'Bütçe aylık-TL'!$M$31</f>
        <v>54730212.437607169</v>
      </c>
      <c r="AJ40" s="7">
        <f>'gerç aylık-tl'!$M$31</f>
        <v>0</v>
      </c>
      <c r="AK40" s="8"/>
      <c r="AL40" s="21">
        <f t="shared" si="8"/>
        <v>3684065.0956003591</v>
      </c>
      <c r="AM40" s="22">
        <f t="shared" si="9"/>
        <v>6.8860048211077274E-2</v>
      </c>
      <c r="AO40" s="44">
        <f t="shared" si="10"/>
        <v>53500762.652787656</v>
      </c>
      <c r="AP40" s="44">
        <f t="shared" si="11"/>
        <v>57184827.748388015</v>
      </c>
    </row>
    <row r="41" spans="1:42" ht="15.5">
      <c r="A41" s="26" t="s">
        <v>15</v>
      </c>
      <c r="B41" s="7">
        <f>'Bütçe aylık-TL'!$B$32</f>
        <v>47911594.301837832</v>
      </c>
      <c r="C41" s="7">
        <f>'gerç aylık-tl'!$B$32</f>
        <v>51212436.806704178</v>
      </c>
      <c r="D41" s="7"/>
      <c r="E41" s="7">
        <f>'Bütçe aylık-TL'!$C$32</f>
        <v>66314711.757810786</v>
      </c>
      <c r="F41" s="7">
        <f>'gerç aylık-tl'!$C$32</f>
        <v>77815733.323771879</v>
      </c>
      <c r="G41" s="7"/>
      <c r="H41" s="7">
        <f>'Bütçe aylık-TL'!$D$32</f>
        <v>107724142.03069903</v>
      </c>
      <c r="I41" s="7">
        <f>'gerç aylık-tl'!$D$32</f>
        <v>95747718.939288408</v>
      </c>
      <c r="J41" s="7"/>
      <c r="K41" s="7">
        <f>'Bütçe aylık-TL'!$E$32</f>
        <v>54393490.611688122</v>
      </c>
      <c r="L41" s="7">
        <f>'gerç aylık-tl'!$E$32</f>
        <v>96562067.971647084</v>
      </c>
      <c r="M41" s="7"/>
      <c r="N41" s="7">
        <f>'Bütçe aylık-TL'!$F$32</f>
        <v>75533716.521198973</v>
      </c>
      <c r="O41" s="7">
        <f>'gerç aylık-tl'!$F$32</f>
        <v>104485337.53904246</v>
      </c>
      <c r="P41" s="7"/>
      <c r="Q41" s="7">
        <f>'Bütçe aylık-TL'!$G$32</f>
        <v>87282313.750035688</v>
      </c>
      <c r="R41" s="7">
        <f>'gerç aylık-tl'!$G$32</f>
        <v>101186493.20620403</v>
      </c>
      <c r="S41" s="7"/>
      <c r="T41" s="7">
        <f>'Bütçe aylık-TL'!$H$32</f>
        <v>48737842.388456166</v>
      </c>
      <c r="U41" s="7">
        <f>'gerç aylık-tl'!$H$32</f>
        <v>95757408.256141692</v>
      </c>
      <c r="V41" s="7"/>
      <c r="W41" s="7">
        <f>'Bütçe aylık-TL'!$I$32</f>
        <v>28834268.312854022</v>
      </c>
      <c r="X41" s="7">
        <f>'gerç aylık-tl'!$I$32</f>
        <v>71955460.732267424</v>
      </c>
      <c r="Y41" s="7"/>
      <c r="Z41" s="7">
        <f>'Bütçe aylık-TL'!$J$32</f>
        <v>139400616.94135889</v>
      </c>
      <c r="AA41" s="7">
        <f>'gerç aylık-tl'!$J$32</f>
        <v>146322385.85913107</v>
      </c>
      <c r="AB41" s="7"/>
      <c r="AC41" s="7">
        <f>'Bütçe aylık-TL'!$K$32</f>
        <v>94454588.922423348</v>
      </c>
      <c r="AD41" s="7">
        <f>'gerç aylık-tl'!$K$32</f>
        <v>0</v>
      </c>
      <c r="AE41" s="7"/>
      <c r="AF41" s="7">
        <f>'Bütçe aylık-TL'!$L$32</f>
        <v>95694165.305805802</v>
      </c>
      <c r="AG41" s="7">
        <f>'gerç aylık-tl'!$L$32</f>
        <v>0</v>
      </c>
      <c r="AH41" s="7"/>
      <c r="AI41" s="7">
        <f>'Bütçe aylık-TL'!$M$32</f>
        <v>76141025.006439462</v>
      </c>
      <c r="AJ41" s="7">
        <f>'gerç aylık-tl'!$M$32</f>
        <v>0</v>
      </c>
      <c r="AK41" s="7"/>
      <c r="AL41" s="21">
        <f t="shared" si="8"/>
        <v>6921768.9177721739</v>
      </c>
      <c r="AM41" s="22">
        <f t="shared" si="9"/>
        <v>4.9653789700829787E-2</v>
      </c>
      <c r="AO41" s="44">
        <f t="shared" si="10"/>
        <v>139400616.94135889</v>
      </c>
      <c r="AP41" s="44">
        <f t="shared" si="11"/>
        <v>146322385.85913107</v>
      </c>
    </row>
    <row r="42" spans="1:42" ht="15.5">
      <c r="A42" s="26" t="s">
        <v>16</v>
      </c>
      <c r="B42" s="7">
        <f>'Bütçe aylık-TL'!$B$33</f>
        <v>62710636.307743415</v>
      </c>
      <c r="C42" s="7">
        <f>'gerç aylık-tl'!$B$33</f>
        <v>64925515.635151044</v>
      </c>
      <c r="D42" s="7"/>
      <c r="E42" s="7">
        <f>'Bütçe aylık-TL'!$C$33</f>
        <v>56500478.659847789</v>
      </c>
      <c r="F42" s="7">
        <f>'gerç aylık-tl'!$C$33</f>
        <v>91542829.534910947</v>
      </c>
      <c r="G42" s="7"/>
      <c r="H42" s="7">
        <f>'Bütçe aylık-TL'!$D$33</f>
        <v>81686889.565082073</v>
      </c>
      <c r="I42" s="7">
        <f>'gerç aylık-tl'!$D$33</f>
        <v>90875160.448434204</v>
      </c>
      <c r="J42" s="7"/>
      <c r="K42" s="7">
        <f>'Bütçe aylık-TL'!$E$33</f>
        <v>82318237.236213341</v>
      </c>
      <c r="L42" s="7">
        <f>'gerç aylık-tl'!$E$33</f>
        <v>115832065.19648716</v>
      </c>
      <c r="M42" s="7"/>
      <c r="N42" s="7">
        <f>'Bütçe aylık-TL'!$F$33</f>
        <v>86620941.358426392</v>
      </c>
      <c r="O42" s="7">
        <f>'gerç aylık-tl'!$F$33</f>
        <v>93378243.188482448</v>
      </c>
      <c r="P42" s="7"/>
      <c r="Q42" s="7">
        <f>'Bütçe aylık-TL'!$G$33</f>
        <v>71984523.327898189</v>
      </c>
      <c r="R42" s="7">
        <f>'gerç aylık-tl'!$G$33</f>
        <v>89764698.263418555</v>
      </c>
      <c r="S42" s="7"/>
      <c r="T42" s="7">
        <f>'Bütçe aylık-TL'!$H$33</f>
        <v>63922495.02296757</v>
      </c>
      <c r="U42" s="7">
        <f>'gerç aylık-tl'!$H$33</f>
        <v>121855658.85909545</v>
      </c>
      <c r="V42" s="7"/>
      <c r="W42" s="7">
        <f>'Bütçe aylık-TL'!$I$33</f>
        <v>42836916.018921137</v>
      </c>
      <c r="X42" s="7">
        <f>'gerç aylık-tl'!$I$33</f>
        <v>85222871.99904114</v>
      </c>
      <c r="Y42" s="7"/>
      <c r="Z42" s="7">
        <f>'Bütçe aylık-TL'!$J$33</f>
        <v>104304390.62084052</v>
      </c>
      <c r="AA42" s="7">
        <f>'gerç aylık-tl'!$J$33</f>
        <v>164346101.20360929</v>
      </c>
      <c r="AB42" s="7"/>
      <c r="AC42" s="7">
        <f>'Bütçe aylık-TL'!$K$33</f>
        <v>96503965.992868245</v>
      </c>
      <c r="AD42" s="7">
        <f>'gerç aylık-tl'!$K$33</f>
        <v>0</v>
      </c>
      <c r="AE42" s="7"/>
      <c r="AF42" s="7">
        <f>'Bütçe aylık-TL'!$L$33</f>
        <v>91678015.923363373</v>
      </c>
      <c r="AG42" s="7">
        <f>'gerç aylık-tl'!$L$33</f>
        <v>0</v>
      </c>
      <c r="AH42" s="7"/>
      <c r="AI42" s="7">
        <f>'Bütçe aylık-TL'!$M$33</f>
        <v>58292594.230952412</v>
      </c>
      <c r="AJ42" s="7">
        <f>'gerç aylık-tl'!$M$33</f>
        <v>0</v>
      </c>
      <c r="AK42" s="7"/>
      <c r="AL42" s="21">
        <f t="shared" si="8"/>
        <v>60041710.582768768</v>
      </c>
      <c r="AM42" s="22">
        <f t="shared" si="9"/>
        <v>0.57563934006410022</v>
      </c>
      <c r="AO42" s="44">
        <f t="shared" si="10"/>
        <v>104304390.62084052</v>
      </c>
      <c r="AP42" s="44">
        <f t="shared" si="11"/>
        <v>164346101.20360929</v>
      </c>
    </row>
    <row r="43" spans="1:42" ht="15.5">
      <c r="A43" s="26" t="s">
        <v>17</v>
      </c>
      <c r="B43" s="7">
        <f>'Bütçe aylık-TL'!$B$34</f>
        <v>108164415.23414582</v>
      </c>
      <c r="C43" s="7">
        <f>'gerç aylık-tl'!$B$34</f>
        <v>108555057.37723663</v>
      </c>
      <c r="D43" s="7"/>
      <c r="E43" s="7">
        <f>'Bütçe aylık-TL'!$C$34</f>
        <v>118659249.71564792</v>
      </c>
      <c r="F43" s="7">
        <f>'gerç aylık-tl'!$C$34</f>
        <v>64254346.158259809</v>
      </c>
      <c r="G43" s="7"/>
      <c r="H43" s="7">
        <f>'Bütçe aylık-TL'!$D$34</f>
        <v>109810412.67061666</v>
      </c>
      <c r="I43" s="7">
        <f>'gerç aylık-tl'!$D$34</f>
        <v>88442328.615344763</v>
      </c>
      <c r="J43" s="7"/>
      <c r="K43" s="7">
        <f>'Bütçe aylık-TL'!$E$34</f>
        <v>101082958.48843947</v>
      </c>
      <c r="L43" s="7">
        <f>'gerç aylık-tl'!$E$34</f>
        <v>89463144.783161879</v>
      </c>
      <c r="M43" s="7"/>
      <c r="N43" s="7">
        <f>'Bütçe aylık-TL'!$F$34</f>
        <v>143195156.98209152</v>
      </c>
      <c r="O43" s="7">
        <f>'gerç aylık-tl'!$F$34</f>
        <v>168676914.07085001</v>
      </c>
      <c r="P43" s="7"/>
      <c r="Q43" s="7">
        <f>'Bütçe aylık-TL'!$G$34</f>
        <v>103976529.93047073</v>
      </c>
      <c r="R43" s="7">
        <f>'gerç aylık-tl'!$G$34</f>
        <v>106651477.89934427</v>
      </c>
      <c r="S43" s="7"/>
      <c r="T43" s="7">
        <f>'Bütçe aylık-TL'!$H$34</f>
        <v>152443728.60054299</v>
      </c>
      <c r="U43" s="7">
        <f>'gerç aylık-tl'!$H$34</f>
        <v>128191745.67926705</v>
      </c>
      <c r="V43" s="7"/>
      <c r="W43" s="7">
        <f>'Bütçe aylık-TL'!$I$34</f>
        <v>63984738.83239381</v>
      </c>
      <c r="X43" s="7">
        <f>'gerç aylık-tl'!$I$34</f>
        <v>68992829.069192782</v>
      </c>
      <c r="Y43" s="7"/>
      <c r="Z43" s="7">
        <f>'Bütçe aylık-TL'!$J$34</f>
        <v>195412160.2201286</v>
      </c>
      <c r="AA43" s="7">
        <f>'gerç aylık-tl'!$J$34</f>
        <v>191581360.22529513</v>
      </c>
      <c r="AB43" s="7"/>
      <c r="AC43" s="7">
        <f>'Bütçe aylık-TL'!$K$34</f>
        <v>166160271.1288473</v>
      </c>
      <c r="AD43" s="7">
        <f>'gerç aylık-tl'!$K$34</f>
        <v>0</v>
      </c>
      <c r="AE43" s="7"/>
      <c r="AF43" s="7">
        <f>'Bütçe aylık-TL'!$L$34</f>
        <v>165551455.25894836</v>
      </c>
      <c r="AG43" s="7">
        <f>'gerç aylık-tl'!$L$34</f>
        <v>0</v>
      </c>
      <c r="AH43" s="7"/>
      <c r="AI43" s="7">
        <f>'Bütçe aylık-TL'!$M$34</f>
        <v>125228667.27690451</v>
      </c>
      <c r="AJ43" s="7">
        <f>'gerç aylık-tl'!$M$34</f>
        <v>0</v>
      </c>
      <c r="AK43" s="7"/>
      <c r="AL43" s="21">
        <f t="shared" si="8"/>
        <v>-3830799.9948334694</v>
      </c>
      <c r="AM43" s="22">
        <f t="shared" si="9"/>
        <v>-1.9603692986752352E-2</v>
      </c>
      <c r="AO43" s="44">
        <f t="shared" si="10"/>
        <v>195412160.2201286</v>
      </c>
      <c r="AP43" s="44">
        <f t="shared" si="11"/>
        <v>191581360.22529513</v>
      </c>
    </row>
    <row r="44" spans="1:42" ht="15.5">
      <c r="A44" s="26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21"/>
      <c r="AM44" s="22"/>
      <c r="AO44" s="44">
        <f t="shared" si="10"/>
        <v>0</v>
      </c>
      <c r="AP44" s="44">
        <f t="shared" si="11"/>
        <v>0</v>
      </c>
    </row>
    <row r="45" spans="1:42" ht="15.75" hidden="1" customHeight="1">
      <c r="A45" s="26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21">
        <f t="shared" si="8"/>
        <v>0</v>
      </c>
      <c r="AM45" s="22" t="e">
        <f t="shared" si="9"/>
        <v>#DIV/0!</v>
      </c>
      <c r="AO45" s="44">
        <f t="shared" si="10"/>
        <v>0</v>
      </c>
      <c r="AP45" s="44">
        <f t="shared" si="11"/>
        <v>0</v>
      </c>
    </row>
    <row r="46" spans="1:42" s="1" customFormat="1" ht="15.75" hidden="1" customHeight="1">
      <c r="A46" s="27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15">
        <f t="shared" si="8"/>
        <v>0</v>
      </c>
      <c r="AM46" s="16" t="e">
        <f t="shared" si="9"/>
        <v>#DIV/0!</v>
      </c>
      <c r="AO46" s="44">
        <f t="shared" si="10"/>
        <v>0</v>
      </c>
      <c r="AP46" s="44">
        <f t="shared" si="11"/>
        <v>0</v>
      </c>
    </row>
    <row r="47" spans="1:42" ht="15.75" hidden="1" customHeight="1">
      <c r="A47" s="26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21">
        <f t="shared" si="8"/>
        <v>0</v>
      </c>
      <c r="AM47" s="22" t="e">
        <f t="shared" si="9"/>
        <v>#DIV/0!</v>
      </c>
      <c r="AO47" s="44">
        <f t="shared" si="10"/>
        <v>0</v>
      </c>
      <c r="AP47" s="44">
        <f t="shared" si="11"/>
        <v>0</v>
      </c>
    </row>
    <row r="48" spans="1:42" s="1" customFormat="1" ht="15.75" hidden="1" customHeight="1">
      <c r="A48" s="27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15">
        <f t="shared" si="8"/>
        <v>0</v>
      </c>
      <c r="AM48" s="16" t="e">
        <f t="shared" si="9"/>
        <v>#DIV/0!</v>
      </c>
      <c r="AO48" s="44">
        <f t="shared" si="10"/>
        <v>0</v>
      </c>
      <c r="AP48" s="44">
        <f t="shared" si="11"/>
        <v>0</v>
      </c>
    </row>
    <row r="49" spans="1:42" ht="15.75" hidden="1" customHeight="1">
      <c r="A49" s="26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21"/>
      <c r="AM49" s="22"/>
      <c r="AO49" s="44">
        <f t="shared" si="10"/>
        <v>0</v>
      </c>
      <c r="AP49" s="44">
        <f t="shared" si="11"/>
        <v>0</v>
      </c>
    </row>
    <row r="50" spans="1:42" ht="15.75" hidden="1" customHeight="1">
      <c r="A50" s="26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21">
        <f t="shared" si="8"/>
        <v>0</v>
      </c>
      <c r="AM50" s="22" t="e">
        <f t="shared" si="9"/>
        <v>#DIV/0!</v>
      </c>
      <c r="AO50" s="44">
        <f t="shared" si="10"/>
        <v>0</v>
      </c>
      <c r="AP50" s="44">
        <f t="shared" si="11"/>
        <v>0</v>
      </c>
    </row>
    <row r="51" spans="1:42" ht="15.75" hidden="1" customHeight="1">
      <c r="A51" s="26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21">
        <f t="shared" si="8"/>
        <v>0</v>
      </c>
      <c r="AM51" s="22" t="e">
        <f t="shared" si="9"/>
        <v>#DIV/0!</v>
      </c>
      <c r="AO51" s="44">
        <f t="shared" si="10"/>
        <v>0</v>
      </c>
      <c r="AP51" s="44">
        <f t="shared" si="11"/>
        <v>0</v>
      </c>
    </row>
    <row r="52" spans="1:42" ht="15.75" hidden="1" customHeight="1">
      <c r="A52" s="26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21">
        <f t="shared" si="8"/>
        <v>0</v>
      </c>
      <c r="AM52" s="22" t="e">
        <f t="shared" si="9"/>
        <v>#DIV/0!</v>
      </c>
      <c r="AO52" s="44">
        <f t="shared" si="10"/>
        <v>0</v>
      </c>
      <c r="AP52" s="44">
        <f t="shared" si="11"/>
        <v>0</v>
      </c>
    </row>
    <row r="53" spans="1:42" ht="15.75" hidden="1" customHeight="1">
      <c r="A53" s="26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21">
        <f t="shared" si="8"/>
        <v>0</v>
      </c>
      <c r="AM53" s="22" t="e">
        <f t="shared" si="9"/>
        <v>#DIV/0!</v>
      </c>
      <c r="AO53" s="44">
        <f t="shared" si="10"/>
        <v>0</v>
      </c>
      <c r="AP53" s="44">
        <f t="shared" si="11"/>
        <v>0</v>
      </c>
    </row>
    <row r="54" spans="1:42" s="1" customFormat="1" ht="15.75" hidden="1" customHeight="1">
      <c r="A54" s="27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15">
        <f t="shared" si="8"/>
        <v>0</v>
      </c>
      <c r="AM54" s="16" t="e">
        <f t="shared" si="9"/>
        <v>#DIV/0!</v>
      </c>
      <c r="AO54" s="44">
        <f t="shared" si="10"/>
        <v>0</v>
      </c>
      <c r="AP54" s="44">
        <f t="shared" si="11"/>
        <v>0</v>
      </c>
    </row>
    <row r="55" spans="1:42" ht="15.75" hidden="1" customHeight="1">
      <c r="A55" s="26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21">
        <f t="shared" si="8"/>
        <v>0</v>
      </c>
      <c r="AM55" s="22" t="e">
        <f t="shared" si="9"/>
        <v>#DIV/0!</v>
      </c>
      <c r="AO55" s="44">
        <f t="shared" si="10"/>
        <v>0</v>
      </c>
      <c r="AP55" s="44">
        <f t="shared" si="11"/>
        <v>0</v>
      </c>
    </row>
    <row r="56" spans="1:42" ht="15.75" hidden="1" customHeight="1">
      <c r="A56" s="26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21">
        <f t="shared" si="8"/>
        <v>0</v>
      </c>
      <c r="AM56" s="22" t="e">
        <f t="shared" si="9"/>
        <v>#DIV/0!</v>
      </c>
      <c r="AO56" s="44">
        <f t="shared" si="10"/>
        <v>0</v>
      </c>
      <c r="AP56" s="44">
        <f t="shared" si="11"/>
        <v>0</v>
      </c>
    </row>
    <row r="57" spans="1:42" ht="15.75" hidden="1" customHeight="1">
      <c r="A57" s="26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21">
        <f t="shared" si="8"/>
        <v>0</v>
      </c>
      <c r="AM57" s="22" t="e">
        <f t="shared" si="9"/>
        <v>#DIV/0!</v>
      </c>
      <c r="AO57" s="44">
        <f t="shared" si="10"/>
        <v>0</v>
      </c>
      <c r="AP57" s="44">
        <f t="shared" si="11"/>
        <v>0</v>
      </c>
    </row>
    <row r="58" spans="1:42" ht="15.75" hidden="1" customHeight="1">
      <c r="A58" s="26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21">
        <f t="shared" si="8"/>
        <v>0</v>
      </c>
      <c r="AM58" s="22" t="e">
        <f t="shared" si="9"/>
        <v>#DIV/0!</v>
      </c>
      <c r="AO58" s="44">
        <f t="shared" si="10"/>
        <v>0</v>
      </c>
      <c r="AP58" s="44">
        <f t="shared" si="11"/>
        <v>0</v>
      </c>
    </row>
    <row r="59" spans="1:42" ht="15.75" hidden="1" customHeight="1">
      <c r="A59" s="26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21">
        <f t="shared" si="8"/>
        <v>0</v>
      </c>
      <c r="AM59" s="22" t="e">
        <f t="shared" si="9"/>
        <v>#DIV/0!</v>
      </c>
      <c r="AO59" s="44">
        <f t="shared" si="10"/>
        <v>0</v>
      </c>
      <c r="AP59" s="44">
        <f t="shared" si="11"/>
        <v>0</v>
      </c>
    </row>
    <row r="60" spans="1:42" s="1" customFormat="1" ht="15.75" hidden="1" customHeight="1">
      <c r="A60" s="27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15">
        <f t="shared" si="8"/>
        <v>0</v>
      </c>
      <c r="AM60" s="16" t="e">
        <f t="shared" si="9"/>
        <v>#DIV/0!</v>
      </c>
      <c r="AO60" s="44">
        <f t="shared" si="10"/>
        <v>0</v>
      </c>
      <c r="AP60" s="44">
        <f t="shared" si="11"/>
        <v>0</v>
      </c>
    </row>
    <row r="61" spans="1:42" ht="15.75" hidden="1" customHeight="1">
      <c r="A61" s="26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21">
        <f t="shared" si="8"/>
        <v>0</v>
      </c>
      <c r="AM61" s="22" t="e">
        <f t="shared" si="9"/>
        <v>#DIV/0!</v>
      </c>
      <c r="AO61" s="44">
        <f t="shared" si="10"/>
        <v>0</v>
      </c>
      <c r="AP61" s="44">
        <f t="shared" si="11"/>
        <v>0</v>
      </c>
    </row>
    <row r="62" spans="1:42" s="1" customFormat="1" ht="15.75" hidden="1" customHeight="1">
      <c r="A62" s="27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15">
        <f t="shared" si="8"/>
        <v>0</v>
      </c>
      <c r="AM62" s="16" t="e">
        <f t="shared" si="9"/>
        <v>#DIV/0!</v>
      </c>
      <c r="AO62" s="44">
        <f t="shared" si="10"/>
        <v>0</v>
      </c>
      <c r="AP62" s="44">
        <f t="shared" si="11"/>
        <v>0</v>
      </c>
    </row>
    <row r="63" spans="1:42" ht="15.75" hidden="1" customHeight="1">
      <c r="A63" s="26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21">
        <f t="shared" si="8"/>
        <v>0</v>
      </c>
      <c r="AM63" s="22" t="e">
        <f t="shared" si="9"/>
        <v>#DIV/0!</v>
      </c>
      <c r="AO63" s="44">
        <f t="shared" si="10"/>
        <v>0</v>
      </c>
      <c r="AP63" s="44">
        <f t="shared" si="11"/>
        <v>0</v>
      </c>
    </row>
    <row r="64" spans="1:42" ht="15.75" hidden="1" customHeight="1">
      <c r="A64" s="26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21">
        <f t="shared" si="8"/>
        <v>0</v>
      </c>
      <c r="AM64" s="22" t="e">
        <f t="shared" si="9"/>
        <v>#DIV/0!</v>
      </c>
      <c r="AO64" s="44">
        <f t="shared" si="10"/>
        <v>0</v>
      </c>
      <c r="AP64" s="44">
        <f t="shared" si="11"/>
        <v>0</v>
      </c>
    </row>
    <row r="65" spans="1:43" ht="15.75" hidden="1" customHeight="1">
      <c r="A65" s="26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21">
        <f t="shared" si="8"/>
        <v>0</v>
      </c>
      <c r="AM65" s="22" t="e">
        <f t="shared" si="9"/>
        <v>#DIV/0!</v>
      </c>
      <c r="AO65" s="44">
        <f t="shared" si="10"/>
        <v>0</v>
      </c>
      <c r="AP65" s="44">
        <f t="shared" si="11"/>
        <v>0</v>
      </c>
    </row>
    <row r="66" spans="1:43" ht="15.75" hidden="1" customHeight="1">
      <c r="A66" s="26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21">
        <f t="shared" si="8"/>
        <v>0</v>
      </c>
      <c r="AM66" s="22" t="e">
        <f t="shared" si="9"/>
        <v>#DIV/0!</v>
      </c>
      <c r="AO66" s="44">
        <f t="shared" si="10"/>
        <v>0</v>
      </c>
      <c r="AP66" s="44">
        <f t="shared" si="11"/>
        <v>0</v>
      </c>
    </row>
    <row r="67" spans="1:43" ht="15.75" hidden="1" customHeight="1">
      <c r="A67" s="26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21">
        <f t="shared" si="8"/>
        <v>0</v>
      </c>
      <c r="AM67" s="22" t="e">
        <f t="shared" si="9"/>
        <v>#DIV/0!</v>
      </c>
      <c r="AO67" s="44">
        <f t="shared" si="10"/>
        <v>0</v>
      </c>
      <c r="AP67" s="44">
        <f t="shared" si="11"/>
        <v>0</v>
      </c>
    </row>
    <row r="68" spans="1:43" s="1" customFormat="1" ht="15.75" hidden="1" customHeight="1">
      <c r="A68" s="27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15">
        <f t="shared" si="8"/>
        <v>0</v>
      </c>
      <c r="AM68" s="16" t="e">
        <f t="shared" si="9"/>
        <v>#DIV/0!</v>
      </c>
      <c r="AO68" s="44">
        <f t="shared" si="10"/>
        <v>0</v>
      </c>
      <c r="AP68" s="44">
        <f t="shared" si="11"/>
        <v>0</v>
      </c>
    </row>
    <row r="69" spans="1:43" ht="15.75" hidden="1" customHeight="1">
      <c r="A69" s="26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21">
        <f t="shared" si="8"/>
        <v>0</v>
      </c>
      <c r="AM69" s="22" t="e">
        <f t="shared" si="9"/>
        <v>#DIV/0!</v>
      </c>
      <c r="AO69" s="44">
        <f t="shared" si="10"/>
        <v>0</v>
      </c>
      <c r="AP69" s="44">
        <f t="shared" si="11"/>
        <v>0</v>
      </c>
    </row>
    <row r="70" spans="1:43" ht="15.75" hidden="1" customHeight="1">
      <c r="A70" s="26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21">
        <f t="shared" si="8"/>
        <v>0</v>
      </c>
      <c r="AM70" s="22" t="e">
        <f t="shared" si="9"/>
        <v>#DIV/0!</v>
      </c>
      <c r="AO70" s="44">
        <f t="shared" si="10"/>
        <v>0</v>
      </c>
      <c r="AP70" s="44">
        <f t="shared" si="11"/>
        <v>0</v>
      </c>
    </row>
    <row r="71" spans="1:43" ht="15.75" hidden="1" customHeight="1">
      <c r="A71" s="26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21"/>
      <c r="AM71" s="22"/>
      <c r="AO71" s="44"/>
      <c r="AP71" s="44"/>
    </row>
    <row r="72" spans="1:43" ht="15.75" hidden="1" customHeight="1">
      <c r="A72" s="26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21"/>
      <c r="AM72" s="22"/>
      <c r="AO72" s="44"/>
      <c r="AP72" s="44"/>
    </row>
    <row r="73" spans="1:43" s="1" customFormat="1" ht="15.75" hidden="1" customHeight="1">
      <c r="A73" s="27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21">
        <f>AP73-AO73</f>
        <v>0</v>
      </c>
      <c r="AM73" s="22" t="e">
        <f>AP73/AO73-1</f>
        <v>#DIV/0!</v>
      </c>
      <c r="AN73"/>
      <c r="AO73" s="44">
        <f t="shared" ref="AO73:AP75" si="12">IF($A$1=$B$1,B73,IF($A$1=$E$1,E73,IF($A$1=$H$1,H73,IF($A$1=$K$1,K73,IF($A$1=$N$1,N73,IF($A$1=$Q$1,Q73,IF($A$1=$T$1,T73,IF($A$1=$W$1,W73,IF($A$1=$Z$1,Z73,IF($A$1=$AC$1,AC73,IF($A$1=$AF$1,AF73,IF($A$1=$AI$1,AI73))))))))))))</f>
        <v>0</v>
      </c>
      <c r="AP73" s="44">
        <f t="shared" si="12"/>
        <v>0</v>
      </c>
      <c r="AQ73"/>
    </row>
    <row r="74" spans="1:43" ht="15.75" hidden="1" customHeight="1">
      <c r="A74" s="26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21">
        <f>AP74-AO74</f>
        <v>0</v>
      </c>
      <c r="AM74" s="22" t="e">
        <f>AP74/AO74-1</f>
        <v>#DIV/0!</v>
      </c>
      <c r="AO74" s="44">
        <f t="shared" si="12"/>
        <v>0</v>
      </c>
      <c r="AP74" s="44">
        <f t="shared" si="12"/>
        <v>0</v>
      </c>
    </row>
    <row r="75" spans="1:43" s="1" customFormat="1" ht="15.75" hidden="1" customHeight="1">
      <c r="A75" s="27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21">
        <f>AP75-AO75</f>
        <v>0</v>
      </c>
      <c r="AM75" s="22" t="e">
        <f>AP75/AO75-1</f>
        <v>#DIV/0!</v>
      </c>
      <c r="AN75"/>
      <c r="AO75" s="44">
        <f t="shared" si="12"/>
        <v>0</v>
      </c>
      <c r="AP75" s="44">
        <f t="shared" si="12"/>
        <v>0</v>
      </c>
      <c r="AQ75"/>
    </row>
    <row r="76" spans="1:43" ht="15.75" hidden="1" customHeight="1">
      <c r="A76" s="2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15"/>
      <c r="AM76" s="16"/>
    </row>
    <row r="77" spans="1:43">
      <c r="A77" s="2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5"/>
    </row>
    <row r="78" spans="1:43" s="49" customFormat="1" ht="17">
      <c r="A78" s="47" t="s">
        <v>66</v>
      </c>
      <c r="B78" s="413"/>
      <c r="C78" s="413"/>
      <c r="D78" s="413"/>
      <c r="E78" s="413"/>
      <c r="F78" s="413"/>
      <c r="G78" s="413"/>
      <c r="H78" s="413"/>
      <c r="I78" s="413"/>
      <c r="J78" s="413"/>
      <c r="K78" s="413"/>
      <c r="L78" s="413"/>
      <c r="M78" s="413"/>
      <c r="N78" s="413"/>
      <c r="O78" s="413"/>
      <c r="P78" s="413"/>
      <c r="Q78" s="413"/>
      <c r="R78" s="413"/>
      <c r="S78" s="413"/>
      <c r="T78" s="413"/>
      <c r="U78" s="413"/>
      <c r="V78" s="413"/>
      <c r="W78" s="413"/>
      <c r="X78" s="413"/>
      <c r="Y78" s="413"/>
      <c r="Z78" s="413"/>
      <c r="AA78" s="413"/>
      <c r="AB78" s="413"/>
      <c r="AC78" s="413"/>
      <c r="AD78" s="413"/>
      <c r="AE78" s="413"/>
      <c r="AF78" s="413"/>
      <c r="AG78" s="413"/>
      <c r="AH78" s="413"/>
      <c r="AI78" s="413"/>
      <c r="AJ78" s="413"/>
      <c r="AK78" s="413"/>
      <c r="AL78" s="413"/>
      <c r="AM78" s="48"/>
    </row>
    <row r="79" spans="1:43" s="13" customFormat="1" ht="15.5">
      <c r="A79" s="26" t="s">
        <v>10</v>
      </c>
      <c r="B79" s="12">
        <f t="shared" ref="B79:B86" si="13">B36/B9</f>
        <v>1</v>
      </c>
      <c r="C79" s="12">
        <f t="shared" ref="C79:C87" si="14">IFERROR((C36/C9),"")</f>
        <v>1</v>
      </c>
      <c r="D79" s="41"/>
      <c r="E79" s="12">
        <f t="shared" ref="E79:E86" si="15">E36/E9</f>
        <v>1</v>
      </c>
      <c r="F79" s="12">
        <f t="shared" ref="F79:F87" si="16">IFERROR((F36/F9),"")</f>
        <v>1</v>
      </c>
      <c r="G79" s="41"/>
      <c r="H79" s="12">
        <f t="shared" ref="H79:H86" si="17">H36/H9</f>
        <v>1</v>
      </c>
      <c r="I79" s="12">
        <f t="shared" ref="I79:I87" si="18">IFERROR((I36/I9),"")</f>
        <v>1</v>
      </c>
      <c r="J79" s="41"/>
      <c r="K79" s="12">
        <f t="shared" ref="K79:K86" si="19">K36/K9</f>
        <v>1</v>
      </c>
      <c r="L79" s="12">
        <f t="shared" ref="L79:L87" si="20">IFERROR((L36/L9),"")</f>
        <v>1</v>
      </c>
      <c r="M79" s="41"/>
      <c r="N79" s="12">
        <f t="shared" ref="N79:N86" si="21">N36/N9</f>
        <v>1</v>
      </c>
      <c r="O79" s="12">
        <f t="shared" ref="O79:O87" si="22">IFERROR((O36/O9),"")</f>
        <v>1</v>
      </c>
      <c r="P79" s="41"/>
      <c r="Q79" s="12">
        <f t="shared" ref="Q79:Q86" si="23">Q36/Q9</f>
        <v>1</v>
      </c>
      <c r="R79" s="12">
        <f t="shared" ref="R79:R87" si="24">IFERROR((R36/R9),"")</f>
        <v>1</v>
      </c>
      <c r="S79" s="41"/>
      <c r="T79" s="12">
        <f t="shared" ref="T79:T86" si="25">T36/T9</f>
        <v>1</v>
      </c>
      <c r="U79" s="12">
        <f t="shared" ref="U79:U87" si="26">IFERROR((U36/U9),"")</f>
        <v>1</v>
      </c>
      <c r="V79" s="41"/>
      <c r="W79" s="12">
        <f t="shared" ref="W79:W86" si="27">W36/W9</f>
        <v>1</v>
      </c>
      <c r="X79" s="12">
        <f t="shared" ref="X79:X87" si="28">IFERROR((X36/X9),"")</f>
        <v>1</v>
      </c>
      <c r="Y79" s="41"/>
      <c r="Z79" s="12">
        <f t="shared" ref="Z79:Z86" si="29">Z36/Z9</f>
        <v>1</v>
      </c>
      <c r="AA79" s="12">
        <f t="shared" ref="AA79:AA87" si="30">IFERROR((AA36/AA9),"")</f>
        <v>1</v>
      </c>
      <c r="AB79" s="41"/>
      <c r="AC79" s="12">
        <f t="shared" ref="AC79:AC86" si="31">AC36/AC9</f>
        <v>1</v>
      </c>
      <c r="AD79" s="12" t="str">
        <f t="shared" ref="AD79:AD87" si="32">IFERROR((AD36/AD9),"")</f>
        <v/>
      </c>
      <c r="AE79" s="41"/>
      <c r="AF79" s="12">
        <f t="shared" ref="AF79:AF86" si="33">AF36/AF9</f>
        <v>1</v>
      </c>
      <c r="AG79" s="12" t="str">
        <f t="shared" ref="AG79:AG87" si="34">IFERROR((AG36/AG9),"")</f>
        <v/>
      </c>
      <c r="AH79" s="41"/>
      <c r="AI79" s="12">
        <f t="shared" ref="AI79:AI86" si="35">AI36/AI9</f>
        <v>1</v>
      </c>
      <c r="AJ79" s="12" t="str">
        <f t="shared" ref="AJ79:AJ87" si="36">IFERROR((AJ36/AJ9),"")</f>
        <v/>
      </c>
      <c r="AK79" s="41"/>
      <c r="AL79" s="15"/>
      <c r="AM79" s="22">
        <f>AP79-AO79</f>
        <v>0</v>
      </c>
      <c r="AO79" s="44">
        <f t="shared" ref="AO79:AO89" si="37">IF($A$1=$B$1,B79,IF($A$1=$E$1,E79,IF($A$1=$H$1,H79,IF($A$1=$K$1,K79,IF($A$1=$N$1,N79,IF($A$1=$Q$1,Q79,IF($A$1=$T$1,T79,IF($A$1=$W$1,W79,IF($A$1=$Z$1,Z79,IF($A$1=$AC$1,AC79,IF($A$1=$AF$1,AF79,IF($A$1=$AI$1,AI79))))))))))))</f>
        <v>1</v>
      </c>
      <c r="AP79" s="44">
        <f t="shared" ref="AP79:AP89" si="38">IF($A$1=$B$1,C79,IF($A$1=$E$1,F79,IF($A$1=$H$1,I79,IF($A$1=$K$1,L79,IF($A$1=$N$1,O79,IF($A$1=$Q$1,R79,IF($A$1=$T$1,U79,IF($A$1=$W$1,X79,IF($A$1=$Z$1,AA79,IF($A$1=$AC$1,AD79,IF($A$1=$AF$1,AG79,IF($A$1=$AI$1,AJ79))))))))))))</f>
        <v>1</v>
      </c>
    </row>
    <row r="80" spans="1:43" s="13" customFormat="1" ht="15.5">
      <c r="A80" s="26" t="s">
        <v>11</v>
      </c>
      <c r="B80" s="12">
        <f t="shared" si="13"/>
        <v>0.17117635795345953</v>
      </c>
      <c r="C80" s="12">
        <f t="shared" si="14"/>
        <v>0.13017986024224829</v>
      </c>
      <c r="D80" s="41"/>
      <c r="E80" s="12">
        <f t="shared" si="15"/>
        <v>0.25628590605111673</v>
      </c>
      <c r="F80" s="12">
        <f t="shared" si="16"/>
        <v>0.21469702295362858</v>
      </c>
      <c r="G80" s="41"/>
      <c r="H80" s="12">
        <f t="shared" si="17"/>
        <v>0.27467208943904509</v>
      </c>
      <c r="I80" s="12">
        <f t="shared" si="18"/>
        <v>0.2644106369174461</v>
      </c>
      <c r="J80" s="41"/>
      <c r="K80" s="12">
        <f t="shared" si="19"/>
        <v>0.32359154847520233</v>
      </c>
      <c r="L80" s="12">
        <f t="shared" si="20"/>
        <v>0.25438555571798999</v>
      </c>
      <c r="M80" s="41"/>
      <c r="N80" s="12">
        <f t="shared" si="21"/>
        <v>0.3718116722340451</v>
      </c>
      <c r="O80" s="12">
        <f t="shared" si="22"/>
        <v>0.25073596708817558</v>
      </c>
      <c r="P80" s="41"/>
      <c r="Q80" s="12">
        <f t="shared" si="23"/>
        <v>0.34858217591343599</v>
      </c>
      <c r="R80" s="12">
        <f t="shared" si="24"/>
        <v>0.28635920030313411</v>
      </c>
      <c r="S80" s="41"/>
      <c r="T80" s="12">
        <f t="shared" si="25"/>
        <v>0.34444758902978267</v>
      </c>
      <c r="U80" s="12">
        <f t="shared" si="26"/>
        <v>0.27799219354110094</v>
      </c>
      <c r="V80" s="41"/>
      <c r="W80" s="12">
        <f t="shared" si="27"/>
        <v>0.27931173747764598</v>
      </c>
      <c r="X80" s="12">
        <f t="shared" si="28"/>
        <v>0.2564820720127734</v>
      </c>
      <c r="Y80" s="41"/>
      <c r="Z80" s="12">
        <f t="shared" si="29"/>
        <v>0.32037415478904441</v>
      </c>
      <c r="AA80" s="12">
        <f t="shared" si="30"/>
        <v>0.22869640597477234</v>
      </c>
      <c r="AB80" s="41"/>
      <c r="AC80" s="12">
        <f t="shared" si="31"/>
        <v>0.27158734080521085</v>
      </c>
      <c r="AD80" s="12" t="str">
        <f t="shared" si="32"/>
        <v/>
      </c>
      <c r="AE80" s="41"/>
      <c r="AF80" s="12">
        <f t="shared" si="33"/>
        <v>0.24936213823558342</v>
      </c>
      <c r="AG80" s="12" t="str">
        <f t="shared" si="34"/>
        <v/>
      </c>
      <c r="AH80" s="41"/>
      <c r="AI80" s="12">
        <f t="shared" si="35"/>
        <v>0.18385928658630402</v>
      </c>
      <c r="AJ80" s="12" t="str">
        <f t="shared" si="36"/>
        <v/>
      </c>
      <c r="AK80" s="41"/>
      <c r="AL80" s="15"/>
      <c r="AM80" s="22">
        <f t="shared" ref="AM80:AM86" si="39">AP80-AO80</f>
        <v>-9.167774881427207E-2</v>
      </c>
      <c r="AO80" s="44">
        <f t="shared" si="37"/>
        <v>0.32037415478904441</v>
      </c>
      <c r="AP80" s="44">
        <f t="shared" si="38"/>
        <v>0.22869640597477234</v>
      </c>
    </row>
    <row r="81" spans="1:42" s="13" customFormat="1" ht="15.5">
      <c r="A81" s="26" t="s">
        <v>12</v>
      </c>
      <c r="B81" s="12">
        <f t="shared" si="13"/>
        <v>0.16706084380098926</v>
      </c>
      <c r="C81" s="12">
        <f t="shared" si="14"/>
        <v>0.160907714399458</v>
      </c>
      <c r="D81" s="41"/>
      <c r="E81" s="12">
        <f t="shared" si="15"/>
        <v>0.16984972860954295</v>
      </c>
      <c r="F81" s="12">
        <f t="shared" si="16"/>
        <v>0.14556792742813413</v>
      </c>
      <c r="G81" s="41"/>
      <c r="H81" s="12">
        <f t="shared" si="17"/>
        <v>0.18934001565334158</v>
      </c>
      <c r="I81" s="12">
        <f t="shared" si="18"/>
        <v>0.12237102971291156</v>
      </c>
      <c r="J81" s="41"/>
      <c r="K81" s="12">
        <f t="shared" si="19"/>
        <v>0.19463363441990819</v>
      </c>
      <c r="L81" s="12">
        <f t="shared" si="20"/>
        <v>0.12947594964613093</v>
      </c>
      <c r="M81" s="41"/>
      <c r="N81" s="12">
        <f t="shared" si="21"/>
        <v>0.19747120095856013</v>
      </c>
      <c r="O81" s="12">
        <f t="shared" si="22"/>
        <v>0.20790253705372022</v>
      </c>
      <c r="P81" s="41"/>
      <c r="Q81" s="12">
        <f t="shared" si="23"/>
        <v>0.20095969642994438</v>
      </c>
      <c r="R81" s="12">
        <f t="shared" si="24"/>
        <v>0.15845896686715599</v>
      </c>
      <c r="S81" s="41"/>
      <c r="T81" s="12">
        <f t="shared" si="25"/>
        <v>0.18175889585146823</v>
      </c>
      <c r="U81" s="12">
        <f t="shared" si="26"/>
        <v>0.18602862812615906</v>
      </c>
      <c r="V81" s="41"/>
      <c r="W81" s="12">
        <f t="shared" si="27"/>
        <v>0.20255856460978827</v>
      </c>
      <c r="X81" s="12">
        <f t="shared" si="28"/>
        <v>0.15677114995971683</v>
      </c>
      <c r="Y81" s="41"/>
      <c r="Z81" s="12">
        <f t="shared" si="29"/>
        <v>0.20365020050528709</v>
      </c>
      <c r="AA81" s="12">
        <f t="shared" si="30"/>
        <v>0.19124358145811143</v>
      </c>
      <c r="AB81" s="41"/>
      <c r="AC81" s="12">
        <f t="shared" si="31"/>
        <v>0.19354999132952139</v>
      </c>
      <c r="AD81" s="12" t="str">
        <f t="shared" si="32"/>
        <v/>
      </c>
      <c r="AE81" s="41"/>
      <c r="AF81" s="12">
        <f t="shared" si="33"/>
        <v>0.17084677694290201</v>
      </c>
      <c r="AG81" s="12" t="str">
        <f t="shared" si="34"/>
        <v/>
      </c>
      <c r="AH81" s="41"/>
      <c r="AI81" s="12">
        <f t="shared" si="35"/>
        <v>0.18401379128284606</v>
      </c>
      <c r="AJ81" s="12" t="str">
        <f t="shared" si="36"/>
        <v/>
      </c>
      <c r="AK81" s="41"/>
      <c r="AL81" s="15"/>
      <c r="AM81" s="22">
        <f t="shared" si="39"/>
        <v>-1.240661904717566E-2</v>
      </c>
      <c r="AO81" s="44">
        <f t="shared" si="37"/>
        <v>0.20365020050528709</v>
      </c>
      <c r="AP81" s="44">
        <f t="shared" si="38"/>
        <v>0.19124358145811143</v>
      </c>
    </row>
    <row r="82" spans="1:42" s="13" customFormat="1" ht="15.5">
      <c r="A82" s="26" t="s">
        <v>13</v>
      </c>
      <c r="B82" s="12">
        <f t="shared" si="13"/>
        <v>0.1818580881036998</v>
      </c>
      <c r="C82" s="12">
        <f t="shared" si="14"/>
        <v>0.14911530528964606</v>
      </c>
      <c r="D82" s="41"/>
      <c r="E82" s="12">
        <f t="shared" si="15"/>
        <v>0.17613583244045861</v>
      </c>
      <c r="F82" s="12">
        <f t="shared" si="16"/>
        <v>0.19140307371003459</v>
      </c>
      <c r="G82" s="41"/>
      <c r="H82" s="12">
        <f t="shared" si="17"/>
        <v>0.18085379050054154</v>
      </c>
      <c r="I82" s="12">
        <f t="shared" si="18"/>
        <v>0.13764229112849402</v>
      </c>
      <c r="J82" s="41"/>
      <c r="K82" s="12">
        <f t="shared" si="19"/>
        <v>0.17362886379761211</v>
      </c>
      <c r="L82" s="12">
        <f t="shared" si="20"/>
        <v>0.10948640496110106</v>
      </c>
      <c r="M82" s="41"/>
      <c r="N82" s="12">
        <f t="shared" si="21"/>
        <v>0.18171966274502563</v>
      </c>
      <c r="O82" s="12">
        <f t="shared" si="22"/>
        <v>0.12261687500358832</v>
      </c>
      <c r="P82" s="41"/>
      <c r="Q82" s="12">
        <f t="shared" si="23"/>
        <v>0.19719384552450545</v>
      </c>
      <c r="R82" s="12">
        <f t="shared" si="24"/>
        <v>0.10149459482317939</v>
      </c>
      <c r="S82" s="41"/>
      <c r="T82" s="12">
        <f t="shared" si="25"/>
        <v>0.19159629061192338</v>
      </c>
      <c r="U82" s="12">
        <f t="shared" si="26"/>
        <v>7.5311961427934213E-2</v>
      </c>
      <c r="V82" s="41"/>
      <c r="W82" s="12">
        <f t="shared" si="27"/>
        <v>0.20758776523029829</v>
      </c>
      <c r="X82" s="12">
        <f t="shared" si="28"/>
        <v>0.16584313482515903</v>
      </c>
      <c r="Y82" s="41"/>
      <c r="Z82" s="12">
        <f t="shared" si="29"/>
        <v>0.21652696664896876</v>
      </c>
      <c r="AA82" s="12">
        <f t="shared" si="30"/>
        <v>0.15310162244056877</v>
      </c>
      <c r="AB82" s="41"/>
      <c r="AC82" s="12">
        <f t="shared" si="31"/>
        <v>0.21810302329349016</v>
      </c>
      <c r="AD82" s="12" t="str">
        <f t="shared" si="32"/>
        <v/>
      </c>
      <c r="AE82" s="41"/>
      <c r="AF82" s="12">
        <f t="shared" si="33"/>
        <v>0.22232282484449503</v>
      </c>
      <c r="AG82" s="12" t="str">
        <f t="shared" si="34"/>
        <v/>
      </c>
      <c r="AH82" s="41"/>
      <c r="AI82" s="12">
        <f t="shared" si="35"/>
        <v>0.24976672172636061</v>
      </c>
      <c r="AJ82" s="12" t="str">
        <f t="shared" si="36"/>
        <v/>
      </c>
      <c r="AK82" s="41"/>
      <c r="AL82" s="15"/>
      <c r="AM82" s="22">
        <f t="shared" si="39"/>
        <v>-6.3425344208399986E-2</v>
      </c>
      <c r="AO82" s="44">
        <f t="shared" si="37"/>
        <v>0.21652696664896876</v>
      </c>
      <c r="AP82" s="44">
        <f t="shared" si="38"/>
        <v>0.15310162244056877</v>
      </c>
    </row>
    <row r="83" spans="1:42" s="13" customFormat="1" ht="15.5">
      <c r="A83" s="26" t="s">
        <v>14</v>
      </c>
      <c r="B83" s="12">
        <f t="shared" si="13"/>
        <v>0.19744746282273901</v>
      </c>
      <c r="C83" s="30">
        <f t="shared" si="14"/>
        <v>0.20078813483233196</v>
      </c>
      <c r="D83" s="41"/>
      <c r="E83" s="12">
        <f t="shared" si="15"/>
        <v>0.19527301223644897</v>
      </c>
      <c r="F83" s="30">
        <f t="shared" si="16"/>
        <v>0.23289259938457124</v>
      </c>
      <c r="G83" s="41"/>
      <c r="H83" s="12">
        <f t="shared" si="17"/>
        <v>0.19021729833117412</v>
      </c>
      <c r="I83" s="30">
        <f t="shared" si="18"/>
        <v>0.18471919957109309</v>
      </c>
      <c r="J83" s="41"/>
      <c r="K83" s="12">
        <f t="shared" si="19"/>
        <v>0.1734291846259238</v>
      </c>
      <c r="L83" s="30">
        <f t="shared" si="20"/>
        <v>0.18932003952668208</v>
      </c>
      <c r="M83" s="41"/>
      <c r="N83" s="12">
        <f t="shared" si="21"/>
        <v>0.17875000260666041</v>
      </c>
      <c r="O83" s="30">
        <f t="shared" si="22"/>
        <v>0.22179556862438243</v>
      </c>
      <c r="P83" s="41"/>
      <c r="Q83" s="12">
        <f t="shared" si="23"/>
        <v>0.19522363801335643</v>
      </c>
      <c r="R83" s="30">
        <f t="shared" si="24"/>
        <v>0.21830322970932817</v>
      </c>
      <c r="S83" s="41"/>
      <c r="T83" s="12">
        <f t="shared" si="25"/>
        <v>0.18011834933645079</v>
      </c>
      <c r="U83" s="30">
        <f t="shared" si="26"/>
        <v>0.20703625930586941</v>
      </c>
      <c r="V83" s="41"/>
      <c r="W83" s="12">
        <f t="shared" si="27"/>
        <v>0.20895421719840743</v>
      </c>
      <c r="X83" s="30">
        <f t="shared" si="28"/>
        <v>0.24254040846282585</v>
      </c>
      <c r="Y83" s="41"/>
      <c r="Z83" s="12">
        <f t="shared" si="29"/>
        <v>0.20757666444251466</v>
      </c>
      <c r="AA83" s="30">
        <f t="shared" si="30"/>
        <v>0.21893022947632806</v>
      </c>
      <c r="AB83" s="41"/>
      <c r="AC83" s="12">
        <f t="shared" si="31"/>
        <v>0.18552924357608183</v>
      </c>
      <c r="AD83" s="30" t="str">
        <f t="shared" si="32"/>
        <v/>
      </c>
      <c r="AE83" s="41"/>
      <c r="AF83" s="12">
        <f t="shared" si="33"/>
        <v>0.2015617520362977</v>
      </c>
      <c r="AG83" s="30" t="str">
        <f t="shared" si="34"/>
        <v/>
      </c>
      <c r="AH83" s="41"/>
      <c r="AI83" s="12">
        <f t="shared" si="35"/>
        <v>0.19085543927151596</v>
      </c>
      <c r="AJ83" s="30" t="str">
        <f t="shared" si="36"/>
        <v/>
      </c>
      <c r="AK83" s="41"/>
      <c r="AL83" s="15"/>
      <c r="AM83" s="22">
        <f t="shared" si="39"/>
        <v>1.1353565033813406E-2</v>
      </c>
      <c r="AO83" s="44">
        <f t="shared" si="37"/>
        <v>0.20757666444251466</v>
      </c>
      <c r="AP83" s="44">
        <f t="shared" si="38"/>
        <v>0.21893022947632806</v>
      </c>
    </row>
    <row r="84" spans="1:42" s="13" customFormat="1" ht="15.5">
      <c r="A84" s="26" t="s">
        <v>15</v>
      </c>
      <c r="B84" s="12">
        <f t="shared" si="13"/>
        <v>0.12840117851533342</v>
      </c>
      <c r="C84" s="12">
        <f t="shared" si="14"/>
        <v>0.12027403073497253</v>
      </c>
      <c r="D84" s="41"/>
      <c r="E84" s="12">
        <f t="shared" si="15"/>
        <v>0.16161053241367015</v>
      </c>
      <c r="F84" s="12">
        <f t="shared" si="16"/>
        <v>0.17939628595087637</v>
      </c>
      <c r="G84" s="41"/>
      <c r="H84" s="12">
        <f t="shared" si="17"/>
        <v>0.22128033515101872</v>
      </c>
      <c r="I84" s="12">
        <f t="shared" si="18"/>
        <v>0.1934064123881894</v>
      </c>
      <c r="J84" s="41"/>
      <c r="K84" s="12">
        <f t="shared" si="19"/>
        <v>0.12618442435787322</v>
      </c>
      <c r="L84" s="12">
        <f t="shared" si="20"/>
        <v>0.18711583321447448</v>
      </c>
      <c r="M84" s="41"/>
      <c r="N84" s="12">
        <f t="shared" si="21"/>
        <v>0.16092947940590263</v>
      </c>
      <c r="O84" s="12">
        <f t="shared" si="22"/>
        <v>0.18919436602839304</v>
      </c>
      <c r="P84" s="41"/>
      <c r="Q84" s="12">
        <f t="shared" si="23"/>
        <v>0.18000096693290601</v>
      </c>
      <c r="R84" s="12">
        <f t="shared" si="24"/>
        <v>0.17931198522952163</v>
      </c>
      <c r="S84" s="41"/>
      <c r="T84" s="12">
        <f t="shared" si="25"/>
        <v>0.12409604762279869</v>
      </c>
      <c r="U84" s="12">
        <f t="shared" si="26"/>
        <v>0.18950511726274696</v>
      </c>
      <c r="V84" s="41"/>
      <c r="W84" s="12">
        <f t="shared" si="27"/>
        <v>7.2151928667683232E-2</v>
      </c>
      <c r="X84" s="12">
        <f t="shared" si="28"/>
        <v>0.15904239977721543</v>
      </c>
      <c r="Y84" s="41"/>
      <c r="Z84" s="12">
        <f t="shared" si="29"/>
        <v>0.2325778341449331</v>
      </c>
      <c r="AA84" s="12">
        <f t="shared" si="30"/>
        <v>0.2562126899814906</v>
      </c>
      <c r="AB84" s="41"/>
      <c r="AC84" s="12">
        <f t="shared" si="31"/>
        <v>0.17883047273152208</v>
      </c>
      <c r="AD84" s="12" t="str">
        <f t="shared" si="32"/>
        <v/>
      </c>
      <c r="AE84" s="41"/>
      <c r="AF84" s="12">
        <f t="shared" si="33"/>
        <v>0.18695414740755079</v>
      </c>
      <c r="AG84" s="12" t="str">
        <f t="shared" si="34"/>
        <v/>
      </c>
      <c r="AH84" s="41"/>
      <c r="AI84" s="12">
        <f t="shared" si="35"/>
        <v>0.16737242357885226</v>
      </c>
      <c r="AJ84" s="12" t="str">
        <f t="shared" si="36"/>
        <v/>
      </c>
      <c r="AK84" s="41"/>
      <c r="AL84" s="15"/>
      <c r="AM84" s="22">
        <f t="shared" si="39"/>
        <v>2.36348558365575E-2</v>
      </c>
      <c r="AO84" s="44">
        <f t="shared" si="37"/>
        <v>0.2325778341449331</v>
      </c>
      <c r="AP84" s="44">
        <f t="shared" si="38"/>
        <v>0.2562126899814906</v>
      </c>
    </row>
    <row r="85" spans="1:42" s="13" customFormat="1" ht="15.5">
      <c r="A85" s="26" t="s">
        <v>16</v>
      </c>
      <c r="B85" s="12">
        <f t="shared" si="13"/>
        <v>0.22286986930705013</v>
      </c>
      <c r="C85" s="12">
        <f t="shared" si="14"/>
        <v>0.22598724757203748</v>
      </c>
      <c r="D85" s="41"/>
      <c r="E85" s="12">
        <f t="shared" si="15"/>
        <v>0.24427730411528092</v>
      </c>
      <c r="F85" s="12">
        <f t="shared" si="16"/>
        <v>0.2789581755114825</v>
      </c>
      <c r="G85" s="41"/>
      <c r="H85" s="12">
        <f t="shared" si="17"/>
        <v>0.26465154445481193</v>
      </c>
      <c r="I85" s="12">
        <f t="shared" si="18"/>
        <v>0.2548137357890759</v>
      </c>
      <c r="J85" s="41"/>
      <c r="K85" s="12">
        <f t="shared" si="19"/>
        <v>0.26113632928694469</v>
      </c>
      <c r="L85" s="12">
        <f t="shared" si="20"/>
        <v>0.30928254965582086</v>
      </c>
      <c r="M85" s="41"/>
      <c r="N85" s="12">
        <f t="shared" si="21"/>
        <v>0.27363276605525627</v>
      </c>
      <c r="O85" s="12">
        <f t="shared" si="22"/>
        <v>0.26443664248824655</v>
      </c>
      <c r="P85" s="41"/>
      <c r="Q85" s="12">
        <f t="shared" si="23"/>
        <v>0.25323098147472772</v>
      </c>
      <c r="R85" s="12">
        <f t="shared" si="24"/>
        <v>0.27401603712199346</v>
      </c>
      <c r="S85" s="41"/>
      <c r="T85" s="12">
        <f t="shared" si="25"/>
        <v>0.23396870643603829</v>
      </c>
      <c r="U85" s="12">
        <f t="shared" si="26"/>
        <v>0.32276113957693214</v>
      </c>
      <c r="V85" s="41"/>
      <c r="W85" s="12">
        <f t="shared" si="27"/>
        <v>0.17171764105946749</v>
      </c>
      <c r="X85" s="12">
        <f t="shared" si="28"/>
        <v>0.27834397869058325</v>
      </c>
      <c r="Y85" s="41"/>
      <c r="Z85" s="12">
        <f t="shared" si="29"/>
        <v>0.29072406126438699</v>
      </c>
      <c r="AA85" s="12">
        <f t="shared" si="30"/>
        <v>0.35455308442679928</v>
      </c>
      <c r="AB85" s="41"/>
      <c r="AC85" s="12">
        <f t="shared" si="31"/>
        <v>0.27898708226777796</v>
      </c>
      <c r="AD85" s="12" t="str">
        <f t="shared" si="32"/>
        <v/>
      </c>
      <c r="AE85" s="41"/>
      <c r="AF85" s="12">
        <f t="shared" si="33"/>
        <v>0.28085415016887261</v>
      </c>
      <c r="AG85" s="12" t="str">
        <f t="shared" si="34"/>
        <v/>
      </c>
      <c r="AH85" s="41"/>
      <c r="AI85" s="12">
        <f t="shared" si="35"/>
        <v>0.23197177611833772</v>
      </c>
      <c r="AJ85" s="12" t="str">
        <f t="shared" si="36"/>
        <v/>
      </c>
      <c r="AK85" s="41"/>
      <c r="AL85" s="15"/>
      <c r="AM85" s="22">
        <f t="shared" si="39"/>
        <v>6.3829023162412291E-2</v>
      </c>
      <c r="AO85" s="44">
        <f t="shared" si="37"/>
        <v>0.29072406126438699</v>
      </c>
      <c r="AP85" s="44">
        <f t="shared" si="38"/>
        <v>0.35455308442679928</v>
      </c>
    </row>
    <row r="86" spans="1:42" s="13" customFormat="1" ht="15.5">
      <c r="A86" s="26" t="s">
        <v>17</v>
      </c>
      <c r="B86" s="12">
        <f t="shared" si="13"/>
        <v>0.15089381136549454</v>
      </c>
      <c r="C86" s="12">
        <f t="shared" si="14"/>
        <v>0.13316144218245426</v>
      </c>
      <c r="D86" s="41"/>
      <c r="E86" s="12">
        <f t="shared" si="15"/>
        <v>0.15387084674397247</v>
      </c>
      <c r="F86" s="12">
        <f t="shared" si="16"/>
        <v>8.6001293631169096E-2</v>
      </c>
      <c r="G86" s="41"/>
      <c r="H86" s="12">
        <f t="shared" si="17"/>
        <v>0.1270977665388093</v>
      </c>
      <c r="I86" s="12">
        <f t="shared" si="18"/>
        <v>0.10092280637370339</v>
      </c>
      <c r="J86" s="41"/>
      <c r="K86" s="12">
        <f t="shared" si="19"/>
        <v>0.1325087039949919</v>
      </c>
      <c r="L86" s="12">
        <f t="shared" si="20"/>
        <v>9.5039701408615354E-2</v>
      </c>
      <c r="M86" s="41"/>
      <c r="N86" s="12">
        <f t="shared" si="21"/>
        <v>0.16317829953757099</v>
      </c>
      <c r="O86" s="12">
        <f t="shared" si="22"/>
        <v>0.15755895453918622</v>
      </c>
      <c r="P86" s="41"/>
      <c r="Q86" s="12">
        <f t="shared" si="23"/>
        <v>0.11781860793805017</v>
      </c>
      <c r="R86" s="12">
        <f t="shared" si="24"/>
        <v>0.11219514698889879</v>
      </c>
      <c r="S86" s="41"/>
      <c r="T86" s="12">
        <f t="shared" si="25"/>
        <v>0.17062024961018474</v>
      </c>
      <c r="U86" s="12">
        <f t="shared" si="26"/>
        <v>0.12633111727865037</v>
      </c>
      <c r="V86" s="41"/>
      <c r="W86" s="12">
        <f t="shared" si="27"/>
        <v>9.0497144863731158E-2</v>
      </c>
      <c r="X86" s="12">
        <f t="shared" si="28"/>
        <v>9.6834456613978798E-2</v>
      </c>
      <c r="Y86" s="41"/>
      <c r="Z86" s="12">
        <f t="shared" si="29"/>
        <v>0.18643077833107352</v>
      </c>
      <c r="AA86" s="12">
        <f t="shared" si="30"/>
        <v>0.17628590469847705</v>
      </c>
      <c r="AB86" s="41"/>
      <c r="AC86" s="12">
        <f t="shared" si="31"/>
        <v>0.16940690619141852</v>
      </c>
      <c r="AD86" s="12" t="str">
        <f t="shared" si="32"/>
        <v/>
      </c>
      <c r="AE86" s="41"/>
      <c r="AF86" s="12">
        <f t="shared" si="33"/>
        <v>0.17595147978042439</v>
      </c>
      <c r="AG86" s="12" t="str">
        <f t="shared" si="34"/>
        <v/>
      </c>
      <c r="AH86" s="41"/>
      <c r="AI86" s="12">
        <f t="shared" si="35"/>
        <v>0.15806810460577306</v>
      </c>
      <c r="AJ86" s="12" t="str">
        <f t="shared" si="36"/>
        <v/>
      </c>
      <c r="AK86" s="41"/>
      <c r="AL86" s="15"/>
      <c r="AM86" s="22">
        <f t="shared" si="39"/>
        <v>-1.0144873632596474E-2</v>
      </c>
      <c r="AO86" s="44">
        <f t="shared" si="37"/>
        <v>0.18643077833107352</v>
      </c>
      <c r="AP86" s="44">
        <f t="shared" si="38"/>
        <v>0.17628590469847705</v>
      </c>
    </row>
    <row r="87" spans="1:42" s="13" customFormat="1" ht="15.5">
      <c r="A87" s="26"/>
      <c r="B87" s="12"/>
      <c r="C87" s="12" t="str">
        <f t="shared" si="14"/>
        <v/>
      </c>
      <c r="D87" s="41"/>
      <c r="E87" s="12"/>
      <c r="F87" s="12" t="str">
        <f t="shared" si="16"/>
        <v/>
      </c>
      <c r="G87" s="41"/>
      <c r="H87" s="12"/>
      <c r="I87" s="12" t="str">
        <f t="shared" si="18"/>
        <v/>
      </c>
      <c r="J87" s="41"/>
      <c r="K87" s="12"/>
      <c r="L87" s="12" t="str">
        <f t="shared" si="20"/>
        <v/>
      </c>
      <c r="M87" s="41"/>
      <c r="N87" s="12"/>
      <c r="O87" s="12" t="str">
        <f t="shared" si="22"/>
        <v/>
      </c>
      <c r="P87" s="41"/>
      <c r="Q87" s="12"/>
      <c r="R87" s="12" t="str">
        <f t="shared" si="24"/>
        <v/>
      </c>
      <c r="S87" s="41"/>
      <c r="T87" s="12"/>
      <c r="U87" s="12" t="str">
        <f t="shared" si="26"/>
        <v/>
      </c>
      <c r="V87" s="41"/>
      <c r="W87" s="12"/>
      <c r="X87" s="12" t="str">
        <f t="shared" si="28"/>
        <v/>
      </c>
      <c r="Y87" s="41"/>
      <c r="Z87" s="12"/>
      <c r="AA87" s="12" t="str">
        <f t="shared" si="30"/>
        <v/>
      </c>
      <c r="AB87" s="41"/>
      <c r="AC87" s="12"/>
      <c r="AD87" s="12" t="str">
        <f t="shared" si="32"/>
        <v/>
      </c>
      <c r="AE87" s="41"/>
      <c r="AF87" s="12"/>
      <c r="AG87" s="12" t="str">
        <f t="shared" si="34"/>
        <v/>
      </c>
      <c r="AH87" s="41"/>
      <c r="AI87" s="12"/>
      <c r="AJ87" s="12" t="str">
        <f t="shared" si="36"/>
        <v/>
      </c>
      <c r="AK87" s="41"/>
      <c r="AL87" s="15"/>
      <c r="AM87" s="22"/>
      <c r="AO87" s="44">
        <f t="shared" si="37"/>
        <v>0</v>
      </c>
      <c r="AP87" s="44" t="str">
        <f t="shared" si="38"/>
        <v/>
      </c>
    </row>
    <row r="88" spans="1:42" s="44" customFormat="1" ht="15.5">
      <c r="A88" s="31" t="s">
        <v>67</v>
      </c>
      <c r="B88" s="32">
        <f>-'Bütçe aylık-TL'!$B$37</f>
        <v>-101890248.2176864</v>
      </c>
      <c r="C88" s="32">
        <f>'gerç aylık-tl'!$B$37+'gerç aylık-tl'!$B$48</f>
        <v>-97547969.33483842</v>
      </c>
      <c r="D88" s="18"/>
      <c r="E88" s="32">
        <f>-'Bütçe aylık-TL'!$C$37</f>
        <v>-105269823.75180539</v>
      </c>
      <c r="F88" s="32">
        <f>'gerç aylık-tl'!$C$37+'gerç aylık-tl'!$C$48</f>
        <v>-108423660.19758032</v>
      </c>
      <c r="G88" s="18"/>
      <c r="H88" s="32">
        <f>-'Bütçe aylık-TL'!$D$37</f>
        <v>-116405038.50539865</v>
      </c>
      <c r="I88" s="32">
        <f>'gerç aylık-tl'!$D$37+'gerç aylık-tl'!$D$48</f>
        <v>-111483370.95736171</v>
      </c>
      <c r="J88" s="18"/>
      <c r="K88" s="32">
        <f>-'Bütçe aylık-TL'!$E$37</f>
        <v>-122604685.24690953</v>
      </c>
      <c r="L88" s="32">
        <f>'gerç aylık-tl'!$E$37+'gerç aylık-tl'!$E$48</f>
        <v>-135105230.53790846</v>
      </c>
      <c r="M88" s="18"/>
      <c r="N88" s="32">
        <f>-'Bütçe aylık-TL'!$F$37</f>
        <v>-117255298.93592109</v>
      </c>
      <c r="O88" s="32">
        <f>'gerç aylık-tl'!$F$37+'gerç aylık-tl'!$F$48</f>
        <v>-124538719.49959825</v>
      </c>
      <c r="P88" s="18"/>
      <c r="Q88" s="32">
        <f>-'Bütçe aylık-TL'!$G$37</f>
        <v>-117592099.62621021</v>
      </c>
      <c r="R88" s="32">
        <f>'gerç aylık-tl'!$G$37+'gerç aylık-tl'!$G$48</f>
        <v>-112473489.88463813</v>
      </c>
      <c r="S88" s="18"/>
      <c r="T88" s="32">
        <f>-'Bütçe aylık-TL'!$H$37</f>
        <v>-117427274.82965429</v>
      </c>
      <c r="U88" s="32">
        <f>'gerç aylık-tl'!$H$37+'gerç aylık-tl'!$H$48</f>
        <v>-114735273.96374848</v>
      </c>
      <c r="V88" s="18"/>
      <c r="W88" s="32">
        <f>-'Bütçe aylık-TL'!$I$37</f>
        <v>-112693488.1490799</v>
      </c>
      <c r="X88" s="32">
        <f>'gerç aylık-tl'!$I$37+'gerç aylık-tl'!$I$48</f>
        <v>-105195116.70484024</v>
      </c>
      <c r="Y88" s="18"/>
      <c r="Z88" s="32">
        <f>-'Bütçe aylık-TL'!$J$37</f>
        <v>-126884002.1502171</v>
      </c>
      <c r="AA88" s="32">
        <f>'gerç aylık-tl'!$J$37+'gerç aylık-tl'!$J$48</f>
        <v>-113914632.46283002</v>
      </c>
      <c r="AB88" s="18"/>
      <c r="AC88" s="32">
        <f>-'Bütçe aylık-TL'!$K$37</f>
        <v>-126757672.39422801</v>
      </c>
      <c r="AD88" s="32">
        <f>'gerç aylık-tl'!$K$37+'gerç aylık-tl'!$K$48</f>
        <v>0</v>
      </c>
      <c r="AE88" s="18"/>
      <c r="AF88" s="32">
        <f>-'Bütçe aylık-TL'!$L$37</f>
        <v>-126328262.6303893</v>
      </c>
      <c r="AG88" s="32">
        <f>'gerç aylık-tl'!$L$37+'gerç aylık-tl'!$L$48</f>
        <v>0</v>
      </c>
      <c r="AH88" s="18"/>
      <c r="AI88" s="32">
        <f>-'Bütçe aylık-TL'!$M$37</f>
        <v>-151810023.33934036</v>
      </c>
      <c r="AJ88" s="32">
        <f>'gerç aylık-tl'!$M$37+'gerç aylık-tl'!$M$48</f>
        <v>0</v>
      </c>
      <c r="AK88" s="18"/>
      <c r="AL88" s="33">
        <f>AP88-AO88</f>
        <v>12969369.687387079</v>
      </c>
      <c r="AM88" s="34">
        <f>AP88/AO88-1</f>
        <v>-0.10221438059648158</v>
      </c>
      <c r="AO88" s="44">
        <f t="shared" si="37"/>
        <v>-126884002.1502171</v>
      </c>
      <c r="AP88" s="44">
        <f t="shared" si="38"/>
        <v>-113914632.46283002</v>
      </c>
    </row>
    <row r="89" spans="1:42" s="13" customFormat="1" ht="15.5">
      <c r="A89" s="27"/>
      <c r="B89" s="30" t="str">
        <f>IFERROR((B46/#REF!),"")</f>
        <v/>
      </c>
      <c r="C89" s="30" t="str">
        <f>IFERROR((C46/#REF!),"")</f>
        <v/>
      </c>
      <c r="D89" s="41"/>
      <c r="E89" s="30" t="str">
        <f>IFERROR((E46/#REF!),"")</f>
        <v/>
      </c>
      <c r="F89" s="30" t="str">
        <f>IFERROR((F46/#REF!),"")</f>
        <v/>
      </c>
      <c r="G89" s="41"/>
      <c r="H89" s="30" t="str">
        <f>IFERROR((H46/#REF!),"")</f>
        <v/>
      </c>
      <c r="I89" s="30" t="str">
        <f>IFERROR((I46/#REF!),"")</f>
        <v/>
      </c>
      <c r="J89" s="41"/>
      <c r="K89" s="30" t="str">
        <f>IFERROR((K46/#REF!),"")</f>
        <v/>
      </c>
      <c r="L89" s="30" t="str">
        <f>IFERROR((L46/#REF!),"")</f>
        <v/>
      </c>
      <c r="M89" s="41"/>
      <c r="N89" s="30" t="str">
        <f>IFERROR((N46/#REF!),"")</f>
        <v/>
      </c>
      <c r="O89" s="30" t="str">
        <f>IFERROR((O46/#REF!),"")</f>
        <v/>
      </c>
      <c r="P89" s="41"/>
      <c r="Q89" s="30" t="str">
        <f>IFERROR((Q46/#REF!),"")</f>
        <v/>
      </c>
      <c r="R89" s="30" t="str">
        <f>IFERROR((R46/#REF!),"")</f>
        <v/>
      </c>
      <c r="S89" s="41"/>
      <c r="T89" s="125"/>
      <c r="U89" s="125"/>
      <c r="V89" s="41"/>
      <c r="W89" s="30" t="str">
        <f>IFERROR((W46/#REF!),"")</f>
        <v/>
      </c>
      <c r="X89" s="30" t="str">
        <f>IFERROR((X46/#REF!),"")</f>
        <v/>
      </c>
      <c r="Y89" s="41"/>
      <c r="Z89" s="30" t="str">
        <f>IFERROR((Z46/#REF!),"")</f>
        <v/>
      </c>
      <c r="AA89" s="30" t="str">
        <f>IFERROR((AA46/#REF!),"")</f>
        <v/>
      </c>
      <c r="AB89" s="41"/>
      <c r="AC89" s="30" t="str">
        <f>IFERROR((AC46/#REF!),"")</f>
        <v/>
      </c>
      <c r="AD89" s="30" t="str">
        <f>IFERROR((AD46/#REF!),"")</f>
        <v/>
      </c>
      <c r="AE89" s="41"/>
      <c r="AF89" s="30" t="str">
        <f>IFERROR((AF46/#REF!),"")</f>
        <v/>
      </c>
      <c r="AG89" s="30" t="str">
        <f>IFERROR((AG46/#REF!),"")</f>
        <v/>
      </c>
      <c r="AH89" s="41"/>
      <c r="AI89" s="30" t="str">
        <f>IFERROR((AI46/#REF!),"")</f>
        <v/>
      </c>
      <c r="AJ89" s="30" t="str">
        <f>IFERROR((AJ46/#REF!),"")</f>
        <v/>
      </c>
      <c r="AK89" s="41"/>
      <c r="AL89" s="15"/>
      <c r="AM89" s="22"/>
      <c r="AO89" s="44" t="str">
        <f t="shared" si="37"/>
        <v/>
      </c>
      <c r="AP89" s="44" t="str">
        <f t="shared" si="38"/>
        <v/>
      </c>
    </row>
    <row r="90" spans="1:42" s="49" customFormat="1" ht="17">
      <c r="A90" s="47" t="s">
        <v>68</v>
      </c>
      <c r="B90" s="413"/>
      <c r="C90" s="413"/>
      <c r="D90" s="413"/>
      <c r="E90" s="413"/>
      <c r="F90" s="413"/>
      <c r="G90" s="413"/>
      <c r="H90" s="413"/>
      <c r="I90" s="413"/>
      <c r="J90" s="413"/>
      <c r="K90" s="413"/>
      <c r="L90" s="413"/>
      <c r="M90" s="413"/>
      <c r="N90" s="413"/>
      <c r="O90" s="413"/>
      <c r="P90" s="413"/>
      <c r="Q90" s="413"/>
      <c r="R90" s="413"/>
      <c r="S90" s="413"/>
      <c r="T90" s="413"/>
      <c r="U90" s="413"/>
      <c r="V90" s="413"/>
      <c r="W90" s="413"/>
      <c r="X90" s="413"/>
      <c r="Y90" s="413"/>
      <c r="Z90" s="413"/>
      <c r="AA90" s="413"/>
      <c r="AB90" s="413"/>
      <c r="AC90" s="413"/>
      <c r="AD90" s="413"/>
      <c r="AE90" s="413"/>
      <c r="AF90" s="413"/>
      <c r="AG90" s="413"/>
      <c r="AH90" s="413"/>
      <c r="AI90" s="413"/>
      <c r="AJ90" s="413"/>
      <c r="AK90" s="413"/>
      <c r="AL90" s="413"/>
      <c r="AM90" s="48"/>
    </row>
    <row r="91" spans="1:42" ht="15.5">
      <c r="A91" s="26" t="s">
        <v>10</v>
      </c>
      <c r="B91" s="7">
        <f>-'Bütçe aylık-TL'!$B$38</f>
        <v>-14059938.516834</v>
      </c>
      <c r="C91" s="7">
        <f>'gerç aylık-tl'!$B$38+'gerç aylık-tl'!$B$49</f>
        <v>-13908733.560000001</v>
      </c>
      <c r="D91" s="7"/>
      <c r="E91" s="7">
        <f>-'Bütçe aylık-TL'!$C$38</f>
        <v>-13627149.542126</v>
      </c>
      <c r="F91" s="7">
        <f>'gerç aylık-tl'!$C$38+'gerç aylık-tl'!$C$49</f>
        <v>-15580324.32</v>
      </c>
      <c r="G91" s="7"/>
      <c r="H91" s="7">
        <f>-'Bütçe aylık-TL'!$D$38</f>
        <v>-18329761.991918001</v>
      </c>
      <c r="I91" s="7">
        <f>'gerç aylık-tl'!$D$38+'gerç aylık-tl'!$D$49</f>
        <v>-18014795.949999999</v>
      </c>
      <c r="J91" s="7"/>
      <c r="K91" s="7">
        <f>-'Bütçe aylık-TL'!$E$38</f>
        <v>-15991731.426646</v>
      </c>
      <c r="L91" s="7">
        <f>'gerç aylık-tl'!$E$38+'gerç aylık-tl'!$E$49</f>
        <v>-23684564.539999999</v>
      </c>
      <c r="M91" s="7"/>
      <c r="N91" s="7">
        <f>-'Bütçe aylık-TL'!$F$38</f>
        <v>-17241147.544888001</v>
      </c>
      <c r="O91" s="7">
        <f>'gerç aylık-tl'!$F$38+'gerç aylık-tl'!$F$49</f>
        <v>-15480455</v>
      </c>
      <c r="P91" s="7"/>
      <c r="Q91" s="7">
        <f>-'Bütçe aylık-TL'!$G$38</f>
        <v>-16573755.360540001</v>
      </c>
      <c r="R91" s="7">
        <f>'gerç aylık-tl'!$G$38+'gerç aylık-tl'!$G$49</f>
        <v>-16768772.52</v>
      </c>
      <c r="S91" s="7"/>
      <c r="T91" s="7">
        <f>-'Bütçe aylık-TL'!$H$38</f>
        <v>-15275838.018998001</v>
      </c>
      <c r="U91" s="7">
        <f>'gerç aylık-tl'!$H$38+'gerç aylık-tl'!$H$49</f>
        <v>-17918474.52</v>
      </c>
      <c r="V91" s="7"/>
      <c r="W91" s="7">
        <f>-'Bütçe aylık-TL'!$I$38</f>
        <v>-14775387.570712</v>
      </c>
      <c r="X91" s="7">
        <f>'gerç aylık-tl'!$I$38+'gerç aylık-tl'!$I$49</f>
        <v>-14804118</v>
      </c>
      <c r="Y91" s="7"/>
      <c r="Z91" s="7">
        <f>-'Bütçe aylık-TL'!$J$38</f>
        <v>-17027035.335099999</v>
      </c>
      <c r="AA91" s="7">
        <f>'gerç aylık-tl'!$J$38+'gerç aylık-tl'!$J$49</f>
        <v>-15051949.220000001</v>
      </c>
      <c r="AB91" s="7"/>
      <c r="AC91" s="7">
        <f>-'Bütçe aylık-TL'!$K$38</f>
        <v>-18271915.341269001</v>
      </c>
      <c r="AD91" s="7">
        <f>'gerç aylık-tl'!$K$38+'gerç aylık-tl'!$K$49</f>
        <v>0</v>
      </c>
      <c r="AE91" s="7"/>
      <c r="AF91" s="7">
        <f>-'Bütçe aylık-TL'!$L$38</f>
        <v>-19275278.959151</v>
      </c>
      <c r="AG91" s="7">
        <f>'gerç aylık-tl'!$L$38+'gerç aylık-tl'!$L$49</f>
        <v>0</v>
      </c>
      <c r="AH91" s="7"/>
      <c r="AI91" s="7">
        <f>'Bütçe aylık-TL'!$M$38</f>
        <v>42936497.288029999</v>
      </c>
      <c r="AJ91" s="7">
        <f>'gerç aylık-tl'!$M$38+'gerç aylık-tl'!$M$49</f>
        <v>0</v>
      </c>
      <c r="AK91" s="7"/>
      <c r="AL91" s="21">
        <f t="shared" ref="AL91:AL98" si="40">AP91-AO91</f>
        <v>1975086.1150999982</v>
      </c>
      <c r="AM91" s="22">
        <f t="shared" ref="AM91:AM98" si="41">AP91/AO91-1</f>
        <v>-0.1159970644465923</v>
      </c>
      <c r="AO91" s="44">
        <f t="shared" ref="AO91:AO99" si="42">IF($A$1=$B$1,B91,IF($A$1=$E$1,E91,IF($A$1=$H$1,H91,IF($A$1=$K$1,K91,IF($A$1=$N$1,N91,IF($A$1=$Q$1,Q91,IF($A$1=$T$1,T91,IF($A$1=$W$1,W91,IF($A$1=$Z$1,Z91,IF($A$1=$AC$1,AC91,IF($A$1=$AF$1,AF91,IF($A$1=$AI$1,AI91))))))))))))</f>
        <v>-17027035.335099999</v>
      </c>
      <c r="AP91" s="44">
        <f t="shared" ref="AP91:AP99" si="43">IF($A$1=$B$1,C91,IF($A$1=$E$1,F91,IF($A$1=$H$1,I91,IF($A$1=$K$1,L91,IF($A$1=$N$1,O91,IF($A$1=$Q$1,R91,IF($A$1=$T$1,U91,IF($A$1=$W$1,X91,IF($A$1=$Z$1,AA91,IF($A$1=$AC$1,AD91,IF($A$1=$AF$1,AG91,IF($A$1=$AI$1,AJ91))))))))))))</f>
        <v>-15051949.220000001</v>
      </c>
    </row>
    <row r="92" spans="1:42" ht="15.5">
      <c r="A92" s="26" t="s">
        <v>11</v>
      </c>
      <c r="B92" s="7">
        <f>-'Bütçe aylık-TL'!$B$39</f>
        <v>-6399312.2678500004</v>
      </c>
      <c r="C92" s="7">
        <f>'gerç aylık-tl'!$B$39+'gerç aylık-tl'!$B$50</f>
        <v>-4636262.4038039995</v>
      </c>
      <c r="D92" s="7"/>
      <c r="E92" s="7">
        <f>-'Bütçe aylık-TL'!$C$39</f>
        <v>-6234257.3527659997</v>
      </c>
      <c r="F92" s="7">
        <f>'gerç aylık-tl'!$C$39+'gerç aylık-tl'!$C$50</f>
        <v>-6112877.9729800001</v>
      </c>
      <c r="G92" s="7"/>
      <c r="H92" s="7">
        <f>-'Bütçe aylık-TL'!$D$39</f>
        <v>-6492568.5821550004</v>
      </c>
      <c r="I92" s="7">
        <f>'gerç aylık-tl'!$D$39+'gerç aylık-tl'!$D$50</f>
        <v>-6517322.3891009996</v>
      </c>
      <c r="J92" s="7"/>
      <c r="K92" s="7">
        <f>-'Bütçe aylık-TL'!$E$39</f>
        <v>-6801196.1648239996</v>
      </c>
      <c r="L92" s="7">
        <f>'gerç aylık-tl'!$E$39+'gerç aylık-tl'!$E$50</f>
        <v>-5902307.9965620004</v>
      </c>
      <c r="M92" s="7"/>
      <c r="N92" s="7">
        <f>-'Bütçe aylık-TL'!$F$39</f>
        <v>-6351244.4706290001</v>
      </c>
      <c r="O92" s="7">
        <f>'gerç aylık-tl'!$F$39+'gerç aylık-tl'!$F$50</f>
        <v>-6478808.8957679998</v>
      </c>
      <c r="P92" s="7"/>
      <c r="Q92" s="7">
        <f>-'Bütçe aylık-TL'!$G$39</f>
        <v>-6624477.7680129996</v>
      </c>
      <c r="R92" s="7">
        <f>'gerç aylık-tl'!$G$39+'gerç aylık-tl'!$G$50</f>
        <v>-7244181.688023</v>
      </c>
      <c r="S92" s="7"/>
      <c r="T92" s="7">
        <f>-'Bütçe aylık-TL'!$H$39</f>
        <v>-6197095.0016080001</v>
      </c>
      <c r="U92" s="7">
        <f>'gerç aylık-tl'!$H$39+'gerç aylık-tl'!$H$50</f>
        <v>-6700360.818</v>
      </c>
      <c r="V92" s="7"/>
      <c r="W92" s="7">
        <f>-'Bütçe aylık-TL'!$I$39</f>
        <v>-5621562.4581300002</v>
      </c>
      <c r="X92" s="7">
        <f>'gerç aylık-tl'!$I$39+'gerç aylık-tl'!$I$50</f>
        <v>-5365273.8788930001</v>
      </c>
      <c r="Y92" s="7"/>
      <c r="Z92" s="7">
        <f>-'Bütçe aylık-TL'!$J$39</f>
        <v>-6000087.3554600002</v>
      </c>
      <c r="AA92" s="7">
        <f>'gerç aylık-tl'!$J$39+'gerç aylık-tl'!$J$50</f>
        <v>-6704177.40515</v>
      </c>
      <c r="AB92" s="7"/>
      <c r="AC92" s="7">
        <f>-'Bütçe aylık-TL'!$K$39</f>
        <v>-5505189.9908079999</v>
      </c>
      <c r="AD92" s="7">
        <f>'gerç aylık-tl'!$K$39+'gerç aylık-tl'!$K$50</f>
        <v>0</v>
      </c>
      <c r="AE92" s="7"/>
      <c r="AF92" s="7">
        <f>-'Bütçe aylık-TL'!$L$39</f>
        <v>-5694308.3258309998</v>
      </c>
      <c r="AG92" s="7">
        <f>'gerç aylık-tl'!$L$39+'gerç aylık-tl'!$L$50</f>
        <v>0</v>
      </c>
      <c r="AH92" s="7"/>
      <c r="AI92" s="7">
        <f>'Bütçe aylık-TL'!$M$39</f>
        <v>5699541.3970879996</v>
      </c>
      <c r="AJ92" s="7">
        <f>'gerç aylık-tl'!$M$39+'gerç aylık-tl'!$M$50</f>
        <v>0</v>
      </c>
      <c r="AK92" s="7"/>
      <c r="AL92" s="21">
        <f t="shared" si="40"/>
        <v>-704090.04968999978</v>
      </c>
      <c r="AM92" s="22">
        <f t="shared" si="41"/>
        <v>0.11734663313681382</v>
      </c>
      <c r="AO92" s="44">
        <f t="shared" si="42"/>
        <v>-6000087.3554600002</v>
      </c>
      <c r="AP92" s="44">
        <f t="shared" si="43"/>
        <v>-6704177.40515</v>
      </c>
    </row>
    <row r="93" spans="1:42" ht="15.5">
      <c r="A93" s="26" t="s">
        <v>12</v>
      </c>
      <c r="B93" s="7">
        <f>-'Bütçe aylık-TL'!$B$40</f>
        <v>-7832407.1478249999</v>
      </c>
      <c r="C93" s="7">
        <f>'gerç aylık-tl'!$B$40+'gerç aylık-tl'!$B$51</f>
        <v>-4472559.76</v>
      </c>
      <c r="D93" s="7"/>
      <c r="E93" s="7">
        <f>-'Bütçe aylık-TL'!$C$40</f>
        <v>-6289359.4906860003</v>
      </c>
      <c r="F93" s="7">
        <f>'gerç aylık-tl'!$C$40+'gerç aylık-tl'!$C$51</f>
        <v>-4498993.4677440003</v>
      </c>
      <c r="G93" s="7"/>
      <c r="H93" s="7">
        <f>-'Bütçe aylık-TL'!$D$40</f>
        <v>-7435960.0330950003</v>
      </c>
      <c r="I93" s="7">
        <f>'gerç aylık-tl'!$D$40+'gerç aylık-tl'!$D$51</f>
        <v>-7063145.6799999997</v>
      </c>
      <c r="J93" s="7"/>
      <c r="K93" s="7">
        <f>-'Bütçe aylık-TL'!$E$40</f>
        <v>-8361146.1419590004</v>
      </c>
      <c r="L93" s="7">
        <f>'gerç aylık-tl'!$E$40+'gerç aylık-tl'!$E$51</f>
        <v>-6046773.5954290004</v>
      </c>
      <c r="M93" s="7"/>
      <c r="N93" s="7">
        <f>-'Bütçe aylık-TL'!$F$40</f>
        <v>-7348328.6736829998</v>
      </c>
      <c r="O93" s="7">
        <f>'gerç aylık-tl'!$F$40+'gerç aylık-tl'!$F$51</f>
        <v>-5349688.6291410001</v>
      </c>
      <c r="P93" s="7"/>
      <c r="Q93" s="7">
        <f>-'Bütçe aylık-TL'!$G$40</f>
        <v>-7729067.5702229999</v>
      </c>
      <c r="R93" s="7">
        <f>'gerç aylık-tl'!$G$40+'gerç aylık-tl'!$G$51</f>
        <v>-5734390</v>
      </c>
      <c r="S93" s="7"/>
      <c r="T93" s="7">
        <f>-'Bütçe aylık-TL'!$H$40</f>
        <v>-8276606.6518479995</v>
      </c>
      <c r="U93" s="7">
        <f>'gerç aylık-tl'!$H$40+'gerç aylık-tl'!$H$51</f>
        <v>-6753341.6704639997</v>
      </c>
      <c r="V93" s="7"/>
      <c r="W93" s="7">
        <f>-'Bütçe aylık-TL'!$I$40</f>
        <v>-8213891.7401050003</v>
      </c>
      <c r="X93" s="7">
        <f>'gerç aylık-tl'!$I$40+'gerç aylık-tl'!$I$51</f>
        <v>-5123112.1229229998</v>
      </c>
      <c r="Y93" s="7"/>
      <c r="Z93" s="7">
        <f>-'Bütçe aylık-TL'!$J$40</f>
        <v>-9225711.6099100001</v>
      </c>
      <c r="AA93" s="7">
        <f>'gerç aylık-tl'!$J$40+'gerç aylık-tl'!$J$51</f>
        <v>-5584196.2629709998</v>
      </c>
      <c r="AB93" s="7"/>
      <c r="AC93" s="7">
        <f>-'Bütçe aylık-TL'!$K$40</f>
        <v>-8252177.8096439997</v>
      </c>
      <c r="AD93" s="7">
        <f>'gerç aylık-tl'!$K$40+'gerç aylık-tl'!$K$51</f>
        <v>0</v>
      </c>
      <c r="AE93" s="7"/>
      <c r="AF93" s="7">
        <f>-'Bütçe aylık-TL'!$L$40</f>
        <v>-8193067.8616030002</v>
      </c>
      <c r="AG93" s="7">
        <f>'gerç aylık-tl'!$L$40+'gerç aylık-tl'!$L$51</f>
        <v>0</v>
      </c>
      <c r="AH93" s="7"/>
      <c r="AI93" s="7">
        <f>'Bütçe aylık-TL'!$M$40</f>
        <v>10275823.421102</v>
      </c>
      <c r="AJ93" s="7">
        <f>'gerç aylık-tl'!$M$40+'gerç aylık-tl'!$M$51</f>
        <v>0</v>
      </c>
      <c r="AK93" s="7"/>
      <c r="AL93" s="21">
        <f t="shared" si="40"/>
        <v>3641515.3469390003</v>
      </c>
      <c r="AM93" s="22">
        <f t="shared" si="41"/>
        <v>-0.39471376311258055</v>
      </c>
      <c r="AO93" s="44">
        <f t="shared" si="42"/>
        <v>-9225711.6099100001</v>
      </c>
      <c r="AP93" s="44">
        <f t="shared" si="43"/>
        <v>-5584196.2629709998</v>
      </c>
    </row>
    <row r="94" spans="1:42" ht="15.5">
      <c r="A94" s="26" t="s">
        <v>13</v>
      </c>
      <c r="B94" s="7">
        <f>-'Bütçe aylık-TL'!$B$41</f>
        <v>-76612367.621172994</v>
      </c>
      <c r="C94" s="7">
        <f>'gerç aylık-tl'!$B$41+'gerç aylık-tl'!$B$52</f>
        <v>-76373898.645620003</v>
      </c>
      <c r="D94" s="7"/>
      <c r="E94" s="7">
        <f>-'Bütçe aylık-TL'!$C$41</f>
        <v>-86196414.745460004</v>
      </c>
      <c r="F94" s="7">
        <f>'gerç aylık-tl'!$C$41+'gerç aylık-tl'!$C$52</f>
        <v>-85403645.312724978</v>
      </c>
      <c r="G94" s="7"/>
      <c r="H94" s="7">
        <f>-'Bütçe aylık-TL'!$D$41</f>
        <v>-92461517.199796006</v>
      </c>
      <c r="I94" s="7">
        <f>'gerç aylık-tl'!$D$41+'gerç aylık-tl'!$D$52</f>
        <v>-91660457.136327997</v>
      </c>
      <c r="J94" s="7"/>
      <c r="K94" s="7">
        <f>-'Bütçe aylık-TL'!$E$41</f>
        <v>-88921501.229620993</v>
      </c>
      <c r="L94" s="7">
        <f>'gerç aylık-tl'!$E$41+'gerç aylık-tl'!$E$52</f>
        <v>-88282545.810666993</v>
      </c>
      <c r="M94" s="7"/>
      <c r="N94" s="7">
        <f>-'Bütçe aylık-TL'!$F$41</f>
        <v>-84272081.551697999</v>
      </c>
      <c r="O94" s="7">
        <f>'gerç aylık-tl'!$F$41+'gerç aylık-tl'!$F$52</f>
        <v>-84747557.155908003</v>
      </c>
      <c r="P94" s="7"/>
      <c r="Q94" s="7">
        <f>-'Bütçe aylık-TL'!$G$41</f>
        <v>-87708737.693053007</v>
      </c>
      <c r="R94" s="7">
        <f>'gerç aylık-tl'!$G$41+'gerç aylık-tl'!$G$52</f>
        <v>-79651607.008184001</v>
      </c>
      <c r="S94" s="7"/>
      <c r="T94" s="7">
        <f>-'Bütçe aylık-TL'!$H$41</f>
        <v>-91480057.767223984</v>
      </c>
      <c r="U94" s="7">
        <f>'gerç aylık-tl'!$H$41+'gerç aylık-tl'!$H$52</f>
        <v>-78716459.858815998</v>
      </c>
      <c r="V94" s="7"/>
      <c r="W94" s="7">
        <f>-'Bütçe aylık-TL'!$I$41</f>
        <v>-93305974.435393006</v>
      </c>
      <c r="X94" s="7">
        <f>'gerç aylık-tl'!$I$41+'gerç aylık-tl'!$I$52</f>
        <v>-79742287.956765994</v>
      </c>
      <c r="Y94" s="7"/>
      <c r="Z94" s="7">
        <f>-'Bütçe aylık-TL'!$J$41</f>
        <v>-94791735.055855006</v>
      </c>
      <c r="AA94" s="7">
        <f>'gerç aylık-tl'!$J$41+'gerç aylık-tl'!$J$52</f>
        <v>-76948584.848621994</v>
      </c>
      <c r="AB94" s="7"/>
      <c r="AC94" s="7">
        <f>-'Bütçe aylık-TL'!$K$41</f>
        <v>-100068840.24352399</v>
      </c>
      <c r="AD94" s="7">
        <f>'gerç aylık-tl'!$K$41+'gerç aylık-tl'!$K$52</f>
        <v>0</v>
      </c>
      <c r="AE94" s="7"/>
      <c r="AF94" s="7">
        <f>-'Bütçe aylık-TL'!$L$41</f>
        <v>-98992590.555627003</v>
      </c>
      <c r="AG94" s="7">
        <f>'gerç aylık-tl'!$L$41+'gerç aylık-tl'!$L$52</f>
        <v>0</v>
      </c>
      <c r="AH94" s="7"/>
      <c r="AI94" s="7">
        <f>'Bütçe aylık-TL'!$M$41</f>
        <v>106481813.116557</v>
      </c>
      <c r="AJ94" s="7">
        <f>'gerç aylık-tl'!$M$41+'gerç aylık-tl'!$M$52</f>
        <v>0</v>
      </c>
      <c r="AK94" s="7"/>
      <c r="AL94" s="21">
        <f t="shared" si="40"/>
        <v>17843150.207233012</v>
      </c>
      <c r="AM94" s="22">
        <f t="shared" si="41"/>
        <v>-0.18823529495181335</v>
      </c>
      <c r="AO94" s="44">
        <f t="shared" si="42"/>
        <v>-94791735.055855006</v>
      </c>
      <c r="AP94" s="44">
        <f t="shared" si="43"/>
        <v>-76948584.848621994</v>
      </c>
    </row>
    <row r="95" spans="1:42" s="1" customFormat="1" ht="15.5">
      <c r="A95" s="26" t="s">
        <v>14</v>
      </c>
      <c r="B95" s="7">
        <f>-'Bütçe aylık-TL'!$B$42</f>
        <v>-32344300</v>
      </c>
      <c r="C95" s="7">
        <f>'gerç aylık-tl'!$B$42+'gerç aylık-tl'!$B$53</f>
        <v>-35177923.950428002</v>
      </c>
      <c r="D95" s="8"/>
      <c r="E95" s="7">
        <f>-'Bütçe aylık-TL'!$C$42</f>
        <v>-32527018</v>
      </c>
      <c r="F95" s="7">
        <f>'gerç aylık-tl'!$C$42+'gerç aylık-tl'!$C$53</f>
        <v>-33084416.284969002</v>
      </c>
      <c r="G95" s="8"/>
      <c r="H95" s="7">
        <f>-'Bütçe aylık-TL'!$D$42</f>
        <v>-32633856</v>
      </c>
      <c r="I95" s="7">
        <f>'gerç aylık-tl'!$D$42+'gerç aylık-tl'!$D$53</f>
        <v>-29591551.625847001</v>
      </c>
      <c r="J95" s="8"/>
      <c r="K95" s="7">
        <f>-'Bütçe aylık-TL'!$E$42</f>
        <v>-45975800.951804504</v>
      </c>
      <c r="L95" s="7">
        <f>'gerç aylık-tl'!$E$42+'gerç aylık-tl'!$E$53</f>
        <v>-46042395.223936997</v>
      </c>
      <c r="M95" s="8"/>
      <c r="N95" s="7">
        <f>-'Bütçe aylık-TL'!$F$42</f>
        <v>-42392996.709942058</v>
      </c>
      <c r="O95" s="7">
        <f>'gerç aylık-tl'!$F$42+'gerç aylık-tl'!$F$53</f>
        <v>-53267443.285424002</v>
      </c>
      <c r="P95" s="8"/>
      <c r="Q95" s="7">
        <f>-'Bütçe aylık-TL'!$G$42</f>
        <v>-41396088.053658143</v>
      </c>
      <c r="R95" s="7">
        <f>'gerç aylık-tl'!$G$42+'gerç aylık-tl'!$G$53</f>
        <v>-40221886.738943003</v>
      </c>
      <c r="S95" s="8"/>
      <c r="T95" s="7">
        <f>-'Bütçe aylık-TL'!$H$42</f>
        <v>-41636532.840711474</v>
      </c>
      <c r="U95" s="7">
        <f>'gerç aylık-tl'!$H$42+'gerç aylık-tl'!$H$53</f>
        <v>-37466051.914126001</v>
      </c>
      <c r="V95" s="8"/>
      <c r="W95" s="7">
        <f>-'Bütçe aylık-TL'!$I$42</f>
        <v>-41699258.403659552</v>
      </c>
      <c r="X95" s="7">
        <f>'gerç aylık-tl'!$I$42+'gerç aylık-tl'!$I$53</f>
        <v>-37664770.124558002</v>
      </c>
      <c r="Y95" s="8"/>
      <c r="Z95" s="7">
        <f>-'Bütçe aylık-TL'!$J$42</f>
        <v>-41689721.387066193</v>
      </c>
      <c r="AA95" s="7">
        <f>'gerç aylık-tl'!$J$42+'gerç aylık-tl'!$J$53</f>
        <v>-38009504.928778999</v>
      </c>
      <c r="AB95" s="8"/>
      <c r="AC95" s="7">
        <f>-'Bütçe aylık-TL'!$K$42</f>
        <v>-42607563.480619207</v>
      </c>
      <c r="AD95" s="7">
        <f>'gerç aylık-tl'!$K$42+'gerç aylık-tl'!$K$53</f>
        <v>0</v>
      </c>
      <c r="AE95" s="8"/>
      <c r="AF95" s="7">
        <f>-'Bütçe aylık-TL'!$L$42</f>
        <v>-42571899.579030372</v>
      </c>
      <c r="AG95" s="7">
        <f>'gerç aylık-tl'!$L$42+'gerç aylık-tl'!$L$53</f>
        <v>0</v>
      </c>
      <c r="AH95" s="8"/>
      <c r="AI95" s="7">
        <f>'Bütçe aylık-TL'!$M$42</f>
        <v>44354480.51060757</v>
      </c>
      <c r="AJ95" s="7">
        <f>'gerç aylık-tl'!$M$42+'gerç aylık-tl'!$M$53</f>
        <v>0</v>
      </c>
      <c r="AK95" s="8"/>
      <c r="AL95" s="21">
        <f t="shared" si="40"/>
        <v>3680216.4582871944</v>
      </c>
      <c r="AM95" s="22">
        <f t="shared" si="41"/>
        <v>-8.827635052099303E-2</v>
      </c>
      <c r="AO95" s="44">
        <f t="shared" si="42"/>
        <v>-41689721.387066193</v>
      </c>
      <c r="AP95" s="44">
        <f t="shared" si="43"/>
        <v>-38009504.928778999</v>
      </c>
    </row>
    <row r="96" spans="1:42" ht="15.5">
      <c r="A96" s="26" t="s">
        <v>15</v>
      </c>
      <c r="B96" s="7">
        <f>-'Bütçe aylık-TL'!$B$43</f>
        <v>-26222497.876703769</v>
      </c>
      <c r="C96" s="7">
        <f>'gerç aylık-tl'!$B$43+'gerç aylık-tl'!$B$54</f>
        <v>-24631367.120022777</v>
      </c>
      <c r="D96" s="7"/>
      <c r="E96" s="7">
        <f>-'Bütçe aylık-TL'!$C$43</f>
        <v>-25624249.934378389</v>
      </c>
      <c r="F96" s="7">
        <f>'gerç aylık-tl'!$C$43+'gerç aylık-tl'!$C$54</f>
        <v>-30694550.801811934</v>
      </c>
      <c r="G96" s="7"/>
      <c r="H96" s="7">
        <f>-'Bütçe aylık-TL'!$D$43</f>
        <v>-27878210.517480049</v>
      </c>
      <c r="I96" s="7">
        <f>'gerç aylık-tl'!$D$43+'gerç aylık-tl'!$D$54</f>
        <v>-27882470.54019678</v>
      </c>
      <c r="J96" s="7"/>
      <c r="K96" s="7">
        <f>-'Bütçe aylık-TL'!$E$43</f>
        <v>-36826110.200064786</v>
      </c>
      <c r="L96" s="7">
        <f>'gerç aylık-tl'!$E$43+'gerç aylık-tl'!$E$54</f>
        <v>-41889911.362413518</v>
      </c>
      <c r="M96" s="7"/>
      <c r="N96" s="7">
        <f>-'Bütçe aylık-TL'!$F$43</f>
        <v>-29706101.856288586</v>
      </c>
      <c r="O96" s="7">
        <f>'gerç aylık-tl'!$F$43+'gerç aylık-tl'!$F$54</f>
        <v>-36192984.851228215</v>
      </c>
      <c r="P96" s="7"/>
      <c r="Q96" s="7">
        <f>-'Bütçe aylık-TL'!$G$43</f>
        <v>-28933916.243769731</v>
      </c>
      <c r="R96" s="7">
        <f>'gerç aylık-tl'!$G$43+'gerç aylık-tl'!$G$54</f>
        <v>-30231422.527751889</v>
      </c>
      <c r="S96" s="7"/>
      <c r="T96" s="7">
        <f>-'Bütçe aylık-TL'!$H$43</f>
        <v>-28111328.490672231</v>
      </c>
      <c r="U96" s="7">
        <f>'gerç aylık-tl'!$H$43+'gerç aylık-tl'!$H$54</f>
        <v>-24462931.61443536</v>
      </c>
      <c r="V96" s="7"/>
      <c r="W96" s="7">
        <f>-'Bütçe aylık-TL'!$I$43</f>
        <v>-24288441.364269909</v>
      </c>
      <c r="X96" s="7">
        <f>'gerç aylık-tl'!$I$43+'gerç aylık-tl'!$I$54</f>
        <v>-21149700.852268461</v>
      </c>
      <c r="Y96" s="7"/>
      <c r="Z96" s="7">
        <f>-'Bütçe aylık-TL'!$J$43</f>
        <v>-33213008.762698099</v>
      </c>
      <c r="AA96" s="7">
        <f>'gerç aylık-tl'!$J$43+'gerç aylık-tl'!$J$54</f>
        <v>-28740438.011832021</v>
      </c>
      <c r="AB96" s="7"/>
      <c r="AC96" s="7">
        <f>-'Bütçe aylık-TL'!$K$43</f>
        <v>-30848190.732529666</v>
      </c>
      <c r="AD96" s="7">
        <f>'gerç aylık-tl'!$K$43+'gerç aylık-tl'!$K$54</f>
        <v>0</v>
      </c>
      <c r="AE96" s="7"/>
      <c r="AF96" s="7">
        <f>-'Bütçe aylık-TL'!$L$43</f>
        <v>-30248784.444342703</v>
      </c>
      <c r="AG96" s="7">
        <f>'gerç aylık-tl'!$L$43+'gerç aylık-tl'!$L$54</f>
        <v>0</v>
      </c>
      <c r="AH96" s="7"/>
      <c r="AI96" s="7">
        <f>'Bütçe aylık-TL'!$M$43</f>
        <v>26712717.466903441</v>
      </c>
      <c r="AJ96" s="7">
        <f>'gerç aylık-tl'!$M$43+'gerç aylık-tl'!$M$54</f>
        <v>0</v>
      </c>
      <c r="AK96" s="7"/>
      <c r="AL96" s="21">
        <f t="shared" si="40"/>
        <v>4472570.7508660778</v>
      </c>
      <c r="AM96" s="22">
        <f t="shared" si="41"/>
        <v>-0.13466322135467812</v>
      </c>
      <c r="AO96" s="44">
        <f t="shared" si="42"/>
        <v>-33213008.762698099</v>
      </c>
      <c r="AP96" s="44">
        <f t="shared" si="43"/>
        <v>-28740438.011832021</v>
      </c>
    </row>
    <row r="97" spans="1:42" ht="15.5">
      <c r="A97" s="26" t="s">
        <v>16</v>
      </c>
      <c r="B97" s="7">
        <f>-'Bütçe aylık-TL'!$B$44</f>
        <v>-14881683.473512666</v>
      </c>
      <c r="C97" s="7">
        <f>'gerç aylık-tl'!$B$44+'gerç aylık-tl'!$B$55</f>
        <v>-15094553.892623326</v>
      </c>
      <c r="D97" s="7"/>
      <c r="E97" s="7">
        <f>-'Bütçe aylık-TL'!$C$44</f>
        <v>-13875898.67341963</v>
      </c>
      <c r="F97" s="7">
        <f>'gerç aylık-tl'!$C$44+'gerç aylık-tl'!$C$55</f>
        <v>-18327569.930504721</v>
      </c>
      <c r="G97" s="7"/>
      <c r="H97" s="7">
        <f>-'Bütçe aylık-TL'!$D$44</f>
        <v>-16955673.019496597</v>
      </c>
      <c r="I97" s="7">
        <f>'gerç aylık-tl'!$D$44+'gerç aylık-tl'!$D$55</f>
        <v>-11133611.614819357</v>
      </c>
      <c r="J97" s="7"/>
      <c r="K97" s="7">
        <f>-'Bütçe aylık-TL'!$E$44</f>
        <v>-18056967.713872645</v>
      </c>
      <c r="L97" s="7">
        <f>'gerç aylık-tl'!$E$44+'gerç aylık-tl'!$E$55</f>
        <v>-29343667.132026128</v>
      </c>
      <c r="M97" s="7"/>
      <c r="N97" s="7">
        <f>-'Bütçe aylık-TL'!$F$44</f>
        <v>-17303423.237132568</v>
      </c>
      <c r="O97" s="7">
        <f>'gerç aylık-tl'!$F$44+'gerç aylık-tl'!$F$55</f>
        <v>-21435199.165390935</v>
      </c>
      <c r="P97" s="7"/>
      <c r="Q97" s="7">
        <f>-'Bütçe aylık-TL'!$G$44</f>
        <v>-16137332.961107215</v>
      </c>
      <c r="R97" s="7">
        <f>'gerç aylık-tl'!$G$44+'gerç aylık-tl'!$G$55</f>
        <v>-17405300.553133484</v>
      </c>
      <c r="S97" s="7"/>
      <c r="T97" s="7">
        <f>-'Bütçe aylık-TL'!$H$44</f>
        <v>-15422430.258841883</v>
      </c>
      <c r="U97" s="7">
        <f>'gerç aylık-tl'!$H$44+'gerç aylık-tl'!$H$55</f>
        <v>-21272111.59168775</v>
      </c>
      <c r="V97" s="7"/>
      <c r="W97" s="7">
        <f>-'Bütçe aylık-TL'!$I$44</f>
        <v>-14928737.635533204</v>
      </c>
      <c r="X97" s="7">
        <f>'gerç aylık-tl'!$I$44+'gerç aylık-tl'!$I$55</f>
        <v>-16329236.75890292</v>
      </c>
      <c r="Y97" s="7"/>
      <c r="Z97" s="7">
        <f>-'Bütçe aylık-TL'!$J$44</f>
        <v>-18769751.932090685</v>
      </c>
      <c r="AA97" s="7">
        <f>'gerç aylık-tl'!$J$44+'gerç aylık-tl'!$J$55</f>
        <v>-25227159.431871008</v>
      </c>
      <c r="AB97" s="7"/>
      <c r="AC97" s="7">
        <f>-'Bütçe aylık-TL'!$K$44</f>
        <v>-18131747.654179789</v>
      </c>
      <c r="AD97" s="7">
        <f>'gerç aylık-tl'!$K$44+'gerç aylık-tl'!$K$55</f>
        <v>0</v>
      </c>
      <c r="AE97" s="7"/>
      <c r="AF97" s="7">
        <f>-'Bütçe aylık-TL'!$L$44</f>
        <v>-17246457.351501737</v>
      </c>
      <c r="AG97" s="7">
        <f>'gerç aylık-tl'!$L$44+'gerç aylık-tl'!$L$55</f>
        <v>0</v>
      </c>
      <c r="AH97" s="7"/>
      <c r="AI97" s="7">
        <f>'Bütçe aylık-TL'!$M$44</f>
        <v>15254554.697808793</v>
      </c>
      <c r="AJ97" s="7">
        <f>'gerç aylık-tl'!$M$44+'gerç aylık-tl'!$M$55</f>
        <v>0</v>
      </c>
      <c r="AK97" s="7"/>
      <c r="AL97" s="21">
        <f t="shared" si="40"/>
        <v>-6457407.4997803234</v>
      </c>
      <c r="AM97" s="22">
        <f t="shared" si="41"/>
        <v>0.3440326501460087</v>
      </c>
      <c r="AO97" s="44">
        <f t="shared" si="42"/>
        <v>-18769751.932090685</v>
      </c>
      <c r="AP97" s="44">
        <f t="shared" si="43"/>
        <v>-25227159.431871008</v>
      </c>
    </row>
    <row r="98" spans="1:42" ht="15.5">
      <c r="A98" s="26" t="s">
        <v>17</v>
      </c>
      <c r="B98" s="7">
        <f>-'Bütçe aylık-TL'!$B$45</f>
        <v>-33935626.741554052</v>
      </c>
      <c r="C98" s="7">
        <f>'gerç aylık-tl'!$B$45+'gerç aylık-tl'!$B$56</f>
        <v>-35048290.418891974</v>
      </c>
      <c r="D98" s="7"/>
      <c r="E98" s="7">
        <f>-'Bütçe aylık-TL'!$C$45</f>
        <v>-39574062.062310457</v>
      </c>
      <c r="F98" s="7">
        <f>'gerç aylık-tl'!$C$45+'gerç aylık-tl'!$C$56</f>
        <v>-38068478.762130149</v>
      </c>
      <c r="G98" s="7"/>
      <c r="H98" s="7">
        <f>-'Bütçe aylık-TL'!$D$45</f>
        <v>-40437613.008803926</v>
      </c>
      <c r="I98" s="7">
        <f>'gerç aylık-tl'!$D$45+'gerç aylık-tl'!$D$56</f>
        <v>-39452176.428460643</v>
      </c>
      <c r="J98" s="7"/>
      <c r="K98" s="7">
        <f>-'Bütçe aylık-TL'!$E$45</f>
        <v>-38846148.688338377</v>
      </c>
      <c r="L98" s="7">
        <f>'gerç aylık-tl'!$E$45+'gerç aylık-tl'!$E$56</f>
        <v>-43120441.485750027</v>
      </c>
      <c r="M98" s="7"/>
      <c r="N98" s="7">
        <f>-'Bütçe aylık-TL'!$F$45</f>
        <v>-42111842.261741497</v>
      </c>
      <c r="O98" s="7">
        <f>'gerç aylık-tl'!$F$45+'gerç aylık-tl'!$F$56</f>
        <v>-47431232.978771895</v>
      </c>
      <c r="P98" s="7"/>
      <c r="Q98" s="7">
        <f>-'Bütçe aylık-TL'!$G$45</f>
        <v>-42485922.366997436</v>
      </c>
      <c r="R98" s="7">
        <f>'gerç aylık-tl'!$G$45+'gerç aylık-tl'!$G$56</f>
        <v>-39305147.363525398</v>
      </c>
      <c r="S98" s="7"/>
      <c r="T98" s="7">
        <f>-'Bütçe aylık-TL'!$H$45</f>
        <v>-42543988.535551153</v>
      </c>
      <c r="U98" s="7">
        <f>'gerç aylık-tl'!$H$45+'gerç aylık-tl'!$H$56</f>
        <v>-46490187.409146078</v>
      </c>
      <c r="V98" s="7"/>
      <c r="W98" s="7">
        <f>-'Bütçe aylık-TL'!$I$45</f>
        <v>-35984204.111476548</v>
      </c>
      <c r="X98" s="7">
        <f>'gerç aylık-tl'!$I$45+'gerç aylık-tl'!$I$56</f>
        <v>-44870536.065065213</v>
      </c>
      <c r="Y98" s="7"/>
      <c r="Z98" s="7">
        <f>-'Bütçe aylık-TL'!$J$45</f>
        <v>-48113702.486657776</v>
      </c>
      <c r="AA98" s="7">
        <f>'gerç aylık-tl'!$J$45+'gerç aylık-tl'!$J$56</f>
        <v>-47510086.715668507</v>
      </c>
      <c r="AB98" s="7"/>
      <c r="AC98" s="7">
        <f>-'Bütçe aylık-TL'!$K$45</f>
        <v>-45164631.020414852</v>
      </c>
      <c r="AD98" s="7">
        <f>'gerç aylık-tl'!$K$45+'gerç aylık-tl'!$K$56</f>
        <v>0</v>
      </c>
      <c r="AE98" s="7"/>
      <c r="AF98" s="7">
        <f>-'Bütçe aylık-TL'!$L$45</f>
        <v>-43854286.779008918</v>
      </c>
      <c r="AG98" s="7">
        <f>'gerç aylık-tl'!$L$45+'gerç aylık-tl'!$L$56</f>
        <v>0</v>
      </c>
      <c r="AH98" s="7"/>
      <c r="AI98" s="7">
        <f>'Bütçe aylık-TL'!$M$45</f>
        <v>39441837.290924072</v>
      </c>
      <c r="AJ98" s="7">
        <f>'gerç aylık-tl'!$M$45+'gerç aylık-tl'!$M$56</f>
        <v>0</v>
      </c>
      <c r="AK98" s="7"/>
      <c r="AL98" s="21">
        <f t="shared" si="40"/>
        <v>603615.77098926902</v>
      </c>
      <c r="AM98" s="22">
        <f t="shared" si="41"/>
        <v>-1.2545610497480486E-2</v>
      </c>
      <c r="AO98" s="44">
        <f t="shared" si="42"/>
        <v>-48113702.486657776</v>
      </c>
      <c r="AP98" s="44">
        <f t="shared" si="43"/>
        <v>-47510086.715668507</v>
      </c>
    </row>
    <row r="99" spans="1:42" ht="15.5">
      <c r="A99" s="26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21"/>
      <c r="AM99" s="22"/>
      <c r="AO99" s="44">
        <f t="shared" si="42"/>
        <v>0</v>
      </c>
      <c r="AP99" s="44">
        <f t="shared" si="43"/>
        <v>0</v>
      </c>
    </row>
    <row r="100" spans="1:42">
      <c r="A100" s="2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5"/>
    </row>
    <row r="101" spans="1:42" s="49" customFormat="1" ht="17">
      <c r="A101" s="47" t="s">
        <v>69</v>
      </c>
      <c r="B101" s="413"/>
      <c r="C101" s="413"/>
      <c r="D101" s="413"/>
      <c r="E101" s="413"/>
      <c r="F101" s="413"/>
      <c r="G101" s="413"/>
      <c r="H101" s="413"/>
      <c r="I101" s="413"/>
      <c r="J101" s="413"/>
      <c r="K101" s="413"/>
      <c r="L101" s="413"/>
      <c r="M101" s="413"/>
      <c r="N101" s="413"/>
      <c r="O101" s="413"/>
      <c r="P101" s="413"/>
      <c r="Q101" s="413"/>
      <c r="R101" s="413"/>
      <c r="S101" s="413"/>
      <c r="T101" s="413"/>
      <c r="U101" s="413"/>
      <c r="V101" s="413"/>
      <c r="W101" s="413"/>
      <c r="X101" s="413"/>
      <c r="Y101" s="413"/>
      <c r="Z101" s="413"/>
      <c r="AA101" s="413"/>
      <c r="AB101" s="413"/>
      <c r="AC101" s="413"/>
      <c r="AD101" s="413"/>
      <c r="AE101" s="413"/>
      <c r="AF101" s="413"/>
      <c r="AG101" s="413"/>
      <c r="AH101" s="413"/>
      <c r="AI101" s="413"/>
      <c r="AJ101" s="413"/>
      <c r="AK101" s="413"/>
      <c r="AL101" s="413"/>
      <c r="AM101" s="48"/>
    </row>
    <row r="102" spans="1:42" s="13" customFormat="1" ht="15.5">
      <c r="A102" s="26" t="s">
        <v>10</v>
      </c>
      <c r="B102" s="12">
        <f>B91*-1/B9</f>
        <v>0.5296537499048749</v>
      </c>
      <c r="C102" s="12">
        <f>C91*-1/C9</f>
        <v>0.50238117054819975</v>
      </c>
      <c r="D102" s="41"/>
      <c r="E102" s="12">
        <f>E91*-1/E9</f>
        <v>0.49698834698357486</v>
      </c>
      <c r="F102" s="12">
        <f>F91*-1/F9</f>
        <v>0.57194523353082716</v>
      </c>
      <c r="G102" s="41"/>
      <c r="H102" s="12">
        <f>H91*-1/H9</f>
        <v>0.58506943895933461</v>
      </c>
      <c r="I102" s="12">
        <f>I91*-1/I9</f>
        <v>0.5712589131974819</v>
      </c>
      <c r="J102" s="41"/>
      <c r="K102" s="12">
        <f>K91*-1/K9</f>
        <v>0.54613589842218779</v>
      </c>
      <c r="L102" s="12">
        <f>L91*-1/L9</f>
        <v>0.80552748340899005</v>
      </c>
      <c r="M102" s="41"/>
      <c r="N102" s="12">
        <f>N91*-1/N9</f>
        <v>0.55008503721311253</v>
      </c>
      <c r="O102" s="12">
        <f>O91*-1/O9</f>
        <v>0.45584033847517802</v>
      </c>
      <c r="P102" s="41"/>
      <c r="Q102" s="12">
        <f>Q91*-1/Q9</f>
        <v>0.5306322658999264</v>
      </c>
      <c r="R102" s="12">
        <f>R91*-1/R9</f>
        <v>0.5547357558749787</v>
      </c>
      <c r="S102" s="41"/>
      <c r="T102" s="12">
        <f>T91*-1/T9</f>
        <v>0.48382379953459964</v>
      </c>
      <c r="U102" s="12">
        <f>U91*-1/U9</f>
        <v>0.52325721116225621</v>
      </c>
      <c r="V102" s="41"/>
      <c r="W102" s="12">
        <f>W91*-1/W9</f>
        <v>0.5180646859796062</v>
      </c>
      <c r="X102" s="12">
        <f>X91*-1/X9</f>
        <v>0.51833925458792474</v>
      </c>
      <c r="Y102" s="41"/>
      <c r="Z102" s="12">
        <f>Z91*-1/Z9</f>
        <v>0.4493562365871136</v>
      </c>
      <c r="AA102" s="12">
        <f>AA91*-1/AA9</f>
        <v>0.39418629578184639</v>
      </c>
      <c r="AB102" s="41"/>
      <c r="AC102" s="12">
        <f>AC91*-1/AC9</f>
        <v>0.48718164824543764</v>
      </c>
      <c r="AD102" s="12" t="e">
        <f>AD91*-1/AD9</f>
        <v>#DIV/0!</v>
      </c>
      <c r="AE102" s="41"/>
      <c r="AF102" s="12">
        <f>AF91*-1/AF9</f>
        <v>0.52697168230567015</v>
      </c>
      <c r="AG102" s="12" t="e">
        <f>AG91*-1/AG9</f>
        <v>#DIV/0!</v>
      </c>
      <c r="AH102" s="41"/>
      <c r="AI102" s="12">
        <f>AI91*-1/AI9</f>
        <v>-1.296027674022493</v>
      </c>
      <c r="AJ102" s="12" t="e">
        <f>AJ91*-1/AJ9</f>
        <v>#DIV/0!</v>
      </c>
      <c r="AK102" s="41"/>
      <c r="AL102" s="15"/>
      <c r="AM102" s="22">
        <f>AP102-AO102</f>
        <v>-5.5169940805267215E-2</v>
      </c>
      <c r="AO102" s="44">
        <f t="shared" ref="AO102:AO109" si="44">IF($A$1=$B$1,B102,IF($A$1=$E$1,E102,IF($A$1=$H$1,H102,IF($A$1=$K$1,K102,IF($A$1=$N$1,N102,IF($A$1=$Q$1,Q102,IF($A$1=$T$1,T102,IF($A$1=$W$1,W102,IF($A$1=$Z$1,Z102,IF($A$1=$AC$1,AC102,IF($A$1=$AF$1,AF102,IF($A$1=$AI$1,AI102))))))))))))</f>
        <v>0.4493562365871136</v>
      </c>
      <c r="AP102" s="44">
        <f t="shared" ref="AP102:AP109" si="45">IF($A$1=$B$1,C102,IF($A$1=$E$1,F102,IF($A$1=$H$1,I102,IF($A$1=$K$1,L102,IF($A$1=$N$1,O102,IF($A$1=$Q$1,R102,IF($A$1=$T$1,U102,IF($A$1=$W$1,X102,IF($A$1=$Z$1,AA102,IF($A$1=$AC$1,AD102,IF($A$1=$AF$1,AG102,IF($A$1=$AI$1,AJ102))))))))))))</f>
        <v>0.39418629578184639</v>
      </c>
    </row>
    <row r="103" spans="1:42" s="13" customFormat="1" ht="15.5">
      <c r="A103" s="26" t="s">
        <v>11</v>
      </c>
      <c r="B103" s="12">
        <f t="shared" ref="B103:C109" si="46">B92*-1/B10</f>
        <v>0.20659051288776206</v>
      </c>
      <c r="C103" s="12">
        <f t="shared" si="46"/>
        <v>0.14328133365901763</v>
      </c>
      <c r="D103" s="41"/>
      <c r="E103" s="12">
        <f t="shared" ref="E103:F109" si="47">E92*-1/E10</f>
        <v>0.17002481703342553</v>
      </c>
      <c r="F103" s="12">
        <f t="shared" si="47"/>
        <v>0.17369262825933796</v>
      </c>
      <c r="G103" s="41"/>
      <c r="H103" s="12">
        <f t="shared" ref="H103:I109" si="48">H92*-1/H10</f>
        <v>0.17020037669327728</v>
      </c>
      <c r="I103" s="12">
        <f t="shared" si="48"/>
        <v>0.23493641267452051</v>
      </c>
      <c r="J103" s="41"/>
      <c r="K103" s="12">
        <f t="shared" ref="K103:L109" si="49">K92*-1/K10</f>
        <v>0.16260044668723114</v>
      </c>
      <c r="L103" s="12">
        <f t="shared" si="49"/>
        <v>0.29616583117271389</v>
      </c>
      <c r="M103" s="41"/>
      <c r="N103" s="12">
        <f t="shared" ref="N103:O109" si="50">N92*-1/N10</f>
        <v>0.15853110587533609</v>
      </c>
      <c r="O103" s="12">
        <f t="shared" si="50"/>
        <v>0.21061193269258019</v>
      </c>
      <c r="P103" s="41"/>
      <c r="Q103" s="12">
        <f t="shared" ref="Q103:R109" si="51">Q92*-1/Q10</f>
        <v>0.15901157943446212</v>
      </c>
      <c r="R103" s="12">
        <f t="shared" si="51"/>
        <v>0.2527830958152496</v>
      </c>
      <c r="S103" s="41"/>
      <c r="T103" s="12">
        <f t="shared" ref="T103:U109" si="52">T92*-1/T10</f>
        <v>0.1738617208292072</v>
      </c>
      <c r="U103" s="12">
        <f t="shared" si="52"/>
        <v>0.20589678753604171</v>
      </c>
      <c r="V103" s="41"/>
      <c r="W103" s="12">
        <f t="shared" ref="W103:X109" si="53">W92*-1/W10</f>
        <v>0.22178792820950333</v>
      </c>
      <c r="X103" s="12">
        <f t="shared" si="53"/>
        <v>0.22663586627759844</v>
      </c>
      <c r="Y103" s="41"/>
      <c r="Z103" s="12">
        <f t="shared" ref="Z103:AA109" si="54">Z92*-1/Z10</f>
        <v>0.21995627444265656</v>
      </c>
      <c r="AA103" s="12">
        <f t="shared" si="54"/>
        <v>0.30586297601400675</v>
      </c>
      <c r="AB103" s="41"/>
      <c r="AC103" s="12">
        <f t="shared" ref="AC103:AD109" si="55">AC92*-1/AC10</f>
        <v>0.23225290451280817</v>
      </c>
      <c r="AD103" s="12" t="e">
        <f t="shared" si="55"/>
        <v>#DIV/0!</v>
      </c>
      <c r="AE103" s="41"/>
      <c r="AF103" s="12">
        <f t="shared" ref="AF103:AG109" si="56">AF92*-1/AF10</f>
        <v>0.26231685306716296</v>
      </c>
      <c r="AG103" s="12" t="e">
        <f t="shared" si="56"/>
        <v>#DIV/0!</v>
      </c>
      <c r="AH103" s="41"/>
      <c r="AI103" s="12">
        <f t="shared" ref="AI103:AJ109" si="57">AI92*-1/AI10</f>
        <v>-0.2893765408129923</v>
      </c>
      <c r="AJ103" s="12" t="e">
        <f t="shared" si="57"/>
        <v>#DIV/0!</v>
      </c>
      <c r="AK103" s="41"/>
      <c r="AL103" s="15"/>
      <c r="AM103" s="22">
        <f t="shared" ref="AM103:AM109" si="58">AP103-AO103</f>
        <v>8.5906701571350191E-2</v>
      </c>
      <c r="AO103" s="44">
        <f t="shared" si="44"/>
        <v>0.21995627444265656</v>
      </c>
      <c r="AP103" s="44">
        <f t="shared" si="45"/>
        <v>0.30586297601400675</v>
      </c>
    </row>
    <row r="104" spans="1:42" s="13" customFormat="1" ht="15.5">
      <c r="A104" s="26" t="s">
        <v>12</v>
      </c>
      <c r="B104" s="12">
        <f t="shared" si="46"/>
        <v>0.21218348648534277</v>
      </c>
      <c r="C104" s="12">
        <f t="shared" si="46"/>
        <v>0.12594003965713679</v>
      </c>
      <c r="D104" s="41"/>
      <c r="E104" s="12">
        <f t="shared" si="47"/>
        <v>0.16806946966729713</v>
      </c>
      <c r="F104" s="12">
        <f t="shared" si="47"/>
        <v>0.11524531847640959</v>
      </c>
      <c r="G104" s="41"/>
      <c r="H104" s="12">
        <f t="shared" si="48"/>
        <v>0.14881155685169872</v>
      </c>
      <c r="I104" s="12">
        <f t="shared" si="48"/>
        <v>0.1166810914703761</v>
      </c>
      <c r="J104" s="41"/>
      <c r="K104" s="12">
        <f t="shared" si="49"/>
        <v>0.15814183146860411</v>
      </c>
      <c r="L104" s="12">
        <f t="shared" si="49"/>
        <v>0.11199310868116</v>
      </c>
      <c r="M104" s="41"/>
      <c r="N104" s="12">
        <f t="shared" si="50"/>
        <v>0.12598396706091572</v>
      </c>
      <c r="O104" s="12">
        <f t="shared" si="50"/>
        <v>0.16403092539499006</v>
      </c>
      <c r="P104" s="41"/>
      <c r="Q104" s="12">
        <f t="shared" si="51"/>
        <v>0.12983350945440902</v>
      </c>
      <c r="R104" s="12">
        <f t="shared" si="51"/>
        <v>0.14093870492676797</v>
      </c>
      <c r="S104" s="41"/>
      <c r="T104" s="12">
        <f t="shared" si="52"/>
        <v>0.11122030360381116</v>
      </c>
      <c r="U104" s="12">
        <f t="shared" si="52"/>
        <v>0.15525371266637558</v>
      </c>
      <c r="V104" s="41"/>
      <c r="W104" s="12">
        <f t="shared" si="53"/>
        <v>0.13450746553142567</v>
      </c>
      <c r="X104" s="12">
        <f t="shared" si="53"/>
        <v>0.13022858460848702</v>
      </c>
      <c r="Y104" s="41"/>
      <c r="Z104" s="12">
        <f t="shared" si="54"/>
        <v>0.15074612288906777</v>
      </c>
      <c r="AA104" s="12">
        <f t="shared" si="54"/>
        <v>0.12970397925838223</v>
      </c>
      <c r="AB104" s="41"/>
      <c r="AC104" s="12">
        <f t="shared" si="55"/>
        <v>0.12879619171678383</v>
      </c>
      <c r="AD104" s="12" t="e">
        <f t="shared" si="55"/>
        <v>#DIV/0!</v>
      </c>
      <c r="AE104" s="41"/>
      <c r="AF104" s="12">
        <f t="shared" si="56"/>
        <v>0.10573273626595739</v>
      </c>
      <c r="AG104" s="12" t="e">
        <f t="shared" si="56"/>
        <v>#DIV/0!</v>
      </c>
      <c r="AH104" s="41"/>
      <c r="AI104" s="12">
        <f t="shared" si="57"/>
        <v>-0.15220687318822884</v>
      </c>
      <c r="AJ104" s="12" t="e">
        <f t="shared" si="57"/>
        <v>#DIV/0!</v>
      </c>
      <c r="AK104" s="41"/>
      <c r="AL104" s="15"/>
      <c r="AM104" s="22">
        <f t="shared" si="58"/>
        <v>-2.1042143630685545E-2</v>
      </c>
      <c r="AO104" s="44">
        <f t="shared" si="44"/>
        <v>0.15074612288906777</v>
      </c>
      <c r="AP104" s="44">
        <f t="shared" si="45"/>
        <v>0.12970397925838223</v>
      </c>
    </row>
    <row r="105" spans="1:42" s="13" customFormat="1" ht="15.5">
      <c r="A105" s="26" t="s">
        <v>13</v>
      </c>
      <c r="B105" s="12">
        <f t="shared" si="46"/>
        <v>0.10800073214357817</v>
      </c>
      <c r="C105" s="12">
        <f t="shared" si="46"/>
        <v>9.7547816636564297E-2</v>
      </c>
      <c r="D105" s="41"/>
      <c r="E105" s="12">
        <f t="shared" si="47"/>
        <v>0.11696912024267067</v>
      </c>
      <c r="F105" s="12">
        <f t="shared" si="47"/>
        <v>0.1502161761963709</v>
      </c>
      <c r="G105" s="41"/>
      <c r="H105" s="12">
        <f t="shared" si="48"/>
        <v>0.11750846920471616</v>
      </c>
      <c r="I105" s="12">
        <f t="shared" si="48"/>
        <v>0.18039572103820969</v>
      </c>
      <c r="J105" s="41"/>
      <c r="K105" s="12">
        <f t="shared" si="49"/>
        <v>0.11628009593283263</v>
      </c>
      <c r="L105" s="12">
        <f t="shared" si="49"/>
        <v>0.1663694166364226</v>
      </c>
      <c r="M105" s="41"/>
      <c r="N105" s="12">
        <f t="shared" si="50"/>
        <v>0.11246021277251646</v>
      </c>
      <c r="O105" s="12">
        <f t="shared" si="50"/>
        <v>0.13622122251707583</v>
      </c>
      <c r="P105" s="41"/>
      <c r="Q105" s="12">
        <f t="shared" si="51"/>
        <v>0.1142377241590032</v>
      </c>
      <c r="R105" s="12">
        <f t="shared" si="51"/>
        <v>0.20291445470279615</v>
      </c>
      <c r="S105" s="41"/>
      <c r="T105" s="12">
        <f t="shared" si="52"/>
        <v>0.10015840063717103</v>
      </c>
      <c r="U105" s="12">
        <f t="shared" si="52"/>
        <v>0.10242962014276953</v>
      </c>
      <c r="V105" s="41"/>
      <c r="W105" s="12">
        <f t="shared" si="53"/>
        <v>0.10409886274223173</v>
      </c>
      <c r="X105" s="12">
        <f t="shared" si="53"/>
        <v>0.11792635899204842</v>
      </c>
      <c r="Y105" s="41"/>
      <c r="Z105" s="12">
        <f t="shared" si="54"/>
        <v>9.7206343708260631E-2</v>
      </c>
      <c r="AA105" s="12">
        <f t="shared" si="54"/>
        <v>0.1479406813906097</v>
      </c>
      <c r="AB105" s="41"/>
      <c r="AC105" s="12">
        <f t="shared" si="55"/>
        <v>8.8429862005887733E-2</v>
      </c>
      <c r="AD105" s="12" t="e">
        <f t="shared" si="55"/>
        <v>#DIV/0!</v>
      </c>
      <c r="AE105" s="41"/>
      <c r="AF105" s="12">
        <f t="shared" si="56"/>
        <v>8.6507532950247726E-2</v>
      </c>
      <c r="AG105" s="12" t="e">
        <f t="shared" si="56"/>
        <v>#DIV/0!</v>
      </c>
      <c r="AH105" s="41"/>
      <c r="AI105" s="12">
        <f t="shared" si="57"/>
        <v>-8.9791790291956622E-2</v>
      </c>
      <c r="AJ105" s="12" t="e">
        <f t="shared" si="57"/>
        <v>#DIV/0!</v>
      </c>
      <c r="AK105" s="41"/>
      <c r="AL105" s="15"/>
      <c r="AM105" s="22">
        <f t="shared" si="58"/>
        <v>5.073433768234907E-2</v>
      </c>
      <c r="AO105" s="44">
        <f t="shared" si="44"/>
        <v>9.7206343708260631E-2</v>
      </c>
      <c r="AP105" s="44">
        <f t="shared" si="45"/>
        <v>0.1479406813906097</v>
      </c>
    </row>
    <row r="106" spans="1:42" s="13" customFormat="1" ht="15.5">
      <c r="A106" s="26" t="s">
        <v>14</v>
      </c>
      <c r="B106" s="12">
        <f t="shared" si="46"/>
        <v>0.131769972452941</v>
      </c>
      <c r="C106" s="12">
        <f t="shared" si="46"/>
        <v>0.15941370849822642</v>
      </c>
      <c r="D106" s="41"/>
      <c r="E106" s="12">
        <f t="shared" si="47"/>
        <v>0.12564043240756867</v>
      </c>
      <c r="F106" s="12">
        <f t="shared" si="47"/>
        <v>0.15473414994177165</v>
      </c>
      <c r="G106" s="41"/>
      <c r="H106" s="12">
        <f t="shared" si="48"/>
        <v>0.12478083629530126</v>
      </c>
      <c r="I106" s="12">
        <f t="shared" si="48"/>
        <v>0.1155741441642832</v>
      </c>
      <c r="J106" s="41"/>
      <c r="K106" s="12">
        <f t="shared" si="49"/>
        <v>0.17337895486970037</v>
      </c>
      <c r="L106" s="12">
        <f t="shared" si="49"/>
        <v>0.21199072528904181</v>
      </c>
      <c r="M106" s="41"/>
      <c r="N106" s="12">
        <f t="shared" si="50"/>
        <v>0.1528530166302737</v>
      </c>
      <c r="O106" s="12">
        <f t="shared" si="50"/>
        <v>0.21715590837309393</v>
      </c>
      <c r="P106" s="41"/>
      <c r="Q106" s="12">
        <f t="shared" si="51"/>
        <v>0.17885921062395191</v>
      </c>
      <c r="R106" s="12">
        <f t="shared" si="51"/>
        <v>0.20329399360488648</v>
      </c>
      <c r="S106" s="41"/>
      <c r="T106" s="12">
        <f t="shared" si="52"/>
        <v>0.14493630046666678</v>
      </c>
      <c r="U106" s="12">
        <f t="shared" si="52"/>
        <v>0.1507846151379621</v>
      </c>
      <c r="V106" s="41"/>
      <c r="W106" s="12">
        <f t="shared" si="53"/>
        <v>0.16211788477406311</v>
      </c>
      <c r="X106" s="12">
        <f t="shared" si="53"/>
        <v>0.17416453586165681</v>
      </c>
      <c r="Y106" s="41"/>
      <c r="Z106" s="12">
        <f t="shared" si="54"/>
        <v>0.16175121396356504</v>
      </c>
      <c r="AA106" s="12">
        <f t="shared" si="54"/>
        <v>0.14551813765975333</v>
      </c>
      <c r="AB106" s="41"/>
      <c r="AC106" s="12">
        <f t="shared" si="55"/>
        <v>0.12707341361484539</v>
      </c>
      <c r="AD106" s="12" t="e">
        <f t="shared" si="55"/>
        <v>#DIV/0!</v>
      </c>
      <c r="AE106" s="41"/>
      <c r="AF106" s="12">
        <f t="shared" si="56"/>
        <v>0.14901563263765105</v>
      </c>
      <c r="AG106" s="12" t="e">
        <f t="shared" si="56"/>
        <v>#DIV/0!</v>
      </c>
      <c r="AH106" s="41"/>
      <c r="AI106" s="12">
        <f t="shared" si="57"/>
        <v>-0.15467314093038459</v>
      </c>
      <c r="AJ106" s="12" t="e">
        <f t="shared" si="57"/>
        <v>#DIV/0!</v>
      </c>
      <c r="AK106" s="41"/>
      <c r="AL106" s="15"/>
      <c r="AM106" s="22">
        <f t="shared" si="58"/>
        <v>-1.6233076303811711E-2</v>
      </c>
      <c r="AO106" s="44">
        <f t="shared" si="44"/>
        <v>0.16175121396356504</v>
      </c>
      <c r="AP106" s="44">
        <f t="shared" si="45"/>
        <v>0.14551813765975333</v>
      </c>
    </row>
    <row r="107" spans="1:42" s="13" customFormat="1" ht="15.5">
      <c r="A107" s="26" t="s">
        <v>15</v>
      </c>
      <c r="B107" s="12">
        <f t="shared" si="46"/>
        <v>7.0275257587398596E-2</v>
      </c>
      <c r="C107" s="12">
        <f t="shared" si="46"/>
        <v>5.7847546236077386E-2</v>
      </c>
      <c r="D107" s="41"/>
      <c r="E107" s="12">
        <f t="shared" si="47"/>
        <v>6.2446907553784015E-2</v>
      </c>
      <c r="F107" s="12">
        <f t="shared" si="47"/>
        <v>7.0763175743193588E-2</v>
      </c>
      <c r="G107" s="41"/>
      <c r="H107" s="12">
        <f t="shared" si="48"/>
        <v>5.7265712684540469E-2</v>
      </c>
      <c r="I107" s="12">
        <f t="shared" si="48"/>
        <v>5.6321431522752034E-2</v>
      </c>
      <c r="J107" s="41"/>
      <c r="K107" s="12">
        <f t="shared" si="49"/>
        <v>8.5430838592591665E-2</v>
      </c>
      <c r="L107" s="12">
        <f t="shared" si="49"/>
        <v>8.117334096614405E-2</v>
      </c>
      <c r="M107" s="41"/>
      <c r="N107" s="12">
        <f t="shared" si="50"/>
        <v>6.3290775657378645E-2</v>
      </c>
      <c r="O107" s="12">
        <f t="shared" si="50"/>
        <v>6.5535595566647661E-2</v>
      </c>
      <c r="P107" s="41"/>
      <c r="Q107" s="12">
        <f t="shared" si="51"/>
        <v>5.9669968373542784E-2</v>
      </c>
      <c r="R107" s="12">
        <f t="shared" si="51"/>
        <v>5.3572924784701464E-2</v>
      </c>
      <c r="S107" s="41"/>
      <c r="T107" s="12">
        <f t="shared" si="52"/>
        <v>7.1576922328939016E-2</v>
      </c>
      <c r="U107" s="12">
        <f t="shared" si="52"/>
        <v>4.8412449841830373E-2</v>
      </c>
      <c r="V107" s="41"/>
      <c r="W107" s="12">
        <f t="shared" si="53"/>
        <v>6.0776915500324359E-2</v>
      </c>
      <c r="X107" s="12">
        <f t="shared" si="53"/>
        <v>4.6746961855065855E-2</v>
      </c>
      <c r="Y107" s="41"/>
      <c r="Z107" s="12">
        <f t="shared" si="54"/>
        <v>5.5413023363551459E-2</v>
      </c>
      <c r="AA107" s="12">
        <f t="shared" si="54"/>
        <v>5.0324937575491592E-2</v>
      </c>
      <c r="AB107" s="41"/>
      <c r="AC107" s="12">
        <f t="shared" si="55"/>
        <v>5.8404748721539439E-2</v>
      </c>
      <c r="AD107" s="12" t="e">
        <f t="shared" si="55"/>
        <v>#DIV/0!</v>
      </c>
      <c r="AE107" s="41"/>
      <c r="AF107" s="12">
        <f t="shared" si="56"/>
        <v>5.9095930121078923E-2</v>
      </c>
      <c r="AG107" s="12" t="e">
        <f t="shared" si="56"/>
        <v>#DIV/0!</v>
      </c>
      <c r="AH107" s="41"/>
      <c r="AI107" s="12">
        <f t="shared" si="57"/>
        <v>-5.8719622732090158E-2</v>
      </c>
      <c r="AJ107" s="12" t="e">
        <f t="shared" si="57"/>
        <v>#DIV/0!</v>
      </c>
      <c r="AK107" s="41"/>
      <c r="AL107" s="15"/>
      <c r="AM107" s="22">
        <f t="shared" si="58"/>
        <v>-5.0880857880598665E-3</v>
      </c>
      <c r="AO107" s="44">
        <f t="shared" si="44"/>
        <v>5.5413023363551459E-2</v>
      </c>
      <c r="AP107" s="44">
        <f t="shared" si="45"/>
        <v>5.0324937575491592E-2</v>
      </c>
    </row>
    <row r="108" spans="1:42" s="13" customFormat="1" ht="15.5">
      <c r="A108" s="26" t="s">
        <v>16</v>
      </c>
      <c r="B108" s="12">
        <f t="shared" si="46"/>
        <v>5.2888617403506033E-2</v>
      </c>
      <c r="C108" s="12">
        <f t="shared" si="46"/>
        <v>5.2539847456750874E-2</v>
      </c>
      <c r="D108" s="41"/>
      <c r="E108" s="12">
        <f t="shared" si="47"/>
        <v>5.9991830167069979E-2</v>
      </c>
      <c r="F108" s="12">
        <f t="shared" si="47"/>
        <v>5.5849546003195638E-2</v>
      </c>
      <c r="G108" s="41"/>
      <c r="H108" s="12">
        <f t="shared" si="48"/>
        <v>5.4933479237269454E-2</v>
      </c>
      <c r="I108" s="12">
        <f t="shared" si="48"/>
        <v>3.1218620736373603E-2</v>
      </c>
      <c r="J108" s="41"/>
      <c r="K108" s="12">
        <f t="shared" si="49"/>
        <v>5.7281720614629654E-2</v>
      </c>
      <c r="L108" s="12">
        <f t="shared" si="49"/>
        <v>7.8350361546691838E-2</v>
      </c>
      <c r="M108" s="41"/>
      <c r="N108" s="12">
        <f t="shared" si="50"/>
        <v>5.4660957135174174E-2</v>
      </c>
      <c r="O108" s="12">
        <f t="shared" si="50"/>
        <v>6.0702064044207492E-2</v>
      </c>
      <c r="P108" s="41"/>
      <c r="Q108" s="12">
        <f t="shared" si="51"/>
        <v>5.6768767440624403E-2</v>
      </c>
      <c r="R108" s="12">
        <f t="shared" si="51"/>
        <v>5.3131482361708157E-2</v>
      </c>
      <c r="S108" s="41"/>
      <c r="T108" s="12">
        <f t="shared" si="52"/>
        <v>5.6449080350583193E-2</v>
      </c>
      <c r="U108" s="12">
        <f t="shared" si="52"/>
        <v>5.6343800877396294E-2</v>
      </c>
      <c r="V108" s="41"/>
      <c r="W108" s="12">
        <f t="shared" si="53"/>
        <v>5.9843888146316124E-2</v>
      </c>
      <c r="X108" s="12">
        <f t="shared" si="53"/>
        <v>5.3332451979612956E-2</v>
      </c>
      <c r="Y108" s="41"/>
      <c r="Z108" s="12">
        <f t="shared" si="54"/>
        <v>5.2316287724250218E-2</v>
      </c>
      <c r="AA108" s="12">
        <f t="shared" si="54"/>
        <v>5.4423969430313787E-2</v>
      </c>
      <c r="AB108" s="41"/>
      <c r="AC108" s="12">
        <f t="shared" si="55"/>
        <v>5.2417777056220444E-2</v>
      </c>
      <c r="AD108" s="12" t="e">
        <f t="shared" si="55"/>
        <v>#DIV/0!</v>
      </c>
      <c r="AE108" s="41"/>
      <c r="AF108" s="12">
        <f t="shared" si="56"/>
        <v>5.2834249019184321E-2</v>
      </c>
      <c r="AG108" s="12" t="e">
        <f t="shared" si="56"/>
        <v>#DIV/0!</v>
      </c>
      <c r="AH108" s="41"/>
      <c r="AI108" s="12">
        <f t="shared" si="57"/>
        <v>-6.0704557651443239E-2</v>
      </c>
      <c r="AJ108" s="12" t="e">
        <f t="shared" si="57"/>
        <v>#DIV/0!</v>
      </c>
      <c r="AK108" s="41"/>
      <c r="AL108" s="15"/>
      <c r="AM108" s="22">
        <f t="shared" si="58"/>
        <v>2.1076817060635689E-3</v>
      </c>
      <c r="AO108" s="44">
        <f t="shared" si="44"/>
        <v>5.2316287724250218E-2</v>
      </c>
      <c r="AP108" s="44">
        <f t="shared" si="45"/>
        <v>5.4423969430313787E-2</v>
      </c>
    </row>
    <row r="109" spans="1:42" s="13" customFormat="1" ht="15.5">
      <c r="A109" s="26" t="s">
        <v>17</v>
      </c>
      <c r="B109" s="12">
        <f t="shared" si="46"/>
        <v>4.7341596115737808E-2</v>
      </c>
      <c r="C109" s="12">
        <f t="shared" si="46"/>
        <v>4.2992754192839738E-2</v>
      </c>
      <c r="D109" s="41"/>
      <c r="E109" s="12">
        <f t="shared" si="47"/>
        <v>5.1317486443058266E-2</v>
      </c>
      <c r="F109" s="12">
        <f t="shared" si="47"/>
        <v>5.0952793326230421E-2</v>
      </c>
      <c r="G109" s="41"/>
      <c r="H109" s="12">
        <f t="shared" si="48"/>
        <v>4.6803669821331322E-2</v>
      </c>
      <c r="I109" s="12">
        <f t="shared" si="48"/>
        <v>4.5019442896259358E-2</v>
      </c>
      <c r="J109" s="41"/>
      <c r="K109" s="12">
        <f t="shared" si="49"/>
        <v>5.0923052657557213E-2</v>
      </c>
      <c r="L109" s="12">
        <f t="shared" si="49"/>
        <v>4.580829226768561E-2</v>
      </c>
      <c r="M109" s="41"/>
      <c r="N109" s="12">
        <f t="shared" si="50"/>
        <v>4.7988625841059687E-2</v>
      </c>
      <c r="O109" s="12">
        <f t="shared" si="50"/>
        <v>4.4304909903087671E-2</v>
      </c>
      <c r="P109" s="41"/>
      <c r="Q109" s="12">
        <f t="shared" si="51"/>
        <v>4.8141943509664935E-2</v>
      </c>
      <c r="R109" s="12">
        <f t="shared" si="51"/>
        <v>4.1348201382009855E-2</v>
      </c>
      <c r="S109" s="41"/>
      <c r="T109" s="12">
        <f t="shared" si="52"/>
        <v>4.7616691155392799E-2</v>
      </c>
      <c r="U109" s="12">
        <f t="shared" si="52"/>
        <v>4.5815409461587173E-2</v>
      </c>
      <c r="V109" s="41"/>
      <c r="W109" s="12">
        <f t="shared" si="53"/>
        <v>5.0894444389506494E-2</v>
      </c>
      <c r="X109" s="12">
        <f t="shared" si="53"/>
        <v>6.2977762130625517E-2</v>
      </c>
      <c r="Y109" s="41"/>
      <c r="Z109" s="12">
        <f t="shared" si="54"/>
        <v>4.5902337873307886E-2</v>
      </c>
      <c r="AA109" s="12">
        <f t="shared" si="54"/>
        <v>4.3716980655766804E-2</v>
      </c>
      <c r="AB109" s="41"/>
      <c r="AC109" s="12">
        <f t="shared" si="55"/>
        <v>4.6047110771216808E-2</v>
      </c>
      <c r="AD109" s="12" t="e">
        <f t="shared" si="55"/>
        <v>#DIV/0!</v>
      </c>
      <c r="AE109" s="41"/>
      <c r="AF109" s="12">
        <f t="shared" si="56"/>
        <v>4.6609234823169234E-2</v>
      </c>
      <c r="AG109" s="12" t="e">
        <f t="shared" si="56"/>
        <v>#DIV/0!</v>
      </c>
      <c r="AH109" s="41"/>
      <c r="AI109" s="12">
        <f t="shared" si="57"/>
        <v>-4.9784898284990962E-2</v>
      </c>
      <c r="AJ109" s="12" t="e">
        <f t="shared" si="57"/>
        <v>#DIV/0!</v>
      </c>
      <c r="AK109" s="41"/>
      <c r="AL109" s="15"/>
      <c r="AM109" s="22">
        <f t="shared" si="58"/>
        <v>-2.1853572175410813E-3</v>
      </c>
      <c r="AO109" s="44">
        <f t="shared" si="44"/>
        <v>4.5902337873307886E-2</v>
      </c>
      <c r="AP109" s="44">
        <f t="shared" si="45"/>
        <v>4.3716980655766804E-2</v>
      </c>
    </row>
    <row r="110" spans="1:42" s="13" customFormat="1" ht="15.5">
      <c r="A110" s="26"/>
      <c r="B110" s="12"/>
      <c r="C110" s="30"/>
      <c r="D110" s="41"/>
      <c r="E110" s="12"/>
      <c r="F110" s="30"/>
      <c r="G110" s="41"/>
      <c r="H110" s="12"/>
      <c r="I110" s="30"/>
      <c r="J110" s="41"/>
      <c r="K110" s="12"/>
      <c r="L110" s="30"/>
      <c r="M110" s="41"/>
      <c r="N110" s="12"/>
      <c r="O110" s="30"/>
      <c r="P110" s="41"/>
      <c r="Q110" s="12"/>
      <c r="R110" s="30"/>
      <c r="S110" s="41"/>
      <c r="T110" s="12"/>
      <c r="U110" s="30"/>
      <c r="V110" s="41"/>
      <c r="W110" s="12"/>
      <c r="X110" s="30"/>
      <c r="Y110" s="41"/>
      <c r="Z110" s="12"/>
      <c r="AA110" s="30"/>
      <c r="AB110" s="41"/>
      <c r="AC110" s="12"/>
      <c r="AD110" s="30"/>
      <c r="AE110" s="41"/>
      <c r="AF110" s="12"/>
      <c r="AG110" s="30"/>
      <c r="AH110" s="41"/>
      <c r="AI110" s="12"/>
      <c r="AJ110" s="30"/>
      <c r="AK110" s="41"/>
      <c r="AL110" s="15"/>
      <c r="AM110" s="22"/>
      <c r="AO110" s="44"/>
      <c r="AP110" s="44"/>
    </row>
    <row r="111" spans="1:42" s="13" customFormat="1" ht="15.5">
      <c r="A111" s="26"/>
      <c r="B111" s="12"/>
      <c r="C111" s="30"/>
      <c r="D111" s="41"/>
      <c r="E111" s="12"/>
      <c r="F111" s="30"/>
      <c r="G111" s="41"/>
      <c r="H111" s="12"/>
      <c r="I111" s="30"/>
      <c r="J111" s="41"/>
      <c r="K111" s="12"/>
      <c r="L111" s="30"/>
      <c r="M111" s="41"/>
      <c r="N111" s="12"/>
      <c r="O111" s="30"/>
      <c r="P111" s="41"/>
      <c r="Q111" s="12"/>
      <c r="R111" s="30"/>
      <c r="S111" s="41"/>
      <c r="T111" s="12"/>
      <c r="U111" s="30"/>
      <c r="V111" s="41"/>
      <c r="W111" s="12"/>
      <c r="X111" s="30"/>
      <c r="Y111" s="41"/>
      <c r="Z111" s="12"/>
      <c r="AA111" s="30"/>
      <c r="AB111" s="41"/>
      <c r="AC111" s="12"/>
      <c r="AD111" s="30"/>
      <c r="AE111" s="41"/>
      <c r="AF111" s="12"/>
      <c r="AG111" s="30"/>
      <c r="AH111" s="41"/>
      <c r="AI111" s="12"/>
      <c r="AJ111" s="30"/>
      <c r="AK111" s="41"/>
      <c r="AL111" s="15"/>
      <c r="AM111" s="22"/>
      <c r="AO111" s="44"/>
      <c r="AP111" s="44"/>
    </row>
    <row r="112" spans="1:42" s="44" customFormat="1" ht="15.5">
      <c r="A112" s="31" t="s">
        <v>70</v>
      </c>
      <c r="B112" s="32">
        <f>'Bütçe aylık-TL'!$B$59</f>
        <v>94627046.881298423</v>
      </c>
      <c r="C112" s="32">
        <f>'gerç aylık-tl'!$B$59</f>
        <v>94361163.059154183</v>
      </c>
      <c r="D112" s="18"/>
      <c r="E112" s="32">
        <f>'Bütçe aylık-TL'!$C$59</f>
        <v>106633152.69150582</v>
      </c>
      <c r="F112" s="32">
        <f>'gerç aylık-tl'!$C$59</f>
        <v>88932710.440614909</v>
      </c>
      <c r="G112" s="18"/>
      <c r="H112" s="32">
        <f>'Bütçe aylık-TL'!$D$59</f>
        <v>131372557.45955205</v>
      </c>
      <c r="I112" s="32">
        <f>'gerç aylık-tl'!$D$59</f>
        <v>91486466.5983762</v>
      </c>
      <c r="J112" s="18"/>
      <c r="K112" s="32">
        <f>'Bütçe aylık-TL'!$E$59</f>
        <v>97126881.266164392</v>
      </c>
      <c r="L112" s="32">
        <f>'gerç aylık-tl'!$E$59</f>
        <v>67493011.577578396</v>
      </c>
      <c r="M112" s="18"/>
      <c r="N112" s="32">
        <f>'Bütçe aylık-TL'!$F$59</f>
        <v>136940064.94307458</v>
      </c>
      <c r="O112" s="32">
        <f>'gerç aylık-tl'!$F$59</f>
        <v>122833878.57906018</v>
      </c>
      <c r="P112" s="18"/>
      <c r="Q112" s="32">
        <f>'Bütçe aylık-TL'!$G$59</f>
        <v>124058063.75121087</v>
      </c>
      <c r="R112" s="32">
        <f>'gerç aylık-tl'!$G$59</f>
        <v>84811528.117137641</v>
      </c>
      <c r="S112" s="18"/>
      <c r="T112" s="32">
        <f>'Bütçe aylık-TL'!$H$59</f>
        <v>136686210.15374705</v>
      </c>
      <c r="U112" s="32">
        <f>'gerç aylık-tl'!$H$59</f>
        <v>117085786.14159849</v>
      </c>
      <c r="V112" s="18"/>
      <c r="W112" s="32">
        <f>'Bütçe aylık-TL'!$I$59</f>
        <v>85462967.381497383</v>
      </c>
      <c r="X112" s="32">
        <f>'gerç aylık-tl'!$I$59</f>
        <v>91851179.671229199</v>
      </c>
      <c r="Y112" s="18"/>
      <c r="Z112" s="32">
        <f>'Bütçe aylık-TL'!$J$59</f>
        <v>213717405.57936299</v>
      </c>
      <c r="AA112" s="32">
        <f>'gerç aylık-tl'!$J$59</f>
        <v>193007975.7490966</v>
      </c>
      <c r="AB112" s="18"/>
      <c r="AC112" s="32">
        <f>'Bütçe aylık-TL'!$K$59</f>
        <v>196040642.84211147</v>
      </c>
      <c r="AD112" s="32">
        <f>'gerç aylık-tl'!$K$59</f>
        <v>0</v>
      </c>
      <c r="AE112" s="18"/>
      <c r="AF112" s="32">
        <f>'Bütçe aylık-TL'!$L$59</f>
        <v>194867532.74067107</v>
      </c>
      <c r="AG112" s="32">
        <f>'gerç aylık-tl'!$L$59</f>
        <v>0</v>
      </c>
      <c r="AH112" s="18"/>
      <c r="AI112" s="32">
        <f>'Bütçe aylık-TL'!$M$59</f>
        <v>141597556.90045458</v>
      </c>
      <c r="AJ112" s="32">
        <f>'gerç aylık-tl'!$M$59</f>
        <v>0</v>
      </c>
      <c r="AK112" s="18"/>
      <c r="AL112" s="33">
        <f>AP112-AO112</f>
        <v>-20709429.830266386</v>
      </c>
      <c r="AM112" s="34">
        <f>AP112/AO112-1</f>
        <v>-9.6900997717642712E-2</v>
      </c>
      <c r="AO112" s="44">
        <f>IF($A$1=$B$1,B112,IF($A$1=$E$1,E112,IF($A$1=$H$1,H112,IF($A$1=$K$1,K112,IF($A$1=$N$1,N112,IF($A$1=$Q$1,Q112,IF($A$1=$T$1,T112,IF($A$1=$W$1,W112,IF($A$1=$Z$1,Z112,IF($A$1=$AC$1,AC112,IF($A$1=$AF$1,AF112,IF($A$1=$AI$1,AI112))))))))))))</f>
        <v>213717405.57936299</v>
      </c>
      <c r="AP112" s="44">
        <f>IF($A$1=$B$1,C112,IF($A$1=$E$1,F112,IF($A$1=$H$1,I112,IF($A$1=$K$1,L112,IF($A$1=$N$1,O112,IF($A$1=$Q$1,R112,IF($A$1=$T$1,U112,IF($A$1=$W$1,X112,IF($A$1=$Z$1,AA112,IF($A$1=$AC$1,AD112,IF($A$1=$AF$1,AG112,IF($A$1=$AI$1,AJ112))))))))))))</f>
        <v>193007975.7490966</v>
      </c>
    </row>
    <row r="113" spans="1:42" s="13" customFormat="1" ht="15.5">
      <c r="A113" s="27"/>
      <c r="B113" s="30" t="str">
        <f>IFERROR((B70/#REF!),"")</f>
        <v/>
      </c>
      <c r="C113" s="30" t="str">
        <f>IFERROR((C70/#REF!),"")</f>
        <v/>
      </c>
      <c r="D113" s="41"/>
      <c r="E113" s="30" t="str">
        <f>IFERROR((E70/#REF!),"")</f>
        <v/>
      </c>
      <c r="F113" s="30" t="str">
        <f>IFERROR((F70/#REF!),"")</f>
        <v/>
      </c>
      <c r="G113" s="41"/>
      <c r="H113" s="30" t="str">
        <f>IFERROR((H70/#REF!),"")</f>
        <v/>
      </c>
      <c r="I113" s="30" t="str">
        <f>IFERROR((I70/#REF!),"")</f>
        <v/>
      </c>
      <c r="J113" s="41"/>
      <c r="K113" s="30" t="str">
        <f>IFERROR((K70/#REF!),"")</f>
        <v/>
      </c>
      <c r="L113" s="30" t="str">
        <f>IFERROR((L70/#REF!),"")</f>
        <v/>
      </c>
      <c r="M113" s="41"/>
      <c r="N113" s="30" t="str">
        <f>IFERROR((N70/#REF!),"")</f>
        <v/>
      </c>
      <c r="O113" s="30" t="str">
        <f>IFERROR((O70/#REF!),"")</f>
        <v/>
      </c>
      <c r="P113" s="41"/>
      <c r="Q113" s="30" t="str">
        <f>IFERROR((Q70/#REF!),"")</f>
        <v/>
      </c>
      <c r="R113" s="30" t="str">
        <f>IFERROR((R70/#REF!),"")</f>
        <v/>
      </c>
      <c r="S113" s="41"/>
      <c r="T113" s="30" t="str">
        <f>IFERROR((T70/#REF!),"")</f>
        <v/>
      </c>
      <c r="U113" s="30" t="str">
        <f>IFERROR((U70/#REF!),"")</f>
        <v/>
      </c>
      <c r="V113" s="41"/>
      <c r="W113" s="30" t="str">
        <f>IFERROR((W70/#REF!),"")</f>
        <v/>
      </c>
      <c r="X113" s="30" t="str">
        <f>IFERROR((X70/#REF!),"")</f>
        <v/>
      </c>
      <c r="Y113" s="41"/>
      <c r="Z113" s="30" t="str">
        <f>IFERROR((Z70/#REF!),"")</f>
        <v/>
      </c>
      <c r="AA113" s="30" t="str">
        <f>IFERROR((AA70/#REF!),"")</f>
        <v/>
      </c>
      <c r="AB113" s="41"/>
      <c r="AC113" s="30" t="str">
        <f>IFERROR((AC70/#REF!),"")</f>
        <v/>
      </c>
      <c r="AD113" s="30" t="str">
        <f>IFERROR((AD70/#REF!),"")</f>
        <v/>
      </c>
      <c r="AE113" s="41"/>
      <c r="AF113" s="30" t="str">
        <f>IFERROR((AF70/#REF!),"")</f>
        <v/>
      </c>
      <c r="AG113" s="30" t="str">
        <f>IFERROR((AG70/#REF!),"")</f>
        <v/>
      </c>
      <c r="AH113" s="41"/>
      <c r="AI113" s="30" t="str">
        <f>IFERROR((AI70/#REF!),"")</f>
        <v/>
      </c>
      <c r="AJ113" s="30" t="str">
        <f>IFERROR((AJ70/#REF!),"")</f>
        <v/>
      </c>
      <c r="AK113" s="41"/>
      <c r="AL113" s="15"/>
      <c r="AM113" s="22"/>
      <c r="AO113" s="44" t="str">
        <f>IF($A$1=$B$1,B113,IF($A$1=$E$1,E113,IF($A$1=$H$1,H113,IF($A$1=$K$1,K113,IF($A$1=$N$1,N113,IF($A$1=$Q$1,Q113,IF($A$1=$T$1,T113,IF($A$1=$W$1,W113,IF($A$1=$Z$1,Z113,IF($A$1=$AC$1,AC113,IF($A$1=$AF$1,AF113,IF($A$1=$AI$1,AI113))))))))))))</f>
        <v/>
      </c>
      <c r="AP113" s="44" t="str">
        <f>IF($A$1=$B$1,C113,IF($A$1=$E$1,F113,IF($A$1=$H$1,I113,IF($A$1=$K$1,L113,IF($A$1=$N$1,O113,IF($A$1=$Q$1,R113,IF($A$1=$T$1,U113,IF($A$1=$W$1,X113,IF($A$1=$Z$1,AA113,IF($A$1=$AC$1,AD113,IF($A$1=$AF$1,AG113,IF($A$1=$AI$1,AJ113))))))))))))</f>
        <v/>
      </c>
    </row>
    <row r="114" spans="1:42" s="49" customFormat="1" ht="17">
      <c r="A114" s="47" t="s">
        <v>71</v>
      </c>
      <c r="B114" s="413"/>
      <c r="C114" s="413"/>
      <c r="D114" s="413"/>
      <c r="E114" s="413"/>
      <c r="F114" s="413"/>
      <c r="G114" s="413"/>
      <c r="H114" s="413"/>
      <c r="I114" s="413"/>
      <c r="J114" s="413"/>
      <c r="K114" s="413"/>
      <c r="L114" s="413"/>
      <c r="M114" s="413"/>
      <c r="N114" s="413"/>
      <c r="O114" s="413"/>
      <c r="P114" s="413"/>
      <c r="Q114" s="413"/>
      <c r="R114" s="413"/>
      <c r="S114" s="413"/>
      <c r="T114" s="413"/>
      <c r="U114" s="413"/>
      <c r="V114" s="413"/>
      <c r="W114" s="413"/>
      <c r="X114" s="413"/>
      <c r="Y114" s="413"/>
      <c r="Z114" s="413"/>
      <c r="AA114" s="413"/>
      <c r="AB114" s="413"/>
      <c r="AC114" s="413"/>
      <c r="AD114" s="413"/>
      <c r="AE114" s="413"/>
      <c r="AF114" s="413"/>
      <c r="AG114" s="413"/>
      <c r="AH114" s="413"/>
      <c r="AI114" s="413"/>
      <c r="AJ114" s="413"/>
      <c r="AK114" s="413"/>
      <c r="AL114" s="413"/>
      <c r="AM114" s="48"/>
    </row>
    <row r="115" spans="1:42" ht="15.5">
      <c r="A115" s="26" t="s">
        <v>10</v>
      </c>
      <c r="B115" s="7">
        <f>'Bütçe aylık-TL'!$B$60</f>
        <v>12485589.612361999</v>
      </c>
      <c r="C115" s="7">
        <f>'gerç aylık-tl'!$B$60</f>
        <v>13776885.200000001</v>
      </c>
      <c r="D115" s="7"/>
      <c r="E115" s="7">
        <f>'Bütçe aylık-TL'!$C$60</f>
        <v>13792305.309954001</v>
      </c>
      <c r="F115" s="7">
        <f>'gerç aylık-tl'!$C$60</f>
        <v>11660613.109999999</v>
      </c>
      <c r="G115" s="7"/>
      <c r="H115" s="7">
        <f>'Bütçe aylık-TL'!$D$60</f>
        <v>12999445.74199</v>
      </c>
      <c r="I115" s="7">
        <f>'gerç aylık-tl'!$D$60</f>
        <v>13520459.84</v>
      </c>
      <c r="J115" s="7"/>
      <c r="K115" s="7">
        <f>'Bütçe aylık-TL'!$E$60</f>
        <v>13289865.833023001</v>
      </c>
      <c r="L115" s="7">
        <f>'gerç aylık-tl'!$E$60</f>
        <v>5717988.4800000004</v>
      </c>
      <c r="M115" s="7"/>
      <c r="N115" s="7">
        <f>'Bütçe aylık-TL'!$F$60</f>
        <v>14101547.454118</v>
      </c>
      <c r="O115" s="7">
        <f>'gerç aylık-tl'!$F$60</f>
        <v>18479801.899999999</v>
      </c>
      <c r="P115" s="7"/>
      <c r="Q115" s="7">
        <f>'Bütçe aylık-TL'!$G$60</f>
        <v>14660220.455898</v>
      </c>
      <c r="R115" s="7">
        <f>'gerç aylık-tl'!$G$60</f>
        <v>13459624.23</v>
      </c>
      <c r="S115" s="7"/>
      <c r="T115" s="7">
        <f>'Bütçe aylık-TL'!$H$60</f>
        <v>16297305.000614</v>
      </c>
      <c r="U115" s="7">
        <f>'gerç aylık-tl'!$H$60</f>
        <v>16325629.790000003</v>
      </c>
      <c r="V115" s="7"/>
      <c r="W115" s="7">
        <f>'Bütçe aylık-TL'!$I$60</f>
        <v>13744965.139247</v>
      </c>
      <c r="X115" s="7">
        <f>'gerç aylık-tl'!$I$60</f>
        <v>13756555.09</v>
      </c>
      <c r="Y115" s="7"/>
      <c r="Z115" s="7">
        <f>'Bütçe aylık-TL'!$J$60</f>
        <v>20865028.797405001</v>
      </c>
      <c r="AA115" s="7">
        <f>'gerç aylık-tl'!$J$60</f>
        <v>23132912.560000002</v>
      </c>
      <c r="AB115" s="7"/>
      <c r="AC115" s="7">
        <f>'Bütçe aylık-TL'!$K$60</f>
        <v>19233428.727159001</v>
      </c>
      <c r="AD115" s="7">
        <f>'gerç aylık-tl'!$K$60</f>
        <v>0</v>
      </c>
      <c r="AE115" s="7"/>
      <c r="AF115" s="7">
        <f>'Bütçe aylık-TL'!$L$60</f>
        <v>17302168.380743001</v>
      </c>
      <c r="AG115" s="7">
        <f>'gerç aylık-tl'!$L$60</f>
        <v>0</v>
      </c>
      <c r="AH115" s="7"/>
      <c r="AI115" s="7">
        <f>'Bütçe aylık-TL'!$M$60</f>
        <v>-9807191.3722329997</v>
      </c>
      <c r="AJ115" s="7">
        <f>'gerç aylık-tl'!$M$60</f>
        <v>0</v>
      </c>
      <c r="AK115" s="7"/>
      <c r="AL115" s="21">
        <f t="shared" ref="AL115:AL122" si="59">AP115-AO115</f>
        <v>2267883.7625950016</v>
      </c>
      <c r="AM115" s="22">
        <f t="shared" ref="AM115:AM122" si="60">AP115/AO115-1</f>
        <v>0.1086930569143072</v>
      </c>
      <c r="AO115" s="44">
        <f t="shared" ref="AO115:AO123" si="61">IF($A$1=$B$1,B115,IF($A$1=$E$1,E115,IF($A$1=$H$1,H115,IF($A$1=$K$1,K115,IF($A$1=$N$1,N115,IF($A$1=$Q$1,Q115,IF($A$1=$T$1,T115,IF($A$1=$W$1,W115,IF($A$1=$Z$1,Z115,IF($A$1=$AC$1,AC115,IF($A$1=$AF$1,AF115,IF($A$1=$AI$1,AI115))))))))))))</f>
        <v>20865028.797405001</v>
      </c>
      <c r="AP115" s="44">
        <f t="shared" ref="AP115:AP123" si="62">IF($A$1=$B$1,C115,IF($A$1=$E$1,F115,IF($A$1=$H$1,I115,IF($A$1=$K$1,L115,IF($A$1=$N$1,O115,IF($A$1=$Q$1,R115,IF($A$1=$T$1,U115,IF($A$1=$W$1,X115,IF($A$1=$Z$1,AA115,IF($A$1=$AC$1,AD115,IF($A$1=$AF$1,AG115,IF($A$1=$AI$1,AJ115))))))))))))</f>
        <v>23132912.560000002</v>
      </c>
    </row>
    <row r="116" spans="1:42" ht="15.5">
      <c r="A116" s="26" t="s">
        <v>11</v>
      </c>
      <c r="B116" s="7">
        <f>'Bütçe aylık-TL'!$B$61</f>
        <v>-1096982.784731</v>
      </c>
      <c r="C116" s="7">
        <f>'gerç aylık-tl'!$B$61</f>
        <v>-423934.27730899956</v>
      </c>
      <c r="D116" s="7"/>
      <c r="E116" s="7">
        <f>'Bütçe aylık-TL'!$C$61</f>
        <v>3162913.7313560001</v>
      </c>
      <c r="F116" s="7">
        <f>'gerç aylık-tl'!$C$61</f>
        <v>1443094.411283005</v>
      </c>
      <c r="G116" s="7"/>
      <c r="H116" s="7">
        <f>'Bütçe aylık-TL'!$D$61</f>
        <v>3985242.412943</v>
      </c>
      <c r="I116" s="7">
        <f>'gerç aylık-tl'!$D$61</f>
        <v>817638.35317400005</v>
      </c>
      <c r="J116" s="7"/>
      <c r="K116" s="7">
        <f>'Bütçe aylık-TL'!$E$61</f>
        <v>6733881.0339019997</v>
      </c>
      <c r="L116" s="7">
        <f>'gerç aylık-tl'!$E$61</f>
        <v>-832641.81063200161</v>
      </c>
      <c r="M116" s="7"/>
      <c r="N116" s="7">
        <f>'Bütçe aylık-TL'!$F$61</f>
        <v>8544676.5182060003</v>
      </c>
      <c r="O116" s="7">
        <f>'gerç aylık-tl'!$F$61</f>
        <v>1234288.8062080014</v>
      </c>
      <c r="P116" s="7"/>
      <c r="Q116" s="7">
        <f>'Bütçe aylık-TL'!$G$61</f>
        <v>7897577.0589180002</v>
      </c>
      <c r="R116" s="7">
        <f>'gerç aylık-tl'!$G$61</f>
        <v>962213.87154799793</v>
      </c>
      <c r="S116" s="7"/>
      <c r="T116" s="7">
        <f>'Bütçe aylık-TL'!$H$61</f>
        <v>6080331.1167559996</v>
      </c>
      <c r="U116" s="7">
        <f>'gerç aylık-tl'!$H$61</f>
        <v>2346152.3578629978</v>
      </c>
      <c r="V116" s="7"/>
      <c r="W116" s="7">
        <f>'Bütçe aylık-TL'!$I$61</f>
        <v>1458031.053544</v>
      </c>
      <c r="X116" s="7">
        <f>'gerç aylık-tl'!$I$61</f>
        <v>706565.42869900074</v>
      </c>
      <c r="Y116" s="7"/>
      <c r="Z116" s="7">
        <f>'Bütçe aylık-TL'!$J$61</f>
        <v>2739253.7705740002</v>
      </c>
      <c r="AA116" s="7">
        <f>'gerç aylık-tl'!$J$61</f>
        <v>-1691405.681171</v>
      </c>
      <c r="AB116" s="7"/>
      <c r="AC116" s="7">
        <f>'Bütçe aylık-TL'!$K$61</f>
        <v>932360.977037</v>
      </c>
      <c r="AD116" s="7">
        <f>'gerç aylık-tl'!$K$61</f>
        <v>0</v>
      </c>
      <c r="AE116" s="7"/>
      <c r="AF116" s="7">
        <f>'Bütçe aylık-TL'!$L$61</f>
        <v>-281217.694028</v>
      </c>
      <c r="AG116" s="7">
        <f>'gerç aylık-tl'!$L$61</f>
        <v>0</v>
      </c>
      <c r="AH116" s="7"/>
      <c r="AI116" s="7">
        <f>'Bütçe aylık-TL'!$M$61</f>
        <v>-2078260.9291079999</v>
      </c>
      <c r="AJ116" s="7">
        <f>'gerç aylık-tl'!$M$61</f>
        <v>0</v>
      </c>
      <c r="AK116" s="7"/>
      <c r="AL116" s="21">
        <f t="shared" si="59"/>
        <v>-4430659.4517449997</v>
      </c>
      <c r="AM116" s="22">
        <f t="shared" si="60"/>
        <v>-1.6174695091563467</v>
      </c>
      <c r="AO116" s="44">
        <f t="shared" si="61"/>
        <v>2739253.7705740002</v>
      </c>
      <c r="AP116" s="44">
        <f t="shared" si="62"/>
        <v>-1691405.681171</v>
      </c>
    </row>
    <row r="117" spans="1:42" ht="15.5">
      <c r="A117" s="26" t="s">
        <v>12</v>
      </c>
      <c r="B117" s="7">
        <f>'Bütçe aylık-TL'!$B$62</f>
        <v>-1665628.7204239999</v>
      </c>
      <c r="C117" s="7">
        <f>'gerç aylık-tl'!$B$62</f>
        <v>1241821.2299999986</v>
      </c>
      <c r="D117" s="7"/>
      <c r="E117" s="7">
        <f>'Bütçe aylık-TL'!$C$62</f>
        <v>66619.407418999996</v>
      </c>
      <c r="F117" s="7">
        <f>'gerç aylık-tl'!$C$62</f>
        <v>1183746.3022559956</v>
      </c>
      <c r="G117" s="7"/>
      <c r="H117" s="7">
        <f>'Bütçe aylık-TL'!$D$62</f>
        <v>2025165.2911090001</v>
      </c>
      <c r="I117" s="7">
        <f>'gerç aylık-tl'!$D$62</f>
        <v>344433.38000000268</v>
      </c>
      <c r="J117" s="7"/>
      <c r="K117" s="7">
        <f>'Bütçe aylık-TL'!$E$62</f>
        <v>1929364.8911609999</v>
      </c>
      <c r="L117" s="7">
        <f>'gerç aylık-tl'!$E$62</f>
        <v>943940.05457100552</v>
      </c>
      <c r="M117" s="7"/>
      <c r="N117" s="7">
        <f>'Bütçe aylık-TL'!$F$62</f>
        <v>4169670.9740709998</v>
      </c>
      <c r="O117" s="7">
        <f>'gerç aylık-tl'!$F$62</f>
        <v>1430824.4708589977</v>
      </c>
      <c r="P117" s="7"/>
      <c r="Q117" s="7">
        <f>'Bütçe aylık-TL'!$G$62</f>
        <v>4234185.0532769999</v>
      </c>
      <c r="R117" s="7">
        <f>'gerç aylık-tl'!$G$62</f>
        <v>712849</v>
      </c>
      <c r="S117" s="7"/>
      <c r="T117" s="7">
        <f>'Bütçe aylık-TL'!$H$62</f>
        <v>5249223.0545300003</v>
      </c>
      <c r="U117" s="7">
        <f>'gerç aylık-tl'!$H$62</f>
        <v>1338670.2025359962</v>
      </c>
      <c r="V117" s="7"/>
      <c r="W117" s="7">
        <f>'Bütçe aylık-TL'!$I$62</f>
        <v>4155638.1901659998</v>
      </c>
      <c r="X117" s="7">
        <f>'gerç aylık-tl'!$I$62</f>
        <v>1044168.1350770015</v>
      </c>
      <c r="Y117" s="7"/>
      <c r="Z117" s="7">
        <f>'Bütçe aylık-TL'!$J$62</f>
        <v>3237746.707653</v>
      </c>
      <c r="AA117" s="7">
        <f>'gerç aylık-tl'!$J$62</f>
        <v>2649488.6170290029</v>
      </c>
      <c r="AB117" s="7"/>
      <c r="AC117" s="7">
        <f>'Bütçe aylık-TL'!$K$62</f>
        <v>4148879.4127489999</v>
      </c>
      <c r="AD117" s="7">
        <f>'gerç aylık-tl'!$K$62</f>
        <v>0</v>
      </c>
      <c r="AE117" s="7"/>
      <c r="AF117" s="7">
        <f>'Bütçe aylık-TL'!$L$62</f>
        <v>5045587.3256449997</v>
      </c>
      <c r="AG117" s="7">
        <f>'gerç aylık-tl'!$L$62</f>
        <v>0</v>
      </c>
      <c r="AH117" s="7"/>
      <c r="AI117" s="7">
        <f>'Bütçe aylık-TL'!$M$62</f>
        <v>2147355.5501370002</v>
      </c>
      <c r="AJ117" s="7">
        <f>'gerç aylık-tl'!$M$62</f>
        <v>0</v>
      </c>
      <c r="AK117" s="7"/>
      <c r="AL117" s="21">
        <f t="shared" si="59"/>
        <v>-588258.09062399715</v>
      </c>
      <c r="AM117" s="22">
        <f t="shared" si="60"/>
        <v>-0.1816874955763349</v>
      </c>
      <c r="AO117" s="44">
        <f t="shared" si="61"/>
        <v>3237746.707653</v>
      </c>
      <c r="AP117" s="44">
        <f t="shared" si="62"/>
        <v>2649488.6170290029</v>
      </c>
    </row>
    <row r="118" spans="1:42" ht="15.5">
      <c r="A118" s="26" t="s">
        <v>13</v>
      </c>
      <c r="B118" s="7">
        <f>'Bütçe aylık-TL'!$B$63</f>
        <v>52392116.183272004</v>
      </c>
      <c r="C118" s="7">
        <f>'gerç aylık-tl'!$B$63</f>
        <v>40374149.700069986</v>
      </c>
      <c r="D118" s="7"/>
      <c r="E118" s="7">
        <f>'Bütçe aylık-TL'!$C$63</f>
        <v>43600896.143743999</v>
      </c>
      <c r="F118" s="7">
        <f>'gerç aylık-tl'!$C$63</f>
        <v>23416327.561089043</v>
      </c>
      <c r="G118" s="7"/>
      <c r="H118" s="7">
        <f>'Bütçe aylık-TL'!$D$63</f>
        <v>49843254.313157998</v>
      </c>
      <c r="I118" s="7">
        <f>'gerç aylık-tl'!$D$63</f>
        <v>-21723347.466985956</v>
      </c>
      <c r="J118" s="7"/>
      <c r="K118" s="7">
        <f>'Bütçe aylık-TL'!$E$63</f>
        <v>43855644.349922001</v>
      </c>
      <c r="L118" s="7">
        <f>'gerç aylık-tl'!$E$63</f>
        <v>-30184496.559543032</v>
      </c>
      <c r="M118" s="7"/>
      <c r="N118" s="7">
        <f>'Bütçe aylık-TL'!$F$63</f>
        <v>51899581.83802601</v>
      </c>
      <c r="O118" s="7">
        <f>'gerç aylık-tl'!$F$63</f>
        <v>-8463697.4853429571</v>
      </c>
      <c r="P118" s="7"/>
      <c r="Q118" s="7">
        <f>'Bütçe aylık-TL'!$G$63</f>
        <v>63691540.972514004</v>
      </c>
      <c r="R118" s="7">
        <f>'gerç aylık-tl'!$G$63</f>
        <v>-39811135.356465094</v>
      </c>
      <c r="S118" s="7"/>
      <c r="T118" s="7">
        <f>'Bütçe aylık-TL'!$H$63</f>
        <v>83515146.046562001</v>
      </c>
      <c r="U118" s="7">
        <f>'gerç aylık-tl'!$H$63</f>
        <v>-20839734.548621066</v>
      </c>
      <c r="V118" s="7"/>
      <c r="W118" s="7">
        <f>'Bütçe aylık-TL'!$I$63</f>
        <v>92759254.381182984</v>
      </c>
      <c r="X118" s="7">
        <f>'gerç aylık-tl'!$I$63</f>
        <v>32401520.483654998</v>
      </c>
      <c r="Y118" s="7"/>
      <c r="Z118" s="7">
        <f>'Bütçe aylık-TL'!$J$63</f>
        <v>116356694.89268102</v>
      </c>
      <c r="AA118" s="7">
        <f>'gerç aylık-tl'!$J$63</f>
        <v>2684367.183851013</v>
      </c>
      <c r="AB118" s="7"/>
      <c r="AC118" s="7">
        <f>'Bütçe aylık-TL'!$K$63</f>
        <v>146740507.86031801</v>
      </c>
      <c r="AD118" s="7">
        <f>'gerç aylık-tl'!$K$63</f>
        <v>0</v>
      </c>
      <c r="AE118" s="7"/>
      <c r="AF118" s="7">
        <f>'Bütçe aylık-TL'!$L$63</f>
        <v>155416610.82176799</v>
      </c>
      <c r="AG118" s="7">
        <f>'gerç aylık-tl'!$L$63</f>
        <v>0</v>
      </c>
      <c r="AH118" s="7"/>
      <c r="AI118" s="7">
        <f>'Bütçe aylık-TL'!$M$63</f>
        <v>189710225.14357799</v>
      </c>
      <c r="AJ118" s="7">
        <f>'gerç aylık-tl'!$M$63</f>
        <v>0</v>
      </c>
      <c r="AK118" s="7"/>
      <c r="AL118" s="21">
        <f t="shared" si="59"/>
        <v>-113672327.70883</v>
      </c>
      <c r="AM118" s="22">
        <f t="shared" si="60"/>
        <v>-0.97692984330358579</v>
      </c>
      <c r="AO118" s="44">
        <f t="shared" si="61"/>
        <v>116356694.89268102</v>
      </c>
      <c r="AP118" s="44">
        <f t="shared" si="62"/>
        <v>2684367.183851013</v>
      </c>
    </row>
    <row r="119" spans="1:42" s="1" customFormat="1" ht="15.5">
      <c r="A119" s="26" t="s">
        <v>14</v>
      </c>
      <c r="B119" s="7">
        <f>'Bütçe aylık-TL'!$B$64</f>
        <v>16121218</v>
      </c>
      <c r="C119" s="7">
        <f>'gerç aylık-tl'!$B$64</f>
        <v>9130120.8458489832</v>
      </c>
      <c r="D119" s="8"/>
      <c r="E119" s="7">
        <f>'Bütçe aylık-TL'!$C$64</f>
        <v>18027160</v>
      </c>
      <c r="F119" s="7">
        <f>'gerç aylık-tl'!$C$64</f>
        <v>16711415.537723023</v>
      </c>
      <c r="G119" s="8"/>
      <c r="H119" s="7">
        <f>'Bütçe aylık-TL'!$D$64</f>
        <v>17113558</v>
      </c>
      <c r="I119" s="7">
        <f>'gerç aylık-tl'!$D$64</f>
        <v>17703868.728927962</v>
      </c>
      <c r="J119" s="8"/>
      <c r="K119" s="7">
        <f>'Bütçe aylık-TL'!$E$64</f>
        <v>13319.686208292842</v>
      </c>
      <c r="L119" s="7">
        <f>'gerç aylık-tl'!$E$64</f>
        <v>-4923860.1002239436</v>
      </c>
      <c r="M119" s="8"/>
      <c r="N119" s="7">
        <f>'Bütçe aylık-TL'!$F$64</f>
        <v>7182395.6471195966</v>
      </c>
      <c r="O119" s="7">
        <f>'gerç aylık-tl'!$F$64</f>
        <v>1138089.4084379822</v>
      </c>
      <c r="P119" s="8"/>
      <c r="Q119" s="7">
        <f>'Bütçe aylık-TL'!$G$64</f>
        <v>3787466.5486685783</v>
      </c>
      <c r="R119" s="7">
        <f>'gerç aylık-tl'!$G$64</f>
        <v>2969589.9220920028</v>
      </c>
      <c r="S119" s="8"/>
      <c r="T119" s="7">
        <f>'Bütçe aylık-TL'!$H$64</f>
        <v>10106912.681320816</v>
      </c>
      <c r="U119" s="7">
        <f>'gerç aylık-tl'!$H$64</f>
        <v>13977069.336427016</v>
      </c>
      <c r="V119" s="8"/>
      <c r="W119" s="7">
        <f>'Bütçe aylık-TL'!$I$64</f>
        <v>12047038.062236637</v>
      </c>
      <c r="X119" s="7">
        <f>'gerç aylık-tl'!$I$64</f>
        <v>14786945.636480022</v>
      </c>
      <c r="Y119" s="8"/>
      <c r="Z119" s="7">
        <f>'Bütçe aylık-TL'!$J$64</f>
        <v>11811041.265721463</v>
      </c>
      <c r="AA119" s="7">
        <f>'gerç aylık-tl'!$J$64</f>
        <v>19175322.819609012</v>
      </c>
      <c r="AB119" s="8"/>
      <c r="AC119" s="7">
        <f>'Bütçe aylık-TL'!$K$64</f>
        <v>19600169.815495476</v>
      </c>
      <c r="AD119" s="7">
        <f>'gerç aylık-tl'!$K$64</f>
        <v>0</v>
      </c>
      <c r="AE119" s="8"/>
      <c r="AF119" s="7">
        <f>'Bütçe aylık-TL'!$L$64</f>
        <v>15011768.085744552</v>
      </c>
      <c r="AG119" s="7">
        <f>'gerç aylık-tl'!$L$64</f>
        <v>0</v>
      </c>
      <c r="AH119" s="8"/>
      <c r="AI119" s="7">
        <f>'Bütçe aylık-TL'!$M$64</f>
        <v>10375731.926999599</v>
      </c>
      <c r="AJ119" s="7">
        <f>'gerç aylık-tl'!$M$64</f>
        <v>0</v>
      </c>
      <c r="AK119" s="8"/>
      <c r="AL119" s="21">
        <f t="shared" si="59"/>
        <v>7364281.5538875498</v>
      </c>
      <c r="AM119" s="22">
        <f t="shared" si="60"/>
        <v>0.62350824014648909</v>
      </c>
      <c r="AO119" s="44">
        <f t="shared" si="61"/>
        <v>11811041.265721463</v>
      </c>
      <c r="AP119" s="44">
        <f t="shared" si="62"/>
        <v>19175322.819609012</v>
      </c>
    </row>
    <row r="120" spans="1:42" ht="15.5">
      <c r="A120" s="26" t="s">
        <v>15</v>
      </c>
      <c r="B120" s="7">
        <f>'Bütçe aylık-TL'!$B$65</f>
        <v>21689096.425134066</v>
      </c>
      <c r="C120" s="7">
        <f>'gerç aylık-tl'!$B$65</f>
        <v>26573978.019366592</v>
      </c>
      <c r="D120" s="7"/>
      <c r="E120" s="7">
        <f>'Bütçe aylık-TL'!$C$65</f>
        <v>40690461.823432378</v>
      </c>
      <c r="F120" s="7">
        <f>'gerç aylık-tl'!$C$65</f>
        <v>47084271.443341799</v>
      </c>
      <c r="G120" s="7"/>
      <c r="H120" s="7">
        <f>'Bütçe aylık-TL'!$D$65</f>
        <v>79845931.51321879</v>
      </c>
      <c r="I120" s="7">
        <f>'gerç aylık-tl'!$D$65</f>
        <v>67537804.001843229</v>
      </c>
      <c r="J120" s="7"/>
      <c r="K120" s="7">
        <f>'Bütçe aylık-TL'!$E$65</f>
        <v>17567380.411623571</v>
      </c>
      <c r="L120" s="7">
        <f>'gerç aylık-tl'!$E$65</f>
        <v>55922155.942692459</v>
      </c>
      <c r="M120" s="7"/>
      <c r="N120" s="7">
        <f>'Bütçe aylık-TL'!$F$65</f>
        <v>45827614.664950192</v>
      </c>
      <c r="O120" s="7">
        <f>'gerç aylık-tl'!$F$65</f>
        <v>68359602.980334878</v>
      </c>
      <c r="P120" s="7"/>
      <c r="Q120" s="7">
        <f>'Bütçe aylık-TL'!$G$65</f>
        <v>58348397.5062249</v>
      </c>
      <c r="R120" s="7">
        <f>'gerç aylık-tl'!$G$65</f>
        <v>71873119.271086037</v>
      </c>
      <c r="S120" s="7"/>
      <c r="T120" s="7">
        <f>'Bütçe aylık-TL'!$H$65</f>
        <v>20626513.897742677</v>
      </c>
      <c r="U120" s="7">
        <f>'gerç aylık-tl'!$H$65</f>
        <v>67265224.217795998</v>
      </c>
      <c r="V120" s="7"/>
      <c r="W120" s="7">
        <f>'Bütçe aylık-TL'!$I$65</f>
        <v>4545826.9486262267</v>
      </c>
      <c r="X120" s="7">
        <f>'gerç aylık-tl'!$I$65</f>
        <v>50655333.17923218</v>
      </c>
      <c r="Y120" s="7"/>
      <c r="Z120" s="7">
        <f>'Bütçe aylık-TL'!$J$65</f>
        <v>106187608.17866124</v>
      </c>
      <c r="AA120" s="7">
        <f>'gerç aylık-tl'!$J$65</f>
        <v>117561771.58696905</v>
      </c>
      <c r="AB120" s="7"/>
      <c r="AC120" s="7">
        <f>'Bütçe aylık-TL'!$K$65</f>
        <v>63606398.189937249</v>
      </c>
      <c r="AD120" s="7">
        <f>'gerç aylık-tl'!$K$65</f>
        <v>0</v>
      </c>
      <c r="AE120" s="7"/>
      <c r="AF120" s="7">
        <f>'Bütçe aylık-TL'!$L$65</f>
        <v>65445380.861463785</v>
      </c>
      <c r="AG120" s="7">
        <f>'gerç aylık-tl'!$L$65</f>
        <v>0</v>
      </c>
      <c r="AH120" s="7"/>
      <c r="AI120" s="7">
        <f>'Bütçe aylık-TL'!$M$65</f>
        <v>49428307.539535701</v>
      </c>
      <c r="AJ120" s="7">
        <f>'gerç aylık-tl'!$M$65</f>
        <v>0</v>
      </c>
      <c r="AK120" s="7"/>
      <c r="AL120" s="21">
        <f t="shared" si="59"/>
        <v>11374163.408307806</v>
      </c>
      <c r="AM120" s="22">
        <f t="shared" si="60"/>
        <v>0.10711384881342001</v>
      </c>
      <c r="AO120" s="44">
        <f t="shared" si="61"/>
        <v>106187608.17866124</v>
      </c>
      <c r="AP120" s="44">
        <f t="shared" si="62"/>
        <v>117561771.58696905</v>
      </c>
    </row>
    <row r="121" spans="1:42" ht="15.5">
      <c r="A121" s="26" t="s">
        <v>16</v>
      </c>
      <c r="B121" s="7">
        <f>'Bütçe aylık-TL'!$B$66</f>
        <v>47828952.834230751</v>
      </c>
      <c r="C121" s="7">
        <f>'gerç aylık-tl'!$B$66</f>
        <v>49830961.742527716</v>
      </c>
      <c r="D121" s="7"/>
      <c r="E121" s="7">
        <f>'Bütçe aylık-TL'!$C$66</f>
        <v>42624579.986428194</v>
      </c>
      <c r="F121" s="7">
        <f>'gerç aylık-tl'!$C$66</f>
        <v>73215259.604406238</v>
      </c>
      <c r="G121" s="7"/>
      <c r="H121" s="7">
        <f>'Bütçe aylık-TL'!$D$66</f>
        <v>64731216.545585468</v>
      </c>
      <c r="I121" s="7">
        <f>'gerç aylık-tl'!$D$66</f>
        <v>79741548.833614841</v>
      </c>
      <c r="J121" s="7"/>
      <c r="K121" s="7">
        <f>'Bütçe aylık-TL'!$E$66</f>
        <v>64261269.522340678</v>
      </c>
      <c r="L121" s="7">
        <f>'gerç aylık-tl'!$E$66</f>
        <v>86488398.064461023</v>
      </c>
      <c r="M121" s="7"/>
      <c r="N121" s="7">
        <f>'Bütçe aylık-TL'!$F$66</f>
        <v>69317518.121293947</v>
      </c>
      <c r="O121" s="7">
        <f>'gerç aylık-tl'!$F$66</f>
        <v>71942732.509474933</v>
      </c>
      <c r="P121" s="7"/>
      <c r="Q121" s="7">
        <f>'Bütçe aylık-TL'!$G$66</f>
        <v>55847190.366831891</v>
      </c>
      <c r="R121" s="7">
        <f>'gerç aylık-tl'!$G$66</f>
        <v>72359397.710285068</v>
      </c>
      <c r="S121" s="7"/>
      <c r="T121" s="7">
        <f>'Bütçe aylık-TL'!$H$66</f>
        <v>48500064.764084056</v>
      </c>
      <c r="U121" s="7">
        <f>'gerç aylık-tl'!$H$66</f>
        <v>100584217.20227584</v>
      </c>
      <c r="V121" s="7"/>
      <c r="W121" s="7">
        <f>'Bütçe aylık-TL'!$I$66</f>
        <v>27908178.383345429</v>
      </c>
      <c r="X121" s="7">
        <f>'gerç aylık-tl'!$I$66</f>
        <v>68893635.240138218</v>
      </c>
      <c r="Y121" s="7"/>
      <c r="Z121" s="7">
        <f>'Bütçe aylık-TL'!$J$66</f>
        <v>85534638.688749939</v>
      </c>
      <c r="AA121" s="7">
        <f>'gerç aylık-tl'!$J$66</f>
        <v>139118251.50581229</v>
      </c>
      <c r="AB121" s="7"/>
      <c r="AC121" s="7">
        <f>'Bütçe aylık-TL'!$K$66</f>
        <v>78372218.338732094</v>
      </c>
      <c r="AD121" s="7">
        <f>'gerç aylık-tl'!$K$66</f>
        <v>0</v>
      </c>
      <c r="AE121" s="7"/>
      <c r="AF121" s="7">
        <f>'Bütçe aylık-TL'!$L$66</f>
        <v>74431558.571906909</v>
      </c>
      <c r="AG121" s="7">
        <f>'gerç aylık-tl'!$L$66</f>
        <v>0</v>
      </c>
      <c r="AH121" s="7"/>
      <c r="AI121" s="7">
        <f>'Bütçe aylık-TL'!$M$66</f>
        <v>43038039.533052266</v>
      </c>
      <c r="AJ121" s="7">
        <f>'gerç aylık-tl'!$M$66</f>
        <v>0</v>
      </c>
      <c r="AK121" s="7"/>
      <c r="AL121" s="21">
        <f t="shared" si="59"/>
        <v>53583612.817062348</v>
      </c>
      <c r="AM121" s="22">
        <f t="shared" si="60"/>
        <v>0.62645512553161709</v>
      </c>
      <c r="AO121" s="44">
        <f t="shared" si="61"/>
        <v>85534638.688749939</v>
      </c>
      <c r="AP121" s="44">
        <f t="shared" si="62"/>
        <v>139118251.50581229</v>
      </c>
    </row>
    <row r="122" spans="1:42" ht="15.5">
      <c r="A122" s="26" t="s">
        <v>17</v>
      </c>
      <c r="B122" s="7">
        <f>'Bütçe aylık-TL'!$B$67</f>
        <v>74228788.492591724</v>
      </c>
      <c r="C122" s="7">
        <f>'gerç aylık-tl'!$B$67</f>
        <v>73506766.958344653</v>
      </c>
      <c r="D122" s="7"/>
      <c r="E122" s="7">
        <f>'Bütçe aylık-TL'!$C$67</f>
        <v>79085187.653337449</v>
      </c>
      <c r="F122" s="7">
        <f>'gerç aylık-tl'!$C$67</f>
        <v>26185867.396129657</v>
      </c>
      <c r="G122" s="7"/>
      <c r="H122" s="7">
        <f>'Bütçe aylık-TL'!$D$67</f>
        <v>69372799.661812812</v>
      </c>
      <c r="I122" s="7">
        <f>'gerç aylık-tl'!$D$67</f>
        <v>48749963.465605401</v>
      </c>
      <c r="J122" s="7"/>
      <c r="K122" s="7">
        <f>'Bütçe aylık-TL'!$E$67</f>
        <v>62236809.800101466</v>
      </c>
      <c r="L122" s="7">
        <f>'gerç aylık-tl'!$E$67</f>
        <v>46857114.786711976</v>
      </c>
      <c r="M122" s="7"/>
      <c r="N122" s="7">
        <f>'Bütçe aylık-TL'!$F$67</f>
        <v>101083314.72030918</v>
      </c>
      <c r="O122" s="7">
        <f>'gerç aylık-tl'!$F$67</f>
        <v>121245681.09207812</v>
      </c>
      <c r="P122" s="7"/>
      <c r="Q122" s="7">
        <f>'Bütçe aylık-TL'!$G$67</f>
        <v>61490607.563555278</v>
      </c>
      <c r="R122" s="7">
        <f>'gerç aylık-tl'!$G$67</f>
        <v>66801130.99197606</v>
      </c>
      <c r="S122" s="7"/>
      <c r="T122" s="7">
        <f>'Bütçe aylık-TL'!$H$67</f>
        <v>109899740.06490812</v>
      </c>
      <c r="U122" s="7">
        <f>'gerç aylık-tl'!$H$67</f>
        <v>81701558.270120963</v>
      </c>
      <c r="V122" s="7"/>
      <c r="W122" s="7">
        <f>'Bütçe aylık-TL'!$I$67</f>
        <v>28000534.720959648</v>
      </c>
      <c r="X122" s="7">
        <f>'gerç aylık-tl'!$I$67</f>
        <v>24122293.004127562</v>
      </c>
      <c r="Y122" s="7"/>
      <c r="Z122" s="7">
        <f>'Bütçe aylık-TL'!$J$67</f>
        <v>147298457.73351377</v>
      </c>
      <c r="AA122" s="7">
        <f>'gerç aylık-tl'!$J$67</f>
        <v>143752737.5368551</v>
      </c>
      <c r="AB122" s="7"/>
      <c r="AC122" s="7">
        <f>'Bütçe aylık-TL'!$K$67</f>
        <v>120995640.10843334</v>
      </c>
      <c r="AD122" s="7">
        <f>'gerç aylık-tl'!$K$67</f>
        <v>0</v>
      </c>
      <c r="AE122" s="7"/>
      <c r="AF122" s="7">
        <f>'Bütçe aylık-TL'!$L$67</f>
        <v>121697168.47989437</v>
      </c>
      <c r="AG122" s="7">
        <f>'gerç aylık-tl'!$L$67</f>
        <v>0</v>
      </c>
      <c r="AH122" s="7"/>
      <c r="AI122" s="7">
        <f>'Bütçe aylık-TL'!$M$67</f>
        <v>85786829.985980883</v>
      </c>
      <c r="AJ122" s="7">
        <f>'gerç aylık-tl'!$M$67</f>
        <v>0</v>
      </c>
      <c r="AK122" s="7"/>
      <c r="AL122" s="21">
        <f t="shared" si="59"/>
        <v>-3545720.1966586709</v>
      </c>
      <c r="AM122" s="22">
        <f t="shared" si="60"/>
        <v>-2.4071672244345144E-2</v>
      </c>
      <c r="AO122" s="44">
        <f t="shared" si="61"/>
        <v>147298457.73351377</v>
      </c>
      <c r="AP122" s="44">
        <f t="shared" si="62"/>
        <v>143752737.5368551</v>
      </c>
    </row>
    <row r="123" spans="1:42" ht="15.5">
      <c r="A123" s="26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21"/>
      <c r="AM123" s="22"/>
      <c r="AO123" s="44">
        <f t="shared" si="61"/>
        <v>0</v>
      </c>
      <c r="AP123" s="44">
        <f t="shared" si="62"/>
        <v>0</v>
      </c>
    </row>
    <row r="124" spans="1:42">
      <c r="A124" s="2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5"/>
    </row>
    <row r="125" spans="1:42" s="49" customFormat="1" ht="17">
      <c r="A125" s="47" t="s">
        <v>72</v>
      </c>
      <c r="B125" s="413"/>
      <c r="C125" s="413"/>
      <c r="D125" s="413"/>
      <c r="E125" s="413"/>
      <c r="F125" s="413"/>
      <c r="G125" s="413"/>
      <c r="H125" s="413"/>
      <c r="I125" s="413"/>
      <c r="J125" s="413"/>
      <c r="K125" s="413"/>
      <c r="L125" s="413"/>
      <c r="M125" s="413"/>
      <c r="N125" s="413"/>
      <c r="O125" s="413"/>
      <c r="P125" s="413"/>
      <c r="Q125" s="413"/>
      <c r="R125" s="413"/>
      <c r="S125" s="413"/>
      <c r="T125" s="413"/>
      <c r="U125" s="413"/>
      <c r="V125" s="413"/>
      <c r="W125" s="413"/>
      <c r="X125" s="413"/>
      <c r="Y125" s="413"/>
      <c r="Z125" s="413"/>
      <c r="AA125" s="413"/>
      <c r="AB125" s="413"/>
      <c r="AC125" s="413"/>
      <c r="AD125" s="413"/>
      <c r="AE125" s="413"/>
      <c r="AF125" s="413"/>
      <c r="AG125" s="413"/>
      <c r="AH125" s="413"/>
      <c r="AI125" s="413"/>
      <c r="AJ125" s="413"/>
      <c r="AK125" s="413"/>
      <c r="AL125" s="413"/>
      <c r="AM125" s="48"/>
    </row>
    <row r="126" spans="1:42" s="13" customFormat="1" ht="15.5">
      <c r="A126" s="26" t="s">
        <v>10</v>
      </c>
      <c r="B126" s="12">
        <f>B115/B9</f>
        <v>0.4703462500951251</v>
      </c>
      <c r="C126" s="12">
        <f>C115/C9</f>
        <v>0.49761882945180019</v>
      </c>
      <c r="D126" s="41"/>
      <c r="E126" s="12">
        <f>E115/E9</f>
        <v>0.50301165301642525</v>
      </c>
      <c r="F126" s="12">
        <f>F115/F9</f>
        <v>0.42805476646917284</v>
      </c>
      <c r="G126" s="41"/>
      <c r="H126" s="12">
        <f>H115/H9</f>
        <v>0.41493056104066539</v>
      </c>
      <c r="I126" s="12">
        <f>I115/I9</f>
        <v>0.42874108680251805</v>
      </c>
      <c r="J126" s="41"/>
      <c r="K126" s="12">
        <f>K115/K9</f>
        <v>0.45386410157781232</v>
      </c>
      <c r="L126" s="12">
        <f>L115/L9</f>
        <v>0.19447251659100998</v>
      </c>
      <c r="M126" s="41"/>
      <c r="N126" s="12">
        <f>N115/N9</f>
        <v>0.44991496278685561</v>
      </c>
      <c r="O126" s="12">
        <f>O115/O9</f>
        <v>0.54415966152482198</v>
      </c>
      <c r="P126" s="41"/>
      <c r="Q126" s="12">
        <f>Q115/Q9</f>
        <v>0.4693677341000736</v>
      </c>
      <c r="R126" s="12">
        <f>R115/R9</f>
        <v>0.4452642441250213</v>
      </c>
      <c r="S126" s="41"/>
      <c r="T126" s="12">
        <f>T115/T9</f>
        <v>0.51617620046540036</v>
      </c>
      <c r="U126" s="12">
        <f>U115/U9</f>
        <v>0.47674278883774379</v>
      </c>
      <c r="V126" s="41"/>
      <c r="W126" s="12">
        <f>W115/W9</f>
        <v>0.481935314020429</v>
      </c>
      <c r="X126" s="12">
        <f>X115/X9</f>
        <v>0.48166074541207532</v>
      </c>
      <c r="Y126" s="41"/>
      <c r="Z126" s="12">
        <f>Z115/Z9</f>
        <v>0.55064376341288634</v>
      </c>
      <c r="AA126" s="12">
        <f>AA115/AA9</f>
        <v>0.60581370421815373</v>
      </c>
      <c r="AB126" s="41"/>
      <c r="AC126" s="12">
        <f>AC115/AC9</f>
        <v>0.51281835175456236</v>
      </c>
      <c r="AD126" s="12" t="e">
        <f>AD115/AD9</f>
        <v>#DIV/0!</v>
      </c>
      <c r="AE126" s="41"/>
      <c r="AF126" s="12">
        <f>AF115/AF9</f>
        <v>0.4730283176943299</v>
      </c>
      <c r="AG126" s="12" t="e">
        <f>AG115/AG9</f>
        <v>#DIV/0!</v>
      </c>
      <c r="AH126" s="41"/>
      <c r="AI126" s="12">
        <f>AI115/AI9</f>
        <v>-0.29602767402249291</v>
      </c>
      <c r="AJ126" s="12" t="e">
        <f>AJ115/AJ9</f>
        <v>#DIV/0!</v>
      </c>
      <c r="AK126" s="41"/>
      <c r="AL126" s="15"/>
      <c r="AM126" s="22">
        <f>AP126-AO126</f>
        <v>5.5169940805267381E-2</v>
      </c>
      <c r="AO126" s="44">
        <f t="shared" ref="AO126:AO133" si="63">IF($A$1=$B$1,B126,IF($A$1=$E$1,E126,IF($A$1=$H$1,H126,IF($A$1=$K$1,K126,IF($A$1=$N$1,N126,IF($A$1=$Q$1,Q126,IF($A$1=$T$1,T126,IF($A$1=$W$1,W126,IF($A$1=$Z$1,Z126,IF($A$1=$AC$1,AC126,IF($A$1=$AF$1,AF126,IF($A$1=$AI$1,AI126))))))))))))</f>
        <v>0.55064376341288634</v>
      </c>
      <c r="AP126" s="44">
        <f t="shared" ref="AP126:AP133" si="64">IF($A$1=$B$1,C126,IF($A$1=$E$1,F126,IF($A$1=$H$1,I126,IF($A$1=$K$1,L126,IF($A$1=$N$1,O126,IF($A$1=$Q$1,R126,IF($A$1=$T$1,U126,IF($A$1=$W$1,X126,IF($A$1=$Z$1,AA126,IF($A$1=$AC$1,AD126,IF($A$1=$AF$1,AG126,IF($A$1=$AI$1,AJ126))))))))))))</f>
        <v>0.60581370421815373</v>
      </c>
    </row>
    <row r="127" spans="1:42" s="13" customFormat="1" ht="15.5">
      <c r="A127" s="26" t="s">
        <v>11</v>
      </c>
      <c r="B127" s="12">
        <f t="shared" ref="B127:C133" si="65">B116/B10</f>
        <v>-3.5414154934302527E-2</v>
      </c>
      <c r="C127" s="12">
        <f t="shared" si="65"/>
        <v>-1.3101473416769352E-2</v>
      </c>
      <c r="D127" s="41"/>
      <c r="E127" s="12">
        <f t="shared" ref="E127:F133" si="66">E116/E10</f>
        <v>8.6261089017718368E-2</v>
      </c>
      <c r="F127" s="12">
        <f t="shared" si="66"/>
        <v>4.1004394694290625E-2</v>
      </c>
      <c r="G127" s="41"/>
      <c r="H127" s="12">
        <f t="shared" ref="H127:I133" si="67">H116/H10</f>
        <v>0.10447171274574157</v>
      </c>
      <c r="I127" s="12">
        <f t="shared" si="67"/>
        <v>2.9474224242925562E-2</v>
      </c>
      <c r="J127" s="41"/>
      <c r="K127" s="12">
        <f t="shared" ref="K127:L133" si="68">K116/K10</f>
        <v>0.16099110178797107</v>
      </c>
      <c r="L127" s="12">
        <f t="shared" si="68"/>
        <v>-4.1780275454723945E-2</v>
      </c>
      <c r="M127" s="41"/>
      <c r="N127" s="12">
        <f t="shared" ref="N127:O133" si="69">N116/N10</f>
        <v>0.21328056635868403</v>
      </c>
      <c r="O127" s="12">
        <f t="shared" si="69"/>
        <v>4.0124034395595413E-2</v>
      </c>
      <c r="P127" s="41"/>
      <c r="Q127" s="12">
        <f t="shared" ref="Q127:R133" si="70">Q116/Q10</f>
        <v>0.18957059647897379</v>
      </c>
      <c r="R127" s="12">
        <f t="shared" si="70"/>
        <v>3.3576104487884506E-2</v>
      </c>
      <c r="S127" s="41"/>
      <c r="T127" s="12">
        <f t="shared" ref="T127:U133" si="71">T116/T10</f>
        <v>0.17058586820054739</v>
      </c>
      <c r="U127" s="12">
        <f t="shared" si="71"/>
        <v>7.2095406005059245E-2</v>
      </c>
      <c r="V127" s="41"/>
      <c r="W127" s="12">
        <f t="shared" ref="W127:X133" si="72">W116/W10</f>
        <v>5.7523809268182118E-2</v>
      </c>
      <c r="X127" s="12">
        <f t="shared" si="72"/>
        <v>2.9846205735174977E-2</v>
      </c>
      <c r="Y127" s="41"/>
      <c r="Z127" s="12">
        <f t="shared" ref="Z127:AA133" si="73">Z116/Z10</f>
        <v>0.10041788034638778</v>
      </c>
      <c r="AA127" s="12">
        <f t="shared" si="73"/>
        <v>-7.7166570039234411E-2</v>
      </c>
      <c r="AB127" s="41"/>
      <c r="AC127" s="12">
        <f t="shared" ref="AC127:AD133" si="74">AC116/AC10</f>
        <v>3.9334436292444951E-2</v>
      </c>
      <c r="AD127" s="12" t="e">
        <f t="shared" si="74"/>
        <v>#DIV/0!</v>
      </c>
      <c r="AE127" s="41"/>
      <c r="AF127" s="12">
        <f t="shared" ref="AF127:AG133" si="75">AF116/AF10</f>
        <v>-1.2954714831579461E-2</v>
      </c>
      <c r="AG127" s="12" t="e">
        <f t="shared" si="75"/>
        <v>#DIV/0!</v>
      </c>
      <c r="AH127" s="41"/>
      <c r="AI127" s="12">
        <f t="shared" ref="AI127:AJ133" si="76">AI116/AI10</f>
        <v>-0.10551725422668826</v>
      </c>
      <c r="AJ127" s="12" t="e">
        <f t="shared" si="76"/>
        <v>#DIV/0!</v>
      </c>
      <c r="AK127" s="41"/>
      <c r="AL127" s="15"/>
      <c r="AM127" s="22">
        <f t="shared" ref="AM127:AM133" si="77">AP127-AO127</f>
        <v>-0.17758445038562221</v>
      </c>
      <c r="AO127" s="44">
        <f t="shared" si="63"/>
        <v>0.10041788034638778</v>
      </c>
      <c r="AP127" s="44">
        <f t="shared" si="64"/>
        <v>-7.7166570039234411E-2</v>
      </c>
    </row>
    <row r="128" spans="1:42" s="13" customFormat="1" ht="15.5">
      <c r="A128" s="26" t="s">
        <v>12</v>
      </c>
      <c r="B128" s="12">
        <f t="shared" si="65"/>
        <v>-4.5122642684353599E-2</v>
      </c>
      <c r="C128" s="12">
        <f t="shared" si="65"/>
        <v>3.4967674742321209E-2</v>
      </c>
      <c r="D128" s="41"/>
      <c r="E128" s="12">
        <f t="shared" si="66"/>
        <v>1.7802589422726211E-3</v>
      </c>
      <c r="F128" s="12">
        <f t="shared" si="66"/>
        <v>3.032260895172453E-2</v>
      </c>
      <c r="G128" s="41"/>
      <c r="H128" s="12">
        <f t="shared" si="67"/>
        <v>4.0528458801642908E-2</v>
      </c>
      <c r="I128" s="12">
        <f t="shared" si="67"/>
        <v>5.6899382425354599E-3</v>
      </c>
      <c r="J128" s="41"/>
      <c r="K128" s="12">
        <f t="shared" si="68"/>
        <v>3.6491802951304123E-2</v>
      </c>
      <c r="L128" s="12">
        <f t="shared" si="68"/>
        <v>1.7482840964970936E-2</v>
      </c>
      <c r="M128" s="41"/>
      <c r="N128" s="12">
        <f t="shared" si="69"/>
        <v>7.1487233897627192E-2</v>
      </c>
      <c r="O128" s="12">
        <f t="shared" si="69"/>
        <v>4.3871611658730145E-2</v>
      </c>
      <c r="P128" s="41"/>
      <c r="Q128" s="12">
        <f t="shared" si="70"/>
        <v>7.1126186975552036E-2</v>
      </c>
      <c r="R128" s="12">
        <f t="shared" si="70"/>
        <v>1.7520261940388016E-2</v>
      </c>
      <c r="S128" s="41"/>
      <c r="T128" s="12">
        <f t="shared" si="71"/>
        <v>7.0538592247657003E-2</v>
      </c>
      <c r="U128" s="12">
        <f t="shared" si="71"/>
        <v>3.0774915459783458E-2</v>
      </c>
      <c r="V128" s="41"/>
      <c r="W128" s="12">
        <f t="shared" si="72"/>
        <v>6.8051099078362584E-2</v>
      </c>
      <c r="X128" s="12">
        <f t="shared" si="72"/>
        <v>2.6542565351229806E-2</v>
      </c>
      <c r="Y128" s="41"/>
      <c r="Z128" s="12">
        <f t="shared" si="73"/>
        <v>5.290407761621925E-2</v>
      </c>
      <c r="AA128" s="12">
        <f t="shared" si="73"/>
        <v>6.1539602199729183E-2</v>
      </c>
      <c r="AB128" s="41"/>
      <c r="AC128" s="12">
        <f t="shared" si="74"/>
        <v>6.4753799612721874E-2</v>
      </c>
      <c r="AD128" s="12" t="e">
        <f t="shared" si="74"/>
        <v>#DIV/0!</v>
      </c>
      <c r="AE128" s="41"/>
      <c r="AF128" s="12">
        <f t="shared" si="75"/>
        <v>6.5114040676931759E-2</v>
      </c>
      <c r="AG128" s="12" t="e">
        <f t="shared" si="75"/>
        <v>#DIV/0!</v>
      </c>
      <c r="AH128" s="41"/>
      <c r="AI128" s="12">
        <f t="shared" si="76"/>
        <v>3.1806918094617331E-2</v>
      </c>
      <c r="AJ128" s="12" t="e">
        <f t="shared" si="76"/>
        <v>#DIV/0!</v>
      </c>
      <c r="AK128" s="41"/>
      <c r="AL128" s="15"/>
      <c r="AM128" s="22">
        <f t="shared" si="77"/>
        <v>8.6355245835099334E-3</v>
      </c>
      <c r="AO128" s="44">
        <f t="shared" si="63"/>
        <v>5.290407761621925E-2</v>
      </c>
      <c r="AP128" s="44">
        <f t="shared" si="64"/>
        <v>6.1539602199729183E-2</v>
      </c>
    </row>
    <row r="129" spans="1:42" s="13" customFormat="1" ht="15.5">
      <c r="A129" s="26" t="s">
        <v>13</v>
      </c>
      <c r="B129" s="12">
        <f t="shared" si="65"/>
        <v>7.3857355960123133E-2</v>
      </c>
      <c r="C129" s="12">
        <f t="shared" si="65"/>
        <v>5.1567488653081743E-2</v>
      </c>
      <c r="D129" s="41"/>
      <c r="E129" s="12">
        <f t="shared" si="66"/>
        <v>5.9166712197787838E-2</v>
      </c>
      <c r="F129" s="12">
        <f t="shared" si="66"/>
        <v>4.1186897513663688E-2</v>
      </c>
      <c r="G129" s="41"/>
      <c r="H129" s="12">
        <f t="shared" si="67"/>
        <v>6.3345321295825388E-2</v>
      </c>
      <c r="I129" s="12">
        <f t="shared" si="67"/>
        <v>-4.2753429909715687E-2</v>
      </c>
      <c r="J129" s="41"/>
      <c r="K129" s="12">
        <f t="shared" si="68"/>
        <v>5.7348767864778154E-2</v>
      </c>
      <c r="L129" s="12">
        <f t="shared" si="68"/>
        <v>-5.6883011675321539E-2</v>
      </c>
      <c r="M129" s="41"/>
      <c r="N129" s="12">
        <f t="shared" si="69"/>
        <v>6.9259449972509116E-2</v>
      </c>
      <c r="O129" s="12">
        <f t="shared" si="69"/>
        <v>-1.3604347513487516E-2</v>
      </c>
      <c r="P129" s="41"/>
      <c r="Q129" s="12">
        <f t="shared" si="70"/>
        <v>8.2956121365502219E-2</v>
      </c>
      <c r="R129" s="12">
        <f t="shared" si="70"/>
        <v>-0.10141985987961677</v>
      </c>
      <c r="S129" s="41"/>
      <c r="T129" s="12">
        <f t="shared" si="71"/>
        <v>9.1437889974752259E-2</v>
      </c>
      <c r="U129" s="12">
        <f t="shared" si="71"/>
        <v>-2.7117658714835319E-2</v>
      </c>
      <c r="V129" s="41"/>
      <c r="W129" s="12">
        <f t="shared" si="72"/>
        <v>0.1034889024880677</v>
      </c>
      <c r="X129" s="12">
        <f t="shared" si="72"/>
        <v>4.7916775833110582E-2</v>
      </c>
      <c r="Y129" s="41"/>
      <c r="Z129" s="12">
        <f t="shared" si="73"/>
        <v>0.11932062294070798</v>
      </c>
      <c r="AA129" s="12">
        <f t="shared" si="73"/>
        <v>5.1609410499590582E-3</v>
      </c>
      <c r="AB129" s="41"/>
      <c r="AC129" s="12">
        <f t="shared" si="74"/>
        <v>0.12967316128760242</v>
      </c>
      <c r="AD129" s="12" t="e">
        <f t="shared" si="74"/>
        <v>#DIV/0!</v>
      </c>
      <c r="AE129" s="41"/>
      <c r="AF129" s="12">
        <f t="shared" si="75"/>
        <v>0.1358152918942446</v>
      </c>
      <c r="AG129" s="12" t="e">
        <f t="shared" si="75"/>
        <v>#DIV/0!</v>
      </c>
      <c r="AH129" s="41"/>
      <c r="AI129" s="12">
        <f t="shared" si="76"/>
        <v>0.15997493143440217</v>
      </c>
      <c r="AJ129" s="12" t="e">
        <f t="shared" si="76"/>
        <v>#DIV/0!</v>
      </c>
      <c r="AK129" s="41"/>
      <c r="AL129" s="15"/>
      <c r="AM129" s="22">
        <f t="shared" si="77"/>
        <v>-0.11415968189074893</v>
      </c>
      <c r="AO129" s="44">
        <f t="shared" si="63"/>
        <v>0.11932062294070798</v>
      </c>
      <c r="AP129" s="44">
        <f t="shared" si="64"/>
        <v>5.1609410499590582E-3</v>
      </c>
    </row>
    <row r="130" spans="1:42" s="13" customFormat="1" ht="15.5">
      <c r="A130" s="26" t="s">
        <v>14</v>
      </c>
      <c r="B130" s="12">
        <f t="shared" si="65"/>
        <v>6.5677490369797975E-2</v>
      </c>
      <c r="C130" s="12">
        <f t="shared" si="65"/>
        <v>4.1374426334105534E-2</v>
      </c>
      <c r="D130" s="41"/>
      <c r="E130" s="12">
        <f t="shared" si="66"/>
        <v>6.963257982888027E-2</v>
      </c>
      <c r="F130" s="12">
        <f t="shared" si="66"/>
        <v>7.8158449442799635E-2</v>
      </c>
      <c r="G130" s="41"/>
      <c r="H130" s="12">
        <f t="shared" si="67"/>
        <v>6.5436462035872903E-2</v>
      </c>
      <c r="I130" s="12">
        <f t="shared" si="67"/>
        <v>6.9145055406809861E-2</v>
      </c>
      <c r="J130" s="41"/>
      <c r="K130" s="12">
        <f t="shared" si="68"/>
        <v>5.0229756223432043E-5</v>
      </c>
      <c r="L130" s="12">
        <f t="shared" si="68"/>
        <v>-2.2670685762359727E-2</v>
      </c>
      <c r="M130" s="41"/>
      <c r="N130" s="12">
        <f t="shared" si="69"/>
        <v>2.5896985976386705E-2</v>
      </c>
      <c r="O130" s="12">
        <f t="shared" si="69"/>
        <v>4.6396602512885163E-3</v>
      </c>
      <c r="P130" s="41"/>
      <c r="Q130" s="12">
        <f t="shared" si="70"/>
        <v>1.6364427389404541E-2</v>
      </c>
      <c r="R130" s="12">
        <f t="shared" si="70"/>
        <v>1.5009236104441671E-2</v>
      </c>
      <c r="S130" s="41"/>
      <c r="T130" s="12">
        <f t="shared" si="71"/>
        <v>3.5182048869784023E-2</v>
      </c>
      <c r="U130" s="12">
        <f t="shared" si="71"/>
        <v>5.6251644167907323E-2</v>
      </c>
      <c r="V130" s="41"/>
      <c r="W130" s="12">
        <f t="shared" si="72"/>
        <v>4.6836332424344304E-2</v>
      </c>
      <c r="X130" s="12">
        <f t="shared" si="72"/>
        <v>6.8375872601169008E-2</v>
      </c>
      <c r="Y130" s="41"/>
      <c r="Z130" s="12">
        <f t="shared" si="73"/>
        <v>4.5825450478949613E-2</v>
      </c>
      <c r="AA130" s="12">
        <f t="shared" si="73"/>
        <v>7.3412091816574723E-2</v>
      </c>
      <c r="AB130" s="41"/>
      <c r="AC130" s="12">
        <f t="shared" si="74"/>
        <v>5.8455829961236452E-2</v>
      </c>
      <c r="AD130" s="12" t="e">
        <f t="shared" si="74"/>
        <v>#DIV/0!</v>
      </c>
      <c r="AE130" s="41"/>
      <c r="AF130" s="12">
        <f t="shared" si="75"/>
        <v>5.2546119398646632E-2</v>
      </c>
      <c r="AG130" s="12" t="e">
        <f t="shared" si="75"/>
        <v>#DIV/0!</v>
      </c>
      <c r="AH130" s="41"/>
      <c r="AI130" s="12">
        <f t="shared" si="76"/>
        <v>3.6182298341131368E-2</v>
      </c>
      <c r="AJ130" s="12" t="e">
        <f t="shared" si="76"/>
        <v>#DIV/0!</v>
      </c>
      <c r="AK130" s="41"/>
      <c r="AL130" s="15"/>
      <c r="AM130" s="22">
        <f t="shared" si="77"/>
        <v>2.758664133762511E-2</v>
      </c>
      <c r="AO130" s="44">
        <f t="shared" si="63"/>
        <v>4.5825450478949613E-2</v>
      </c>
      <c r="AP130" s="44">
        <f t="shared" si="64"/>
        <v>7.3412091816574723E-2</v>
      </c>
    </row>
    <row r="131" spans="1:42" s="13" customFormat="1" ht="15.5">
      <c r="A131" s="26" t="s">
        <v>15</v>
      </c>
      <c r="B131" s="12">
        <f t="shared" si="65"/>
        <v>5.8125920927934845E-2</v>
      </c>
      <c r="C131" s="12">
        <f t="shared" si="65"/>
        <v>6.2409829493475212E-2</v>
      </c>
      <c r="D131" s="41"/>
      <c r="E131" s="12">
        <f t="shared" si="66"/>
        <v>9.9163624859886099E-2</v>
      </c>
      <c r="F131" s="12">
        <f t="shared" si="66"/>
        <v>0.10854801545715226</v>
      </c>
      <c r="G131" s="41"/>
      <c r="H131" s="12">
        <f t="shared" si="67"/>
        <v>0.16401462246647788</v>
      </c>
      <c r="I131" s="12">
        <f t="shared" si="67"/>
        <v>0.13642355679361606</v>
      </c>
      <c r="J131" s="41"/>
      <c r="K131" s="12">
        <f t="shared" si="68"/>
        <v>4.075358576528209E-2</v>
      </c>
      <c r="L131" s="12">
        <f t="shared" si="68"/>
        <v>0.10836471322713521</v>
      </c>
      <c r="M131" s="41"/>
      <c r="N131" s="12">
        <f t="shared" si="69"/>
        <v>9.7638703748608779E-2</v>
      </c>
      <c r="O131" s="12">
        <f t="shared" si="69"/>
        <v>0.12378054234628288</v>
      </c>
      <c r="P131" s="41"/>
      <c r="Q131" s="12">
        <f t="shared" si="70"/>
        <v>0.12033099855927856</v>
      </c>
      <c r="R131" s="12">
        <f t="shared" si="70"/>
        <v>0.12736592891773862</v>
      </c>
      <c r="S131" s="41"/>
      <c r="T131" s="12">
        <f t="shared" si="71"/>
        <v>5.2519125293754625E-2</v>
      </c>
      <c r="U131" s="12">
        <f t="shared" si="71"/>
        <v>0.13311872611465364</v>
      </c>
      <c r="V131" s="41"/>
      <c r="W131" s="12">
        <f t="shared" si="72"/>
        <v>1.1375013167464249E-2</v>
      </c>
      <c r="X131" s="12">
        <f t="shared" si="72"/>
        <v>0.11196295136397803</v>
      </c>
      <c r="Y131" s="41"/>
      <c r="Z131" s="12">
        <f t="shared" si="73"/>
        <v>0.17716481078138238</v>
      </c>
      <c r="AA131" s="12">
        <f t="shared" si="73"/>
        <v>0.20585242347186108</v>
      </c>
      <c r="AB131" s="41"/>
      <c r="AC131" s="12">
        <f t="shared" si="74"/>
        <v>0.12042572401006513</v>
      </c>
      <c r="AD131" s="12" t="e">
        <f t="shared" si="74"/>
        <v>#DIV/0!</v>
      </c>
      <c r="AE131" s="41"/>
      <c r="AF131" s="12">
        <f t="shared" si="75"/>
        <v>0.1278582172864732</v>
      </c>
      <c r="AG131" s="12" t="e">
        <f t="shared" si="75"/>
        <v>#DIV/0!</v>
      </c>
      <c r="AH131" s="41"/>
      <c r="AI131" s="12">
        <f t="shared" si="76"/>
        <v>0.10865280084676139</v>
      </c>
      <c r="AJ131" s="12" t="e">
        <f t="shared" si="76"/>
        <v>#DIV/0!</v>
      </c>
      <c r="AK131" s="41"/>
      <c r="AL131" s="15"/>
      <c r="AM131" s="22">
        <f t="shared" si="77"/>
        <v>2.8687612690478703E-2</v>
      </c>
      <c r="AO131" s="44">
        <f t="shared" si="63"/>
        <v>0.17716481078138238</v>
      </c>
      <c r="AP131" s="44">
        <f t="shared" si="64"/>
        <v>0.20585242347186108</v>
      </c>
    </row>
    <row r="132" spans="1:42" s="13" customFormat="1" ht="15.5">
      <c r="A132" s="26" t="s">
        <v>16</v>
      </c>
      <c r="B132" s="12">
        <f t="shared" si="65"/>
        <v>0.1699812519035441</v>
      </c>
      <c r="C132" s="12">
        <f t="shared" si="65"/>
        <v>0.17344740011528662</v>
      </c>
      <c r="D132" s="41"/>
      <c r="E132" s="12">
        <f t="shared" si="66"/>
        <v>0.1842854739482111</v>
      </c>
      <c r="F132" s="12">
        <f t="shared" si="66"/>
        <v>0.22310862950828692</v>
      </c>
      <c r="G132" s="41"/>
      <c r="H132" s="12">
        <f t="shared" si="67"/>
        <v>0.20971806521754247</v>
      </c>
      <c r="I132" s="12">
        <f t="shared" si="67"/>
        <v>0.2235951150527023</v>
      </c>
      <c r="J132" s="41"/>
      <c r="K132" s="12">
        <f t="shared" si="68"/>
        <v>0.203854608672315</v>
      </c>
      <c r="L132" s="12">
        <f t="shared" si="68"/>
        <v>0.23093218810912899</v>
      </c>
      <c r="M132" s="41"/>
      <c r="N132" s="12">
        <f t="shared" si="69"/>
        <v>0.21897180892008247</v>
      </c>
      <c r="O132" s="12">
        <f t="shared" si="69"/>
        <v>0.2037336962726462</v>
      </c>
      <c r="P132" s="41"/>
      <c r="Q132" s="12">
        <f t="shared" si="70"/>
        <v>0.1964622140342473</v>
      </c>
      <c r="R132" s="12">
        <f t="shared" si="70"/>
        <v>0.22088455476028529</v>
      </c>
      <c r="S132" s="41"/>
      <c r="T132" s="12">
        <f t="shared" si="71"/>
        <v>0.17751962608530272</v>
      </c>
      <c r="U132" s="12">
        <f t="shared" si="71"/>
        <v>0.26641911316732431</v>
      </c>
      <c r="V132" s="41"/>
      <c r="W132" s="12">
        <f t="shared" si="72"/>
        <v>0.11187375291298098</v>
      </c>
      <c r="X132" s="12">
        <f t="shared" si="72"/>
        <v>0.22501152671097027</v>
      </c>
      <c r="Y132" s="41"/>
      <c r="Z132" s="12">
        <f t="shared" si="73"/>
        <v>0.23840777354013706</v>
      </c>
      <c r="AA132" s="12">
        <f t="shared" si="73"/>
        <v>0.30012762584699343</v>
      </c>
      <c r="AB132" s="41"/>
      <c r="AC132" s="12">
        <f t="shared" si="74"/>
        <v>0.22656930521168367</v>
      </c>
      <c r="AD132" s="12" t="e">
        <f t="shared" si="74"/>
        <v>#DIV/0!</v>
      </c>
      <c r="AE132" s="41"/>
      <c r="AF132" s="12">
        <f t="shared" si="75"/>
        <v>0.22801990114982698</v>
      </c>
      <c r="AG132" s="12" t="e">
        <f t="shared" si="75"/>
        <v>#DIV/0!</v>
      </c>
      <c r="AH132" s="41"/>
      <c r="AI132" s="12">
        <f t="shared" si="76"/>
        <v>0.17126721846653095</v>
      </c>
      <c r="AJ132" s="12" t="e">
        <f t="shared" si="76"/>
        <v>#DIV/0!</v>
      </c>
      <c r="AK132" s="41"/>
      <c r="AL132" s="15"/>
      <c r="AM132" s="22">
        <f t="shared" si="77"/>
        <v>6.1719852306856365E-2</v>
      </c>
      <c r="AO132" s="44">
        <f t="shared" si="63"/>
        <v>0.23840777354013706</v>
      </c>
      <c r="AP132" s="44">
        <f t="shared" si="64"/>
        <v>0.30012762584699343</v>
      </c>
    </row>
    <row r="133" spans="1:42" s="13" customFormat="1" ht="15.5">
      <c r="A133" s="26" t="s">
        <v>17</v>
      </c>
      <c r="B133" s="12">
        <f t="shared" si="65"/>
        <v>0.10355221524975668</v>
      </c>
      <c r="C133" s="12">
        <f t="shared" si="65"/>
        <v>9.0168687989614499E-2</v>
      </c>
      <c r="D133" s="41"/>
      <c r="E133" s="12">
        <f t="shared" si="66"/>
        <v>0.10255336030091419</v>
      </c>
      <c r="F133" s="12">
        <f t="shared" si="66"/>
        <v>3.5048500304938675E-2</v>
      </c>
      <c r="G133" s="41"/>
      <c r="H133" s="12">
        <f t="shared" si="67"/>
        <v>8.0294096717478072E-2</v>
      </c>
      <c r="I133" s="12">
        <f t="shared" si="67"/>
        <v>5.5629280691630166E-2</v>
      </c>
      <c r="J133" s="41"/>
      <c r="K133" s="12">
        <f t="shared" si="68"/>
        <v>8.1585651337435186E-2</v>
      </c>
      <c r="L133" s="12">
        <f t="shared" si="68"/>
        <v>4.9777885731516196E-2</v>
      </c>
      <c r="M133" s="41"/>
      <c r="N133" s="12">
        <f t="shared" si="69"/>
        <v>0.11518967369646478</v>
      </c>
      <c r="O133" s="12">
        <f t="shared" si="69"/>
        <v>0.11325404463609855</v>
      </c>
      <c r="P133" s="41"/>
      <c r="Q133" s="12">
        <f t="shared" si="70"/>
        <v>6.9676664428478127E-2</v>
      </c>
      <c r="R133" s="12">
        <f t="shared" si="70"/>
        <v>7.027340697278342E-2</v>
      </c>
      <c r="S133" s="41"/>
      <c r="T133" s="12">
        <f t="shared" si="71"/>
        <v>0.12300355845469824</v>
      </c>
      <c r="U133" s="12">
        <f t="shared" si="71"/>
        <v>8.0515707817063187E-2</v>
      </c>
      <c r="V133" s="41"/>
      <c r="W133" s="12">
        <f t="shared" si="72"/>
        <v>3.9602700474284616E-2</v>
      </c>
      <c r="X133" s="12">
        <f t="shared" si="72"/>
        <v>3.3856694483353274E-2</v>
      </c>
      <c r="Y133" s="41"/>
      <c r="Z133" s="12">
        <f t="shared" si="73"/>
        <v>0.14052844045780663</v>
      </c>
      <c r="AA133" s="12">
        <f t="shared" si="73"/>
        <v>0.13227581931648322</v>
      </c>
      <c r="AB133" s="41"/>
      <c r="AC133" s="12">
        <f t="shared" si="74"/>
        <v>0.1233597954202026</v>
      </c>
      <c r="AD133" s="12" t="e">
        <f t="shared" si="74"/>
        <v>#DIV/0!</v>
      </c>
      <c r="AE133" s="41"/>
      <c r="AF133" s="12">
        <f t="shared" si="75"/>
        <v>0.12934224495720725</v>
      </c>
      <c r="AG133" s="12" t="e">
        <f t="shared" si="75"/>
        <v>#DIV/0!</v>
      </c>
      <c r="AH133" s="41"/>
      <c r="AI133" s="12">
        <f t="shared" si="76"/>
        <v>0.10828320632078266</v>
      </c>
      <c r="AJ133" s="12" t="e">
        <f t="shared" si="76"/>
        <v>#DIV/0!</v>
      </c>
      <c r="AK133" s="41"/>
      <c r="AL133" s="15"/>
      <c r="AM133" s="22">
        <f t="shared" si="77"/>
        <v>-8.252621141323413E-3</v>
      </c>
      <c r="AO133" s="44">
        <f t="shared" si="63"/>
        <v>0.14052844045780663</v>
      </c>
      <c r="AP133" s="44">
        <f t="shared" si="64"/>
        <v>0.13227581931648322</v>
      </c>
    </row>
    <row r="134" spans="1:42" s="13" customFormat="1" ht="15.5">
      <c r="A134" s="26"/>
      <c r="B134" s="12"/>
      <c r="C134" s="30"/>
      <c r="D134" s="41"/>
      <c r="E134" s="12"/>
      <c r="F134" s="30"/>
      <c r="G134" s="41"/>
      <c r="H134" s="12"/>
      <c r="I134" s="30"/>
      <c r="J134" s="41"/>
      <c r="K134" s="12"/>
      <c r="L134" s="30"/>
      <c r="M134" s="41"/>
      <c r="N134" s="12"/>
      <c r="O134" s="30"/>
      <c r="P134" s="41"/>
      <c r="Q134" s="12"/>
      <c r="R134" s="30"/>
      <c r="S134" s="41"/>
      <c r="T134" s="12"/>
      <c r="U134" s="30"/>
      <c r="V134" s="41"/>
      <c r="W134" s="12"/>
      <c r="X134" s="30"/>
      <c r="Y134" s="41"/>
      <c r="Z134" s="12"/>
      <c r="AA134" s="30"/>
      <c r="AB134" s="41"/>
      <c r="AC134" s="12"/>
      <c r="AD134" s="30"/>
      <c r="AE134" s="41"/>
      <c r="AF134" s="12"/>
      <c r="AG134" s="30"/>
      <c r="AH134" s="41"/>
      <c r="AI134" s="12"/>
      <c r="AJ134" s="30"/>
      <c r="AK134" s="41"/>
      <c r="AL134" s="15"/>
      <c r="AM134" s="22"/>
      <c r="AO134" s="44"/>
      <c r="AP134" s="44"/>
    </row>
    <row r="135" spans="1:42" s="13" customFormat="1" ht="15.5">
      <c r="A135" s="26"/>
      <c r="B135" s="12"/>
      <c r="C135" s="30"/>
      <c r="D135" s="41"/>
      <c r="E135" s="12"/>
      <c r="F135" s="30"/>
      <c r="G135" s="41"/>
      <c r="H135" s="12"/>
      <c r="I135" s="30"/>
      <c r="J135" s="41"/>
      <c r="K135" s="12"/>
      <c r="L135" s="30"/>
      <c r="M135" s="41"/>
      <c r="N135" s="12"/>
      <c r="O135" s="30"/>
      <c r="P135" s="41"/>
      <c r="Q135" s="12"/>
      <c r="R135" s="30"/>
      <c r="S135" s="41"/>
      <c r="T135" s="12"/>
      <c r="U135" s="30"/>
      <c r="V135" s="41"/>
      <c r="W135" s="12"/>
      <c r="X135" s="30"/>
      <c r="Y135" s="41"/>
      <c r="Z135" s="12"/>
      <c r="AA135" s="30"/>
      <c r="AB135" s="41"/>
      <c r="AC135" s="12"/>
      <c r="AD135" s="30"/>
      <c r="AE135" s="41"/>
      <c r="AF135" s="12"/>
      <c r="AG135" s="30"/>
      <c r="AH135" s="41"/>
      <c r="AI135" s="12"/>
      <c r="AJ135" s="30"/>
      <c r="AK135" s="41"/>
      <c r="AL135" s="15"/>
      <c r="AM135" s="22"/>
      <c r="AO135" s="44"/>
      <c r="AP135" s="44"/>
    </row>
    <row r="136" spans="1:42" s="44" customFormat="1" ht="15.5">
      <c r="A136" s="31" t="s">
        <v>73</v>
      </c>
      <c r="B136" s="32">
        <f>'Bütçe aylık-TL'!$B$81</f>
        <v>119043324.75306191</v>
      </c>
      <c r="C136" s="32">
        <f>'gerç aylık-tl'!$B$80</f>
        <v>121411731.27519275</v>
      </c>
      <c r="D136" s="18"/>
      <c r="E136" s="32">
        <f>'Bütçe aylık-TL'!$C$81</f>
        <v>130727039.11457646</v>
      </c>
      <c r="F136" s="32">
        <f>'gerç aylık-tl'!$C$80</f>
        <v>115068710.24694331</v>
      </c>
      <c r="G136" s="18"/>
      <c r="H136" s="32">
        <f>'Bütçe aylık-TL'!$D$81</f>
        <v>164961064.92552605</v>
      </c>
      <c r="I136" s="32">
        <f>'gerç aylık-tl'!$D$80</f>
        <v>118435973.12087819</v>
      </c>
      <c r="J136" s="18"/>
      <c r="K136" s="32">
        <f>'Bütçe aylık-TL'!$E$81</f>
        <v>124796745.40730262</v>
      </c>
      <c r="L136" s="32">
        <f>'gerç aylık-tl'!$E$80</f>
        <v>103121335.03347376</v>
      </c>
      <c r="M136" s="18"/>
      <c r="N136" s="32">
        <f>'Bütçe aylık-TL'!$F$81</f>
        <v>164742825.63077873</v>
      </c>
      <c r="O136" s="32">
        <f>'gerç aylık-tl'!$F$80</f>
        <v>153969126.50571123</v>
      </c>
      <c r="P136" s="18"/>
      <c r="Q136" s="32">
        <f>'Bütçe aylık-TL'!$G$81</f>
        <v>160410182.36744308</v>
      </c>
      <c r="R136" s="32">
        <f>'gerç aylık-tl'!$G$80</f>
        <v>117882816.4160914</v>
      </c>
      <c r="S136" s="18"/>
      <c r="T136" s="32">
        <f>'Bütçe aylık-TL'!$H$81</f>
        <v>165435265.15667889</v>
      </c>
      <c r="U136" s="32">
        <f>'gerç aylık-tl'!$H$80</f>
        <v>152062826.86633369</v>
      </c>
      <c r="V136" s="18"/>
      <c r="W136" s="32">
        <f>'Bütçe aylık-TL'!$I$81</f>
        <v>114149408.65512225</v>
      </c>
      <c r="X136" s="32">
        <f>'gerç aylık-tl'!$I$80</f>
        <v>127605534.87927175</v>
      </c>
      <c r="Y136" s="18"/>
      <c r="Z136" s="32">
        <f>'Bütçe aylık-TL'!$J$81</f>
        <v>251566469.27464929</v>
      </c>
      <c r="AA136" s="32">
        <f>'gerç aylık-tl'!$J$80</f>
        <v>228225824.47654146</v>
      </c>
      <c r="AB136" s="18"/>
      <c r="AC136" s="32">
        <f>'Bütçe aylık-TL'!$K$81</f>
        <v>225906472.34932846</v>
      </c>
      <c r="AD136" s="32">
        <f>'gerç aylık-tl'!$K$80</f>
        <v>0</v>
      </c>
      <c r="AE136" s="18"/>
      <c r="AF136" s="32">
        <f>'Bütçe aylık-TL'!$L$81</f>
        <v>224377119.79354817</v>
      </c>
      <c r="AG136" s="32">
        <f>'gerç aylık-tl'!$L$80</f>
        <v>0</v>
      </c>
      <c r="AH136" s="18"/>
      <c r="AI136" s="32">
        <f>'Bütçe aylık-TL'!$M$81</f>
        <v>181800353.50186503</v>
      </c>
      <c r="AJ136" s="32">
        <f>'gerç aylık-tl'!$M$80</f>
        <v>0</v>
      </c>
      <c r="AK136" s="18"/>
      <c r="AL136" s="33">
        <f>AP136-AO136</f>
        <v>-23340644.798107833</v>
      </c>
      <c r="AM136" s="34">
        <f>AP136/AO136-1</f>
        <v>-9.278122344924089E-2</v>
      </c>
      <c r="AO136" s="44">
        <f>IF($A$1=$B$1,B136,IF($A$1=$E$1,E136,IF($A$1=$H$1,H136,IF($A$1=$K$1,K136,IF($A$1=$N$1,N136,IF($A$1=$Q$1,Q136,IF($A$1=$T$1,T136,IF($A$1=$W$1,W136,IF($A$1=$Z$1,Z136,IF($A$1=$AC$1,AC136,IF($A$1=$AF$1,AF136,IF($A$1=$AI$1,AI136))))))))))))</f>
        <v>251566469.27464929</v>
      </c>
      <c r="AP136" s="44">
        <f>IF($A$1=$B$1,C136,IF($A$1=$E$1,F136,IF($A$1=$H$1,I136,IF($A$1=$K$1,L136,IF($A$1=$N$1,O136,IF($A$1=$Q$1,R136,IF($A$1=$T$1,U136,IF($A$1=$W$1,X136,IF($A$1=$Z$1,AA136,IF($A$1=$AC$1,AD136,IF($A$1=$AF$1,AG136,IF($A$1=$AI$1,AJ136))))))))))))</f>
        <v>228225824.47654146</v>
      </c>
    </row>
    <row r="137" spans="1:42" s="13" customFormat="1" ht="15.5">
      <c r="A137" s="27"/>
      <c r="B137" s="30"/>
      <c r="C137" s="30" t="str">
        <f>IFERROR((C94/#REF!),"")</f>
        <v/>
      </c>
      <c r="D137" s="41"/>
      <c r="E137" s="30"/>
      <c r="F137" s="30" t="str">
        <f>IFERROR((F94/#REF!),"")</f>
        <v/>
      </c>
      <c r="G137" s="41"/>
      <c r="H137" s="30"/>
      <c r="I137" s="30" t="str">
        <f>IFERROR((I94/#REF!),"")</f>
        <v/>
      </c>
      <c r="J137" s="41"/>
      <c r="K137" s="30"/>
      <c r="L137" s="30" t="str">
        <f>IFERROR((L94/#REF!),"")</f>
        <v/>
      </c>
      <c r="M137" s="41"/>
      <c r="N137" s="30"/>
      <c r="O137" s="30" t="str">
        <f>IFERROR((O94/#REF!),"")</f>
        <v/>
      </c>
      <c r="P137" s="41"/>
      <c r="Q137" s="30"/>
      <c r="R137" s="30" t="str">
        <f>IFERROR((R94/#REF!),"")</f>
        <v/>
      </c>
      <c r="S137" s="41"/>
      <c r="T137" s="30"/>
      <c r="U137" s="30" t="str">
        <f>IFERROR((U94/#REF!),"")</f>
        <v/>
      </c>
      <c r="V137" s="41"/>
      <c r="W137" s="30"/>
      <c r="X137" s="30" t="str">
        <f>IFERROR((X94/#REF!),"")</f>
        <v/>
      </c>
      <c r="Y137" s="41"/>
      <c r="Z137" s="30"/>
      <c r="AA137" s="30" t="str">
        <f>IFERROR((AA94/#REF!),"")</f>
        <v/>
      </c>
      <c r="AB137" s="41"/>
      <c r="AC137" s="30"/>
      <c r="AD137" s="30" t="str">
        <f>IFERROR((AD94/#REF!),"")</f>
        <v/>
      </c>
      <c r="AE137" s="41"/>
      <c r="AF137" s="30"/>
      <c r="AG137" s="30" t="str">
        <f>IFERROR((AG94/#REF!),"")</f>
        <v/>
      </c>
      <c r="AH137" s="41"/>
      <c r="AI137" s="30"/>
      <c r="AJ137" s="30" t="str">
        <f>IFERROR((AJ94/#REF!),"")</f>
        <v/>
      </c>
      <c r="AK137" s="41"/>
      <c r="AL137" s="15"/>
      <c r="AM137" s="22"/>
      <c r="AO137" s="44">
        <f>IF($A$1=$B$1,B137,IF($A$1=$E$1,E137,IF($A$1=$H$1,H137,IF($A$1=$K$1,K137,IF($A$1=$N$1,N137,IF($A$1=$Q$1,Q137,IF($A$1=$T$1,T137,IF($A$1=$W$1,W137,IF($A$1=$Z$1,Z137,IF($A$1=$AC$1,AC137,IF($A$1=$AF$1,AF137,IF($A$1=$AI$1,AI137))))))))))))</f>
        <v>0</v>
      </c>
      <c r="AP137" s="44" t="str">
        <f>IF($A$1=$B$1,C137,IF($A$1=$E$1,F137,IF($A$1=$H$1,I137,IF($A$1=$K$1,L137,IF($A$1=$N$1,O137,IF($A$1=$Q$1,R137,IF($A$1=$T$1,U137,IF($A$1=$W$1,X137,IF($A$1=$Z$1,AA137,IF($A$1=$AC$1,AD137,IF($A$1=$AF$1,AG137,IF($A$1=$AI$1,AJ137))))))))))))</f>
        <v/>
      </c>
    </row>
    <row r="138" spans="1:42" s="49" customFormat="1" ht="17">
      <c r="A138" s="47" t="s">
        <v>74</v>
      </c>
      <c r="B138" s="413"/>
      <c r="C138" s="413"/>
      <c r="D138" s="413"/>
      <c r="E138" s="413"/>
      <c r="F138" s="413"/>
      <c r="G138" s="413"/>
      <c r="H138" s="413"/>
      <c r="I138" s="413"/>
      <c r="J138" s="413"/>
      <c r="K138" s="413"/>
      <c r="L138" s="413"/>
      <c r="M138" s="413"/>
      <c r="N138" s="413"/>
      <c r="O138" s="413"/>
      <c r="P138" s="413"/>
      <c r="Q138" s="413"/>
      <c r="R138" s="413"/>
      <c r="S138" s="413"/>
      <c r="T138" s="413"/>
      <c r="U138" s="413"/>
      <c r="V138" s="413"/>
      <c r="W138" s="413"/>
      <c r="X138" s="413"/>
      <c r="Y138" s="413"/>
      <c r="Z138" s="413"/>
      <c r="AA138" s="413"/>
      <c r="AB138" s="413"/>
      <c r="AC138" s="413"/>
      <c r="AD138" s="413"/>
      <c r="AE138" s="413"/>
      <c r="AF138" s="413"/>
      <c r="AG138" s="413"/>
      <c r="AH138" s="413"/>
      <c r="AI138" s="413"/>
      <c r="AJ138" s="413"/>
      <c r="AK138" s="413"/>
      <c r="AL138" s="413"/>
      <c r="AM138" s="48"/>
    </row>
    <row r="139" spans="1:42" ht="15.5">
      <c r="A139" s="26" t="s">
        <v>10</v>
      </c>
      <c r="B139" s="7">
        <f>'Bütçe aylık-TL'!$B$82</f>
        <v>12668425.172622999</v>
      </c>
      <c r="C139" s="7">
        <f>'gerç aylık-tl'!$B$81</f>
        <v>13956851.84</v>
      </c>
      <c r="D139" s="7"/>
      <c r="E139" s="7">
        <f>'Bütçe aylık-TL'!$C$82</f>
        <v>13975140.870215001</v>
      </c>
      <c r="F139" s="7">
        <f>'gerç aylık-tl'!$C$81</f>
        <v>11840579.560000001</v>
      </c>
      <c r="G139" s="7"/>
      <c r="H139" s="7">
        <f>'Bütçe aylık-TL'!$D$82</f>
        <v>13182281.302251</v>
      </c>
      <c r="I139" s="7">
        <f>'gerç aylık-tl'!$D$81</f>
        <v>13701197.48</v>
      </c>
      <c r="J139" s="7"/>
      <c r="K139" s="7">
        <f>'Bütçe aylık-TL'!$E$82</f>
        <v>13472701.393284</v>
      </c>
      <c r="L139" s="7">
        <f>'gerç aylık-tl'!$E$81</f>
        <v>5897474.0599999996</v>
      </c>
      <c r="M139" s="7"/>
      <c r="N139" s="7">
        <f>'Bütçe aylık-TL'!$F$82</f>
        <v>14284383.014380001</v>
      </c>
      <c r="O139" s="7">
        <f>'gerç aylık-tl'!$F$81</f>
        <v>18659406.899999999</v>
      </c>
      <c r="P139" s="7"/>
      <c r="Q139" s="7">
        <f>'Bütçe aylık-TL'!$G$82</f>
        <v>14843056.016159</v>
      </c>
      <c r="R139" s="7">
        <f>'gerç aylık-tl'!$G$81</f>
        <v>13736995.23</v>
      </c>
      <c r="S139" s="7"/>
      <c r="T139" s="7">
        <f>'Bütçe aylık-TL'!$H$82</f>
        <v>16480140.560875</v>
      </c>
      <c r="U139" s="7">
        <f>'gerç aylık-tl'!$H$81</f>
        <v>16502914.789999999</v>
      </c>
      <c r="V139" s="7"/>
      <c r="W139" s="7">
        <f>'Bütçe aylık-TL'!$I$82</f>
        <v>13927800.699508</v>
      </c>
      <c r="X139" s="7">
        <f>'gerç aylık-tl'!$I$81</f>
        <v>13992894.779999999</v>
      </c>
      <c r="Y139" s="7"/>
      <c r="Z139" s="7">
        <f>'Bütçe aylık-TL'!$J$82</f>
        <v>21047864.357666001</v>
      </c>
      <c r="AA139" s="7">
        <f>'gerç aylık-tl'!$J$81</f>
        <v>23326272.559999999</v>
      </c>
      <c r="AB139" s="7"/>
      <c r="AC139" s="7">
        <f>'Bütçe aylık-TL'!$K$82</f>
        <v>19416264.287420001</v>
      </c>
      <c r="AD139" s="7">
        <f>'gerç aylık-tl'!$K$81</f>
        <v>0</v>
      </c>
      <c r="AE139" s="7"/>
      <c r="AF139" s="7">
        <f>'Bütçe aylık-TL'!$L$82</f>
        <v>17485003.941004001</v>
      </c>
      <c r="AG139" s="7">
        <f>'gerç aylık-tl'!$L$81</f>
        <v>0</v>
      </c>
      <c r="AH139" s="7"/>
      <c r="AI139" s="7">
        <f>'Bütçe aylık-TL'!$M$82</f>
        <v>-9624355.8119709995</v>
      </c>
      <c r="AJ139" s="7">
        <f>'gerç aylık-tl'!$M$81</f>
        <v>0</v>
      </c>
      <c r="AK139" s="7"/>
      <c r="AL139" s="21">
        <f t="shared" ref="AL139:AL146" si="78">AP139-AO139</f>
        <v>2278408.2023339979</v>
      </c>
      <c r="AM139" s="22">
        <f t="shared" ref="AM139:AM146" si="79">AP139/AO139-1</f>
        <v>0.10824890181811542</v>
      </c>
      <c r="AO139" s="44">
        <f t="shared" ref="AO139:AO147" si="80">IF($A$1=$B$1,B139,IF($A$1=$E$1,E139,IF($A$1=$H$1,H139,IF($A$1=$K$1,K139,IF($A$1=$N$1,N139,IF($A$1=$Q$1,Q139,IF($A$1=$T$1,T139,IF($A$1=$W$1,W139,IF($A$1=$Z$1,Z139,IF($A$1=$AC$1,AC139,IF($A$1=$AF$1,AF139,IF($A$1=$AI$1,AI139))))))))))))</f>
        <v>21047864.357666001</v>
      </c>
      <c r="AP139" s="44">
        <f t="shared" ref="AP139:AP147" si="81">IF($A$1=$B$1,C139,IF($A$1=$E$1,F139,IF($A$1=$H$1,I139,IF($A$1=$K$1,L139,IF($A$1=$N$1,O139,IF($A$1=$Q$1,R139,IF($A$1=$T$1,U139,IF($A$1=$W$1,X139,IF($A$1=$Z$1,AA139,IF($A$1=$AC$1,AD139,IF($A$1=$AF$1,AG139,IF($A$1=$AI$1,AJ139))))))))))))</f>
        <v>23326272.559999999</v>
      </c>
    </row>
    <row r="140" spans="1:42" ht="15.5">
      <c r="A140" s="26" t="s">
        <v>11</v>
      </c>
      <c r="B140" s="7">
        <f>'Bütçe aylık-TL'!$B$83</f>
        <v>-691307.67016500002</v>
      </c>
      <c r="C140" s="7">
        <f>'gerç aylık-tl'!$B$82</f>
        <v>-86887.384082000004</v>
      </c>
      <c r="D140" s="7"/>
      <c r="E140" s="7">
        <f>'Bütçe aylık-TL'!$C$83</f>
        <v>3712711.0803769999</v>
      </c>
      <c r="F140" s="7">
        <f>'gerç aylık-tl'!$C$82</f>
        <v>1948697.924876</v>
      </c>
      <c r="G140" s="7"/>
      <c r="H140" s="7">
        <f>'Bütçe aylık-TL'!$D$83</f>
        <v>4489602.5197369996</v>
      </c>
      <c r="I140" s="7">
        <f>'gerç aylık-tl'!$D$82</f>
        <v>1225585.95254</v>
      </c>
      <c r="J140" s="7"/>
      <c r="K140" s="7">
        <f>'Bütçe aylık-TL'!$E$83</f>
        <v>7739421.4792529996</v>
      </c>
      <c r="L140" s="7">
        <f>'gerç aylık-tl'!$E$82</f>
        <v>51830.596750999997</v>
      </c>
      <c r="M140" s="7"/>
      <c r="N140" s="7">
        <f>'Bütçe aylık-TL'!$F$83</f>
        <v>9311215.9341679998</v>
      </c>
      <c r="O140" s="7">
        <f>'gerç aylık-tl'!$F$82</f>
        <v>1794192.41518</v>
      </c>
      <c r="P140" s="7"/>
      <c r="Q140" s="7">
        <f>'Bütçe aylık-TL'!$G$83</f>
        <v>8582651.7082129996</v>
      </c>
      <c r="R140" s="7">
        <f>'gerç aylık-tl'!$G$82</f>
        <v>1517123.4935320001</v>
      </c>
      <c r="S140" s="7"/>
      <c r="T140" s="7">
        <f>'Bütçe aylık-TL'!$H$83</f>
        <v>6936400.9827180002</v>
      </c>
      <c r="U140" s="7">
        <f>'gerç aylık-tl'!$H$82</f>
        <v>2899329.6578629999</v>
      </c>
      <c r="V140" s="7"/>
      <c r="W140" s="7">
        <f>'Bütçe aylık-TL'!$I$83</f>
        <v>2180111.0195050002</v>
      </c>
      <c r="X140" s="7">
        <f>'gerç aylık-tl'!$I$82</f>
        <v>1285096.9786990001</v>
      </c>
      <c r="Y140" s="7"/>
      <c r="Z140" s="7">
        <f>'Bütçe aylık-TL'!$J$83</f>
        <v>3600465.036535</v>
      </c>
      <c r="AA140" s="7">
        <f>'gerç aylık-tl'!$J$82</f>
        <v>-1131547.6495670001</v>
      </c>
      <c r="AB140" s="7"/>
      <c r="AC140" s="7">
        <f>'Bütçe aylık-TL'!$K$83</f>
        <v>1642590.6429979999</v>
      </c>
      <c r="AD140" s="7">
        <f>'gerç aylık-tl'!$K$82</f>
        <v>0</v>
      </c>
      <c r="AE140" s="7"/>
      <c r="AF140" s="7">
        <f>'Bütçe aylık-TL'!$L$83</f>
        <v>429011.97193399997</v>
      </c>
      <c r="AG140" s="7">
        <f>'gerç aylık-tl'!$L$82</f>
        <v>0</v>
      </c>
      <c r="AH140" s="7"/>
      <c r="AI140" s="7">
        <f>'Bütçe aylık-TL'!$M$83</f>
        <v>-1345431.5125450001</v>
      </c>
      <c r="AJ140" s="7">
        <f>'gerç aylık-tl'!$M$82</f>
        <v>0</v>
      </c>
      <c r="AK140" s="7"/>
      <c r="AL140" s="21">
        <f t="shared" si="78"/>
        <v>-4732012.6861020001</v>
      </c>
      <c r="AM140" s="22">
        <f t="shared" si="79"/>
        <v>-1.3142781940901651</v>
      </c>
      <c r="AO140" s="44">
        <f t="shared" si="80"/>
        <v>3600465.036535</v>
      </c>
      <c r="AP140" s="44">
        <f t="shared" si="81"/>
        <v>-1131547.6495670001</v>
      </c>
    </row>
    <row r="141" spans="1:42" ht="15.5">
      <c r="A141" s="26" t="s">
        <v>12</v>
      </c>
      <c r="B141" s="7">
        <f>'Bütçe aylık-TL'!$B$84</f>
        <v>-1617374.493914</v>
      </c>
      <c r="C141" s="7">
        <f>'gerç aylık-tl'!$B$83</f>
        <v>1251616.4786</v>
      </c>
      <c r="D141" s="7"/>
      <c r="E141" s="7">
        <f>'Bütçe aylık-TL'!$C$84</f>
        <v>114873.633929</v>
      </c>
      <c r="F141" s="7">
        <f>'gerç aylık-tl'!$C$83</f>
        <v>1193540.9215559999</v>
      </c>
      <c r="G141" s="7"/>
      <c r="H141" s="7">
        <f>'Bütçe aylık-TL'!$D$84</f>
        <v>2073419.5176200001</v>
      </c>
      <c r="I141" s="7">
        <f>'gerç aylık-tl'!$D$83</f>
        <v>407802.22</v>
      </c>
      <c r="J141" s="7"/>
      <c r="K141" s="7">
        <f>'Bütçe aylık-TL'!$E$84</f>
        <v>1977619.1176710001</v>
      </c>
      <c r="L141" s="7">
        <f>'gerç aylık-tl'!$E$83</f>
        <v>971613.05457100004</v>
      </c>
      <c r="M141" s="7"/>
      <c r="N141" s="7">
        <f>'Bütçe aylık-TL'!$F$84</f>
        <v>4217925.2005820004</v>
      </c>
      <c r="O141" s="7">
        <f>'gerç aylık-tl'!$F$83</f>
        <v>1464207.741959</v>
      </c>
      <c r="P141" s="7"/>
      <c r="Q141" s="7">
        <f>'Bütçe aylık-TL'!$G$84</f>
        <v>4282439.2797870003</v>
      </c>
      <c r="R141" s="7">
        <f>'gerç aylık-tl'!$G$83</f>
        <v>742586</v>
      </c>
      <c r="S141" s="7"/>
      <c r="T141" s="7">
        <f>'Bütçe aylık-TL'!$H$84</f>
        <v>5297477.2810399998</v>
      </c>
      <c r="U141" s="7">
        <f>'gerç aylık-tl'!$H$83</f>
        <v>1358967.9661359999</v>
      </c>
      <c r="V141" s="7"/>
      <c r="W141" s="7">
        <f>'Bütçe aylık-TL'!$I$84</f>
        <v>4203892.4166759998</v>
      </c>
      <c r="X141" s="7">
        <f>'gerç aylık-tl'!$I$83</f>
        <v>1064466.437377</v>
      </c>
      <c r="Y141" s="7"/>
      <c r="Z141" s="7">
        <f>'Bütçe aylık-TL'!$J$84</f>
        <v>3286000.9341640002</v>
      </c>
      <c r="AA141" s="7">
        <f>'gerç aylık-tl'!$J$83</f>
        <v>2669788.4757289998</v>
      </c>
      <c r="AB141" s="7"/>
      <c r="AC141" s="7">
        <f>'Bütçe aylık-TL'!$K$84</f>
        <v>4197133.6392599996</v>
      </c>
      <c r="AD141" s="7">
        <f>'gerç aylık-tl'!$K$83</f>
        <v>0</v>
      </c>
      <c r="AE141" s="7"/>
      <c r="AF141" s="7">
        <f>'Bütçe aylık-TL'!$L$84</f>
        <v>5093841.5521560004</v>
      </c>
      <c r="AG141" s="7">
        <f>'gerç aylık-tl'!$L$83</f>
        <v>0</v>
      </c>
      <c r="AH141" s="7"/>
      <c r="AI141" s="7">
        <f>'Bütçe aylık-TL'!$M$84</f>
        <v>2195609.7766470001</v>
      </c>
      <c r="AJ141" s="7">
        <f>'gerç aylık-tl'!$M$83</f>
        <v>0</v>
      </c>
      <c r="AK141" s="7"/>
      <c r="AL141" s="21">
        <f t="shared" si="78"/>
        <v>-616212.45843500039</v>
      </c>
      <c r="AM141" s="22">
        <f t="shared" si="79"/>
        <v>-0.18752656215898877</v>
      </c>
      <c r="AO141" s="44">
        <f t="shared" si="80"/>
        <v>3286000.9341640002</v>
      </c>
      <c r="AP141" s="44">
        <f t="shared" si="81"/>
        <v>2669788.4757289998</v>
      </c>
    </row>
    <row r="142" spans="1:42" ht="15.5">
      <c r="A142" s="26" t="s">
        <v>13</v>
      </c>
      <c r="B142" s="7">
        <f>'Bütçe aylık-TL'!$B$85</f>
        <v>61137469.857529998</v>
      </c>
      <c r="C142" s="7">
        <f>'gerç aylık-tl'!$B$84</f>
        <v>47654214.874415003</v>
      </c>
      <c r="D142" s="7"/>
      <c r="E142" s="7">
        <f>'Bütçe aylık-TL'!$C$85</f>
        <v>52570498.017240003</v>
      </c>
      <c r="F142" s="7">
        <f>'gerç aylık-tl'!$C$84</f>
        <v>31707078.805106003</v>
      </c>
      <c r="G142" s="7"/>
      <c r="H142" s="7">
        <f>'Bütçe aylık-TL'!$D$85</f>
        <v>59315931.357018001</v>
      </c>
      <c r="I142" s="7">
        <f>'gerç aylık-tl'!$D$84</f>
        <v>-13413929.99117</v>
      </c>
      <c r="J142" s="7"/>
      <c r="K142" s="7">
        <f>'Bütçe aylık-TL'!$E$85</f>
        <v>53276933.648883998</v>
      </c>
      <c r="L142" s="7">
        <f>'gerç aylık-tl'!$E$84</f>
        <v>-19419305.347573999</v>
      </c>
      <c r="M142" s="7"/>
      <c r="N142" s="7">
        <f>'Bütçe aylık-TL'!$F$85</f>
        <v>60399837.349169999</v>
      </c>
      <c r="O142" s="7">
        <f>'gerç aylık-tl'!$F$84</f>
        <v>-3459659.757369</v>
      </c>
      <c r="P142" s="7"/>
      <c r="Q142" s="7">
        <f>'Bütçe aylık-TL'!$G$85</f>
        <v>72792997.251050994</v>
      </c>
      <c r="R142" s="7">
        <f>'gerç aylık-tl'!$G$84</f>
        <v>-31445500.872637</v>
      </c>
      <c r="S142" s="7"/>
      <c r="T142" s="7">
        <f>'Bütçe aylık-TL'!$H$85</f>
        <v>93479536.485378996</v>
      </c>
      <c r="U142" s="7">
        <f>'gerç aylık-tl'!$H$84</f>
        <v>-11169745.784941001</v>
      </c>
      <c r="V142" s="7"/>
      <c r="W142" s="7">
        <f>'Bütçe aylık-TL'!$I$85</f>
        <v>101645298.99656001</v>
      </c>
      <c r="X142" s="7">
        <f>'gerç aylık-tl'!$I$84</f>
        <v>41491135.714625001</v>
      </c>
      <c r="Y142" s="7"/>
      <c r="Z142" s="7">
        <f>'Bütçe aylık-TL'!$J$85</f>
        <v>125496891.081358</v>
      </c>
      <c r="AA142" s="7">
        <f>'gerç aylık-tl'!$J$84</f>
        <v>13261490.464506</v>
      </c>
      <c r="AB142" s="7"/>
      <c r="AC142" s="7">
        <f>'Bütçe aylık-TL'!$K$85</f>
        <v>157007827.41064799</v>
      </c>
      <c r="AD142" s="7">
        <f>'gerç aylık-tl'!$K$84</f>
        <v>0</v>
      </c>
      <c r="AE142" s="7"/>
      <c r="AF142" s="7">
        <f>'Bütçe aylık-TL'!$L$85</f>
        <v>165429244.974843</v>
      </c>
      <c r="AG142" s="7">
        <f>'gerç aylık-tl'!$L$84</f>
        <v>0</v>
      </c>
      <c r="AH142" s="7"/>
      <c r="AI142" s="7">
        <f>'Bütçe aylık-TL'!$M$85</f>
        <v>199611155.557419</v>
      </c>
      <c r="AJ142" s="7">
        <f>'gerç aylık-tl'!$M$84</f>
        <v>0</v>
      </c>
      <c r="AK142" s="7"/>
      <c r="AL142" s="21">
        <f t="shared" si="78"/>
        <v>-112235400.616852</v>
      </c>
      <c r="AM142" s="22">
        <f t="shared" si="79"/>
        <v>-0.89432813553995727</v>
      </c>
      <c r="AO142" s="44">
        <f t="shared" si="80"/>
        <v>125496891.081358</v>
      </c>
      <c r="AP142" s="44">
        <f t="shared" si="81"/>
        <v>13261490.464506</v>
      </c>
    </row>
    <row r="143" spans="1:42" s="1" customFormat="1" ht="15.5">
      <c r="A143" s="26" t="s">
        <v>14</v>
      </c>
      <c r="B143" s="7">
        <f>'Bütçe aylık-TL'!$B$86</f>
        <v>19835632</v>
      </c>
      <c r="C143" s="7">
        <f>'gerç aylık-tl'!$B$85</f>
        <v>15253695.772640999</v>
      </c>
      <c r="D143" s="8"/>
      <c r="E143" s="7">
        <f>'Bütçe aylık-TL'!$C$86</f>
        <v>21744075.380410001</v>
      </c>
      <c r="F143" s="7">
        <f>'gerç aylık-tl'!$C$85</f>
        <v>22768592.068091996</v>
      </c>
      <c r="G143" s="8"/>
      <c r="H143" s="7">
        <f>'Bütçe aylık-TL'!$D$86</f>
        <v>20832959</v>
      </c>
      <c r="I143" s="7">
        <f>'gerç aylık-tl'!$D$85</f>
        <v>24634569.955267001</v>
      </c>
      <c r="J143" s="8"/>
      <c r="K143" s="7">
        <f>'Bütçe aylık-TL'!$E$86</f>
        <v>7447146.250229124</v>
      </c>
      <c r="L143" s="7">
        <f>'gerç aylık-tl'!$E$85</f>
        <v>2552850.9</v>
      </c>
      <c r="M143" s="8"/>
      <c r="N143" s="7">
        <f>'Bütçe aylık-TL'!$F$86</f>
        <v>14668793.170977645</v>
      </c>
      <c r="O143" s="7">
        <f>'gerç aylık-tl'!$F$85</f>
        <v>9422748.5388999991</v>
      </c>
      <c r="P143" s="8"/>
      <c r="Q143" s="7">
        <f>'Bütçe aylık-TL'!$G$86</f>
        <v>11222206.381800763</v>
      </c>
      <c r="R143" s="7">
        <f>'gerç aylık-tl'!$G$85</f>
        <v>12229033.380000001</v>
      </c>
      <c r="S143" s="8"/>
      <c r="T143" s="7">
        <f>'Bütçe aylık-TL'!$H$86</f>
        <v>17541652.44463703</v>
      </c>
      <c r="U143" s="7">
        <f>'gerç aylık-tl'!$H$85</f>
        <v>23469044.050000001</v>
      </c>
      <c r="V143" s="8"/>
      <c r="W143" s="7">
        <f>'Bütçe aylık-TL'!$I$86</f>
        <v>19591777.242124259</v>
      </c>
      <c r="X143" s="7">
        <f>'gerç aylık-tl'!$I$85</f>
        <v>25244665.27</v>
      </c>
      <c r="Y143" s="8"/>
      <c r="Z143" s="7">
        <f>'Bütçe aylık-TL'!$J$86</f>
        <v>19578534.958905715</v>
      </c>
      <c r="AA143" s="7">
        <f>'gerç aylık-tl'!$J$85</f>
        <v>29312167.434147999</v>
      </c>
      <c r="AB143" s="8"/>
      <c r="AC143" s="7">
        <f>'Bütçe aylık-TL'!$K$86</f>
        <v>27367663.508679729</v>
      </c>
      <c r="AD143" s="7">
        <f>'gerç aylık-tl'!$K$85</f>
        <v>0</v>
      </c>
      <c r="AE143" s="8"/>
      <c r="AF143" s="7">
        <f>'Bütçe aylık-TL'!$L$86</f>
        <v>22779261.778928805</v>
      </c>
      <c r="AG143" s="7">
        <f>'gerç aylık-tl'!$L$85</f>
        <v>0</v>
      </c>
      <c r="AH143" s="8"/>
      <c r="AI143" s="7">
        <f>'Bütçe aylık-TL'!$M$86</f>
        <v>18143225.620183848</v>
      </c>
      <c r="AJ143" s="7">
        <f>'gerç aylık-tl'!$M$85</f>
        <v>0</v>
      </c>
      <c r="AK143" s="8"/>
      <c r="AL143" s="21">
        <f t="shared" si="78"/>
        <v>9733632.4752422832</v>
      </c>
      <c r="AM143" s="22">
        <f t="shared" si="79"/>
        <v>0.49715836734835639</v>
      </c>
      <c r="AO143" s="44">
        <f t="shared" si="80"/>
        <v>19578534.958905715</v>
      </c>
      <c r="AP143" s="44">
        <f t="shared" si="81"/>
        <v>29312167.434147999</v>
      </c>
    </row>
    <row r="144" spans="1:42" ht="15.5">
      <c r="A144" s="26" t="s">
        <v>15</v>
      </c>
      <c r="B144" s="7">
        <f>'Bütçe aylık-TL'!$B$87</f>
        <v>37595744.946942374</v>
      </c>
      <c r="C144" s="7">
        <f>'gerç aylık-tl'!$B$86</f>
        <v>42835132.281600773</v>
      </c>
      <c r="D144" s="7"/>
      <c r="E144" s="7">
        <f>'Bütçe aylık-TL'!$C$87</f>
        <v>55621535.742727757</v>
      </c>
      <c r="F144" s="7">
        <f>'gerç aylık-tl'!$C$86</f>
        <v>62015995.460805297</v>
      </c>
      <c r="G144" s="7"/>
      <c r="H144" s="7">
        <f>'Bütçe aylık-TL'!$D$87</f>
        <v>116955093.82903372</v>
      </c>
      <c r="I144" s="7">
        <f>'gerç aylık-tl'!$D$86</f>
        <v>85430619.624135509</v>
      </c>
      <c r="J144" s="7"/>
      <c r="K144" s="7">
        <f>'Bütçe aylık-TL'!$E$87</f>
        <v>34897044.357835308</v>
      </c>
      <c r="L144" s="7">
        <f>'gerç aylık-tl'!$E$86</f>
        <v>74599160.303595871</v>
      </c>
      <c r="M144" s="7"/>
      <c r="N144" s="7">
        <f>'Bütçe aylık-TL'!$F$87</f>
        <v>64059008.776805215</v>
      </c>
      <c r="O144" s="7">
        <f>'gerç aylık-tl'!$F$86</f>
        <v>87595878.136338264</v>
      </c>
      <c r="P144" s="7"/>
      <c r="Q144" s="7">
        <f>'Bütçe aylık-TL'!$G$87</f>
        <v>97801847.714314312</v>
      </c>
      <c r="R144" s="7">
        <f>'gerç aylık-tl'!$G$86</f>
        <v>91936021.338294715</v>
      </c>
      <c r="S144" s="7"/>
      <c r="T144" s="7">
        <f>'Bütçe aylık-TL'!$H$87</f>
        <v>39168957.309402011</v>
      </c>
      <c r="U144" s="7">
        <f>'gerç aylık-tl'!$H$86</f>
        <v>88028042.690518454</v>
      </c>
      <c r="V144" s="7"/>
      <c r="W144" s="7">
        <f>'Bütçe aylık-TL'!$I$87</f>
        <v>23744822.258941121</v>
      </c>
      <c r="X144" s="7">
        <f>'gerç aylık-tl'!$I$86</f>
        <v>71700939.189752564</v>
      </c>
      <c r="Y144" s="7"/>
      <c r="Z144" s="7">
        <f>'Bütçe aylık-TL'!$J$87</f>
        <v>148034882.58629799</v>
      </c>
      <c r="AA144" s="7">
        <f>'gerç aylık-tl'!$J$86</f>
        <v>138538142.45068803</v>
      </c>
      <c r="AB144" s="7"/>
      <c r="AC144" s="7">
        <f>'Bütçe aylık-TL'!$K$87</f>
        <v>83981163.042076394</v>
      </c>
      <c r="AD144" s="7">
        <f>'gerç aylık-tl'!$K$86</f>
        <v>0</v>
      </c>
      <c r="AE144" s="7"/>
      <c r="AF144" s="7">
        <f>'Bütçe aylık-TL'!$L$87</f>
        <v>85004880.058176517</v>
      </c>
      <c r="AG144" s="7">
        <f>'gerç aylık-tl'!$L$86</f>
        <v>0</v>
      </c>
      <c r="AH144" s="7"/>
      <c r="AI144" s="7">
        <f>'Bütçe aylık-TL'!$M$87</f>
        <v>94105533.260774657</v>
      </c>
      <c r="AJ144" s="7">
        <f>'gerç aylık-tl'!$M$86</f>
        <v>0</v>
      </c>
      <c r="AK144" s="7"/>
      <c r="AL144" s="21">
        <f t="shared" si="78"/>
        <v>-9496740.1356099546</v>
      </c>
      <c r="AM144" s="22">
        <f t="shared" si="79"/>
        <v>-6.4152042881337579E-2</v>
      </c>
      <c r="AO144" s="44">
        <f t="shared" si="80"/>
        <v>148034882.58629799</v>
      </c>
      <c r="AP144" s="44">
        <f t="shared" si="81"/>
        <v>138538142.45068803</v>
      </c>
    </row>
    <row r="145" spans="1:42" ht="15.5">
      <c r="A145" s="26" t="s">
        <v>16</v>
      </c>
      <c r="B145" s="7">
        <f>'Bütçe aylık-TL'!$B$88</f>
        <v>57463052.793556578</v>
      </c>
      <c r="C145" s="7">
        <f>'gerç aylık-tl'!$B$87</f>
        <v>59049518.375575617</v>
      </c>
      <c r="D145" s="7"/>
      <c r="E145" s="7">
        <f>'Bütçe aylık-TL'!$C$88</f>
        <v>51672440.861370914</v>
      </c>
      <c r="F145" s="7">
        <f>'gerç aylık-tl'!$C$87</f>
        <v>81742354.95577918</v>
      </c>
      <c r="G145" s="7"/>
      <c r="H145" s="7">
        <f>'Bütçe aylık-TL'!$D$88</f>
        <v>75002477.354281589</v>
      </c>
      <c r="I145" s="7">
        <f>'gerç aylık-tl'!$D$87</f>
        <v>81937923.487343237</v>
      </c>
      <c r="J145" s="7"/>
      <c r="K145" s="7">
        <f>'Bütçe aylık-TL'!$E$88</f>
        <v>74452722.364351705</v>
      </c>
      <c r="L145" s="7">
        <f>'gerç aylık-tl'!$E$87</f>
        <v>105364886.2975962</v>
      </c>
      <c r="M145" s="7"/>
      <c r="N145" s="7">
        <f>'Bütçe aylık-TL'!$F$88</f>
        <v>79962391.112778544</v>
      </c>
      <c r="O145" s="7">
        <f>'gerç aylık-tl'!$F$87</f>
        <v>82959863.996292919</v>
      </c>
      <c r="P145" s="7"/>
      <c r="Q145" s="7">
        <f>'Bütçe aylık-TL'!$G$88</f>
        <v>66579201.252147406</v>
      </c>
      <c r="R145" s="7">
        <f>'gerç aylık-tl'!$G$87</f>
        <v>83276167.535326511</v>
      </c>
      <c r="S145" s="7"/>
      <c r="T145" s="7">
        <f>'Bütçe aylık-TL'!$H$88</f>
        <v>59722137.636937723</v>
      </c>
      <c r="U145" s="7">
        <f>'gerç aylık-tl'!$H$87</f>
        <v>112367535.99064864</v>
      </c>
      <c r="V145" s="7"/>
      <c r="W145" s="7">
        <f>'Bütçe aylık-TL'!$I$88</f>
        <v>39324432.434504993</v>
      </c>
      <c r="X145" s="7">
        <f>'gerç aylık-tl'!$I$87</f>
        <v>80772464.874147639</v>
      </c>
      <c r="Y145" s="7"/>
      <c r="Z145" s="7">
        <f>'Bütçe aylık-TL'!$J$88</f>
        <v>96944704.70049791</v>
      </c>
      <c r="AA145" s="7">
        <f>'gerç aylık-tl'!$J$87</f>
        <v>150669610.57105201</v>
      </c>
      <c r="AB145" s="7"/>
      <c r="AC145" s="7">
        <f>'Bütçe aylık-TL'!$K$88</f>
        <v>90149889.399923116</v>
      </c>
      <c r="AD145" s="7">
        <f>'gerç aylık-tl'!$K$87</f>
        <v>0</v>
      </c>
      <c r="AE145" s="7"/>
      <c r="AF145" s="7">
        <f>'Bütçe aylık-TL'!$L$88</f>
        <v>86123603.933922082</v>
      </c>
      <c r="AG145" s="7">
        <f>'gerç aylık-tl'!$L$87</f>
        <v>0</v>
      </c>
      <c r="AH145" s="7"/>
      <c r="AI145" s="7">
        <f>'Bütçe aylık-TL'!$M$88</f>
        <v>55484678.004174508</v>
      </c>
      <c r="AJ145" s="7">
        <f>'gerç aylık-tl'!$M$87</f>
        <v>0</v>
      </c>
      <c r="AK145" s="7"/>
      <c r="AL145" s="21">
        <f t="shared" si="78"/>
        <v>53724905.870554104</v>
      </c>
      <c r="AM145" s="22">
        <f t="shared" si="79"/>
        <v>0.55418092237768368</v>
      </c>
      <c r="AO145" s="44">
        <f t="shared" si="80"/>
        <v>96944704.70049791</v>
      </c>
      <c r="AP145" s="44">
        <f t="shared" si="81"/>
        <v>150669610.57105201</v>
      </c>
    </row>
    <row r="146" spans="1:42" ht="15.5">
      <c r="A146" s="26" t="s">
        <v>17</v>
      </c>
      <c r="B146" s="7">
        <f>'Bütçe aylık-TL'!$B$89</f>
        <v>95677054.763265803</v>
      </c>
      <c r="C146" s="7">
        <f>'gerç aylık-tl'!$B$88</f>
        <v>100932814.54745452</v>
      </c>
      <c r="D146" s="7"/>
      <c r="E146" s="7">
        <f>'Bütçe aylık-TL'!$C$89</f>
        <v>100702233.82338993</v>
      </c>
      <c r="F146" s="7">
        <f>'gerç aylık-tl'!$C$88</f>
        <v>51980708.311495796</v>
      </c>
      <c r="G146" s="7"/>
      <c r="H146" s="7">
        <f>'Bütçe aylık-TL'!$D$89</f>
        <v>90932942.424461737</v>
      </c>
      <c r="I146" s="7">
        <f>'gerç aylık-tl'!$D$88</f>
        <v>79164285.59526968</v>
      </c>
      <c r="J146" s="7"/>
      <c r="K146" s="7">
        <f>'Bütçe aylık-TL'!$E$89</f>
        <v>83943661.921436384</v>
      </c>
      <c r="L146" s="7">
        <f>'gerç aylık-tl'!$E$88</f>
        <v>77403451.151761308</v>
      </c>
      <c r="M146" s="7"/>
      <c r="N146" s="7">
        <f>'Bütçe aylık-TL'!$F$89</f>
        <v>123233223.29439041</v>
      </c>
      <c r="O146" s="7">
        <f>'gerç aylık-tl'!$F$88</f>
        <v>153609467.70726833</v>
      </c>
      <c r="P146" s="7"/>
      <c r="Q146" s="7">
        <f>'Bütçe aylık-TL'!$G$89</f>
        <v>83358835.80889675</v>
      </c>
      <c r="R146" s="7">
        <f>'gerç aylık-tl'!$G$88</f>
        <v>98719557.850414261</v>
      </c>
      <c r="S146" s="7"/>
      <c r="T146" s="7">
        <f>'Bütçe aylık-TL'!$H$89</f>
        <v>131890831.95375891</v>
      </c>
      <c r="U146" s="7">
        <f>'gerç aylık-tl'!$H$88</f>
        <v>115559159.18461065</v>
      </c>
      <c r="V146" s="7"/>
      <c r="W146" s="7">
        <f>'Bütçe aylık-TL'!$I$89</f>
        <v>50287680.366452754</v>
      </c>
      <c r="X146" s="7">
        <f>'gerç aylık-tl'!$I$88</f>
        <v>58948486.659464091</v>
      </c>
      <c r="Y146" s="7"/>
      <c r="Z146" s="7">
        <f>'Bütçe aylık-TL'!$J$89</f>
        <v>169025334.03865105</v>
      </c>
      <c r="AA146" s="7">
        <f>'gerç aylık-tl'!$J$88</f>
        <v>176621866.80555457</v>
      </c>
      <c r="AB146" s="7"/>
      <c r="AC146" s="7">
        <f>'Bütçe aylık-TL'!$K$89</f>
        <v>143119666.08779895</v>
      </c>
      <c r="AD146" s="7">
        <f>'gerç aylık-tl'!$K$88</f>
        <v>0</v>
      </c>
      <c r="AE146" s="7"/>
      <c r="AF146" s="7">
        <f>'Bütçe aylık-TL'!$L$89</f>
        <v>144086165.07526502</v>
      </c>
      <c r="AG146" s="7">
        <f>'gerç aylık-tl'!$L$88</f>
        <v>0</v>
      </c>
      <c r="AH146" s="7"/>
      <c r="AI146" s="7">
        <f>'Bütçe aylık-TL'!$M$89</f>
        <v>109091735.18178301</v>
      </c>
      <c r="AJ146" s="7">
        <f>'gerç aylık-tl'!$M$88</f>
        <v>0</v>
      </c>
      <c r="AK146" s="7"/>
      <c r="AL146" s="21">
        <f t="shared" si="78"/>
        <v>7596532.7669035196</v>
      </c>
      <c r="AM146" s="22">
        <f t="shared" si="79"/>
        <v>4.4943160799590043E-2</v>
      </c>
      <c r="AO146" s="44">
        <f t="shared" si="80"/>
        <v>169025334.03865105</v>
      </c>
      <c r="AP146" s="44">
        <f t="shared" si="81"/>
        <v>176621866.80555457</v>
      </c>
    </row>
    <row r="147" spans="1:42" ht="15.5">
      <c r="A147" s="26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21"/>
      <c r="AM147" s="22"/>
      <c r="AO147" s="44">
        <f t="shared" si="80"/>
        <v>0</v>
      </c>
      <c r="AP147" s="44">
        <f t="shared" si="81"/>
        <v>0</v>
      </c>
    </row>
    <row r="148" spans="1:42">
      <c r="A148" s="2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5"/>
    </row>
    <row r="149" spans="1:42" s="49" customFormat="1" ht="17">
      <c r="A149" s="47" t="s">
        <v>75</v>
      </c>
      <c r="B149" s="413"/>
      <c r="C149" s="413"/>
      <c r="D149" s="413"/>
      <c r="E149" s="413"/>
      <c r="F149" s="413"/>
      <c r="G149" s="413"/>
      <c r="H149" s="413"/>
      <c r="I149" s="413"/>
      <c r="J149" s="413"/>
      <c r="K149" s="413"/>
      <c r="L149" s="413"/>
      <c r="M149" s="413"/>
      <c r="N149" s="413"/>
      <c r="O149" s="413"/>
      <c r="P149" s="413"/>
      <c r="Q149" s="413"/>
      <c r="R149" s="413"/>
      <c r="S149" s="413"/>
      <c r="T149" s="413"/>
      <c r="U149" s="413"/>
      <c r="V149" s="413"/>
      <c r="W149" s="413"/>
      <c r="X149" s="413"/>
      <c r="Y149" s="413"/>
      <c r="Z149" s="413"/>
      <c r="AA149" s="413"/>
      <c r="AB149" s="413"/>
      <c r="AC149" s="413"/>
      <c r="AD149" s="413"/>
      <c r="AE149" s="413"/>
      <c r="AF149" s="413"/>
      <c r="AG149" s="413"/>
      <c r="AH149" s="413"/>
      <c r="AI149" s="413"/>
      <c r="AJ149" s="413"/>
      <c r="AK149" s="413"/>
      <c r="AL149" s="413"/>
      <c r="AM149" s="48"/>
    </row>
    <row r="150" spans="1:42" s="13" customFormat="1" ht="15.5">
      <c r="A150" s="26" t="s">
        <v>10</v>
      </c>
      <c r="B150" s="12">
        <f>B139/B9</f>
        <v>0.47723387197144063</v>
      </c>
      <c r="C150" s="12">
        <f>C139/C9</f>
        <v>0.50411919491446466</v>
      </c>
      <c r="D150" s="41"/>
      <c r="E150" s="12">
        <f>E139/E9</f>
        <v>0.5096797491272832</v>
      </c>
      <c r="F150" s="12">
        <f>F139/F9</f>
        <v>0.43466123698665976</v>
      </c>
      <c r="G150" s="41"/>
      <c r="H150" s="12">
        <f>H139/H9</f>
        <v>0.42076650690351319</v>
      </c>
      <c r="I150" s="12">
        <f>I139/I9</f>
        <v>0.43447237502175978</v>
      </c>
      <c r="J150" s="41"/>
      <c r="K150" s="12">
        <f>K139/K9</f>
        <v>0.46010814484634083</v>
      </c>
      <c r="L150" s="12">
        <f>L139/L9</f>
        <v>0.20057693819949787</v>
      </c>
      <c r="M150" s="41"/>
      <c r="N150" s="12">
        <f>N139/N9</f>
        <v>0.45574839734849087</v>
      </c>
      <c r="O150" s="12">
        <f>O139/O9</f>
        <v>0.54944834354300776</v>
      </c>
      <c r="P150" s="41"/>
      <c r="Q150" s="12">
        <f>Q139/Q9</f>
        <v>0.47522147367314377</v>
      </c>
      <c r="R150" s="12">
        <f>R139/R9</f>
        <v>0.45444008637341976</v>
      </c>
      <c r="S150" s="41"/>
      <c r="T150" s="12">
        <f>T139/T9</f>
        <v>0.52196705759189643</v>
      </c>
      <c r="U150" s="12">
        <f>U139/U9</f>
        <v>0.48191988438666211</v>
      </c>
      <c r="V150" s="41"/>
      <c r="W150" s="12">
        <f>W139/W9</f>
        <v>0.48834601875891426</v>
      </c>
      <c r="X150" s="12">
        <f>X139/X9</f>
        <v>0.48993574961996805</v>
      </c>
      <c r="Y150" s="41"/>
      <c r="Z150" s="12">
        <f>Z139/Z9</f>
        <v>0.55546893101583461</v>
      </c>
      <c r="AA150" s="12">
        <f>AA139/AA9</f>
        <v>0.61087749104325806</v>
      </c>
      <c r="AB150" s="41"/>
      <c r="AC150" s="12">
        <f>AC139/AC9</f>
        <v>0.51769327197732895</v>
      </c>
      <c r="AD150" s="12" t="e">
        <f>AD139/AD9</f>
        <v>#DIV/0!</v>
      </c>
      <c r="AE150" s="41"/>
      <c r="AF150" s="12">
        <f>AF139/AF9</f>
        <v>0.47802690489922728</v>
      </c>
      <c r="AG150" s="12" t="e">
        <f>AG139/AG9</f>
        <v>#DIV/0!</v>
      </c>
      <c r="AH150" s="41"/>
      <c r="AI150" s="12">
        <f>AI139/AI9</f>
        <v>-0.29050882733350086</v>
      </c>
      <c r="AJ150" s="12" t="e">
        <f>AJ139/AJ9</f>
        <v>#DIV/0!</v>
      </c>
      <c r="AK150" s="41"/>
      <c r="AL150" s="15"/>
      <c r="AM150" s="22">
        <f>AP150-AO150</f>
        <v>5.5408560027423448E-2</v>
      </c>
      <c r="AO150" s="44">
        <f t="shared" ref="AO150:AO157" si="82">IF($A$1=$B$1,B150,IF($A$1=$E$1,E150,IF($A$1=$H$1,H150,IF($A$1=$K$1,K150,IF($A$1=$N$1,N150,IF($A$1=$Q$1,Q150,IF($A$1=$T$1,T150,IF($A$1=$W$1,W150,IF($A$1=$Z$1,Z150,IF($A$1=$AC$1,AC150,IF($A$1=$AF$1,AF150,IF($A$1=$AI$1,AI150))))))))))))</f>
        <v>0.55546893101583461</v>
      </c>
      <c r="AP150" s="44">
        <f t="shared" ref="AP150:AP157" si="83">IF($A$1=$B$1,C150,IF($A$1=$E$1,F150,IF($A$1=$H$1,I150,IF($A$1=$K$1,L150,IF($A$1=$N$1,O150,IF($A$1=$Q$1,R150,IF($A$1=$T$1,U150,IF($A$1=$W$1,X150,IF($A$1=$Z$1,AA150,IF($A$1=$AC$1,AD150,IF($A$1=$AF$1,AG150,IF($A$1=$AI$1,AJ150))))))))))))</f>
        <v>0.61087749104325806</v>
      </c>
    </row>
    <row r="151" spans="1:42" s="13" customFormat="1" ht="15.5">
      <c r="A151" s="26" t="s">
        <v>11</v>
      </c>
      <c r="B151" s="12">
        <f t="shared" ref="B151:C157" si="84">B140/B10</f>
        <v>-2.2317649173043737E-2</v>
      </c>
      <c r="C151" s="12">
        <f t="shared" si="84"/>
        <v>-2.6852104529712815E-3</v>
      </c>
      <c r="D151" s="41"/>
      <c r="E151" s="12">
        <f t="shared" ref="E151:F157" si="85">E140/E10</f>
        <v>0.1012555283523864</v>
      </c>
      <c r="F151" s="12">
        <f t="shared" si="85"/>
        <v>5.5370721573593858E-2</v>
      </c>
      <c r="G151" s="41"/>
      <c r="H151" s="12">
        <f t="shared" ref="H151:I157" si="86">H140/H10</f>
        <v>0.11769333360028905</v>
      </c>
      <c r="I151" s="12">
        <f t="shared" si="86"/>
        <v>4.4179917752043336E-2</v>
      </c>
      <c r="J151" s="41"/>
      <c r="K151" s="12">
        <f t="shared" ref="K151:L157" si="87">K140/K10</f>
        <v>0.18503118556349632</v>
      </c>
      <c r="L151" s="12">
        <f t="shared" si="87"/>
        <v>2.6007541076946629E-3</v>
      </c>
      <c r="M151" s="41"/>
      <c r="N151" s="12">
        <f t="shared" ref="N151:O157" si="88">N140/N10</f>
        <v>0.2324138782429068</v>
      </c>
      <c r="O151" s="12">
        <f t="shared" si="88"/>
        <v>5.832527834402719E-2</v>
      </c>
      <c r="P151" s="41"/>
      <c r="Q151" s="12">
        <f t="shared" ref="Q151:R157" si="89">Q140/Q10</f>
        <v>0.2060148817237536</v>
      </c>
      <c r="R151" s="12">
        <f t="shared" si="89"/>
        <v>5.2939474732269884E-2</v>
      </c>
      <c r="S151" s="41"/>
      <c r="T151" s="12">
        <f t="shared" ref="T151:U157" si="90">T140/T10</f>
        <v>0.19460321503927783</v>
      </c>
      <c r="U151" s="12">
        <f t="shared" si="90"/>
        <v>8.9094106836495823E-2</v>
      </c>
      <c r="V151" s="41"/>
      <c r="W151" s="12">
        <f t="shared" ref="W151:X157" si="91">W140/W10</f>
        <v>8.6012084697812755E-2</v>
      </c>
      <c r="X151" s="12">
        <f t="shared" si="91"/>
        <v>5.4284100605552846E-2</v>
      </c>
      <c r="Y151" s="41"/>
      <c r="Z151" s="12">
        <f t="shared" ref="Z151:AA157" si="92">Z140/Z10</f>
        <v>0.13198889095783289</v>
      </c>
      <c r="AA151" s="12">
        <f t="shared" si="92"/>
        <v>-5.1624309841853511E-2</v>
      </c>
      <c r="AB151" s="41"/>
      <c r="AC151" s="12">
        <f t="shared" ref="AC151:AD157" si="93">AC140/AC10</f>
        <v>6.9297598883749728E-2</v>
      </c>
      <c r="AD151" s="12" t="e">
        <f t="shared" si="93"/>
        <v>#DIV/0!</v>
      </c>
      <c r="AE151" s="41"/>
      <c r="AF151" s="12">
        <f t="shared" ref="AF151:AG157" si="94">AF140/AF10</f>
        <v>1.9763079897757694E-2</v>
      </c>
      <c r="AG151" s="12" t="e">
        <f t="shared" si="94"/>
        <v>#DIV/0!</v>
      </c>
      <c r="AH151" s="41"/>
      <c r="AI151" s="12">
        <f t="shared" ref="AI151:AJ157" si="95">AI140/AI10</f>
        <v>-6.8310113020669208E-2</v>
      </c>
      <c r="AJ151" s="12" t="e">
        <f t="shared" si="95"/>
        <v>#DIV/0!</v>
      </c>
      <c r="AK151" s="41"/>
      <c r="AL151" s="15"/>
      <c r="AM151" s="22">
        <f t="shared" ref="AM151:AM157" si="96">AP151-AO151</f>
        <v>-0.1836132007996864</v>
      </c>
      <c r="AO151" s="44">
        <f t="shared" si="82"/>
        <v>0.13198889095783289</v>
      </c>
      <c r="AP151" s="44">
        <f t="shared" si="83"/>
        <v>-5.1624309841853511E-2</v>
      </c>
    </row>
    <row r="152" spans="1:42" s="13" customFormat="1" ht="15.5">
      <c r="A152" s="26" t="s">
        <v>12</v>
      </c>
      <c r="B152" s="12">
        <f t="shared" si="84"/>
        <v>-4.3815413651783652E-2</v>
      </c>
      <c r="C152" s="12">
        <f t="shared" si="84"/>
        <v>3.5243493079768241E-2</v>
      </c>
      <c r="D152" s="41"/>
      <c r="E152" s="12">
        <f t="shared" si="85"/>
        <v>3.0697483204440604E-3</v>
      </c>
      <c r="F152" s="12">
        <f t="shared" si="85"/>
        <v>3.057350596428459E-2</v>
      </c>
      <c r="G152" s="41"/>
      <c r="H152" s="12">
        <f t="shared" si="86"/>
        <v>4.1494142659519645E-2</v>
      </c>
      <c r="I152" s="12">
        <f t="shared" si="86"/>
        <v>6.7367728614713259E-3</v>
      </c>
      <c r="J152" s="41"/>
      <c r="K152" s="12">
        <f t="shared" si="87"/>
        <v>3.7404478274379434E-2</v>
      </c>
      <c r="L152" s="12">
        <f t="shared" si="87"/>
        <v>1.7995376327445221E-2</v>
      </c>
      <c r="M152" s="41"/>
      <c r="N152" s="12">
        <f t="shared" si="88"/>
        <v>7.2314532070214904E-2</v>
      </c>
      <c r="O152" s="12">
        <f t="shared" si="88"/>
        <v>4.4895201858245082E-2</v>
      </c>
      <c r="P152" s="41"/>
      <c r="Q152" s="12">
        <f t="shared" si="89"/>
        <v>7.1936765420737056E-2</v>
      </c>
      <c r="R152" s="12">
        <f t="shared" si="89"/>
        <v>1.8251132053583544E-2</v>
      </c>
      <c r="S152" s="41"/>
      <c r="T152" s="12">
        <f t="shared" si="90"/>
        <v>7.1187028249072012E-2</v>
      </c>
      <c r="U152" s="12">
        <f t="shared" si="90"/>
        <v>3.1241544176572263E-2</v>
      </c>
      <c r="V152" s="41"/>
      <c r="W152" s="12">
        <f t="shared" si="91"/>
        <v>6.8841291342201266E-2</v>
      </c>
      <c r="X152" s="12">
        <f t="shared" si="91"/>
        <v>2.7058544528545916E-2</v>
      </c>
      <c r="Y152" s="41"/>
      <c r="Z152" s="12">
        <f t="shared" si="92"/>
        <v>5.3692541191400864E-2</v>
      </c>
      <c r="AA152" s="12">
        <f t="shared" si="92"/>
        <v>6.2011106482132691E-2</v>
      </c>
      <c r="AB152" s="41"/>
      <c r="AC152" s="12">
        <f t="shared" si="93"/>
        <v>6.5506929362494429E-2</v>
      </c>
      <c r="AD152" s="12" t="e">
        <f t="shared" si="93"/>
        <v>#DIV/0!</v>
      </c>
      <c r="AE152" s="41"/>
      <c r="AF152" s="12">
        <f t="shared" si="94"/>
        <v>6.573676851119227E-2</v>
      </c>
      <c r="AG152" s="12" t="e">
        <f t="shared" si="94"/>
        <v>#DIV/0!</v>
      </c>
      <c r="AH152" s="41"/>
      <c r="AI152" s="12">
        <f t="shared" si="95"/>
        <v>3.252166616240925E-2</v>
      </c>
      <c r="AJ152" s="12" t="e">
        <f t="shared" si="95"/>
        <v>#DIV/0!</v>
      </c>
      <c r="AK152" s="41"/>
      <c r="AL152" s="15"/>
      <c r="AM152" s="22">
        <f t="shared" si="96"/>
        <v>8.3185652907318275E-3</v>
      </c>
      <c r="AO152" s="44">
        <f t="shared" si="82"/>
        <v>5.3692541191400864E-2</v>
      </c>
      <c r="AP152" s="44">
        <f t="shared" si="83"/>
        <v>6.2011106482132691E-2</v>
      </c>
    </row>
    <row r="153" spans="1:42" s="13" customFormat="1" ht="15.5">
      <c r="A153" s="26" t="s">
        <v>13</v>
      </c>
      <c r="B153" s="12">
        <f t="shared" si="84"/>
        <v>8.6185712712452067E-2</v>
      </c>
      <c r="C153" s="12">
        <f t="shared" si="84"/>
        <v>6.0865880843644249E-2</v>
      </c>
      <c r="D153" s="41"/>
      <c r="E153" s="12">
        <f t="shared" si="85"/>
        <v>7.1338522860308437E-2</v>
      </c>
      <c r="F153" s="12">
        <f t="shared" si="85"/>
        <v>5.5769471186148015E-2</v>
      </c>
      <c r="G153" s="41"/>
      <c r="H153" s="12">
        <f t="shared" si="86"/>
        <v>7.5384057111606492E-2</v>
      </c>
      <c r="I153" s="12">
        <f t="shared" si="86"/>
        <v>-2.6399776395552441E-2</v>
      </c>
      <c r="J153" s="41"/>
      <c r="K153" s="12">
        <f t="shared" si="87"/>
        <v>6.9668717577113209E-2</v>
      </c>
      <c r="L153" s="12">
        <f t="shared" si="87"/>
        <v>-3.6595891888859415E-2</v>
      </c>
      <c r="M153" s="41"/>
      <c r="N153" s="12">
        <f t="shared" si="88"/>
        <v>8.060295218347055E-2</v>
      </c>
      <c r="O153" s="12">
        <f t="shared" si="88"/>
        <v>-5.560975412836202E-3</v>
      </c>
      <c r="P153" s="41"/>
      <c r="Q153" s="12">
        <f t="shared" si="89"/>
        <v>9.4810466544102245E-2</v>
      </c>
      <c r="R153" s="12">
        <f t="shared" si="89"/>
        <v>-8.0108197462630371E-2</v>
      </c>
      <c r="S153" s="41"/>
      <c r="T153" s="12">
        <f t="shared" si="90"/>
        <v>0.10234756180963171</v>
      </c>
      <c r="U153" s="12">
        <f t="shared" si="90"/>
        <v>-1.4534607118954049E-2</v>
      </c>
      <c r="V153" s="41"/>
      <c r="W153" s="12">
        <f t="shared" si="91"/>
        <v>0.11340281362114299</v>
      </c>
      <c r="X153" s="12">
        <f t="shared" si="91"/>
        <v>6.1358893639011966E-2</v>
      </c>
      <c r="Y153" s="41"/>
      <c r="Z153" s="12">
        <f t="shared" si="92"/>
        <v>0.12869364530129604</v>
      </c>
      <c r="AA153" s="12">
        <f t="shared" si="92"/>
        <v>2.5496426470138327E-2</v>
      </c>
      <c r="AB153" s="41"/>
      <c r="AC153" s="12">
        <f t="shared" si="93"/>
        <v>0.1387462918325004</v>
      </c>
      <c r="AD153" s="12" t="e">
        <f t="shared" si="93"/>
        <v>#DIV/0!</v>
      </c>
      <c r="AE153" s="41"/>
      <c r="AF153" s="12">
        <f t="shared" si="94"/>
        <v>0.14456512129111432</v>
      </c>
      <c r="AG153" s="12" t="e">
        <f t="shared" si="94"/>
        <v>#DIV/0!</v>
      </c>
      <c r="AH153" s="41"/>
      <c r="AI153" s="12">
        <f t="shared" si="95"/>
        <v>0.16832398411668253</v>
      </c>
      <c r="AJ153" s="12" t="e">
        <f t="shared" si="95"/>
        <v>#DIV/0!</v>
      </c>
      <c r="AK153" s="41"/>
      <c r="AL153" s="15"/>
      <c r="AM153" s="22">
        <f t="shared" si="96"/>
        <v>-0.10319721883115771</v>
      </c>
      <c r="AO153" s="44">
        <f t="shared" si="82"/>
        <v>0.12869364530129604</v>
      </c>
      <c r="AP153" s="44">
        <f t="shared" si="83"/>
        <v>2.5496426470138327E-2</v>
      </c>
    </row>
    <row r="154" spans="1:42" s="13" customFormat="1" ht="15.5">
      <c r="A154" s="26" t="s">
        <v>14</v>
      </c>
      <c r="B154" s="12">
        <f t="shared" si="84"/>
        <v>8.0809931957923811E-2</v>
      </c>
      <c r="C154" s="12">
        <f t="shared" si="84"/>
        <v>6.9124267107037035E-2</v>
      </c>
      <c r="D154" s="41"/>
      <c r="E154" s="12">
        <f t="shared" si="85"/>
        <v>8.3989716890047555E-2</v>
      </c>
      <c r="F154" s="12">
        <f t="shared" si="85"/>
        <v>0.1064875592388128</v>
      </c>
      <c r="G154" s="41"/>
      <c r="H154" s="12">
        <f t="shared" si="86"/>
        <v>7.9658194438491217E-2</v>
      </c>
      <c r="I154" s="12">
        <f t="shared" si="86"/>
        <v>9.6213925360652819E-2</v>
      </c>
      <c r="J154" s="41"/>
      <c r="K154" s="12">
        <f t="shared" si="87"/>
        <v>2.8083870359975886E-2</v>
      </c>
      <c r="L154" s="12">
        <f t="shared" si="87"/>
        <v>1.175396525775072E-2</v>
      </c>
      <c r="M154" s="41"/>
      <c r="N154" s="12">
        <f t="shared" si="88"/>
        <v>5.2890087054960545E-2</v>
      </c>
      <c r="O154" s="12">
        <f t="shared" si="88"/>
        <v>3.8413811366388453E-2</v>
      </c>
      <c r="P154" s="41"/>
      <c r="Q154" s="12">
        <f t="shared" si="89"/>
        <v>4.848755206787192E-2</v>
      </c>
      <c r="R154" s="12">
        <f t="shared" si="89"/>
        <v>6.1809358916537882E-2</v>
      </c>
      <c r="S154" s="41"/>
      <c r="T154" s="12">
        <f t="shared" si="90"/>
        <v>6.1062293998500668E-2</v>
      </c>
      <c r="U154" s="12">
        <f t="shared" si="90"/>
        <v>9.4452727040633011E-2</v>
      </c>
      <c r="V154" s="41"/>
      <c r="W154" s="12">
        <f t="shared" si="91"/>
        <v>7.6168680380634055E-2</v>
      </c>
      <c r="X154" s="12">
        <f t="shared" si="91"/>
        <v>0.11673310085770855</v>
      </c>
      <c r="Y154" s="41"/>
      <c r="Z154" s="12">
        <f t="shared" si="92"/>
        <v>7.5962412121410333E-2</v>
      </c>
      <c r="AA154" s="12">
        <f t="shared" si="92"/>
        <v>0.11222066753514826</v>
      </c>
      <c r="AB154" s="41"/>
      <c r="AC154" s="12">
        <f t="shared" si="93"/>
        <v>8.1621715503451944E-2</v>
      </c>
      <c r="AD154" s="12" t="e">
        <f t="shared" si="93"/>
        <v>#DIV/0!</v>
      </c>
      <c r="AE154" s="41"/>
      <c r="AF154" s="12">
        <f t="shared" si="94"/>
        <v>7.9734898808174193E-2</v>
      </c>
      <c r="AG154" s="12" t="e">
        <f t="shared" si="94"/>
        <v>#DIV/0!</v>
      </c>
      <c r="AH154" s="41"/>
      <c r="AI154" s="12">
        <f t="shared" si="95"/>
        <v>6.3269136758603878E-2</v>
      </c>
      <c r="AJ154" s="12" t="e">
        <f t="shared" si="95"/>
        <v>#DIV/0!</v>
      </c>
      <c r="AK154" s="41"/>
      <c r="AL154" s="15"/>
      <c r="AM154" s="22">
        <f t="shared" si="96"/>
        <v>3.6258255413737922E-2</v>
      </c>
      <c r="AO154" s="44">
        <f t="shared" si="82"/>
        <v>7.5962412121410333E-2</v>
      </c>
      <c r="AP154" s="44">
        <f t="shared" si="83"/>
        <v>0.11222066753514826</v>
      </c>
    </row>
    <row r="155" spans="1:42" s="13" customFormat="1" ht="15.5">
      <c r="A155" s="26" t="s">
        <v>15</v>
      </c>
      <c r="B155" s="12">
        <f t="shared" si="84"/>
        <v>0.10075511008749967</v>
      </c>
      <c r="C155" s="12">
        <f t="shared" si="84"/>
        <v>0.10059966558551706</v>
      </c>
      <c r="D155" s="41"/>
      <c r="E155" s="12">
        <f t="shared" si="85"/>
        <v>0.13555100771420389</v>
      </c>
      <c r="F155" s="12">
        <f t="shared" si="85"/>
        <v>0.14297159173357266</v>
      </c>
      <c r="G155" s="41"/>
      <c r="H155" s="12">
        <f t="shared" si="86"/>
        <v>0.24024199099893714</v>
      </c>
      <c r="I155" s="12">
        <f t="shared" si="86"/>
        <v>0.17256630061423053</v>
      </c>
      <c r="J155" s="41"/>
      <c r="K155" s="12">
        <f t="shared" si="87"/>
        <v>8.0955706364216964E-2</v>
      </c>
      <c r="L155" s="12">
        <f t="shared" si="87"/>
        <v>0.1445565979532055</v>
      </c>
      <c r="M155" s="41"/>
      <c r="N155" s="12">
        <f t="shared" si="88"/>
        <v>0.13648187072611653</v>
      </c>
      <c r="O155" s="12">
        <f t="shared" si="88"/>
        <v>0.15861217488542145</v>
      </c>
      <c r="P155" s="41"/>
      <c r="Q155" s="12">
        <f t="shared" si="89"/>
        <v>0.20169523927628696</v>
      </c>
      <c r="R155" s="12">
        <f t="shared" si="89"/>
        <v>0.16291927882784391</v>
      </c>
      <c r="S155" s="41"/>
      <c r="T155" s="12">
        <f t="shared" si="90"/>
        <v>9.9731800863515629E-2</v>
      </c>
      <c r="U155" s="12">
        <f t="shared" si="90"/>
        <v>0.17420860543609021</v>
      </c>
      <c r="V155" s="41"/>
      <c r="W155" s="12">
        <f t="shared" si="91"/>
        <v>5.9416618561817097E-2</v>
      </c>
      <c r="X155" s="12">
        <f t="shared" si="91"/>
        <v>0.15847983348266859</v>
      </c>
      <c r="Y155" s="41"/>
      <c r="Z155" s="12">
        <f t="shared" si="92"/>
        <v>0.246983357213577</v>
      </c>
      <c r="AA155" s="12">
        <f t="shared" si="92"/>
        <v>0.24258236314231529</v>
      </c>
      <c r="AB155" s="41"/>
      <c r="AC155" s="12">
        <f t="shared" si="93"/>
        <v>0.15900117991823914</v>
      </c>
      <c r="AD155" s="12" t="e">
        <f t="shared" si="93"/>
        <v>#DIV/0!</v>
      </c>
      <c r="AE155" s="41"/>
      <c r="AF155" s="12">
        <f t="shared" si="94"/>
        <v>0.16607088662064259</v>
      </c>
      <c r="AG155" s="12" t="e">
        <f t="shared" si="94"/>
        <v>#DIV/0!</v>
      </c>
      <c r="AH155" s="41"/>
      <c r="AI155" s="12">
        <f t="shared" si="95"/>
        <v>0.20686182216097126</v>
      </c>
      <c r="AJ155" s="12" t="e">
        <f t="shared" si="95"/>
        <v>#DIV/0!</v>
      </c>
      <c r="AK155" s="41"/>
      <c r="AL155" s="15"/>
      <c r="AM155" s="22">
        <f t="shared" si="96"/>
        <v>-4.4009940712617102E-3</v>
      </c>
      <c r="AO155" s="44">
        <f t="shared" si="82"/>
        <v>0.246983357213577</v>
      </c>
      <c r="AP155" s="44">
        <f t="shared" si="83"/>
        <v>0.24258236314231529</v>
      </c>
    </row>
    <row r="156" spans="1:42" s="13" customFormat="1" ht="15.5">
      <c r="A156" s="26" t="s">
        <v>16</v>
      </c>
      <c r="B156" s="12">
        <f t="shared" si="84"/>
        <v>0.20422026979979335</v>
      </c>
      <c r="C156" s="12">
        <f t="shared" si="84"/>
        <v>0.20553457292722724</v>
      </c>
      <c r="D156" s="41"/>
      <c r="E156" s="12">
        <f t="shared" si="85"/>
        <v>0.22340349763518227</v>
      </c>
      <c r="F156" s="12">
        <f t="shared" si="85"/>
        <v>0.24909322025904901</v>
      </c>
      <c r="G156" s="41"/>
      <c r="H156" s="12">
        <f t="shared" si="86"/>
        <v>0.24299519268551717</v>
      </c>
      <c r="I156" s="12">
        <f t="shared" si="86"/>
        <v>0.22975374440694202</v>
      </c>
      <c r="J156" s="41"/>
      <c r="K156" s="12">
        <f t="shared" si="87"/>
        <v>0.23618472985344469</v>
      </c>
      <c r="L156" s="12">
        <f t="shared" si="87"/>
        <v>0.28133419380063424</v>
      </c>
      <c r="M156" s="41"/>
      <c r="N156" s="12">
        <f t="shared" si="88"/>
        <v>0.25259862011939838</v>
      </c>
      <c r="O156" s="12">
        <f t="shared" si="88"/>
        <v>0.23493296883065712</v>
      </c>
      <c r="P156" s="41"/>
      <c r="Q156" s="12">
        <f t="shared" si="89"/>
        <v>0.23421585223376082</v>
      </c>
      <c r="R156" s="12">
        <f t="shared" si="89"/>
        <v>0.25420912514821781</v>
      </c>
      <c r="S156" s="41"/>
      <c r="T156" s="12">
        <f t="shared" si="90"/>
        <v>0.21859458526280567</v>
      </c>
      <c r="U156" s="12">
        <f t="shared" si="90"/>
        <v>0.29762978845103194</v>
      </c>
      <c r="V156" s="41"/>
      <c r="W156" s="12">
        <f t="shared" si="91"/>
        <v>0.15763736984877555</v>
      </c>
      <c r="X156" s="12">
        <f t="shared" si="91"/>
        <v>0.26380863158388501</v>
      </c>
      <c r="Y156" s="41"/>
      <c r="Z156" s="12">
        <f t="shared" si="92"/>
        <v>0.2702106603648009</v>
      </c>
      <c r="AA156" s="12">
        <f t="shared" si="92"/>
        <v>0.32504802222943141</v>
      </c>
      <c r="AB156" s="41"/>
      <c r="AC156" s="12">
        <f t="shared" si="93"/>
        <v>0.26061783421736362</v>
      </c>
      <c r="AD156" s="12" t="e">
        <f t="shared" si="93"/>
        <v>#DIV/0!</v>
      </c>
      <c r="AE156" s="41"/>
      <c r="AF156" s="12">
        <f t="shared" si="94"/>
        <v>0.26383829698672728</v>
      </c>
      <c r="AG156" s="12" t="e">
        <f t="shared" si="94"/>
        <v>#DIV/0!</v>
      </c>
      <c r="AH156" s="41"/>
      <c r="AI156" s="12">
        <f t="shared" si="95"/>
        <v>0.22079784702990968</v>
      </c>
      <c r="AJ156" s="12" t="e">
        <f t="shared" si="95"/>
        <v>#DIV/0!</v>
      </c>
      <c r="AK156" s="41"/>
      <c r="AL156" s="15"/>
      <c r="AM156" s="22">
        <f t="shared" si="96"/>
        <v>5.4837361864630507E-2</v>
      </c>
      <c r="AO156" s="44">
        <f t="shared" si="82"/>
        <v>0.2702106603648009</v>
      </c>
      <c r="AP156" s="44">
        <f t="shared" si="83"/>
        <v>0.32504802222943141</v>
      </c>
    </row>
    <row r="157" spans="1:42" s="13" customFormat="1" ht="15.5">
      <c r="A157" s="26" t="s">
        <v>17</v>
      </c>
      <c r="B157" s="12">
        <f t="shared" si="84"/>
        <v>0.13347342952117919</v>
      </c>
      <c r="C157" s="12">
        <f t="shared" si="84"/>
        <v>0.12381145082874423</v>
      </c>
      <c r="D157" s="41"/>
      <c r="E157" s="12">
        <f t="shared" si="85"/>
        <v>0.13058516739779391</v>
      </c>
      <c r="F157" s="12">
        <f t="shared" si="85"/>
        <v>6.9573630827125574E-2</v>
      </c>
      <c r="G157" s="41"/>
      <c r="H157" s="12">
        <f t="shared" si="86"/>
        <v>0.10524843323937144</v>
      </c>
      <c r="I157" s="12">
        <f t="shared" si="86"/>
        <v>9.033549875865414E-2</v>
      </c>
      <c r="J157" s="41"/>
      <c r="K157" s="12">
        <f t="shared" si="87"/>
        <v>0.11004096057472852</v>
      </c>
      <c r="L157" s="12">
        <f t="shared" si="87"/>
        <v>8.2228284097210821E-2</v>
      </c>
      <c r="M157" s="41"/>
      <c r="N157" s="12">
        <f t="shared" si="88"/>
        <v>0.14043064198202815</v>
      </c>
      <c r="O157" s="12">
        <f t="shared" si="88"/>
        <v>0.1434846450244649</v>
      </c>
      <c r="P157" s="41"/>
      <c r="Q157" s="12">
        <f t="shared" si="89"/>
        <v>9.4456143140266069E-2</v>
      </c>
      <c r="R157" s="12">
        <f t="shared" si="89"/>
        <v>0.10385093129379339</v>
      </c>
      <c r="S157" s="41"/>
      <c r="T157" s="12">
        <f t="shared" si="90"/>
        <v>0.14761674275372663</v>
      </c>
      <c r="U157" s="12">
        <f t="shared" si="90"/>
        <v>0.11388188540702884</v>
      </c>
      <c r="V157" s="41"/>
      <c r="W157" s="12">
        <f t="shared" si="91"/>
        <v>7.1124639687985811E-2</v>
      </c>
      <c r="X157" s="12">
        <f t="shared" si="91"/>
        <v>8.2736782226465827E-2</v>
      </c>
      <c r="Y157" s="41"/>
      <c r="Z157" s="12">
        <f t="shared" si="92"/>
        <v>0.16125672295418153</v>
      </c>
      <c r="AA157" s="12">
        <f t="shared" si="92"/>
        <v>0.16252074597829333</v>
      </c>
      <c r="AB157" s="41"/>
      <c r="AC157" s="12">
        <f t="shared" si="93"/>
        <v>0.14591610667439273</v>
      </c>
      <c r="AD157" s="12" t="e">
        <f t="shared" si="93"/>
        <v>#DIV/0!</v>
      </c>
      <c r="AE157" s="41"/>
      <c r="AF157" s="12">
        <f t="shared" si="94"/>
        <v>0.15313772942209791</v>
      </c>
      <c r="AG157" s="12" t="e">
        <f t="shared" si="94"/>
        <v>#DIV/0!</v>
      </c>
      <c r="AH157" s="41"/>
      <c r="AI157" s="12">
        <f t="shared" si="95"/>
        <v>0.13769949152465033</v>
      </c>
      <c r="AJ157" s="12" t="e">
        <f t="shared" si="95"/>
        <v>#DIV/0!</v>
      </c>
      <c r="AK157" s="41"/>
      <c r="AL157" s="15"/>
      <c r="AM157" s="22">
        <f t="shared" si="96"/>
        <v>1.2640230241117989E-3</v>
      </c>
      <c r="AO157" s="44">
        <f t="shared" si="82"/>
        <v>0.16125672295418153</v>
      </c>
      <c r="AP157" s="44">
        <f t="shared" si="83"/>
        <v>0.16252074597829333</v>
      </c>
    </row>
    <row r="158" spans="1:42" s="13" customFormat="1" ht="15.5">
      <c r="A158" s="26"/>
      <c r="B158" s="12"/>
      <c r="C158" s="30"/>
      <c r="D158" s="41"/>
      <c r="E158" s="12"/>
      <c r="F158" s="30"/>
      <c r="G158" s="41"/>
      <c r="H158" s="12"/>
      <c r="I158" s="30"/>
      <c r="J158" s="41"/>
      <c r="K158" s="12"/>
      <c r="L158" s="30"/>
      <c r="M158" s="41"/>
      <c r="N158" s="12"/>
      <c r="O158" s="30"/>
      <c r="P158" s="41"/>
      <c r="Q158" s="12"/>
      <c r="R158" s="30"/>
      <c r="S158" s="41"/>
      <c r="T158" s="12"/>
      <c r="U158" s="30"/>
      <c r="V158" s="41"/>
      <c r="W158" s="12"/>
      <c r="X158" s="30"/>
      <c r="Y158" s="41"/>
      <c r="Z158" s="12"/>
      <c r="AA158" s="30"/>
      <c r="AB158" s="41"/>
      <c r="AC158" s="12"/>
      <c r="AD158" s="30"/>
      <c r="AE158" s="41"/>
      <c r="AF158" s="12"/>
      <c r="AG158" s="30"/>
      <c r="AH158" s="41"/>
      <c r="AI158" s="12"/>
      <c r="AJ158" s="30"/>
      <c r="AK158" s="41"/>
      <c r="AL158" s="15"/>
      <c r="AM158" s="22"/>
      <c r="AO158" s="44"/>
      <c r="AP158" s="44"/>
    </row>
    <row r="159" spans="1:42" s="13" customFormat="1" ht="15.5">
      <c r="A159" s="26"/>
      <c r="B159" s="12"/>
      <c r="C159" s="30"/>
      <c r="D159" s="41"/>
      <c r="E159" s="12"/>
      <c r="F159" s="30"/>
      <c r="G159" s="41"/>
      <c r="H159" s="12"/>
      <c r="I159" s="30"/>
      <c r="J159" s="41"/>
      <c r="K159" s="12"/>
      <c r="L159" s="30"/>
      <c r="M159" s="41"/>
      <c r="N159" s="12"/>
      <c r="O159" s="30"/>
      <c r="P159" s="41"/>
      <c r="Q159" s="12"/>
      <c r="R159" s="30"/>
      <c r="S159" s="41"/>
      <c r="T159" s="12"/>
      <c r="U159" s="30"/>
      <c r="V159" s="41"/>
      <c r="W159" s="12"/>
      <c r="X159" s="30"/>
      <c r="Y159" s="41"/>
      <c r="Z159" s="12"/>
      <c r="AA159" s="30"/>
      <c r="AB159" s="41"/>
      <c r="AC159" s="12"/>
      <c r="AD159" s="30"/>
      <c r="AE159" s="41"/>
      <c r="AF159" s="12"/>
      <c r="AG159" s="30"/>
      <c r="AH159" s="41"/>
      <c r="AI159" s="12"/>
      <c r="AJ159" s="30"/>
      <c r="AK159" s="41"/>
      <c r="AL159" s="15"/>
      <c r="AM159" s="22"/>
      <c r="AO159" s="44"/>
      <c r="AP159" s="44"/>
    </row>
    <row r="160" spans="1:42" s="44" customFormat="1" ht="15.5">
      <c r="A160" s="31" t="s">
        <v>76</v>
      </c>
      <c r="B160" s="32">
        <f>'Bütçe aylık-TL'!$B$92</f>
        <v>-43656415.120368853</v>
      </c>
      <c r="C160" s="32">
        <f>'gerç aylık-tl'!$B$91</f>
        <v>-39896443.037756674</v>
      </c>
      <c r="D160" s="18"/>
      <c r="E160" s="32">
        <f>'Bütçe aylık-TL'!$C$92</f>
        <v>-44345957.985985562</v>
      </c>
      <c r="F160" s="32">
        <f>'gerç aylık-tl'!$C$91</f>
        <v>-37589805.339151084</v>
      </c>
      <c r="G160" s="18"/>
      <c r="H160" s="32">
        <f>'Bütçe aylık-TL'!$D$92</f>
        <v>-40823049.591233909</v>
      </c>
      <c r="I160" s="32">
        <f>'gerç aylık-tl'!$D$91</f>
        <v>-38782055.984874249</v>
      </c>
      <c r="J160" s="18"/>
      <c r="K160" s="32">
        <f>'Bütçe aylık-TL'!$E$92</f>
        <v>-41138721.383032121</v>
      </c>
      <c r="L160" s="32">
        <f>'gerç aylık-tl'!$E$91</f>
        <v>-38048909.393952087</v>
      </c>
      <c r="M160" s="18"/>
      <c r="N160" s="32">
        <f>'Bütçe aylık-TL'!$F$92</f>
        <v>-35521774.019152388</v>
      </c>
      <c r="O160" s="32">
        <f>'gerç aylık-tl'!$F$91</f>
        <v>-40449421.275649339</v>
      </c>
      <c r="P160" s="18"/>
      <c r="Q160" s="32">
        <f>'Bütçe aylık-TL'!$G$92</f>
        <v>-36016318.636925511</v>
      </c>
      <c r="R160" s="32">
        <f>'gerç aylık-tl'!$G$91</f>
        <v>-54772146.590391442</v>
      </c>
      <c r="S160" s="18"/>
      <c r="T160" s="32">
        <f>'Bütçe aylık-TL'!$H$92</f>
        <v>-42109477.843551114</v>
      </c>
      <c r="U160" s="32">
        <f>'gerç aylık-tl'!$H$91</f>
        <v>-51791248.908491865</v>
      </c>
      <c r="V160" s="18"/>
      <c r="W160" s="32">
        <f>'Bütçe aylık-TL'!$I$92</f>
        <v>-43834364.528528027</v>
      </c>
      <c r="X160" s="32">
        <f>'gerç aylık-tl'!$I$91</f>
        <v>-53870040.109269701</v>
      </c>
      <c r="Y160" s="18"/>
      <c r="Z160" s="32">
        <f>'Bütçe aylık-TL'!$J$92</f>
        <v>-45424372.557075255</v>
      </c>
      <c r="AA160" s="32">
        <f>'gerç aylık-tl'!$J$91</f>
        <v>-46862166.1879052</v>
      </c>
      <c r="AB160" s="18"/>
      <c r="AC160" s="32">
        <f>'Bütçe aylık-TL'!$K$92</f>
        <v>-42948215.798055328</v>
      </c>
      <c r="AD160" s="32">
        <f>'gerç aylık-tl'!$K$91</f>
        <v>0</v>
      </c>
      <c r="AE160" s="18"/>
      <c r="AF160" s="32">
        <f>'Bütçe aylık-TL'!$L$92</f>
        <v>-42324983.844406329</v>
      </c>
      <c r="AG160" s="32">
        <f>'gerç aylık-tl'!$L$91</f>
        <v>0</v>
      </c>
      <c r="AH160" s="18"/>
      <c r="AI160" s="32">
        <f>'Bütçe aylık-TL'!$M$92</f>
        <v>-41232356.512487255</v>
      </c>
      <c r="AJ160" s="32">
        <f>'gerç aylık-tl'!$M$91</f>
        <v>0</v>
      </c>
      <c r="AK160" s="18"/>
      <c r="AL160" s="33">
        <f>AP160-AO160</f>
        <v>-1437793.6308299452</v>
      </c>
      <c r="AM160" s="34">
        <f>AP160/AO160-1</f>
        <v>3.1652470906964547E-2</v>
      </c>
      <c r="AO160" s="44">
        <f>IF($A$1=$B$1,B160,IF($A$1=$E$1,E160,IF($A$1=$H$1,H160,IF($A$1=$K$1,K160,IF($A$1=$N$1,N160,IF($A$1=$Q$1,Q160,IF($A$1=$T$1,T160,IF($A$1=$W$1,W160,IF($A$1=$Z$1,Z160,IF($A$1=$AC$1,AC160,IF($A$1=$AF$1,AF160,IF($A$1=$AI$1,AI160))))))))))))</f>
        <v>-45424372.557075255</v>
      </c>
      <c r="AP160" s="44">
        <f>IF($A$1=$B$1,C160,IF($A$1=$E$1,F160,IF($A$1=$H$1,I160,IF($A$1=$K$1,L160,IF($A$1=$N$1,O160,IF($A$1=$Q$1,R160,IF($A$1=$T$1,U160,IF($A$1=$W$1,X160,IF($A$1=$Z$1,AA160,IF($A$1=$AC$1,AD160,IF($A$1=$AF$1,AG160,IF($A$1=$AI$1,AJ160))))))))))))</f>
        <v>-46862166.1879052</v>
      </c>
    </row>
    <row r="161" spans="1:42" s="13" customFormat="1" ht="15.5">
      <c r="A161" s="27"/>
      <c r="B161" s="30"/>
      <c r="C161" s="30" t="str">
        <f>IFERROR((C118/#REF!),"")</f>
        <v/>
      </c>
      <c r="D161" s="41"/>
      <c r="E161" s="30"/>
      <c r="F161" s="30" t="str">
        <f>IFERROR((F118/#REF!),"")</f>
        <v/>
      </c>
      <c r="G161" s="41"/>
      <c r="H161" s="30"/>
      <c r="I161" s="30" t="str">
        <f>IFERROR((I118/#REF!),"")</f>
        <v/>
      </c>
      <c r="J161" s="41"/>
      <c r="K161" s="30"/>
      <c r="L161" s="30" t="str">
        <f>IFERROR((L118/#REF!),"")</f>
        <v/>
      </c>
      <c r="M161" s="41"/>
      <c r="N161" s="30"/>
      <c r="O161" s="30" t="str">
        <f>IFERROR((O118/#REF!),"")</f>
        <v/>
      </c>
      <c r="P161" s="41"/>
      <c r="Q161" s="30"/>
      <c r="R161" s="30" t="str">
        <f>IFERROR((R118/#REF!),"")</f>
        <v/>
      </c>
      <c r="S161" s="41"/>
      <c r="T161" s="30"/>
      <c r="U161" s="30" t="str">
        <f>IFERROR((U118/#REF!),"")</f>
        <v/>
      </c>
      <c r="V161" s="41"/>
      <c r="W161" s="30"/>
      <c r="X161" s="30" t="str">
        <f>IFERROR((X118/#REF!),"")</f>
        <v/>
      </c>
      <c r="Y161" s="41"/>
      <c r="Z161" s="30"/>
      <c r="AA161" s="30" t="str">
        <f>IFERROR((AA118/#REF!),"")</f>
        <v/>
      </c>
      <c r="AB161" s="41"/>
      <c r="AC161" s="30"/>
      <c r="AD161" s="30" t="str">
        <f>IFERROR((AD118/#REF!),"")</f>
        <v/>
      </c>
      <c r="AE161" s="41"/>
      <c r="AF161" s="30"/>
      <c r="AG161" s="30" t="str">
        <f>IFERROR((AG118/#REF!),"")</f>
        <v/>
      </c>
      <c r="AH161" s="41"/>
      <c r="AI161" s="30"/>
      <c r="AJ161" s="30" t="str">
        <f>IFERROR((AJ118/#REF!),"")</f>
        <v/>
      </c>
      <c r="AK161" s="41"/>
      <c r="AL161" s="15"/>
      <c r="AM161" s="22"/>
      <c r="AO161" s="44">
        <f>IF($A$1=$B$1,B161,IF($A$1=$E$1,E161,IF($A$1=$H$1,H161,IF($A$1=$K$1,K161,IF($A$1=$N$1,N161,IF($A$1=$Q$1,Q161,IF($A$1=$T$1,T161,IF($A$1=$W$1,W161,IF($A$1=$Z$1,Z161,IF($A$1=$AC$1,AC161,IF($A$1=$AF$1,AF161,IF($A$1=$AI$1,AI161))))))))))))</f>
        <v>0</v>
      </c>
      <c r="AP161" s="44" t="str">
        <f>IF($A$1=$B$1,C161,IF($A$1=$E$1,F161,IF($A$1=$H$1,I161,IF($A$1=$K$1,L161,IF($A$1=$N$1,O161,IF($A$1=$Q$1,R161,IF($A$1=$T$1,U161,IF($A$1=$W$1,X161,IF($A$1=$Z$1,AA161,IF($A$1=$AC$1,AD161,IF($A$1=$AF$1,AG161,IF($A$1=$AI$1,AJ161))))))))))))</f>
        <v/>
      </c>
    </row>
    <row r="162" spans="1:42" s="49" customFormat="1" ht="17">
      <c r="A162" s="47" t="s">
        <v>77</v>
      </c>
      <c r="B162" s="413"/>
      <c r="C162" s="413"/>
      <c r="D162" s="413"/>
      <c r="E162" s="413"/>
      <c r="F162" s="413"/>
      <c r="G162" s="413"/>
      <c r="H162" s="413"/>
      <c r="I162" s="413"/>
      <c r="J162" s="413"/>
      <c r="K162" s="413"/>
      <c r="L162" s="413"/>
      <c r="M162" s="413"/>
      <c r="N162" s="413"/>
      <c r="O162" s="413"/>
      <c r="P162" s="413"/>
      <c r="Q162" s="413"/>
      <c r="R162" s="413"/>
      <c r="S162" s="413"/>
      <c r="T162" s="413"/>
      <c r="U162" s="413"/>
      <c r="V162" s="413"/>
      <c r="W162" s="413"/>
      <c r="X162" s="413"/>
      <c r="Y162" s="413"/>
      <c r="Z162" s="413"/>
      <c r="AA162" s="413"/>
      <c r="AB162" s="413"/>
      <c r="AC162" s="413"/>
      <c r="AD162" s="413"/>
      <c r="AE162" s="413"/>
      <c r="AF162" s="413"/>
      <c r="AG162" s="413"/>
      <c r="AH162" s="413"/>
      <c r="AI162" s="413"/>
      <c r="AJ162" s="413"/>
      <c r="AK162" s="413"/>
      <c r="AL162" s="413"/>
      <c r="AM162" s="48"/>
    </row>
    <row r="163" spans="1:42" ht="15.5">
      <c r="A163" s="26" t="s">
        <v>10</v>
      </c>
      <c r="B163" s="7">
        <f>'Bütçe aylık-TL'!$B$93</f>
        <v>-7142795.1450059991</v>
      </c>
      <c r="C163" s="7">
        <f>'gerç aylık-tl'!$B$92</f>
        <v>-8901072.0800000001</v>
      </c>
      <c r="D163" s="7"/>
      <c r="E163" s="7">
        <f>'Bütçe aylık-TL'!$C$93</f>
        <v>-7033387.5918669999</v>
      </c>
      <c r="F163" s="7">
        <f>'gerç aylık-tl'!$C$92</f>
        <v>-7887257.9400000004</v>
      </c>
      <c r="G163" s="7"/>
      <c r="H163" s="7">
        <f>'Bütçe aylık-TL'!$D$93</f>
        <v>-3139027.6191519997</v>
      </c>
      <c r="I163" s="7">
        <f>'gerç aylık-tl'!$D$92</f>
        <v>-3830701.08</v>
      </c>
      <c r="J163" s="7"/>
      <c r="K163" s="7">
        <f>'Bütçe aylık-TL'!$E$93</f>
        <v>-3275665.1629929999</v>
      </c>
      <c r="L163" s="7">
        <f>'gerç aylık-tl'!$E$92</f>
        <v>-4744422.8999999994</v>
      </c>
      <c r="M163" s="7"/>
      <c r="N163" s="7">
        <f>'Bütçe aylık-TL'!$F$93</f>
        <v>-2958446.1408350002</v>
      </c>
      <c r="O163" s="7">
        <f>'gerç aylık-tl'!$F$92</f>
        <v>-4748327.49</v>
      </c>
      <c r="P163" s="7"/>
      <c r="Q163" s="7">
        <f>'Bütçe aylık-TL'!$G$93</f>
        <v>-2862612.5918220002</v>
      </c>
      <c r="R163" s="7">
        <f>'gerç aylık-tl'!$G$92</f>
        <v>-4216625.3900000006</v>
      </c>
      <c r="S163" s="7"/>
      <c r="T163" s="7">
        <f>'Bütçe aylık-TL'!$H$93</f>
        <v>-3048687.5247670002</v>
      </c>
      <c r="U163" s="7">
        <f>'gerç aylık-tl'!$H$92</f>
        <v>-4291014.09</v>
      </c>
      <c r="V163" s="7"/>
      <c r="W163" s="7">
        <f>'Bütçe aylık-TL'!$I$93</f>
        <v>-2975977.5111980001</v>
      </c>
      <c r="X163" s="7">
        <f>'gerç aylık-tl'!$I$92</f>
        <v>-4200587.79</v>
      </c>
      <c r="Y163" s="7"/>
      <c r="Z163" s="7">
        <f>'Bütçe aylık-TL'!$J$93</f>
        <v>-2715598.2640940002</v>
      </c>
      <c r="AA163" s="7">
        <f>'gerç aylık-tl'!$J$92</f>
        <v>-321084.73</v>
      </c>
      <c r="AB163" s="7"/>
      <c r="AC163" s="7">
        <f>'Bütçe aylık-TL'!$K$93</f>
        <v>-2829544.860291</v>
      </c>
      <c r="AD163" s="7">
        <f>'gerç aylık-tl'!$K$92</f>
        <v>0</v>
      </c>
      <c r="AE163" s="7"/>
      <c r="AF163" s="7">
        <f>'Bütçe aylık-TL'!$L$93</f>
        <v>-2651482.6889380002</v>
      </c>
      <c r="AG163" s="7">
        <f>'gerç aylık-tl'!$L$92</f>
        <v>0</v>
      </c>
      <c r="AH163" s="7"/>
      <c r="AI163" s="7">
        <f>'Bütçe aylık-TL'!$M$93</f>
        <v>190188.19631900001</v>
      </c>
      <c r="AJ163" s="7">
        <f>'gerç aylık-tl'!$M$92</f>
        <v>0</v>
      </c>
      <c r="AK163" s="7"/>
      <c r="AL163" s="21">
        <f t="shared" ref="AL163:AL170" si="97">AP163-AO163</f>
        <v>2394513.5340940002</v>
      </c>
      <c r="AM163" s="22">
        <f t="shared" ref="AM163:AM170" si="98">AP163/AO163-1</f>
        <v>-0.88176280186748357</v>
      </c>
      <c r="AO163" s="44">
        <f t="shared" ref="AO163:AO170" si="99">IF($A$1=$B$1,B163,IF($A$1=$E$1,E163,IF($A$1=$H$1,H163,IF($A$1=$K$1,K163,IF($A$1=$N$1,N163,IF($A$1=$Q$1,Q163,IF($A$1=$T$1,T163,IF($A$1=$W$1,W163,IF($A$1=$Z$1,Z163,IF($A$1=$AC$1,AC163,IF($A$1=$AF$1,AF163,IF($A$1=$AI$1,AI163))))))))))))</f>
        <v>-2715598.2640940002</v>
      </c>
      <c r="AP163" s="44">
        <f t="shared" ref="AP163:AP170" si="100">IF($A$1=$B$1,C163,IF($A$1=$E$1,F163,IF($A$1=$H$1,I163,IF($A$1=$K$1,L163,IF($A$1=$N$1,O163,IF($A$1=$Q$1,R163,IF($A$1=$T$1,U163,IF($A$1=$W$1,X163,IF($A$1=$Z$1,AA163,IF($A$1=$AC$1,AD163,IF($A$1=$AF$1,AG163,IF($A$1=$AI$1,AJ163))))))))))))</f>
        <v>-321084.73</v>
      </c>
    </row>
    <row r="164" spans="1:42" ht="15.5">
      <c r="A164" s="26" t="s">
        <v>11</v>
      </c>
      <c r="B164" s="7">
        <f>'Bütçe aylık-TL'!$B$94</f>
        <v>-324652</v>
      </c>
      <c r="C164" s="7">
        <f>'gerç aylık-tl'!$B$93</f>
        <v>-2114037.3384500002</v>
      </c>
      <c r="D164" s="7"/>
      <c r="E164" s="7">
        <f>'Bütçe aylık-TL'!$C$94</f>
        <v>-257099</v>
      </c>
      <c r="F164" s="7">
        <f>'gerç aylık-tl'!$C$93</f>
        <v>-2118993.3835689998</v>
      </c>
      <c r="G164" s="7"/>
      <c r="H164" s="7">
        <f>'Bütçe aylık-TL'!$D$94</f>
        <v>-260343</v>
      </c>
      <c r="I164" s="7">
        <f>'gerç aylık-tl'!$D$93</f>
        <v>-3506713.5079780002</v>
      </c>
      <c r="J164" s="7"/>
      <c r="K164" s="7">
        <f>'Bütçe aylık-TL'!$E$94</f>
        <v>-263382</v>
      </c>
      <c r="L164" s="7">
        <f>'gerç aylık-tl'!$E$93</f>
        <v>-3838288.1795299998</v>
      </c>
      <c r="M164" s="7"/>
      <c r="N164" s="7">
        <f>'Bütçe aylık-TL'!$F$94</f>
        <v>-277805</v>
      </c>
      <c r="O164" s="7">
        <f>'gerç aylık-tl'!$F$93</f>
        <v>-3126077.5630669999</v>
      </c>
      <c r="P164" s="7"/>
      <c r="Q164" s="7">
        <f>'Bütçe aylık-TL'!$G$94</f>
        <v>-262259</v>
      </c>
      <c r="R164" s="7">
        <f>'gerç aylık-tl'!$G$93</f>
        <v>-4704063.2749840003</v>
      </c>
      <c r="S164" s="7"/>
      <c r="T164" s="7">
        <f>'Bütçe aylık-TL'!$H$94</f>
        <v>-216648</v>
      </c>
      <c r="U164" s="7">
        <f>'gerç aylık-tl'!$H$93</f>
        <v>-3091795.0570800002</v>
      </c>
      <c r="V164" s="7"/>
      <c r="W164" s="7">
        <f>'Bütçe aylık-TL'!$I$94</f>
        <v>-279983</v>
      </c>
      <c r="X164" s="7">
        <f>'gerç aylık-tl'!$I$93</f>
        <v>-3013714.71</v>
      </c>
      <c r="Y164" s="7"/>
      <c r="Z164" s="7">
        <f>'Bütçe aylık-TL'!$J$94</f>
        <v>-288161</v>
      </c>
      <c r="AA164" s="7">
        <f>'gerç aylık-tl'!$J$93</f>
        <v>-5485232.2994990004</v>
      </c>
      <c r="AB164" s="7"/>
      <c r="AC164" s="7">
        <f>'Bütçe aylık-TL'!$K$94</f>
        <v>-299585</v>
      </c>
      <c r="AD164" s="7">
        <f>'gerç aylık-tl'!$K$93</f>
        <v>0</v>
      </c>
      <c r="AE164" s="7"/>
      <c r="AF164" s="7">
        <f>'Bütçe aylık-TL'!$L$94</f>
        <v>-300329</v>
      </c>
      <c r="AG164" s="7">
        <f>'gerç aylık-tl'!$L$93</f>
        <v>0</v>
      </c>
      <c r="AH164" s="7"/>
      <c r="AI164" s="7">
        <f>'Bütçe aylık-TL'!$M$94</f>
        <v>-263382</v>
      </c>
      <c r="AJ164" s="7">
        <f>'gerç aylık-tl'!$M$93</f>
        <v>0</v>
      </c>
      <c r="AK164" s="7"/>
      <c r="AL164" s="21">
        <f t="shared" si="97"/>
        <v>-5197071.2994990004</v>
      </c>
      <c r="AM164" s="22">
        <f t="shared" si="98"/>
        <v>18.03530422055379</v>
      </c>
      <c r="AO164" s="44">
        <f t="shared" si="99"/>
        <v>-288161</v>
      </c>
      <c r="AP164" s="44">
        <f t="shared" si="100"/>
        <v>-5485232.2994990004</v>
      </c>
    </row>
    <row r="165" spans="1:42" ht="15.5">
      <c r="A165" s="26" t="s">
        <v>12</v>
      </c>
      <c r="B165" s="7">
        <f>'Bütçe aylık-TL'!$B$95</f>
        <v>-2039397.5089710001</v>
      </c>
      <c r="C165" s="7">
        <f>'gerç aylık-tl'!$B$94</f>
        <v>-1486096</v>
      </c>
      <c r="D165" s="7"/>
      <c r="E165" s="7">
        <f>'Bütçe aylık-TL'!$C$95</f>
        <v>-2311938.4179690001</v>
      </c>
      <c r="F165" s="7">
        <f>'gerç aylık-tl'!$C$94</f>
        <v>-1235417</v>
      </c>
      <c r="G165" s="7"/>
      <c r="H165" s="7">
        <f>'Bütçe aylık-TL'!$D$95</f>
        <v>-2161753.3638439998</v>
      </c>
      <c r="I165" s="7">
        <f>'gerç aylık-tl'!$D$94</f>
        <v>-1973525</v>
      </c>
      <c r="J165" s="7"/>
      <c r="K165" s="7">
        <f>'Bütçe aylık-TL'!$E$95</f>
        <v>-2271236.905297</v>
      </c>
      <c r="L165" s="7">
        <f>'gerç aylık-tl'!$E$94</f>
        <v>-1878887</v>
      </c>
      <c r="M165" s="7"/>
      <c r="N165" s="7">
        <f>'Bütçe aylık-TL'!$F$95</f>
        <v>-2099708.1787310001</v>
      </c>
      <c r="O165" s="7">
        <f>'gerç aylık-tl'!$F$94</f>
        <v>-1420222</v>
      </c>
      <c r="P165" s="7"/>
      <c r="Q165" s="7">
        <f>'Bütçe aylık-TL'!$G$95</f>
        <v>-2140730.0416640001</v>
      </c>
      <c r="R165" s="7">
        <f>'gerç aylık-tl'!$G$94</f>
        <v>-2357450</v>
      </c>
      <c r="S165" s="7"/>
      <c r="T165" s="7">
        <f>'Bütçe aylık-TL'!$H$95</f>
        <v>-2101386.0191480001</v>
      </c>
      <c r="U165" s="7">
        <f>'gerç aylık-tl'!$H$94</f>
        <v>-2928890</v>
      </c>
      <c r="V165" s="7"/>
      <c r="W165" s="7">
        <f>'Bütçe aylık-TL'!$I$95</f>
        <v>-2329726.6815289999</v>
      </c>
      <c r="X165" s="7">
        <f>'gerç aylık-tl'!$I$94</f>
        <v>-2767561</v>
      </c>
      <c r="Y165" s="7"/>
      <c r="Z165" s="7">
        <f>'Bütçe aylık-TL'!$J$95</f>
        <v>-2176382.3507869998</v>
      </c>
      <c r="AA165" s="7">
        <f>'gerç aylık-tl'!$J$94</f>
        <v>-1723689</v>
      </c>
      <c r="AB165" s="7"/>
      <c r="AC165" s="7">
        <f>'Bütçe aylık-TL'!$K$95</f>
        <v>-2167827.9492429998</v>
      </c>
      <c r="AD165" s="7">
        <f>'gerç aylık-tl'!$K$94</f>
        <v>0</v>
      </c>
      <c r="AE165" s="7"/>
      <c r="AF165" s="7">
        <f>'Bütçe aylık-TL'!$L$95</f>
        <v>-2183467.1532640001</v>
      </c>
      <c r="AG165" s="7">
        <f>'gerç aylık-tl'!$L$94</f>
        <v>0</v>
      </c>
      <c r="AH165" s="7"/>
      <c r="AI165" s="7">
        <f>'Bütçe aylık-TL'!$M$95</f>
        <v>-2360141.467613</v>
      </c>
      <c r="AJ165" s="7">
        <f>'gerç aylık-tl'!$M$94</f>
        <v>0</v>
      </c>
      <c r="AK165" s="7"/>
      <c r="AL165" s="21">
        <f t="shared" si="97"/>
        <v>452693.3507869998</v>
      </c>
      <c r="AM165" s="22">
        <f t="shared" si="98"/>
        <v>-0.20800267500023684</v>
      </c>
      <c r="AO165" s="44">
        <f t="shared" si="99"/>
        <v>-2176382.3507869998</v>
      </c>
      <c r="AP165" s="44">
        <f t="shared" si="100"/>
        <v>-1723689</v>
      </c>
    </row>
    <row r="166" spans="1:42" ht="15.5">
      <c r="A166" s="26" t="s">
        <v>13</v>
      </c>
      <c r="B166" s="7">
        <f>'Bütçe aylık-TL'!$B$96</f>
        <v>-76280968.634272993</v>
      </c>
      <c r="C166" s="7">
        <f>'gerç aylık-tl'!$B$95</f>
        <v>-62771359.850000001</v>
      </c>
      <c r="D166" s="7"/>
      <c r="E166" s="7">
        <f>'Bütçe aylık-TL'!$C$96</f>
        <v>-77801958.738051996</v>
      </c>
      <c r="F166" s="7">
        <f>'gerç aylık-tl'!$C$95</f>
        <v>-57305192.280000001</v>
      </c>
      <c r="G166" s="7"/>
      <c r="H166" s="7">
        <f>'Bütçe aylık-TL'!$D$96</f>
        <v>-79137081.408159003</v>
      </c>
      <c r="I166" s="7">
        <f>'gerç aylık-tl'!$D$95</f>
        <v>-63040182.410000004</v>
      </c>
      <c r="J166" s="7"/>
      <c r="K166" s="7">
        <f>'Bütçe aylık-TL'!$E$96</f>
        <v>-76988977.776259005</v>
      </c>
      <c r="L166" s="7">
        <f>'gerç aylık-tl'!$E$95</f>
        <v>-65722949.590000004</v>
      </c>
      <c r="M166" s="7"/>
      <c r="N166" s="7">
        <f>'Bütçe aylık-TL'!$F$96</f>
        <v>-64277593.487967998</v>
      </c>
      <c r="O166" s="7">
        <f>'gerç aylık-tl'!$F$95</f>
        <v>-76690771.540000007</v>
      </c>
      <c r="P166" s="7"/>
      <c r="Q166" s="7">
        <f>'Bütçe aylık-TL'!$G$96</f>
        <v>-65835996.655587003</v>
      </c>
      <c r="R166" s="7">
        <f>'gerç aylık-tl'!$G$95</f>
        <v>-96375363.879999995</v>
      </c>
      <c r="S166" s="7"/>
      <c r="T166" s="7">
        <f>'Bütçe aylık-TL'!$H$96</f>
        <v>-81017665.239443004</v>
      </c>
      <c r="U166" s="7">
        <f>'gerç aylık-tl'!$H$95</f>
        <v>-96111983.510000005</v>
      </c>
      <c r="V166" s="7"/>
      <c r="W166" s="7">
        <f>'Bütçe aylık-TL'!$I$96</f>
        <v>-84991505.830751002</v>
      </c>
      <c r="X166" s="7">
        <f>'gerç aylık-tl'!$I$95</f>
        <v>-103538291.56</v>
      </c>
      <c r="Y166" s="7"/>
      <c r="Z166" s="7">
        <f>'Bütçe aylık-TL'!$J$96</f>
        <v>-89716614.812067002</v>
      </c>
      <c r="AA166" s="7">
        <f>'gerç aylık-tl'!$J$95</f>
        <v>-91185522.370000005</v>
      </c>
      <c r="AB166" s="7"/>
      <c r="AC166" s="7">
        <f>'Bütçe aylık-TL'!$K$96</f>
        <v>-83434097.604923993</v>
      </c>
      <c r="AD166" s="7">
        <f>'gerç aylık-tl'!$K$95</f>
        <v>0</v>
      </c>
      <c r="AE166" s="7"/>
      <c r="AF166" s="7">
        <f>'Bütçe aylık-TL'!$L$96</f>
        <v>-82428966.692159995</v>
      </c>
      <c r="AG166" s="7">
        <f>'gerç aylık-tl'!$L$95</f>
        <v>0</v>
      </c>
      <c r="AH166" s="7"/>
      <c r="AI166" s="7">
        <f>'Bütçe aylık-TL'!$M$96</f>
        <v>-86664576.209275007</v>
      </c>
      <c r="AJ166" s="7">
        <f>'gerç aylık-tl'!$M$95</f>
        <v>0</v>
      </c>
      <c r="AK166" s="7"/>
      <c r="AL166" s="21">
        <f t="shared" si="97"/>
        <v>-1468907.5579330027</v>
      </c>
      <c r="AM166" s="22">
        <f t="shared" si="98"/>
        <v>1.6372748358929767E-2</v>
      </c>
      <c r="AO166" s="44">
        <f t="shared" si="99"/>
        <v>-89716614.812067002</v>
      </c>
      <c r="AP166" s="44">
        <f t="shared" si="100"/>
        <v>-91185522.370000005</v>
      </c>
    </row>
    <row r="167" spans="1:42" s="1" customFormat="1" ht="15.5">
      <c r="A167" s="26" t="s">
        <v>14</v>
      </c>
      <c r="B167" s="7">
        <f>'Bütçe aylık-TL'!$B$97</f>
        <v>-4757231</v>
      </c>
      <c r="C167" s="7">
        <f>'gerç aylık-tl'!$B$96</f>
        <v>-4838843.8271049997</v>
      </c>
      <c r="D167" s="8"/>
      <c r="E167" s="7">
        <f>'Bütçe aylık-TL'!$C$97</f>
        <v>-4711193.599556</v>
      </c>
      <c r="F167" s="7">
        <f>'gerç aylık-tl'!$C$96</f>
        <v>-4867840.1965770004</v>
      </c>
      <c r="G167" s="8"/>
      <c r="H167" s="7">
        <f>'Bütçe aylık-TL'!$D$97</f>
        <v>-4663479</v>
      </c>
      <c r="I167" s="7">
        <f>'gerç aylık-tl'!$D$96</f>
        <v>-4861665.4715090003</v>
      </c>
      <c r="J167" s="8"/>
      <c r="K167" s="7">
        <f>'Bütçe aylık-TL'!$E$97</f>
        <v>-7125355.1526918681</v>
      </c>
      <c r="L167" s="7">
        <f>'gerç aylık-tl'!$E$96</f>
        <v>-4713041.8828180004</v>
      </c>
      <c r="M167" s="8"/>
      <c r="N167" s="7">
        <f>'Bütçe aylık-TL'!$F$97</f>
        <v>-7047426.7503773086</v>
      </c>
      <c r="O167" s="7">
        <f>'gerç aylık-tl'!$F$96</f>
        <v>-4690384.1570899999</v>
      </c>
      <c r="P167" s="8"/>
      <c r="Q167" s="7">
        <f>'Bütçe aylık-TL'!$G$97</f>
        <v>-6892417.9917933363</v>
      </c>
      <c r="R167" s="7">
        <f>'gerç aylık-tl'!$G$96</f>
        <v>-8830736.841542</v>
      </c>
      <c r="S167" s="8"/>
      <c r="T167" s="7">
        <f>'Bütçe aylık-TL'!$H$97</f>
        <v>-6732052.8539700219</v>
      </c>
      <c r="U167" s="7">
        <f>'gerç aylık-tl'!$H$96</f>
        <v>-8491965.8632410001</v>
      </c>
      <c r="V167" s="8"/>
      <c r="W167" s="7">
        <f>'Bütçe aylık-TL'!$I$97</f>
        <v>-6565805.095028555</v>
      </c>
      <c r="X167" s="7">
        <f>'gerç aylık-tl'!$I$96</f>
        <v>-9623128.2227410004</v>
      </c>
      <c r="Y167" s="8"/>
      <c r="Z167" s="7">
        <f>'Bütçe aylık-TL'!$J$97</f>
        <v>-6827588.8936475031</v>
      </c>
      <c r="AA167" s="7">
        <f>'gerç aylık-tl'!$J$96</f>
        <v>-9387137.7633580007</v>
      </c>
      <c r="AB167" s="8"/>
      <c r="AC167" s="7">
        <f>'Bütçe aylık-TL'!$K$97</f>
        <v>-6648988.9674783442</v>
      </c>
      <c r="AD167" s="7">
        <f>'gerç aylık-tl'!$K$96</f>
        <v>0</v>
      </c>
      <c r="AE167" s="8"/>
      <c r="AF167" s="7">
        <f>'Bütçe aylık-TL'!$L$97</f>
        <v>-6464027.1475229207</v>
      </c>
      <c r="AG167" s="7">
        <f>'gerç aylık-tl'!$L$96</f>
        <v>0</v>
      </c>
      <c r="AH167" s="8"/>
      <c r="AI167" s="7">
        <f>'Bütçe aylık-TL'!$M$97</f>
        <v>-6272474.5775501085</v>
      </c>
      <c r="AJ167" s="7">
        <f>'gerç aylık-tl'!$M$96</f>
        <v>0</v>
      </c>
      <c r="AK167" s="8"/>
      <c r="AL167" s="21">
        <f t="shared" si="97"/>
        <v>-2559548.8697104976</v>
      </c>
      <c r="AM167" s="22">
        <f t="shared" si="98"/>
        <v>0.37488327278930678</v>
      </c>
      <c r="AO167" s="44">
        <f t="shared" si="99"/>
        <v>-6827588.8936475031</v>
      </c>
      <c r="AP167" s="44">
        <f t="shared" si="100"/>
        <v>-9387137.7633580007</v>
      </c>
    </row>
    <row r="168" spans="1:42" ht="15.5">
      <c r="A168" s="26" t="s">
        <v>15</v>
      </c>
      <c r="B168" s="7">
        <f>'Bütçe aylık-TL'!$B$98</f>
        <v>-1449557.2881436413</v>
      </c>
      <c r="C168" s="7">
        <f>'gerç aylık-tl'!$B$97</f>
        <v>-1604847.3585493874</v>
      </c>
      <c r="D168" s="7"/>
      <c r="E168" s="7">
        <f>'Bütçe aylık-TL'!$C$98</f>
        <v>-1435716.6895677692</v>
      </c>
      <c r="F168" s="7">
        <f>'gerç aylık-tl'!$C$97</f>
        <v>-1159077.6128341428</v>
      </c>
      <c r="G168" s="7"/>
      <c r="H168" s="7">
        <f>'Bütçe aylık-TL'!$D$98</f>
        <v>-1421101.9669134137</v>
      </c>
      <c r="I168" s="7">
        <f>'gerç aylık-tl'!$D$97</f>
        <v>-1738512.3882677425</v>
      </c>
      <c r="J168" s="7"/>
      <c r="K168" s="7">
        <f>'Bütçe aylık-TL'!$E$98</f>
        <v>-1319997.9030329613</v>
      </c>
      <c r="L168" s="7">
        <f>'gerç aylık-tl'!$E$97</f>
        <v>-1521688.3542696324</v>
      </c>
      <c r="M168" s="7"/>
      <c r="N168" s="7">
        <f>'Bütçe aylık-TL'!$F$98</f>
        <v>-1263365.7473425516</v>
      </c>
      <c r="O168" s="7">
        <f>'gerç aylık-tl'!$F$97</f>
        <v>273880.67748851492</v>
      </c>
      <c r="P168" s="7"/>
      <c r="Q168" s="7">
        <f>'Bütçe aylık-TL'!$G$98</f>
        <v>-1248891.8444471227</v>
      </c>
      <c r="R168" s="7">
        <f>'gerç aylık-tl'!$G$97</f>
        <v>-5550476.3313866993</v>
      </c>
      <c r="S168" s="7"/>
      <c r="T168" s="7">
        <f>'Bütçe aylık-TL'!$H$98</f>
        <v>-1205744.6540143967</v>
      </c>
      <c r="U168" s="7">
        <f>'gerç aylık-tl'!$H$97</f>
        <v>-3786676.4206054192</v>
      </c>
      <c r="V168" s="7"/>
      <c r="W168" s="7">
        <f>'Bütçe aylık-TL'!$I$98</f>
        <v>-1162686.7433534064</v>
      </c>
      <c r="X168" s="7">
        <f>'gerç aylık-tl'!$I$97</f>
        <v>559037.57712241856</v>
      </c>
      <c r="Y168" s="7"/>
      <c r="Z168" s="7">
        <f>'Bütçe aylık-TL'!$J$98</f>
        <v>-1144401.7380695129</v>
      </c>
      <c r="AA168" s="7">
        <f>'gerç aylık-tl'!$J$97</f>
        <v>-1402249.6095554989</v>
      </c>
      <c r="AB168" s="7"/>
      <c r="AC168" s="7">
        <f>'Bütçe aylık-TL'!$K$98</f>
        <v>-1113204.3056729694</v>
      </c>
      <c r="AD168" s="7">
        <f>'gerç aylık-tl'!$K$97</f>
        <v>0</v>
      </c>
      <c r="AE168" s="7"/>
      <c r="AF168" s="7">
        <f>'Bütçe aylık-TL'!$L$98</f>
        <v>-1113839.8608770415</v>
      </c>
      <c r="AG168" s="7">
        <f>'gerç aylık-tl'!$L$97</f>
        <v>0</v>
      </c>
      <c r="AH168" s="7"/>
      <c r="AI168" s="7">
        <f>'Bütçe aylık-TL'!$M$98</f>
        <v>-1082899.2552417901</v>
      </c>
      <c r="AJ168" s="7">
        <f>'gerç aylık-tl'!$M$97</f>
        <v>0</v>
      </c>
      <c r="AK168" s="7"/>
      <c r="AL168" s="21">
        <f t="shared" si="97"/>
        <v>-257847.87148598605</v>
      </c>
      <c r="AM168" s="22">
        <f t="shared" si="98"/>
        <v>0.22531237318893682</v>
      </c>
      <c r="AO168" s="44">
        <f t="shared" si="99"/>
        <v>-1144401.7380695129</v>
      </c>
      <c r="AP168" s="44">
        <f t="shared" si="100"/>
        <v>-1402249.6095554989</v>
      </c>
    </row>
    <row r="169" spans="1:42" ht="15.5">
      <c r="A169" s="26" t="s">
        <v>16</v>
      </c>
      <c r="B169" s="7">
        <f>'Bütçe aylık-TL'!$B$99</f>
        <v>-1207344.4836269952</v>
      </c>
      <c r="C169" s="7">
        <f>'gerç aylık-tl'!$B$98</f>
        <v>3170402.3527199035</v>
      </c>
      <c r="D169" s="7"/>
      <c r="E169" s="7">
        <f>'Bütçe aylık-TL'!$C$99</f>
        <v>-1196524.8283901233</v>
      </c>
      <c r="F169" s="7">
        <f>'gerç aylık-tl'!$C$98</f>
        <v>789315.22921085707</v>
      </c>
      <c r="G169" s="7"/>
      <c r="H169" s="7">
        <f>'Bütçe aylık-TL'!$D$99</f>
        <v>-1185094.7147053517</v>
      </c>
      <c r="I169" s="7">
        <f>'gerç aylık-tl'!$D$98</f>
        <v>964488.81802451622</v>
      </c>
      <c r="J169" s="7"/>
      <c r="K169" s="7">
        <f>'Bütçe aylık-TL'!$E$99</f>
        <v>-1104091.6991824664</v>
      </c>
      <c r="L169" s="7">
        <f>'gerç aylık-tl'!$E$98</f>
        <v>3531238.6542444658</v>
      </c>
      <c r="M169" s="7"/>
      <c r="N169" s="7">
        <f>'Bütçe aylık-TL'!$F$99</f>
        <v>-1058866.1827171058</v>
      </c>
      <c r="O169" s="7">
        <f>'gerç aylık-tl'!$F$98</f>
        <v>5340876.0875410615</v>
      </c>
      <c r="P169" s="7"/>
      <c r="Q169" s="7">
        <f>'Bütçe aylık-TL'!$G$99</f>
        <v>-1047587.6113383134</v>
      </c>
      <c r="R169" s="7">
        <f>'gerç aylık-tl'!$G$98</f>
        <v>4718519.0898041008</v>
      </c>
      <c r="S169" s="7"/>
      <c r="T169" s="7">
        <f>'Bütçe aylık-TL'!$H$99</f>
        <v>-1014911.2502208761</v>
      </c>
      <c r="U169" s="7">
        <f>'gerç aylık-tl'!$H$98</f>
        <v>5855442.7996609062</v>
      </c>
      <c r="V169" s="7"/>
      <c r="W169" s="7">
        <f>'Bütçe aylık-TL'!$I$99</f>
        <v>-980565.0940556092</v>
      </c>
      <c r="X169" s="7">
        <f>'gerç aylık-tl'!$I$98</f>
        <v>453382.22568703204</v>
      </c>
      <c r="Y169" s="7"/>
      <c r="Z169" s="7">
        <f>'Bütçe aylık-TL'!$J$99</f>
        <v>-966227.5105155909</v>
      </c>
      <c r="AA169" s="7">
        <f>'gerç aylık-tl'!$J$98</f>
        <v>2959278.7851494993</v>
      </c>
      <c r="AB169" s="7"/>
      <c r="AC169" s="7">
        <f>'Bütçe aylık-TL'!$K$99</f>
        <v>-941495.86716998636</v>
      </c>
      <c r="AD169" s="7">
        <f>'gerç aylık-tl'!$K$98</f>
        <v>0</v>
      </c>
      <c r="AE169" s="7"/>
      <c r="AF169" s="7">
        <f>'Bütçe aylık-TL'!$L$99</f>
        <v>-942452.23288386664</v>
      </c>
      <c r="AG169" s="7">
        <f>'gerç aylık-tl'!$L$98</f>
        <v>0</v>
      </c>
      <c r="AH169" s="7"/>
      <c r="AI169" s="7">
        <f>'Bütçe aylık-TL'!$M$99</f>
        <v>-918012.66397723113</v>
      </c>
      <c r="AJ169" s="7">
        <f>'gerç aylık-tl'!$M$98</f>
        <v>0</v>
      </c>
      <c r="AK169" s="7"/>
      <c r="AL169" s="21">
        <f t="shared" si="97"/>
        <v>3925506.29566509</v>
      </c>
      <c r="AM169" s="22">
        <f t="shared" si="98"/>
        <v>-4.0627142706487334</v>
      </c>
      <c r="AO169" s="44">
        <f t="shared" si="99"/>
        <v>-966227.5105155909</v>
      </c>
      <c r="AP169" s="44">
        <f t="shared" si="100"/>
        <v>2959278.7851494993</v>
      </c>
    </row>
    <row r="170" spans="1:42" ht="15.5">
      <c r="A170" s="26" t="s">
        <v>17</v>
      </c>
      <c r="B170" s="7">
        <f>'Bütçe aylık-TL'!$B$100</f>
        <v>-1678824.7599360002</v>
      </c>
      <c r="C170" s="7">
        <f>'gerç aylık-tl'!$B$99</f>
        <v>-2443445.3653321941</v>
      </c>
      <c r="D170" s="7"/>
      <c r="E170" s="7">
        <f>'Bütçe aylık-TL'!$C$100</f>
        <v>-1713438.5848080001</v>
      </c>
      <c r="F170" s="7">
        <f>'gerç aylık-tl'!$C$99</f>
        <v>-3327547.6787549285</v>
      </c>
      <c r="G170" s="7"/>
      <c r="H170" s="7">
        <f>'Bütçe aylık-TL'!$D$100</f>
        <v>-1748056.9308169992</v>
      </c>
      <c r="I170" s="7">
        <f>'gerç aylık-tl'!$D$99</f>
        <v>-5001919.5404883893</v>
      </c>
      <c r="J170" s="7"/>
      <c r="K170" s="7">
        <f>'Bütçe aylık-TL'!$E$100</f>
        <v>-1782670.7556890009</v>
      </c>
      <c r="L170" s="7">
        <f>'gerç aylık-tl'!$E$99</f>
        <v>-541837.11321203294</v>
      </c>
      <c r="M170" s="7"/>
      <c r="N170" s="7">
        <f>'Bütçe aylık-TL'!$F$100</f>
        <v>-1817284.5805609999</v>
      </c>
      <c r="O170" s="7">
        <f>'gerç aylık-tl'!$F$99</f>
        <v>-2120586.6243954194</v>
      </c>
      <c r="P170" s="7"/>
      <c r="Q170" s="7">
        <f>'Bütçe aylık-TL'!$G$100</f>
        <v>-1851898.4054329987</v>
      </c>
      <c r="R170" s="7">
        <f>'gerç aylık-tl'!$G$99</f>
        <v>-2696961.850393998</v>
      </c>
      <c r="S170" s="7"/>
      <c r="T170" s="7">
        <f>'Bütçe aylık-TL'!$H$100</f>
        <v>-1886516.7514420021</v>
      </c>
      <c r="U170" s="7">
        <f>'gerç aylık-tl'!$H$99</f>
        <v>-1163691.4093441286</v>
      </c>
      <c r="V170" s="7"/>
      <c r="W170" s="7">
        <f>'Bütçe aylık-TL'!$I$100</f>
        <v>-1921130.5763139997</v>
      </c>
      <c r="X170" s="7">
        <f>'gerç aylık-tl'!$I$99</f>
        <v>2428558.4567573215</v>
      </c>
      <c r="Y170" s="7"/>
      <c r="Z170" s="7">
        <f>'Bütçe aylık-TL'!$J$100</f>
        <v>-1955744.4011859999</v>
      </c>
      <c r="AA170" s="7">
        <f>'gerç aylık-tl'!$J$99</f>
        <v>685230.56174850068</v>
      </c>
      <c r="AB170" s="7"/>
      <c r="AC170" s="7">
        <f>'Bütçe aylık-TL'!$K$100</f>
        <v>-1990358.226058</v>
      </c>
      <c r="AD170" s="7">
        <f>'gerç aylık-tl'!$K$99</f>
        <v>0</v>
      </c>
      <c r="AE170" s="7"/>
      <c r="AF170" s="7">
        <f>'Bütçe aylık-TL'!$L$100</f>
        <v>-2024976.5720669997</v>
      </c>
      <c r="AG170" s="7">
        <f>'gerç aylık-tl'!$L$99</f>
        <v>0</v>
      </c>
      <c r="AH170" s="7"/>
      <c r="AI170" s="7">
        <f>'Bütçe aylık-TL'!$M$100</f>
        <v>-2059590.3969389971</v>
      </c>
      <c r="AJ170" s="7">
        <f>'gerç aylık-tl'!$M$99</f>
        <v>0</v>
      </c>
      <c r="AK170" s="7"/>
      <c r="AL170" s="21">
        <f t="shared" si="97"/>
        <v>2640974.9629345005</v>
      </c>
      <c r="AM170" s="22">
        <f t="shared" si="98"/>
        <v>-1.350368157174815</v>
      </c>
      <c r="AO170" s="44">
        <f t="shared" si="99"/>
        <v>-1955744.4011859999</v>
      </c>
      <c r="AP170" s="44">
        <f t="shared" si="100"/>
        <v>685230.56174850068</v>
      </c>
    </row>
    <row r="171" spans="1:42" s="13" customFormat="1" ht="15.5">
      <c r="A171" s="26"/>
      <c r="B171" s="12"/>
      <c r="C171" s="30"/>
      <c r="D171" s="41"/>
      <c r="E171" s="12"/>
      <c r="F171" s="30"/>
      <c r="G171" s="41"/>
      <c r="H171" s="12"/>
      <c r="I171" s="30"/>
      <c r="J171" s="41"/>
      <c r="K171" s="12"/>
      <c r="L171" s="30"/>
      <c r="M171" s="41"/>
      <c r="N171" s="12"/>
      <c r="O171" s="30"/>
      <c r="P171" s="41"/>
      <c r="Q171" s="12"/>
      <c r="R171" s="30"/>
      <c r="S171" s="41"/>
      <c r="T171" s="12"/>
      <c r="U171" s="30"/>
      <c r="V171" s="41"/>
      <c r="W171" s="12"/>
      <c r="X171" s="30"/>
      <c r="Y171" s="41"/>
      <c r="Z171" s="12"/>
      <c r="AA171" s="30"/>
      <c r="AB171" s="41"/>
      <c r="AC171" s="12"/>
      <c r="AD171" s="30"/>
      <c r="AE171" s="41"/>
      <c r="AF171" s="12"/>
      <c r="AG171" s="30"/>
      <c r="AH171" s="41"/>
      <c r="AI171" s="12"/>
      <c r="AJ171" s="30"/>
      <c r="AK171" s="41"/>
      <c r="AL171" s="15"/>
      <c r="AM171" s="22"/>
      <c r="AO171" s="44"/>
      <c r="AP171" s="44"/>
    </row>
    <row r="172" spans="1:42" s="13" customFormat="1" ht="15.5">
      <c r="A172" s="26"/>
      <c r="B172" s="12"/>
      <c r="C172" s="30"/>
      <c r="D172" s="41"/>
      <c r="E172" s="12"/>
      <c r="F172" s="30"/>
      <c r="G172" s="41"/>
      <c r="H172" s="12"/>
      <c r="I172" s="30"/>
      <c r="J172" s="41"/>
      <c r="K172" s="12"/>
      <c r="L172" s="30"/>
      <c r="M172" s="41"/>
      <c r="N172" s="12"/>
      <c r="O172" s="30"/>
      <c r="P172" s="41"/>
      <c r="Q172" s="12"/>
      <c r="R172" s="30"/>
      <c r="S172" s="41"/>
      <c r="T172" s="12"/>
      <c r="U172" s="30"/>
      <c r="V172" s="41"/>
      <c r="W172" s="12"/>
      <c r="X172" s="30"/>
      <c r="Y172" s="41"/>
      <c r="Z172" s="12"/>
      <c r="AA172" s="30"/>
      <c r="AB172" s="41"/>
      <c r="AC172" s="12"/>
      <c r="AD172" s="30"/>
      <c r="AE172" s="41"/>
      <c r="AF172" s="12"/>
      <c r="AG172" s="30"/>
      <c r="AH172" s="41"/>
      <c r="AI172" s="12"/>
      <c r="AJ172" s="30"/>
      <c r="AK172" s="41"/>
      <c r="AL172" s="15"/>
      <c r="AM172" s="22"/>
      <c r="AO172" s="44"/>
      <c r="AP172" s="44"/>
    </row>
    <row r="173" spans="1:42" s="44" customFormat="1" ht="15.5">
      <c r="A173" s="31" t="s">
        <v>78</v>
      </c>
      <c r="B173" s="32">
        <f>'Bütçe aylık-TL'!$B$103</f>
        <v>6874562.9029427152</v>
      </c>
      <c r="C173" s="32">
        <f>'gerç aylık-tl'!$B$102</f>
        <v>-23064815.020470686</v>
      </c>
      <c r="D173" s="18"/>
      <c r="E173" s="32">
        <f>'Bütçe aylık-TL'!$C$103</f>
        <v>1279358.3949234392</v>
      </c>
      <c r="F173" s="32">
        <f>'gerç aylık-tl'!$C$102</f>
        <v>6287689.0166589441</v>
      </c>
      <c r="G173" s="18"/>
      <c r="H173" s="32">
        <f>'Bütçe aylık-TL'!$D$103</f>
        <v>-1475554.4691400304</v>
      </c>
      <c r="I173" s="32">
        <f>'gerç aylık-tl'!$D$102</f>
        <v>-17032119.548188403</v>
      </c>
      <c r="J173" s="18"/>
      <c r="K173" s="32">
        <f>'Bütçe aylık-TL'!$E$103</f>
        <v>-7709685.6281119864</v>
      </c>
      <c r="L173" s="32">
        <f>'gerç aylık-tl'!$E$102</f>
        <v>-44650561.622285455</v>
      </c>
      <c r="M173" s="18"/>
      <c r="N173" s="32">
        <f>'Bütçe aylık-TL'!$F$103</f>
        <v>-401455.8149237982</v>
      </c>
      <c r="O173" s="32">
        <f>'gerç aylık-tl'!$F$102</f>
        <v>-27132438.048453156</v>
      </c>
      <c r="P173" s="18"/>
      <c r="Q173" s="32">
        <f>'Bütçe aylık-TL'!$G$103</f>
        <v>2430253.7398265945</v>
      </c>
      <c r="R173" s="32">
        <f>'gerç aylık-tl'!$G$102</f>
        <v>-35296214.768818073</v>
      </c>
      <c r="S173" s="18"/>
      <c r="T173" s="32">
        <f>'Bütçe aylık-TL'!$H$103</f>
        <v>-2150626.8642848902</v>
      </c>
      <c r="U173" s="32">
        <f>'gerç aylık-tl'!$H$102</f>
        <v>-28141650.419022296</v>
      </c>
      <c r="V173" s="18"/>
      <c r="W173" s="32">
        <f>'Bütçe aylık-TL'!$I$103</f>
        <v>-1928676.5206995977</v>
      </c>
      <c r="X173" s="32">
        <f>'gerç aylık-tl'!$I$102</f>
        <v>-24226402.568519764</v>
      </c>
      <c r="Y173" s="18"/>
      <c r="Z173" s="32">
        <f>'Bütçe aylık-TL'!$J$103</f>
        <v>-1770502.7654779842</v>
      </c>
      <c r="AA173" s="32">
        <f>'gerç aylık-tl'!$J$102</f>
        <v>-13983796.210964404</v>
      </c>
      <c r="AB173" s="18"/>
      <c r="AC173" s="32">
        <f>'Bütçe aylık-TL'!$K$103</f>
        <v>-1832732.4404599061</v>
      </c>
      <c r="AD173" s="32">
        <f>'gerç aylık-tl'!$K$102</f>
        <v>0</v>
      </c>
      <c r="AE173" s="18"/>
      <c r="AF173" s="32">
        <f>'Bütçe aylık-TL'!$L$103</f>
        <v>-1479259.5660322604</v>
      </c>
      <c r="AG173" s="32">
        <f>'gerç aylık-tl'!$L$102</f>
        <v>0</v>
      </c>
      <c r="AH173" s="18"/>
      <c r="AI173" s="32">
        <f>'Bütçe aylık-TL'!$M$103</f>
        <v>-1414655.3225897248</v>
      </c>
      <c r="AJ173" s="32">
        <f>'gerç aylık-tl'!$M$102</f>
        <v>0</v>
      </c>
      <c r="AK173" s="18"/>
      <c r="AL173" s="33">
        <f>AP173-AO173</f>
        <v>-12213293.445486419</v>
      </c>
      <c r="AM173" s="34">
        <f>AP173/AO173-1</f>
        <v>6.898206364670199</v>
      </c>
      <c r="AO173" s="44">
        <f>IF($A$1=$B$1,B173,IF($A$1=$E$1,E173,IF($A$1=$H$1,H173,IF($A$1=$K$1,K173,IF($A$1=$N$1,N173,IF($A$1=$Q$1,Q173,IF($A$1=$T$1,T173,IF($A$1=$W$1,W173,IF($A$1=$Z$1,Z173,IF($A$1=$AC$1,AC173,IF($A$1=$AF$1,AF173,IF($A$1=$AI$1,AI173))))))))))))</f>
        <v>-1770502.7654779842</v>
      </c>
      <c r="AP173" s="44">
        <f>IF($A$1=$B$1,C173,IF($A$1=$E$1,F173,IF($A$1=$H$1,I173,IF($A$1=$K$1,L173,IF($A$1=$N$1,O173,IF($A$1=$Q$1,R173,IF($A$1=$T$1,U173,IF($A$1=$W$1,X173,IF($A$1=$Z$1,AA173,IF($A$1=$AC$1,AD173,IF($A$1=$AF$1,AG173,IF($A$1=$AI$1,AJ173))))))))))))</f>
        <v>-13983796.210964404</v>
      </c>
    </row>
    <row r="174" spans="1:42" s="13" customFormat="1" ht="15.5">
      <c r="A174" s="27"/>
      <c r="B174" s="30"/>
      <c r="C174" s="30" t="str">
        <f>IFERROR((C131/#REF!),"")</f>
        <v/>
      </c>
      <c r="D174" s="41"/>
      <c r="E174" s="30"/>
      <c r="F174" s="30" t="str">
        <f>IFERROR((F131/#REF!),"")</f>
        <v/>
      </c>
      <c r="G174" s="41"/>
      <c r="H174" s="30"/>
      <c r="I174" s="30" t="str">
        <f>IFERROR((I131/#REF!),"")</f>
        <v/>
      </c>
      <c r="J174" s="41"/>
      <c r="K174" s="30"/>
      <c r="L174" s="30" t="str">
        <f>IFERROR((L131/#REF!),"")</f>
        <v/>
      </c>
      <c r="M174" s="41"/>
      <c r="N174" s="30"/>
      <c r="O174" s="30" t="str">
        <f>IFERROR((O131/#REF!),"")</f>
        <v/>
      </c>
      <c r="P174" s="41"/>
      <c r="Q174" s="30"/>
      <c r="R174" s="30" t="str">
        <f>IFERROR((R131/#REF!),"")</f>
        <v/>
      </c>
      <c r="S174" s="41"/>
      <c r="T174" s="30"/>
      <c r="U174" s="30" t="str">
        <f>IFERROR((U131/#REF!),"")</f>
        <v/>
      </c>
      <c r="V174" s="41"/>
      <c r="W174" s="30"/>
      <c r="X174" s="30" t="str">
        <f>IFERROR((X131/#REF!),"")</f>
        <v/>
      </c>
      <c r="Y174" s="41"/>
      <c r="Z174" s="30"/>
      <c r="AA174" s="30" t="str">
        <f>IFERROR((AA131/#REF!),"")</f>
        <v/>
      </c>
      <c r="AB174" s="41"/>
      <c r="AC174" s="30"/>
      <c r="AD174" s="30" t="str">
        <f>IFERROR((AD131/#REF!),"")</f>
        <v/>
      </c>
      <c r="AE174" s="41"/>
      <c r="AF174" s="30"/>
      <c r="AG174" s="30" t="str">
        <f>IFERROR((AG131/#REF!),"")</f>
        <v/>
      </c>
      <c r="AH174" s="41"/>
      <c r="AI174" s="30"/>
      <c r="AJ174" s="30" t="str">
        <f>IFERROR((AJ131/#REF!),"")</f>
        <v/>
      </c>
      <c r="AK174" s="41"/>
      <c r="AL174" s="15"/>
      <c r="AM174" s="22"/>
      <c r="AO174" s="44">
        <f>IF($A$1=$B$1,B174,IF($A$1=$E$1,E174,IF($A$1=$H$1,H174,IF($A$1=$K$1,K174,IF($A$1=$N$1,N174,IF($A$1=$Q$1,Q174,IF($A$1=$T$1,T174,IF($A$1=$W$1,W174,IF($A$1=$Z$1,Z174,IF($A$1=$AC$1,AC174,IF($A$1=$AF$1,AF174,IF($A$1=$AI$1,AI174))))))))))))</f>
        <v>0</v>
      </c>
      <c r="AP174" s="44" t="str">
        <f>IF($A$1=$B$1,C174,IF($A$1=$E$1,F174,IF($A$1=$H$1,I174,IF($A$1=$K$1,L174,IF($A$1=$N$1,O174,IF($A$1=$Q$1,R174,IF($A$1=$T$1,U174,IF($A$1=$W$1,X174,IF($A$1=$Z$1,AA174,IF($A$1=$AC$1,AD174,IF($A$1=$AF$1,AG174,IF($A$1=$AI$1,AJ174))))))))))))</f>
        <v/>
      </c>
    </row>
    <row r="175" spans="1:42" s="49" customFormat="1" ht="17">
      <c r="A175" s="47" t="s">
        <v>79</v>
      </c>
      <c r="B175" s="413"/>
      <c r="C175" s="413"/>
      <c r="D175" s="413"/>
      <c r="E175" s="413"/>
      <c r="F175" s="413"/>
      <c r="G175" s="413"/>
      <c r="H175" s="413"/>
      <c r="I175" s="413"/>
      <c r="J175" s="413"/>
      <c r="K175" s="413"/>
      <c r="L175" s="413"/>
      <c r="M175" s="413"/>
      <c r="N175" s="413"/>
      <c r="O175" s="413"/>
      <c r="P175" s="413"/>
      <c r="Q175" s="413"/>
      <c r="R175" s="413"/>
      <c r="S175" s="413"/>
      <c r="T175" s="413"/>
      <c r="U175" s="413"/>
      <c r="V175" s="413"/>
      <c r="W175" s="413"/>
      <c r="X175" s="413"/>
      <c r="Y175" s="413"/>
      <c r="Z175" s="413"/>
      <c r="AA175" s="413"/>
      <c r="AB175" s="413"/>
      <c r="AC175" s="413"/>
      <c r="AD175" s="413"/>
      <c r="AE175" s="413"/>
      <c r="AF175" s="413"/>
      <c r="AG175" s="413"/>
      <c r="AH175" s="413"/>
      <c r="AI175" s="413"/>
      <c r="AJ175" s="413"/>
      <c r="AK175" s="413"/>
      <c r="AL175" s="413"/>
      <c r="AM175" s="48"/>
    </row>
    <row r="176" spans="1:42" ht="15.5">
      <c r="A176" s="26" t="s">
        <v>10</v>
      </c>
      <c r="B176" s="7">
        <f>'Bütçe aylık-TL'!$B$104</f>
        <v>7498613.5655589998</v>
      </c>
      <c r="C176" s="7">
        <f>'gerç aylık-tl'!$B$103</f>
        <v>1817782.32</v>
      </c>
      <c r="D176" s="7"/>
      <c r="E176" s="7">
        <f>'Bütçe aylık-TL'!$C$104</f>
        <v>4118624.1673170002</v>
      </c>
      <c r="F176" s="7">
        <f>'gerç aylık-tl'!$C$103</f>
        <v>13537164.16</v>
      </c>
      <c r="G176" s="7"/>
      <c r="H176" s="7">
        <f>'Bütçe aylık-TL'!$D$104</f>
        <v>777092.91731699998</v>
      </c>
      <c r="I176" s="7">
        <f>'gerç aylık-tl'!$D$103</f>
        <v>23237717.75</v>
      </c>
      <c r="J176" s="7"/>
      <c r="K176" s="7">
        <f>'Bütçe aylık-TL'!$E$104</f>
        <v>1077416.225482</v>
      </c>
      <c r="L176" s="7">
        <f>'gerç aylık-tl'!$E$103</f>
        <v>20476602.599998999</v>
      </c>
      <c r="M176" s="7"/>
      <c r="N176" s="7">
        <f>'Bütçe aylık-TL'!$F$104</f>
        <v>806160.19299300003</v>
      </c>
      <c r="O176" s="7">
        <f>'gerç aylık-tl'!$F$103</f>
        <v>-43862.879998000048</v>
      </c>
      <c r="P176" s="7"/>
      <c r="Q176" s="7">
        <f>'Bütçe aylık-TL'!$G$104</f>
        <v>1323706.3149079999</v>
      </c>
      <c r="R176" s="7">
        <f>'gerç aylık-tl'!$G$103</f>
        <v>1697848.4399980002</v>
      </c>
      <c r="S176" s="7"/>
      <c r="T176" s="7">
        <f>'Bütçe aylık-TL'!$H$104</f>
        <v>633832.12625199999</v>
      </c>
      <c r="U176" s="7">
        <f>'gerç aylık-tl'!$H$103</f>
        <v>-1082012.19</v>
      </c>
      <c r="V176" s="7"/>
      <c r="W176" s="7">
        <f>'Bütçe aylık-TL'!$I$104</f>
        <v>481996.57923700003</v>
      </c>
      <c r="X176" s="7">
        <f>'gerç aylık-tl'!$I$103</f>
        <v>4229765.989999</v>
      </c>
      <c r="Y176" s="7"/>
      <c r="Z176" s="7">
        <f>'Bütçe aylık-TL'!$J$104</f>
        <v>916531.736408</v>
      </c>
      <c r="AA176" s="7">
        <f>'gerç aylık-tl'!$J$103</f>
        <v>1629539.740001</v>
      </c>
      <c r="AB176" s="7"/>
      <c r="AC176" s="7">
        <f>'Bütçe aylık-TL'!$K$104</f>
        <v>883311.33409500006</v>
      </c>
      <c r="AD176" s="7">
        <f>'gerç aylık-tl'!$K$103</f>
        <v>0</v>
      </c>
      <c r="AE176" s="7"/>
      <c r="AF176" s="7">
        <f>'Bütçe aylık-TL'!$L$104</f>
        <v>1020101.614065</v>
      </c>
      <c r="AG176" s="7">
        <f>'gerç aylık-tl'!$L$103</f>
        <v>0</v>
      </c>
      <c r="AH176" s="7"/>
      <c r="AI176" s="7">
        <f>'Bütçe aylık-TL'!$M$104</f>
        <v>832630.71545799996</v>
      </c>
      <c r="AJ176" s="7">
        <f>'gerç aylık-tl'!$M$103</f>
        <v>0</v>
      </c>
      <c r="AK176" s="7"/>
      <c r="AL176" s="21">
        <f t="shared" ref="AL176:AL183" si="101">AP176-AO176</f>
        <v>713008.003593</v>
      </c>
      <c r="AM176" s="22">
        <f t="shared" ref="AM176:AM183" si="102">AP176/AO176-1</f>
        <v>0.77794142337870986</v>
      </c>
      <c r="AO176" s="44">
        <f t="shared" ref="AO176:AO183" si="103">IF($A$1=$B$1,B176,IF($A$1=$E$1,E176,IF($A$1=$H$1,H176,IF($A$1=$K$1,K176,IF($A$1=$N$1,N176,IF($A$1=$Q$1,Q176,IF($A$1=$T$1,T176,IF($A$1=$W$1,W176,IF($A$1=$Z$1,Z176,IF($A$1=$AC$1,AC176,IF($A$1=$AF$1,AF176,IF($A$1=$AI$1,AI176))))))))))))</f>
        <v>916531.736408</v>
      </c>
      <c r="AP176" s="44">
        <f t="shared" ref="AP176:AP183" si="104">IF($A$1=$B$1,C176,IF($A$1=$E$1,F176,IF($A$1=$H$1,I176,IF($A$1=$K$1,L176,IF($A$1=$N$1,O176,IF($A$1=$Q$1,R176,IF($A$1=$T$1,U176,IF($A$1=$W$1,X176,IF($A$1=$Z$1,AA176,IF($A$1=$AC$1,AD176,IF($A$1=$AF$1,AG176,IF($A$1=$AI$1,AJ176))))))))))))</f>
        <v>1629539.740001</v>
      </c>
    </row>
    <row r="177" spans="1:42" ht="15.5">
      <c r="A177" s="26" t="s">
        <v>11</v>
      </c>
      <c r="B177" s="7">
        <f>'Bütçe aylık-TL'!$B$105</f>
        <v>50950</v>
      </c>
      <c r="C177" s="7">
        <f>'gerç aylık-tl'!$B$104</f>
        <v>-180711</v>
      </c>
      <c r="D177" s="7"/>
      <c r="E177" s="7">
        <f>'Bütçe aylık-TL'!$C$105</f>
        <v>50950</v>
      </c>
      <c r="F177" s="7">
        <f>'gerç aylık-tl'!$C$104</f>
        <v>124201</v>
      </c>
      <c r="G177" s="7"/>
      <c r="H177" s="7">
        <f>'Bütçe aylık-TL'!$D$105</f>
        <v>50950</v>
      </c>
      <c r="I177" s="7">
        <f>'gerç aylık-tl'!$D$104</f>
        <v>107394.86</v>
      </c>
      <c r="J177" s="7"/>
      <c r="K177" s="7">
        <f>'Bütçe aylık-TL'!$E$105</f>
        <v>50950</v>
      </c>
      <c r="L177" s="7">
        <f>'gerç aylık-tl'!$E$104</f>
        <v>7853145.5300000003</v>
      </c>
      <c r="M177" s="7"/>
      <c r="N177" s="7">
        <f>'Bütçe aylık-TL'!$F$105</f>
        <v>50950</v>
      </c>
      <c r="O177" s="7">
        <f>'gerç aylık-tl'!$F$104</f>
        <v>-2975501.21</v>
      </c>
      <c r="P177" s="7"/>
      <c r="Q177" s="7">
        <f>'Bütçe aylık-TL'!$G$105</f>
        <v>50950</v>
      </c>
      <c r="R177" s="7">
        <f>'gerç aylık-tl'!$G$104</f>
        <v>-13960358.35</v>
      </c>
      <c r="S177" s="7"/>
      <c r="T177" s="7">
        <f>'Bütçe aylık-TL'!$H$105</f>
        <v>50950</v>
      </c>
      <c r="U177" s="7">
        <f>'gerç aylık-tl'!$H$104</f>
        <v>-1356695.08</v>
      </c>
      <c r="V177" s="7"/>
      <c r="W177" s="7">
        <f>'Bütçe aylık-TL'!$I$105</f>
        <v>50950</v>
      </c>
      <c r="X177" s="7">
        <f>'gerç aylık-tl'!$I$104</f>
        <v>-5744974.8799999999</v>
      </c>
      <c r="Y177" s="7"/>
      <c r="Z177" s="7">
        <f>'Bütçe aylık-TL'!$J$105</f>
        <v>50950</v>
      </c>
      <c r="AA177" s="7">
        <f>'gerç aylık-tl'!$J$104</f>
        <v>-1728138.63</v>
      </c>
      <c r="AB177" s="7"/>
      <c r="AC177" s="7">
        <f>'Bütçe aylık-TL'!$K$105</f>
        <v>50950</v>
      </c>
      <c r="AD177" s="7">
        <f>'gerç aylık-tl'!$K$104</f>
        <v>0</v>
      </c>
      <c r="AE177" s="7"/>
      <c r="AF177" s="7">
        <f>'Bütçe aylık-TL'!$L$105</f>
        <v>50950</v>
      </c>
      <c r="AG177" s="7">
        <f>'gerç aylık-tl'!$L$104</f>
        <v>0</v>
      </c>
      <c r="AH177" s="7"/>
      <c r="AI177" s="7">
        <f>'Bütçe aylık-TL'!$M$105</f>
        <v>50950</v>
      </c>
      <c r="AJ177" s="7">
        <f>'gerç aylık-tl'!$M$104</f>
        <v>0</v>
      </c>
      <c r="AK177" s="7"/>
      <c r="AL177" s="21">
        <f t="shared" si="101"/>
        <v>-1779088.63</v>
      </c>
      <c r="AM177" s="22">
        <f t="shared" si="102"/>
        <v>-34.918324435721296</v>
      </c>
      <c r="AO177" s="44">
        <f t="shared" si="103"/>
        <v>50950</v>
      </c>
      <c r="AP177" s="44">
        <f t="shared" si="104"/>
        <v>-1728138.63</v>
      </c>
    </row>
    <row r="178" spans="1:42" ht="15.5">
      <c r="A178" s="26" t="s">
        <v>12</v>
      </c>
      <c r="B178" s="7">
        <f>'Bütçe aylık-TL'!$B$106</f>
        <v>228371.121483</v>
      </c>
      <c r="C178" s="7">
        <f>'gerç aylık-tl'!$B$105</f>
        <v>288472</v>
      </c>
      <c r="D178" s="7"/>
      <c r="E178" s="7">
        <f>'Bütçe aylık-TL'!$C$106</f>
        <v>228371.118854</v>
      </c>
      <c r="F178" s="7">
        <f>'gerç aylık-tl'!$C$105</f>
        <v>131498</v>
      </c>
      <c r="G178" s="7"/>
      <c r="H178" s="7">
        <f>'Bütçe aylık-TL'!$D$106</f>
        <v>228371.120612</v>
      </c>
      <c r="I178" s="7">
        <f>'gerç aylık-tl'!$D$105</f>
        <v>488880</v>
      </c>
      <c r="J178" s="7"/>
      <c r="K178" s="7">
        <f>'Bütçe aylık-TL'!$E$106</f>
        <v>228371.11794200001</v>
      </c>
      <c r="L178" s="7">
        <f>'gerç aylık-tl'!$E$105</f>
        <v>235015</v>
      </c>
      <c r="M178" s="7"/>
      <c r="N178" s="7">
        <f>'Bütçe aylık-TL'!$F$106</f>
        <v>228371.117918</v>
      </c>
      <c r="O178" s="7">
        <f>'gerç aylık-tl'!$F$105</f>
        <v>447128.74</v>
      </c>
      <c r="P178" s="7"/>
      <c r="Q178" s="7">
        <f>'Bütçe aylık-TL'!$G$106</f>
        <v>228371.11876700001</v>
      </c>
      <c r="R178" s="7">
        <f>'gerç aylık-tl'!$G$105</f>
        <v>314815</v>
      </c>
      <c r="S178" s="7"/>
      <c r="T178" s="7">
        <f>'Bütçe aylık-TL'!$H$106</f>
        <v>228371.11781200001</v>
      </c>
      <c r="U178" s="7">
        <f>'gerç aylık-tl'!$H$105</f>
        <v>-120147</v>
      </c>
      <c r="V178" s="7"/>
      <c r="W178" s="7">
        <f>'Bütçe aylık-TL'!$I$106</f>
        <v>355486.31877000001</v>
      </c>
      <c r="X178" s="7">
        <f>'gerç aylık-tl'!$I$105</f>
        <v>359867</v>
      </c>
      <c r="Y178" s="7"/>
      <c r="Z178" s="7">
        <f>'Bütçe aylık-TL'!$J$106</f>
        <v>355486.31769599998</v>
      </c>
      <c r="AA178" s="7">
        <f>'gerç aylık-tl'!$J$105</f>
        <v>388156</v>
      </c>
      <c r="AB178" s="7"/>
      <c r="AC178" s="7">
        <f>'Bütçe aylık-TL'!$K$106</f>
        <v>355486.31800099998</v>
      </c>
      <c r="AD178" s="7">
        <f>'gerç aylık-tl'!$K$105</f>
        <v>0</v>
      </c>
      <c r="AE178" s="7"/>
      <c r="AF178" s="7">
        <f>'Bütçe aylık-TL'!$L$106</f>
        <v>355486.317507</v>
      </c>
      <c r="AG178" s="7">
        <f>'gerç aylık-tl'!$L$105</f>
        <v>0</v>
      </c>
      <c r="AH178" s="7"/>
      <c r="AI178" s="7">
        <f>'Bütçe aylık-TL'!$M$106</f>
        <v>355486.31879799999</v>
      </c>
      <c r="AJ178" s="7">
        <f>'gerç aylık-tl'!$M$105</f>
        <v>0</v>
      </c>
      <c r="AK178" s="7"/>
      <c r="AL178" s="21">
        <f t="shared" si="101"/>
        <v>32669.682304000016</v>
      </c>
      <c r="AM178" s="22">
        <f t="shared" si="102"/>
        <v>9.1901377571268483E-2</v>
      </c>
      <c r="AO178" s="44">
        <f t="shared" si="103"/>
        <v>355486.31769599998</v>
      </c>
      <c r="AP178" s="44">
        <f t="shared" si="104"/>
        <v>388156</v>
      </c>
    </row>
    <row r="179" spans="1:42" ht="15.5">
      <c r="A179" s="26" t="s">
        <v>13</v>
      </c>
      <c r="B179" s="7">
        <f>'Bütçe aylık-TL'!$B$107</f>
        <v>4316832.8316280004</v>
      </c>
      <c r="C179" s="7">
        <f>'gerç aylık-tl'!$B$106</f>
        <v>-37076542.591995999</v>
      </c>
      <c r="D179" s="7"/>
      <c r="E179" s="7">
        <f>'Bütçe aylık-TL'!$C$107</f>
        <v>-8663777.7946049999</v>
      </c>
      <c r="F179" s="7">
        <f>'gerç aylık-tl'!$C$106</f>
        <v>-33463330.485890005</v>
      </c>
      <c r="G179" s="7"/>
      <c r="H179" s="7">
        <f>'Bütçe aylık-TL'!$D$107</f>
        <v>-7160366.5162490001</v>
      </c>
      <c r="I179" s="7">
        <f>'gerç aylık-tl'!$D$106</f>
        <v>-83235586.873851001</v>
      </c>
      <c r="J179" s="7"/>
      <c r="K179" s="7">
        <f>'Bütçe aylık-TL'!$E$107</f>
        <v>-24595186.437369999</v>
      </c>
      <c r="L179" s="7">
        <f>'gerç aylık-tl'!$E$106</f>
        <v>-111111674.17763501</v>
      </c>
      <c r="M179" s="7"/>
      <c r="N179" s="7">
        <f>'Bütçe aylık-TL'!$F$107</f>
        <v>-5575664.2427200004</v>
      </c>
      <c r="O179" s="7">
        <f>'gerç aylık-tl'!$F$106</f>
        <v>-39821274.484350003</v>
      </c>
      <c r="P179" s="7"/>
      <c r="Q179" s="7">
        <f>'Bütçe aylık-TL'!$G$107</f>
        <v>593356.20147600002</v>
      </c>
      <c r="R179" s="7">
        <f>'gerç aylık-tl'!$G$106</f>
        <v>-2765047.070791</v>
      </c>
      <c r="S179" s="7"/>
      <c r="T179" s="7">
        <f>'Bütçe aylık-TL'!$H$107</f>
        <v>-9102738.5596719999</v>
      </c>
      <c r="U179" s="7">
        <f>'gerç aylık-tl'!$H$106</f>
        <v>-37834002.336696997</v>
      </c>
      <c r="V179" s="7"/>
      <c r="W179" s="7">
        <f>'Bütçe aylık-TL'!$I$107</f>
        <v>-8474414.0484439991</v>
      </c>
      <c r="X179" s="7">
        <f>'gerç aylık-tl'!$I$106</f>
        <v>-20680558.477669999</v>
      </c>
      <c r="Y179" s="7"/>
      <c r="Z179" s="7">
        <f>'Bütçe aylık-TL'!$J$107</f>
        <v>-9073040.7032270003</v>
      </c>
      <c r="AA179" s="7">
        <f>'gerç aylık-tl'!$J$106</f>
        <v>-31029523.943409</v>
      </c>
      <c r="AB179" s="7"/>
      <c r="AC179" s="7">
        <f>'Bütçe aylık-TL'!$K$107</f>
        <v>-9114657.3865120001</v>
      </c>
      <c r="AD179" s="7">
        <f>'gerç aylık-tl'!$K$106</f>
        <v>0</v>
      </c>
      <c r="AE179" s="7"/>
      <c r="AF179" s="7">
        <f>'Bütçe aylık-TL'!$L$107</f>
        <v>-8408557.0631140005</v>
      </c>
      <c r="AG179" s="7">
        <f>'gerç aylık-tl'!$L$106</f>
        <v>0</v>
      </c>
      <c r="AH179" s="7"/>
      <c r="AI179" s="7">
        <f>'Bütçe aylık-TL'!$M$107</f>
        <v>-7771987.8091350012</v>
      </c>
      <c r="AJ179" s="7">
        <f>'gerç aylık-tl'!$M$106</f>
        <v>0</v>
      </c>
      <c r="AK179" s="7"/>
      <c r="AL179" s="21">
        <f t="shared" si="101"/>
        <v>-21956483.240181997</v>
      </c>
      <c r="AM179" s="22">
        <f t="shared" si="102"/>
        <v>2.4199696615901609</v>
      </c>
      <c r="AO179" s="44">
        <f t="shared" si="103"/>
        <v>-9073040.7032270003</v>
      </c>
      <c r="AP179" s="44">
        <f t="shared" si="104"/>
        <v>-31029523.943409</v>
      </c>
    </row>
    <row r="180" spans="1:42" s="1" customFormat="1" ht="15.5">
      <c r="A180" s="26" t="s">
        <v>14</v>
      </c>
      <c r="B180" s="7">
        <f>'Bütçe aylık-TL'!$B$108</f>
        <v>0</v>
      </c>
      <c r="C180" s="7">
        <f>'gerç aylık-tl'!$B$107</f>
        <v>1691227.1699989997</v>
      </c>
      <c r="D180" s="8"/>
      <c r="E180" s="7">
        <f>'Bütçe aylık-TL'!$C$108</f>
        <v>0</v>
      </c>
      <c r="F180" s="7">
        <f>'gerç aylık-tl'!$C$107</f>
        <v>2943443.9900000012</v>
      </c>
      <c r="G180" s="8"/>
      <c r="H180" s="7">
        <f>'Bütçe aylık-TL'!$D$108</f>
        <v>0</v>
      </c>
      <c r="I180" s="7">
        <f>'gerç aylık-tl'!$D$107</f>
        <v>6625872.1199999992</v>
      </c>
      <c r="J180" s="8"/>
      <c r="K180" s="7">
        <f>'Bütçe aylık-TL'!$E$108</f>
        <v>0</v>
      </c>
      <c r="L180" s="7">
        <f>'gerç aylık-tl'!$E$107</f>
        <v>5268809.4500000011</v>
      </c>
      <c r="M180" s="8"/>
      <c r="N180" s="7">
        <f>'Bütçe aylık-TL'!$F$108</f>
        <v>0</v>
      </c>
      <c r="O180" s="7">
        <f>'gerç aylık-tl'!$F$107</f>
        <v>3148982.58</v>
      </c>
      <c r="P180" s="8"/>
      <c r="Q180" s="7">
        <f>'Bütçe aylık-TL'!$G$108</f>
        <v>0</v>
      </c>
      <c r="R180" s="7">
        <f>'gerç aylık-tl'!$G$107</f>
        <v>4437867.21</v>
      </c>
      <c r="S180" s="8"/>
      <c r="T180" s="7">
        <f>'Bütçe aylık-TL'!$H$108</f>
        <v>0</v>
      </c>
      <c r="U180" s="7">
        <f>'gerç aylık-tl'!$H$107</f>
        <v>1850149.4200000009</v>
      </c>
      <c r="V180" s="8"/>
      <c r="W180" s="7">
        <f>'Bütçe aylık-TL'!$I$108</f>
        <v>0</v>
      </c>
      <c r="X180" s="7">
        <f>'gerç aylık-tl'!$I$107</f>
        <v>2166753.0500000007</v>
      </c>
      <c r="Y180" s="8"/>
      <c r="Z180" s="7">
        <f>'Bütçe aylık-TL'!$J$108</f>
        <v>0</v>
      </c>
      <c r="AA180" s="7">
        <f>'gerç aylık-tl'!$J$107</f>
        <v>2509221.09</v>
      </c>
      <c r="AB180" s="8"/>
      <c r="AC180" s="7">
        <f>'Bütçe aylık-TL'!$K$108</f>
        <v>0</v>
      </c>
      <c r="AD180" s="7">
        <f>'gerç aylık-tl'!$K$107</f>
        <v>0</v>
      </c>
      <c r="AE180" s="8"/>
      <c r="AF180" s="7">
        <f>'Bütçe aylık-TL'!$L$108</f>
        <v>0</v>
      </c>
      <c r="AG180" s="7">
        <f>'gerç aylık-tl'!$L$107</f>
        <v>0</v>
      </c>
      <c r="AH180" s="8"/>
      <c r="AI180" s="7">
        <f>'Bütçe aylık-TL'!$M$108</f>
        <v>0</v>
      </c>
      <c r="AJ180" s="7">
        <f>'gerç aylık-tl'!$M$107</f>
        <v>0</v>
      </c>
      <c r="AK180" s="8"/>
      <c r="AL180" s="21">
        <f t="shared" si="101"/>
        <v>2509221.09</v>
      </c>
      <c r="AM180" s="22" t="e">
        <f t="shared" si="102"/>
        <v>#DIV/0!</v>
      </c>
      <c r="AO180" s="44">
        <f t="shared" si="103"/>
        <v>0</v>
      </c>
      <c r="AP180" s="44">
        <f t="shared" si="104"/>
        <v>2509221.09</v>
      </c>
    </row>
    <row r="181" spans="1:42" ht="15.5">
      <c r="A181" s="26" t="s">
        <v>15</v>
      </c>
      <c r="B181" s="7">
        <f>'Bütçe aylık-TL'!$B$109</f>
        <v>-5556413.9083016831</v>
      </c>
      <c r="C181" s="7">
        <f>'gerç aylık-tl'!$B$108</f>
        <v>-9289856.3420838397</v>
      </c>
      <c r="D181" s="7"/>
      <c r="E181" s="7">
        <f>'Bütçe aylık-TL'!$C$109</f>
        <v>744879.78918963182</v>
      </c>
      <c r="F181" s="7">
        <f>'gerç aylık-tl'!$C$108</f>
        <v>27009647.019446939</v>
      </c>
      <c r="G181" s="7"/>
      <c r="H181" s="7">
        <f>'Bütçe aylık-TL'!$D$109</f>
        <v>723120.28911414498</v>
      </c>
      <c r="I181" s="7">
        <f>'gerç aylık-tl'!$D$108</f>
        <v>-3007517.1832819362</v>
      </c>
      <c r="J181" s="7"/>
      <c r="K181" s="7">
        <f>'Bütçe aylık-TL'!$E$109</f>
        <v>1843466.5286286268</v>
      </c>
      <c r="L181" s="7">
        <f>'gerç aylık-tl'!$E$108</f>
        <v>16200594.145851661</v>
      </c>
      <c r="M181" s="7"/>
      <c r="N181" s="7">
        <f>'Bütçe aylık-TL'!$F$109</f>
        <v>1782204.8252519958</v>
      </c>
      <c r="O181" s="7">
        <f>'gerç aylık-tl'!$F$108</f>
        <v>-1779334.3647708367</v>
      </c>
      <c r="P181" s="7"/>
      <c r="Q181" s="7">
        <f>'Bütçe aylık-TL'!$G$109</f>
        <v>1424923.6871101048</v>
      </c>
      <c r="R181" s="7">
        <f>'gerç aylık-tl'!$G$108</f>
        <v>-3205468.5587638011</v>
      </c>
      <c r="S181" s="7"/>
      <c r="T181" s="7">
        <f>'Bütçe aylık-TL'!$H$109</f>
        <v>1403510.6057203666</v>
      </c>
      <c r="U181" s="7">
        <f>'gerç aylık-tl'!$H$108</f>
        <v>-14945178.67147781</v>
      </c>
      <c r="V181" s="7"/>
      <c r="W181" s="7">
        <f>'Bütçe aylık-TL'!$I$109</f>
        <v>1395828.3485298902</v>
      </c>
      <c r="X181" s="7">
        <f>'gerç aylık-tl'!$I$108</f>
        <v>-22172687.561994139</v>
      </c>
      <c r="Y181" s="7"/>
      <c r="Z181" s="7">
        <f>'Bütçe aylık-TL'!$J$109</f>
        <v>1265215.6642907544</v>
      </c>
      <c r="AA181" s="7">
        <f>'gerç aylık-tl'!$J$108</f>
        <v>3187590.0407280005</v>
      </c>
      <c r="AB181" s="7"/>
      <c r="AC181" s="7">
        <f>'Bütçe aylık-TL'!$K$109</f>
        <v>1224764.5442643454</v>
      </c>
      <c r="AD181" s="7">
        <f>'gerç aylık-tl'!$K$108</f>
        <v>0</v>
      </c>
      <c r="AE181" s="7"/>
      <c r="AF181" s="7">
        <f>'Bütçe aylık-TL'!$L$109</f>
        <v>1066061.4937038159</v>
      </c>
      <c r="AG181" s="7">
        <f>'gerç aylık-tl'!$L$108</f>
        <v>0</v>
      </c>
      <c r="AH181" s="7"/>
      <c r="AI181" s="7">
        <f>'Bütçe aylık-TL'!$M$109</f>
        <v>1068705.595645092</v>
      </c>
      <c r="AJ181" s="7">
        <f>'gerç aylık-tl'!$M$108</f>
        <v>0</v>
      </c>
      <c r="AK181" s="7"/>
      <c r="AL181" s="21">
        <f t="shared" si="101"/>
        <v>1922374.3764372461</v>
      </c>
      <c r="AM181" s="22">
        <f t="shared" si="102"/>
        <v>1.5194045020892761</v>
      </c>
      <c r="AO181" s="44">
        <f t="shared" si="103"/>
        <v>1265215.6642907544</v>
      </c>
      <c r="AP181" s="44">
        <f t="shared" si="104"/>
        <v>3187590.0407280005</v>
      </c>
    </row>
    <row r="182" spans="1:42" ht="15.5">
      <c r="A182" s="26" t="s">
        <v>16</v>
      </c>
      <c r="B182" s="7">
        <f>'Bütçe aylık-TL'!$B$110</f>
        <v>-1018848.383574528</v>
      </c>
      <c r="C182" s="7">
        <f>'gerç aylık-tl'!$B$109</f>
        <v>-13634652.597297935</v>
      </c>
      <c r="D182" s="7"/>
      <c r="E182" s="7">
        <f>'Bütçe aylık-TL'!$C$110</f>
        <v>122430.77729646473</v>
      </c>
      <c r="F182" s="7">
        <f>'gerç aylık-tl'!$C$109</f>
        <v>-10171218.492465647</v>
      </c>
      <c r="G182" s="7"/>
      <c r="H182" s="7">
        <f>'Bütçe aylık-TL'!$D$110</f>
        <v>107324.95946228012</v>
      </c>
      <c r="I182" s="7">
        <f>'gerç aylık-tl'!$D$109</f>
        <v>-20725949.77021936</v>
      </c>
      <c r="J182" s="7"/>
      <c r="K182" s="7">
        <f>'Bütçe aylık-TL'!$E$110</f>
        <v>85662.47990140706</v>
      </c>
      <c r="L182" s="7">
        <f>'gerç aylık-tl'!$E$109</f>
        <v>-94631550.528517753</v>
      </c>
      <c r="M182" s="7"/>
      <c r="N182" s="7">
        <f>'Bütçe aylık-TL'!$F$110</f>
        <v>76116.602881009618</v>
      </c>
      <c r="O182" s="7">
        <f>'gerç aylık-tl'!$F$109</f>
        <v>-15528579.010359369</v>
      </c>
      <c r="P182" s="7"/>
      <c r="Q182" s="7">
        <f>'Bütçe aylık-TL'!$G$110</f>
        <v>49785.876792880925</v>
      </c>
      <c r="R182" s="7">
        <f>'gerç aylık-tl'!$G$109</f>
        <v>-58710504.59270709</v>
      </c>
      <c r="S182" s="7"/>
      <c r="T182" s="7">
        <f>'Bütçe aylık-TL'!$H$110</f>
        <v>39777.683079408176</v>
      </c>
      <c r="U182" s="7">
        <f>'gerç aylık-tl'!$H$109</f>
        <v>-2902735.3626164105</v>
      </c>
      <c r="V182" s="7"/>
      <c r="W182" s="7">
        <f>'Bütçe aylık-TL'!$I$110</f>
        <v>35812.153147614983</v>
      </c>
      <c r="X182" s="7">
        <f>'gerç aylık-tl'!$I$109</f>
        <v>-25018733.683467809</v>
      </c>
      <c r="Y182" s="7"/>
      <c r="Z182" s="7">
        <f>'Bütçe aylık-TL'!$J$110</f>
        <v>74147.98998128582</v>
      </c>
      <c r="AA182" s="7">
        <f>'gerç aylık-tl'!$J$109</f>
        <v>-16405551.713380501</v>
      </c>
      <c r="AB182" s="7"/>
      <c r="AC182" s="7">
        <f>'Bütçe aylık-TL'!$K$110</f>
        <v>83692.61085789041</v>
      </c>
      <c r="AD182" s="7">
        <f>'gerç aylık-tl'!$K$109</f>
        <v>0</v>
      </c>
      <c r="AE182" s="7"/>
      <c r="AF182" s="7">
        <f>'Bütçe aylık-TL'!$L$110</f>
        <v>78001.825399533569</v>
      </c>
      <c r="AG182" s="7">
        <f>'gerç aylık-tl'!$L$109</f>
        <v>0</v>
      </c>
      <c r="AH182" s="7"/>
      <c r="AI182" s="7">
        <f>'Bütçe aylık-TL'!$M$110</f>
        <v>68976.321375597618</v>
      </c>
      <c r="AJ182" s="7">
        <f>'gerç aylık-tl'!$M$109</f>
        <v>0</v>
      </c>
      <c r="AK182" s="7"/>
      <c r="AL182" s="21">
        <f t="shared" si="101"/>
        <v>-16479699.703361787</v>
      </c>
      <c r="AM182" s="22">
        <f t="shared" si="102"/>
        <v>-222.2541663977822</v>
      </c>
      <c r="AO182" s="44">
        <f t="shared" si="103"/>
        <v>74147.98998128582</v>
      </c>
      <c r="AP182" s="44">
        <f t="shared" si="104"/>
        <v>-16405551.713380501</v>
      </c>
    </row>
    <row r="183" spans="1:42" ht="15.5">
      <c r="A183" s="26" t="s">
        <v>17</v>
      </c>
      <c r="B183" s="7">
        <f>'Bütçe aylık-TL'!$B$111</f>
        <v>0</v>
      </c>
      <c r="C183" s="7">
        <f>'gerç aylık-tl'!$B$110</f>
        <v>-4166071.4897979358</v>
      </c>
      <c r="D183" s="7"/>
      <c r="E183" s="7">
        <f>'Bütçe aylık-TL'!$C$111</f>
        <v>0</v>
      </c>
      <c r="F183" s="7">
        <f>'gerç aylık-tl'!$C$110</f>
        <v>-5081477.3894439302</v>
      </c>
      <c r="G183" s="7"/>
      <c r="H183" s="7">
        <f>'Bütçe aylık-TL'!$D$111</f>
        <v>0</v>
      </c>
      <c r="I183" s="7">
        <f>'gerç aylık-tl'!$D$110</f>
        <v>-1822098.6881187106</v>
      </c>
      <c r="J183" s="7"/>
      <c r="K183" s="7">
        <f>'Bütçe aylık-TL'!$E$111</f>
        <v>0</v>
      </c>
      <c r="L183" s="7">
        <f>'gerç aylık-tl'!$E$110</f>
        <v>1235509.2295899671</v>
      </c>
      <c r="M183" s="7"/>
      <c r="N183" s="7">
        <f>'Bütçe aylık-TL'!$F$111</f>
        <v>0</v>
      </c>
      <c r="O183" s="7">
        <f>'gerç aylık-tl'!$F$110</f>
        <v>-7420301.4666576758</v>
      </c>
      <c r="P183" s="7"/>
      <c r="Q183" s="7">
        <f>'Bütçe aylık-TL'!$G$111</f>
        <v>0</v>
      </c>
      <c r="R183" s="7">
        <f>'gerç aylık-tl'!$G$110</f>
        <v>1871853.3652217011</v>
      </c>
      <c r="S183" s="7"/>
      <c r="T183" s="7">
        <f>'Bütçe aylık-TL'!$H$111</f>
        <v>0</v>
      </c>
      <c r="U183" s="7">
        <f>'gerç aylık-tl'!$H$110</f>
        <v>-10125223.421764517</v>
      </c>
      <c r="V183" s="7"/>
      <c r="W183" s="7">
        <f>'Bütçe aylık-TL'!$I$111</f>
        <v>0</v>
      </c>
      <c r="X183" s="7">
        <f>'gerç aylık-tl'!$I$110</f>
        <v>8027574.9768350367</v>
      </c>
      <c r="Y183" s="7"/>
      <c r="Z183" s="7">
        <f>'Bütçe aylık-TL'!$J$111</f>
        <v>0</v>
      </c>
      <c r="AA183" s="7">
        <f>'gerç aylık-tl'!$J$110</f>
        <v>6054881.2236479996</v>
      </c>
      <c r="AB183" s="7"/>
      <c r="AC183" s="7">
        <f>'Bütçe aylık-TL'!$K$111</f>
        <v>0</v>
      </c>
      <c r="AD183" s="7">
        <f>'gerç aylık-tl'!$K$110</f>
        <v>0</v>
      </c>
      <c r="AE183" s="7"/>
      <c r="AF183" s="7">
        <f>'Bütçe aylık-TL'!$L$111</f>
        <v>0</v>
      </c>
      <c r="AG183" s="7">
        <f>'gerç aylık-tl'!$L$110</f>
        <v>0</v>
      </c>
      <c r="AH183" s="7"/>
      <c r="AI183" s="7">
        <f>'Bütçe aylık-TL'!$M$111</f>
        <v>0</v>
      </c>
      <c r="AJ183" s="7">
        <f>'gerç aylık-tl'!$M$110</f>
        <v>0</v>
      </c>
      <c r="AK183" s="7"/>
      <c r="AL183" s="21">
        <f t="shared" si="101"/>
        <v>6054881.2236479996</v>
      </c>
      <c r="AM183" s="22" t="e">
        <f t="shared" si="102"/>
        <v>#DIV/0!</v>
      </c>
      <c r="AO183" s="44">
        <f t="shared" si="103"/>
        <v>0</v>
      </c>
      <c r="AP183" s="44">
        <f t="shared" si="104"/>
        <v>6054881.2236479996</v>
      </c>
    </row>
    <row r="184" spans="1:42" s="13" customFormat="1" ht="15.5">
      <c r="A184" s="26"/>
      <c r="B184" s="12"/>
      <c r="C184" s="30"/>
      <c r="D184" s="41"/>
      <c r="E184" s="12"/>
      <c r="F184" s="30"/>
      <c r="G184" s="41"/>
      <c r="H184" s="12"/>
      <c r="I184" s="30"/>
      <c r="J184" s="41"/>
      <c r="K184" s="12"/>
      <c r="L184" s="30"/>
      <c r="M184" s="41"/>
      <c r="N184" s="12"/>
      <c r="O184" s="30"/>
      <c r="P184" s="41"/>
      <c r="Q184" s="12"/>
      <c r="R184" s="30"/>
      <c r="S184" s="41"/>
      <c r="T184" s="12"/>
      <c r="U184" s="30"/>
      <c r="V184" s="41"/>
      <c r="W184" s="12"/>
      <c r="X184" s="30"/>
      <c r="Y184" s="41"/>
      <c r="Z184" s="12"/>
      <c r="AA184" s="30"/>
      <c r="AB184" s="41"/>
      <c r="AC184" s="12"/>
      <c r="AD184" s="30"/>
      <c r="AE184" s="41"/>
      <c r="AF184" s="12"/>
      <c r="AG184" s="30"/>
      <c r="AH184" s="41"/>
      <c r="AI184" s="12"/>
      <c r="AJ184" s="30"/>
      <c r="AK184" s="41"/>
      <c r="AL184" s="15"/>
      <c r="AM184" s="22"/>
      <c r="AO184" s="44"/>
      <c r="AP184" s="44"/>
    </row>
    <row r="185" spans="1:42" s="13" customFormat="1" ht="15.5">
      <c r="A185" s="26"/>
      <c r="B185" s="12"/>
      <c r="C185" s="30"/>
      <c r="D185" s="41"/>
      <c r="E185" s="12"/>
      <c r="F185" s="30"/>
      <c r="G185" s="41"/>
      <c r="H185" s="12"/>
      <c r="I185" s="30"/>
      <c r="J185" s="41"/>
      <c r="K185" s="12"/>
      <c r="L185" s="30"/>
      <c r="M185" s="41"/>
      <c r="N185" s="12"/>
      <c r="O185" s="30"/>
      <c r="P185" s="41"/>
      <c r="Q185" s="12"/>
      <c r="R185" s="30"/>
      <c r="S185" s="41"/>
      <c r="T185" s="12"/>
      <c r="U185" s="30"/>
      <c r="V185" s="41"/>
      <c r="W185" s="12"/>
      <c r="X185" s="30"/>
      <c r="Y185" s="41"/>
      <c r="Z185" s="12"/>
      <c r="AA185" s="30"/>
      <c r="AB185" s="41"/>
      <c r="AC185" s="12"/>
      <c r="AD185" s="30"/>
      <c r="AE185" s="41"/>
      <c r="AF185" s="12"/>
      <c r="AG185" s="30"/>
      <c r="AH185" s="41"/>
      <c r="AI185" s="12"/>
      <c r="AJ185" s="30"/>
      <c r="AK185" s="41"/>
      <c r="AL185" s="15"/>
      <c r="AM185" s="22"/>
      <c r="AO185" s="44"/>
      <c r="AP185" s="44"/>
    </row>
    <row r="186" spans="1:42" s="44" customFormat="1" ht="15.5">
      <c r="A186" s="31" t="s">
        <v>80</v>
      </c>
      <c r="B186" s="32">
        <f>'Bütçe aylık-TL'!$B$114</f>
        <v>57845194.663871877</v>
      </c>
      <c r="C186" s="32">
        <f>'gerç aylık-tl'!$B$113</f>
        <v>38849547.203348182</v>
      </c>
      <c r="D186" s="18"/>
      <c r="E186" s="32">
        <f>'Bütçe aylık-TL'!$C$114</f>
        <v>63566552.956001095</v>
      </c>
      <c r="F186" s="32">
        <f>'gerç aylık-tl'!$C$113</f>
        <v>50048428.714214519</v>
      </c>
      <c r="G186" s="18"/>
      <c r="H186" s="32">
        <f>'Bütçe aylık-TL'!$D$114</f>
        <v>89073953.799176708</v>
      </c>
      <c r="I186" s="32">
        <f>'gerç aylık-tl'!$D$113</f>
        <v>32749593.319651347</v>
      </c>
      <c r="J186" s="18"/>
      <c r="K186" s="32">
        <f>'Bütçe aylık-TL'!$E$114</f>
        <v>48278474.255020685</v>
      </c>
      <c r="L186" s="32">
        <f>'gerç aylık-tl'!$E$113</f>
        <v>-11654201.085747167</v>
      </c>
      <c r="M186" s="18"/>
      <c r="N186" s="32">
        <f>'Bütçe aylık-TL'!$F$114</f>
        <v>101016835.10899901</v>
      </c>
      <c r="O186" s="32">
        <f>'gerç aylık-tl'!$F$113</f>
        <v>53789208.354632132</v>
      </c>
      <c r="P186" s="18"/>
      <c r="Q186" s="32">
        <f>'Bütçe aylık-TL'!$G$114</f>
        <v>90471998.854125947</v>
      </c>
      <c r="R186" s="32">
        <f>'gerç aylık-tl'!$G$113</f>
        <v>-4889614.333034439</v>
      </c>
      <c r="S186" s="18"/>
      <c r="T186" s="32">
        <f>'Bütçe aylık-TL'!$H$114</f>
        <v>92426105.445876673</v>
      </c>
      <c r="U186" s="32">
        <f>'gerç aylık-tl'!$H$113</f>
        <v>37198165.856154747</v>
      </c>
      <c r="V186" s="18"/>
      <c r="W186" s="32">
        <f>'Bütçe aylık-TL'!$I$114</f>
        <v>39699926.332303755</v>
      </c>
      <c r="X186" s="32">
        <f>'gerç aylık-tl'!$I$113</f>
        <v>13814771.810087427</v>
      </c>
      <c r="Y186" s="18"/>
      <c r="Z186" s="32">
        <f>'Bütçe aylık-TL'!$J$114</f>
        <v>166522530.25680971</v>
      </c>
      <c r="AA186" s="32">
        <f>'gerç aylık-tl'!$J$113</f>
        <v>132297638.26695687</v>
      </c>
      <c r="AB186" s="18"/>
      <c r="AC186" s="32">
        <f>'Bütçe aylık-TL'!$K$114</f>
        <v>151259694.6035952</v>
      </c>
      <c r="AD186" s="32">
        <f>'gerç aylık-tl'!$K$113</f>
        <v>0</v>
      </c>
      <c r="AE186" s="18"/>
      <c r="AF186" s="32">
        <f>'Bütçe aylık-TL'!$L$114</f>
        <v>151063289.33019674</v>
      </c>
      <c r="AG186" s="32">
        <f>'gerç aylık-tl'!$L$113</f>
        <v>0</v>
      </c>
      <c r="AH186" s="18"/>
      <c r="AI186" s="32">
        <f>'Bütçe aylık-TL'!$M$114</f>
        <v>98950545.065395772</v>
      </c>
      <c r="AJ186" s="32">
        <f>'gerç aylık-tl'!$M$113</f>
        <v>0</v>
      </c>
      <c r="AK186" s="18"/>
      <c r="AL186" s="33">
        <f>AP186-AO186</f>
        <v>-34224891.989852846</v>
      </c>
      <c r="AM186" s="34">
        <f>AP186/AO186-1</f>
        <v>-0.20552709556521565</v>
      </c>
      <c r="AO186" s="44">
        <f>IF($A$1=$B$1,B186,IF($A$1=$E$1,E186,IF($A$1=$H$1,H186,IF($A$1=$K$1,K186,IF($A$1=$N$1,N186,IF($A$1=$Q$1,Q186,IF($A$1=$T$1,T186,IF($A$1=$W$1,W186,IF($A$1=$Z$1,Z186,IF($A$1=$AC$1,AC186,IF($A$1=$AF$1,AF186,IF($A$1=$AI$1,AI186))))))))))))</f>
        <v>166522530.25680971</v>
      </c>
      <c r="AP186" s="44">
        <f>IF($A$1=$B$1,C186,IF($A$1=$E$1,F186,IF($A$1=$H$1,I186,IF($A$1=$K$1,L186,IF($A$1=$N$1,O186,IF($A$1=$Q$1,R186,IF($A$1=$T$1,U186,IF($A$1=$W$1,X186,IF($A$1=$Z$1,AA186,IF($A$1=$AC$1,AD186,IF($A$1=$AF$1,AG186,IF($A$1=$AI$1,AJ186))))))))))))</f>
        <v>132297638.26695687</v>
      </c>
    </row>
    <row r="187" spans="1:42" s="13" customFormat="1" ht="15.5">
      <c r="A187" s="27"/>
      <c r="B187" s="30"/>
      <c r="C187" s="30" t="str">
        <f>IFERROR((C144/#REF!),"")</f>
        <v/>
      </c>
      <c r="D187" s="41"/>
      <c r="E187" s="30"/>
      <c r="F187" s="30" t="str">
        <f>IFERROR((F144/#REF!),"")</f>
        <v/>
      </c>
      <c r="G187" s="41"/>
      <c r="H187" s="30"/>
      <c r="I187" s="30" t="str">
        <f>IFERROR((I144/#REF!),"")</f>
        <v/>
      </c>
      <c r="J187" s="41"/>
      <c r="K187" s="30"/>
      <c r="L187" s="30" t="str">
        <f>IFERROR((L144/#REF!),"")</f>
        <v/>
      </c>
      <c r="M187" s="41"/>
      <c r="N187" s="30"/>
      <c r="O187" s="30" t="str">
        <f>IFERROR((O144/#REF!),"")</f>
        <v/>
      </c>
      <c r="P187" s="41"/>
      <c r="Q187" s="30"/>
      <c r="R187" s="30" t="str">
        <f>IFERROR((R144/#REF!),"")</f>
        <v/>
      </c>
      <c r="S187" s="41"/>
      <c r="T187" s="30"/>
      <c r="U187" s="30" t="str">
        <f>IFERROR((U144/#REF!),"")</f>
        <v/>
      </c>
      <c r="V187" s="41"/>
      <c r="W187" s="30"/>
      <c r="X187" s="30" t="str">
        <f>IFERROR((X144/#REF!),"")</f>
        <v/>
      </c>
      <c r="Y187" s="41"/>
      <c r="Z187" s="30"/>
      <c r="AA187" s="30" t="str">
        <f>IFERROR((AA144/#REF!),"")</f>
        <v/>
      </c>
      <c r="AB187" s="41"/>
      <c r="AC187" s="30"/>
      <c r="AD187" s="30" t="str">
        <f>IFERROR((AD144/#REF!),"")</f>
        <v/>
      </c>
      <c r="AE187" s="41"/>
      <c r="AF187" s="30"/>
      <c r="AG187" s="30" t="str">
        <f>IFERROR((AG144/#REF!),"")</f>
        <v/>
      </c>
      <c r="AH187" s="41"/>
      <c r="AI187" s="30"/>
      <c r="AJ187" s="30" t="str">
        <f>IFERROR((AJ144/#REF!),"")</f>
        <v/>
      </c>
      <c r="AK187" s="41"/>
      <c r="AL187" s="15"/>
      <c r="AM187" s="22"/>
      <c r="AO187" s="44">
        <f>IF($A$1=$B$1,B187,IF($A$1=$E$1,E187,IF($A$1=$H$1,H187,IF($A$1=$K$1,K187,IF($A$1=$N$1,N187,IF($A$1=$Q$1,Q187,IF($A$1=$T$1,T187,IF($A$1=$W$1,W187,IF($A$1=$Z$1,Z187,IF($A$1=$AC$1,AC187,IF($A$1=$AF$1,AF187,IF($A$1=$AI$1,AI187))))))))))))</f>
        <v>0</v>
      </c>
      <c r="AP187" s="44" t="str">
        <f>IF($A$1=$B$1,C187,IF($A$1=$E$1,F187,IF($A$1=$H$1,I187,IF($A$1=$K$1,L187,IF($A$1=$N$1,O187,IF($A$1=$Q$1,R187,IF($A$1=$T$1,U187,IF($A$1=$W$1,X187,IF($A$1=$Z$1,AA187,IF($A$1=$AC$1,AD187,IF($A$1=$AF$1,AG187,IF($A$1=$AI$1,AJ187))))))))))))</f>
        <v/>
      </c>
    </row>
    <row r="188" spans="1:42" s="49" customFormat="1" ht="17">
      <c r="A188" s="47" t="s">
        <v>81</v>
      </c>
      <c r="B188" s="413"/>
      <c r="C188" s="413"/>
      <c r="D188" s="413"/>
      <c r="E188" s="413"/>
      <c r="F188" s="413"/>
      <c r="G188" s="413"/>
      <c r="H188" s="413"/>
      <c r="I188" s="413"/>
      <c r="J188" s="413"/>
      <c r="K188" s="413"/>
      <c r="L188" s="413"/>
      <c r="M188" s="413"/>
      <c r="N188" s="413"/>
      <c r="O188" s="413"/>
      <c r="P188" s="413"/>
      <c r="Q188" s="413"/>
      <c r="R188" s="413"/>
      <c r="S188" s="413"/>
      <c r="T188" s="413"/>
      <c r="U188" s="413"/>
      <c r="V188" s="413"/>
      <c r="W188" s="413"/>
      <c r="X188" s="413"/>
      <c r="Y188" s="413"/>
      <c r="Z188" s="413"/>
      <c r="AA188" s="413"/>
      <c r="AB188" s="413"/>
      <c r="AC188" s="413"/>
      <c r="AD188" s="413"/>
      <c r="AE188" s="413"/>
      <c r="AF188" s="413"/>
      <c r="AG188" s="413"/>
      <c r="AH188" s="413"/>
      <c r="AI188" s="413"/>
      <c r="AJ188" s="413"/>
      <c r="AK188" s="413"/>
      <c r="AL188" s="413"/>
      <c r="AM188" s="48"/>
    </row>
    <row r="189" spans="1:42" ht="15.5">
      <c r="A189" s="26" t="s">
        <v>10</v>
      </c>
      <c r="B189" s="7">
        <f>'Bütçe aylık-TL'!$B$115</f>
        <v>12841408.032915</v>
      </c>
      <c r="C189" s="7">
        <f>'gerç aylık-tl'!$B$114</f>
        <v>6693595.4400000004</v>
      </c>
      <c r="D189" s="7"/>
      <c r="E189" s="7">
        <f>'Bütçe aylık-TL'!$C$115</f>
        <v>10877541.885405</v>
      </c>
      <c r="F189" s="7">
        <f>'gerç aylık-tl'!$C$114</f>
        <v>17310519.329999998</v>
      </c>
      <c r="G189" s="7"/>
      <c r="H189" s="7">
        <f>'Bütçe aylık-TL'!$D$115</f>
        <v>10637511.040154003</v>
      </c>
      <c r="I189" s="7">
        <f>'gerç aylık-tl'!$D$114</f>
        <v>32927476.510000002</v>
      </c>
      <c r="J189" s="7"/>
      <c r="K189" s="7">
        <f>'Bütçe aylık-TL'!$E$115</f>
        <v>11091616.895512</v>
      </c>
      <c r="L189" s="7">
        <f>'gerç aylık-tl'!$E$114</f>
        <v>21450168.179999001</v>
      </c>
      <c r="M189" s="7"/>
      <c r="N189" s="7">
        <f>'Bütçe aylık-TL'!$F$115</f>
        <v>11949261.506277001</v>
      </c>
      <c r="O189" s="7">
        <f>'gerç aylık-tl'!$F$114</f>
        <v>13687611.530002</v>
      </c>
      <c r="P189" s="7"/>
      <c r="Q189" s="7">
        <f>'Bütçe aylık-TL'!$G$115</f>
        <v>13121314.178982999</v>
      </c>
      <c r="R189" s="7">
        <f>'gerç aylık-tl'!$G$114</f>
        <v>10940847.279998001</v>
      </c>
      <c r="S189" s="7"/>
      <c r="T189" s="7">
        <f>'Bütçe aylık-TL'!$H$115</f>
        <v>13882449.602099</v>
      </c>
      <c r="U189" s="7">
        <f>'gerç aylık-tl'!$H$114</f>
        <v>10952603.510000005</v>
      </c>
      <c r="V189" s="7"/>
      <c r="W189" s="7">
        <f>'Bütçe aylık-TL'!$I$115</f>
        <v>11250984.207286</v>
      </c>
      <c r="X189" s="7">
        <f>'gerç aylık-tl'!$I$114</f>
        <v>13785733.289999001</v>
      </c>
      <c r="Y189" s="7"/>
      <c r="Z189" s="7">
        <f>'Bütçe aylık-TL'!$J$115</f>
        <v>19065962.269717999</v>
      </c>
      <c r="AA189" s="7">
        <f>'gerç aylık-tl'!$J$114</f>
        <v>24441367.570000999</v>
      </c>
      <c r="AB189" s="7"/>
      <c r="AC189" s="7">
        <f>'Bütçe aylık-TL'!$K$115</f>
        <v>17287195.200962</v>
      </c>
      <c r="AD189" s="7">
        <f>'gerç aylık-tl'!$K$114</f>
        <v>0</v>
      </c>
      <c r="AE189" s="7"/>
      <c r="AF189" s="7">
        <f>'Bütçe aylık-TL'!$L$115</f>
        <v>15670787.305870011</v>
      </c>
      <c r="AG189" s="7">
        <f>'gerç aylık-tl'!$L$114</f>
        <v>0</v>
      </c>
      <c r="AH189" s="7"/>
      <c r="AI189" s="7">
        <f>'Bütçe aylık-TL'!$M$115</f>
        <v>-8784372.4604559988</v>
      </c>
      <c r="AJ189" s="7">
        <f>'gerç aylık-tl'!$M$114</f>
        <v>0</v>
      </c>
      <c r="AK189" s="7"/>
      <c r="AL189" s="21">
        <f t="shared" ref="AL189:AL196" si="105">AP189-AO189</f>
        <v>5375405.3002829999</v>
      </c>
      <c r="AM189" s="22">
        <f t="shared" ref="AM189:AM196" si="106">AP189/AO189-1</f>
        <v>0.28193726727449908</v>
      </c>
      <c r="AO189" s="44">
        <f t="shared" ref="AO189:AO196" si="107">IF($A$1=$B$1,B189,IF($A$1=$E$1,E189,IF($A$1=$H$1,H189,IF($A$1=$K$1,K189,IF($A$1=$N$1,N189,IF($A$1=$Q$1,Q189,IF($A$1=$T$1,T189,IF($A$1=$W$1,W189,IF($A$1=$Z$1,Z189,IF($A$1=$AC$1,AC189,IF($A$1=$AF$1,AF189,IF($A$1=$AI$1,AI189))))))))))))</f>
        <v>19065962.269717999</v>
      </c>
      <c r="AP189" s="44">
        <f t="shared" ref="AP189:AP196" si="108">IF($A$1=$B$1,C189,IF($A$1=$E$1,F189,IF($A$1=$H$1,I189,IF($A$1=$K$1,L189,IF($A$1=$N$1,O189,IF($A$1=$Q$1,R189,IF($A$1=$T$1,U189,IF($A$1=$W$1,X189,IF($A$1=$Z$1,AA189,IF($A$1=$AC$1,AD189,IF($A$1=$AF$1,AG189,IF($A$1=$AI$1,AJ189))))))))))))</f>
        <v>24441367.570000999</v>
      </c>
    </row>
    <row r="190" spans="1:42" ht="15.5">
      <c r="A190" s="26" t="s">
        <v>11</v>
      </c>
      <c r="B190" s="7">
        <f>'Bütçe aylık-TL'!$B$116</f>
        <v>-1370684.784731</v>
      </c>
      <c r="C190" s="7">
        <f>'gerç aylık-tl'!$B$115</f>
        <v>-2703762.2325309999</v>
      </c>
      <c r="D190" s="7"/>
      <c r="E190" s="7">
        <f>'Bütçe aylık-TL'!$C$116</f>
        <v>2956764.7313560001</v>
      </c>
      <c r="F190" s="7">
        <f>'gerç aylık-tl'!$C$115</f>
        <v>-536775.96869300003</v>
      </c>
      <c r="G190" s="7"/>
      <c r="H190" s="7">
        <f>'Bütçe aylık-TL'!$D$116</f>
        <v>3775849.412943</v>
      </c>
      <c r="I190" s="7">
        <f>'gerç aylık-tl'!$D$115</f>
        <v>-2581682.0354380002</v>
      </c>
      <c r="J190" s="7"/>
      <c r="K190" s="7">
        <f>'Bütçe aylık-TL'!$E$116</f>
        <v>6521449.0339019997</v>
      </c>
      <c r="L190" s="7">
        <f>'gerç aylık-tl'!$E$115</f>
        <v>3182215.7972209998</v>
      </c>
      <c r="M190" s="7"/>
      <c r="N190" s="7">
        <f>'Bütçe aylık-TL'!$F$116</f>
        <v>8317821.5182060003</v>
      </c>
      <c r="O190" s="7">
        <f>'gerç aylık-tl'!$F$115</f>
        <v>-4867288.8578869998</v>
      </c>
      <c r="P190" s="7"/>
      <c r="Q190" s="7">
        <f>'Bütçe aylık-TL'!$G$116</f>
        <v>7686268.0589180002</v>
      </c>
      <c r="R190" s="7">
        <f>'gerç aylık-tl'!$G$115</f>
        <v>-17702208.281452</v>
      </c>
      <c r="S190" s="7"/>
      <c r="T190" s="7">
        <f>'Bütçe aylık-TL'!$H$116</f>
        <v>5914633.1167559996</v>
      </c>
      <c r="U190" s="7">
        <f>'gerç aylık-tl'!$H$115</f>
        <v>-2102337.7792170001</v>
      </c>
      <c r="V190" s="7"/>
      <c r="W190" s="7">
        <f>'Bütçe aylık-TL'!$I$116</f>
        <v>1228998.053544</v>
      </c>
      <c r="X190" s="7">
        <f>'gerç aylık-tl'!$I$115</f>
        <v>-8052124.2313010003</v>
      </c>
      <c r="Y190" s="7"/>
      <c r="Z190" s="7">
        <f>'Bütçe aylık-TL'!$J$116</f>
        <v>2502042.7705740002</v>
      </c>
      <c r="AA190" s="7">
        <f>'gerç aylık-tl'!$J$115</f>
        <v>-8904775.4990660008</v>
      </c>
      <c r="AB190" s="7"/>
      <c r="AC190" s="7">
        <f>'Bütçe aylık-TL'!$K$116</f>
        <v>683725.977037</v>
      </c>
      <c r="AD190" s="7">
        <f>'gerç aylık-tl'!$K$115</f>
        <v>0</v>
      </c>
      <c r="AE190" s="7"/>
      <c r="AF190" s="7">
        <f>'Bütçe aylık-TL'!$L$116</f>
        <v>-530596.694028</v>
      </c>
      <c r="AG190" s="7">
        <f>'gerç aylık-tl'!$L$115</f>
        <v>0</v>
      </c>
      <c r="AH190" s="7"/>
      <c r="AI190" s="7">
        <f>'Bütçe aylık-TL'!$M$116</f>
        <v>-2290692.9291079999</v>
      </c>
      <c r="AJ190" s="7">
        <f>'gerç aylık-tl'!$M$115</f>
        <v>0</v>
      </c>
      <c r="AK190" s="7"/>
      <c r="AL190" s="21">
        <f t="shared" si="105"/>
        <v>-11406818.269640001</v>
      </c>
      <c r="AM190" s="22">
        <f t="shared" si="106"/>
        <v>-4.5590021097133899</v>
      </c>
      <c r="AO190" s="44">
        <f t="shared" si="107"/>
        <v>2502042.7705740002</v>
      </c>
      <c r="AP190" s="44">
        <f t="shared" si="108"/>
        <v>-8904775.4990660008</v>
      </c>
    </row>
    <row r="191" spans="1:42" ht="15.5">
      <c r="A191" s="26" t="s">
        <v>12</v>
      </c>
      <c r="B191" s="7">
        <f>'Bütçe aylık-TL'!$B$117</f>
        <v>-3476655.1079119998</v>
      </c>
      <c r="C191" s="7">
        <f>'gerç aylık-tl'!$B$116</f>
        <v>44197.308599999997</v>
      </c>
      <c r="D191" s="7"/>
      <c r="E191" s="7">
        <f>'Bütçe aylık-TL'!$C$117</f>
        <v>-2016947.891696</v>
      </c>
      <c r="F191" s="7">
        <f>'gerç aylık-tl'!$C$116</f>
        <v>79826.751556000003</v>
      </c>
      <c r="G191" s="7"/>
      <c r="H191" s="7">
        <f>'Bütçe aylık-TL'!$D$117</f>
        <v>91783.047877000005</v>
      </c>
      <c r="I191" s="7">
        <f>'gerç aylık-tl'!$D$116</f>
        <v>-1140211.45</v>
      </c>
      <c r="J191" s="7"/>
      <c r="K191" s="7">
        <f>'Bütçe aylık-TL'!$E$117</f>
        <v>-113500.896194</v>
      </c>
      <c r="L191" s="7">
        <f>'gerç aylık-tl'!$E$116</f>
        <v>-699931.94542899996</v>
      </c>
      <c r="M191" s="7"/>
      <c r="N191" s="7">
        <f>'Bütçe aylık-TL'!$F$117</f>
        <v>2298333.9132579998</v>
      </c>
      <c r="O191" s="7">
        <f>'gerç aylık-tl'!$F$116</f>
        <v>457732.49</v>
      </c>
      <c r="P191" s="7"/>
      <c r="Q191" s="7">
        <f>'Bütçe aylık-TL'!$G$117</f>
        <v>2321826.1303790002</v>
      </c>
      <c r="R191" s="7">
        <f>'gerç aylık-tl'!$G$116</f>
        <v>-1329786</v>
      </c>
      <c r="S191" s="7"/>
      <c r="T191" s="7">
        <f>'Bütçe aylık-TL'!$H$117</f>
        <v>3376208.1531929998</v>
      </c>
      <c r="U191" s="7">
        <f>'gerç aylık-tl'!$H$116</f>
        <v>-1710368.0338640001</v>
      </c>
      <c r="V191" s="7"/>
      <c r="W191" s="7">
        <f>'Bütçe aylık-TL'!$I$117</f>
        <v>2181397.8274070001</v>
      </c>
      <c r="X191" s="7">
        <f>'gerç aylık-tl'!$I$116</f>
        <v>-1363526.562623</v>
      </c>
      <c r="Y191" s="7"/>
      <c r="Z191" s="7">
        <f>'Bütçe aylık-TL'!$J$117</f>
        <v>1416850.674563</v>
      </c>
      <c r="AA191" s="7">
        <f>'gerç aylık-tl'!$J$116</f>
        <v>1313956.4757290001</v>
      </c>
      <c r="AB191" s="7"/>
      <c r="AC191" s="7">
        <f>'Bütçe aylık-TL'!$K$117</f>
        <v>2336537.7815069999</v>
      </c>
      <c r="AD191" s="7">
        <f>'gerç aylık-tl'!$K$116</f>
        <v>0</v>
      </c>
      <c r="AE191" s="7"/>
      <c r="AF191" s="7">
        <f>'Bütçe aylık-TL'!$L$117</f>
        <v>3217606.4898879998</v>
      </c>
      <c r="AG191" s="7">
        <f>'gerç aylık-tl'!$L$116</f>
        <v>0</v>
      </c>
      <c r="AH191" s="7"/>
      <c r="AI191" s="7">
        <f>'Bütçe aylık-TL'!$M$117</f>
        <v>142700.40132199999</v>
      </c>
      <c r="AJ191" s="7">
        <f>'gerç aylık-tl'!$M$116</f>
        <v>0</v>
      </c>
      <c r="AK191" s="7"/>
      <c r="AL191" s="21">
        <f t="shared" si="105"/>
        <v>-102894.19883399992</v>
      </c>
      <c r="AM191" s="22">
        <f t="shared" si="106"/>
        <v>-7.2621766486249961E-2</v>
      </c>
      <c r="AO191" s="44">
        <f t="shared" si="107"/>
        <v>1416850.674563</v>
      </c>
      <c r="AP191" s="44">
        <f t="shared" si="108"/>
        <v>1313956.4757290001</v>
      </c>
    </row>
    <row r="192" spans="1:42" ht="15.5">
      <c r="A192" s="26" t="s">
        <v>13</v>
      </c>
      <c r="B192" s="7">
        <f>'Bütçe aylık-TL'!$B$118</f>
        <v>-19572019.619374</v>
      </c>
      <c r="C192" s="7">
        <f>'gerç aylık-tl'!$B$117</f>
        <v>-59473752.741926</v>
      </c>
      <c r="D192" s="7"/>
      <c r="E192" s="7">
        <f>'Bütçe aylık-TL'!$C$118</f>
        <v>-42864840.388912991</v>
      </c>
      <c r="F192" s="7">
        <f>'gerç aylık-tl'!$C$117</f>
        <v>-67352195.204800993</v>
      </c>
      <c r="G192" s="7"/>
      <c r="H192" s="7">
        <f>'Bütçe aylık-TL'!$D$118</f>
        <v>-36454193.611250997</v>
      </c>
      <c r="I192" s="7">
        <f>'gerç aylık-tl'!$D$117</f>
        <v>-167999116.75083601</v>
      </c>
      <c r="J192" s="7"/>
      <c r="K192" s="7">
        <f>'Bütçe aylık-TL'!$E$118</f>
        <v>-57728519.863706008</v>
      </c>
      <c r="L192" s="7">
        <f>'gerç aylık-tl'!$E$117</f>
        <v>-207019120.327178</v>
      </c>
      <c r="M192" s="7"/>
      <c r="N192" s="7">
        <f>'Bütçe aylık-TL'!$F$118</f>
        <v>-17953675.892662998</v>
      </c>
      <c r="O192" s="7">
        <f>'gerç aylık-tl'!$F$117</f>
        <v>-128699715.509693</v>
      </c>
      <c r="P192" s="7"/>
      <c r="Q192" s="7">
        <f>'Bütçe aylık-TL'!$G$118</f>
        <v>-1551099.4815979998</v>
      </c>
      <c r="R192" s="7">
        <f>'gerç aylık-tl'!$G$117</f>
        <v>-138951546.30725601</v>
      </c>
      <c r="S192" s="7"/>
      <c r="T192" s="7">
        <f>'Bütçe aylık-TL'!$H$118</f>
        <v>-6605257.752553001</v>
      </c>
      <c r="U192" s="7">
        <f>'gerç aylık-tl'!$H$117</f>
        <v>-154785720.39531699</v>
      </c>
      <c r="V192" s="7"/>
      <c r="W192" s="7">
        <f>'Bütçe aylık-TL'!$I$118</f>
        <v>-706665.498012</v>
      </c>
      <c r="X192" s="7">
        <f>'gerç aylık-tl'!$I$117</f>
        <v>-91817329.554014996</v>
      </c>
      <c r="Y192" s="7"/>
      <c r="Z192" s="7">
        <f>'Bütçe aylık-TL'!$J$118</f>
        <v>17567039.377386998</v>
      </c>
      <c r="AA192" s="7">
        <f>'gerç aylık-tl'!$J$117</f>
        <v>-119530679.129558</v>
      </c>
      <c r="AB192" s="7"/>
      <c r="AC192" s="7">
        <f>'Bütçe aylık-TL'!$K$118</f>
        <v>54191752.868882008</v>
      </c>
      <c r="AD192" s="7">
        <f>'gerç aylık-tl'!$K$117</f>
        <v>0</v>
      </c>
      <c r="AE192" s="7"/>
      <c r="AF192" s="7">
        <f>'Bütçe aylık-TL'!$L$118</f>
        <v>64579087.066494003</v>
      </c>
      <c r="AG192" s="7">
        <f>'gerç aylık-tl'!$L$117</f>
        <v>0</v>
      </c>
      <c r="AH192" s="7"/>
      <c r="AI192" s="7">
        <f>'Bütçe aylık-TL'!$M$118</f>
        <v>95273661.125167996</v>
      </c>
      <c r="AJ192" s="7">
        <f>'gerç aylık-tl'!$M$117</f>
        <v>0</v>
      </c>
      <c r="AK192" s="7"/>
      <c r="AL192" s="21">
        <f t="shared" si="105"/>
        <v>-137097718.50694498</v>
      </c>
      <c r="AM192" s="22">
        <f t="shared" si="106"/>
        <v>-7.8042586210299447</v>
      </c>
      <c r="AO192" s="44">
        <f t="shared" si="107"/>
        <v>17567039.377386998</v>
      </c>
      <c r="AP192" s="44">
        <f t="shared" si="108"/>
        <v>-119530679.129558</v>
      </c>
    </row>
    <row r="193" spans="1:42" s="1" customFormat="1" ht="15.5">
      <c r="A193" s="26" t="s">
        <v>14</v>
      </c>
      <c r="B193" s="7">
        <f>'Bütçe aylık-TL'!$B$119</f>
        <v>11363986.999999998</v>
      </c>
      <c r="C193" s="7">
        <f>'gerç aylık-tl'!$B$118</f>
        <v>5982504.1887440002</v>
      </c>
      <c r="D193" s="8"/>
      <c r="E193" s="7">
        <f>'Bütçe aylık-TL'!$C$119</f>
        <v>13315966.039335001</v>
      </c>
      <c r="F193" s="7">
        <f>'gerç aylık-tl'!$C$118</f>
        <v>14787019.331146</v>
      </c>
      <c r="G193" s="8"/>
      <c r="H193" s="7">
        <f>'Bütçe aylık-TL'!$D$119</f>
        <v>12450080</v>
      </c>
      <c r="I193" s="7">
        <f>'gerç aylık-tl'!$D$118</f>
        <v>19468075.377420001</v>
      </c>
      <c r="J193" s="8"/>
      <c r="K193" s="7">
        <f>'Bütçe aylık-TL'!$E$119</f>
        <v>-7112035.4664835753</v>
      </c>
      <c r="L193" s="7">
        <f>'gerç aylık-tl'!$E$118</f>
        <v>-4368092.5330419997</v>
      </c>
      <c r="M193" s="8"/>
      <c r="N193" s="7">
        <f>'Bütçe aylık-TL'!$F$119</f>
        <v>134968.89674228802</v>
      </c>
      <c r="O193" s="7">
        <f>'gerç aylık-tl'!$F$118</f>
        <v>-403312.16865200002</v>
      </c>
      <c r="P193" s="8"/>
      <c r="Q193" s="7">
        <f>'Bütçe aylık-TL'!$G$119</f>
        <v>-3104951.4431247581</v>
      </c>
      <c r="R193" s="7">
        <f>'gerç aylık-tl'!$G$118</f>
        <v>-1423279.70945</v>
      </c>
      <c r="S193" s="8"/>
      <c r="T193" s="7">
        <f>'Bütçe aylık-TL'!$H$119</f>
        <v>3374859.8273507943</v>
      </c>
      <c r="U193" s="7">
        <f>'gerç aylık-tl'!$H$118</f>
        <v>7335252.8931860002</v>
      </c>
      <c r="V193" s="8"/>
      <c r="W193" s="7">
        <f>'Bütçe aylık-TL'!$I$119</f>
        <v>5481232.9672080819</v>
      </c>
      <c r="X193" s="7">
        <f>'gerç aylık-tl'!$I$118</f>
        <v>7330570.4637390003</v>
      </c>
      <c r="Y193" s="8"/>
      <c r="Z193" s="7">
        <f>'Bütçe aylık-TL'!$J$119</f>
        <v>4983452.3720739596</v>
      </c>
      <c r="AA193" s="7">
        <f>'gerç aylık-tl'!$J$118</f>
        <v>12297406.146251</v>
      </c>
      <c r="AB193" s="8"/>
      <c r="AC193" s="7">
        <f>'Bütçe aylık-TL'!$K$119</f>
        <v>12951180.848017132</v>
      </c>
      <c r="AD193" s="7">
        <f>'gerç aylık-tl'!$K$118</f>
        <v>0</v>
      </c>
      <c r="AE193" s="8"/>
      <c r="AF193" s="7">
        <f>'Bütçe aylık-TL'!$L$119</f>
        <v>8547740.9382216316</v>
      </c>
      <c r="AG193" s="7">
        <f>'gerç aylık-tl'!$L$118</f>
        <v>0</v>
      </c>
      <c r="AH193" s="8"/>
      <c r="AI193" s="7">
        <f>'Bütçe aylık-TL'!$M$119</f>
        <v>4103257.3494494902</v>
      </c>
      <c r="AJ193" s="7">
        <f>'gerç aylık-tl'!$M$118</f>
        <v>0</v>
      </c>
      <c r="AK193" s="8"/>
      <c r="AL193" s="21">
        <f t="shared" si="105"/>
        <v>7313953.7741770409</v>
      </c>
      <c r="AM193" s="22">
        <f t="shared" si="106"/>
        <v>1.4676479733532997</v>
      </c>
      <c r="AO193" s="44">
        <f t="shared" si="107"/>
        <v>4983452.3720739596</v>
      </c>
      <c r="AP193" s="44">
        <f t="shared" si="108"/>
        <v>12297406.146251</v>
      </c>
    </row>
    <row r="194" spans="1:42" ht="15.5">
      <c r="A194" s="26" t="s">
        <v>15</v>
      </c>
      <c r="B194" s="7">
        <f>'Bütçe aylık-TL'!$B$120</f>
        <v>14683125.228688745</v>
      </c>
      <c r="C194" s="7">
        <f>'gerç aylık-tl'!$B$119</f>
        <v>34266078.670215808</v>
      </c>
      <c r="D194" s="7"/>
      <c r="E194" s="7">
        <f>'Bütçe aylık-TL'!$C$120</f>
        <v>39999624.923054241</v>
      </c>
      <c r="F194" s="7">
        <f>'gerç aylık-tl'!$C$119</f>
        <v>53942123.707951158</v>
      </c>
      <c r="G194" s="7"/>
      <c r="H194" s="7">
        <f>'Bütçe aylık-TL'!$D$120</f>
        <v>79147949.835419521</v>
      </c>
      <c r="I194" s="7">
        <f>'gerç aylık-tl'!$D$119</f>
        <v>63119218.827541955</v>
      </c>
      <c r="J194" s="7"/>
      <c r="K194" s="7">
        <f>'Bütçe aylık-TL'!$E$120</f>
        <v>18090849.037219226</v>
      </c>
      <c r="L194" s="7">
        <f>'gerç aylık-tl'!$E$119</f>
        <v>71049445.444050044</v>
      </c>
      <c r="M194" s="7"/>
      <c r="N194" s="7">
        <f>'Bütçe aylık-TL'!$F$120</f>
        <v>46346453.742859639</v>
      </c>
      <c r="O194" s="7">
        <f>'gerç aylık-tl'!$F$119</f>
        <v>66921399.585573085</v>
      </c>
      <c r="P194" s="7"/>
      <c r="Q194" s="7">
        <f>'Bütçe aylık-TL'!$G$120</f>
        <v>58524429.348928854</v>
      </c>
      <c r="R194" s="7">
        <f>'gerç aylık-tl'!$G$119</f>
        <v>64035222.973569423</v>
      </c>
      <c r="S194" s="7"/>
      <c r="T194" s="7">
        <f>'Bütçe aylık-TL'!$H$120</f>
        <v>20824279.84936516</v>
      </c>
      <c r="U194" s="7">
        <f>'gerç aylık-tl'!$H$119</f>
        <v>48646234.854452334</v>
      </c>
      <c r="V194" s="7"/>
      <c r="W194" s="7">
        <f>'Bütçe aylık-TL'!$I$120</f>
        <v>4778968.5538452277</v>
      </c>
      <c r="X194" s="7">
        <f>'gerç aylık-tl'!$I$119</f>
        <v>29192109.895126753</v>
      </c>
      <c r="Y194" s="7"/>
      <c r="Z194" s="7">
        <f>'Bütçe aylık-TL'!$J$120</f>
        <v>106308422.10488252</v>
      </c>
      <c r="AA194" s="7">
        <f>'gerç aylık-tl'!$J$119</f>
        <v>119367288.27847201</v>
      </c>
      <c r="AB194" s="7"/>
      <c r="AC194" s="7">
        <f>'Bütçe aylık-TL'!$K$120</f>
        <v>63717958.428528547</v>
      </c>
      <c r="AD194" s="7">
        <f>'gerç aylık-tl'!$K$119</f>
        <v>0</v>
      </c>
      <c r="AE194" s="7"/>
      <c r="AF194" s="7">
        <f>'Bütçe aylık-TL'!$L$120</f>
        <v>65397602.49424585</v>
      </c>
      <c r="AG194" s="7">
        <f>'gerç aylık-tl'!$L$119</f>
        <v>0</v>
      </c>
      <c r="AH194" s="7"/>
      <c r="AI194" s="7">
        <f>'Bütçe aylık-TL'!$M$120</f>
        <v>49414113.879984483</v>
      </c>
      <c r="AJ194" s="7">
        <f>'gerç aylık-tl'!$M$119</f>
        <v>0</v>
      </c>
      <c r="AK194" s="7"/>
      <c r="AL194" s="21">
        <f t="shared" si="105"/>
        <v>13058866.173589483</v>
      </c>
      <c r="AM194" s="22">
        <f t="shared" si="106"/>
        <v>0.12283943186275281</v>
      </c>
      <c r="AO194" s="44">
        <f t="shared" si="107"/>
        <v>106308422.10488252</v>
      </c>
      <c r="AP194" s="44">
        <f t="shared" si="108"/>
        <v>119367288.27847201</v>
      </c>
    </row>
    <row r="195" spans="1:42" s="1" customFormat="1" ht="15.5">
      <c r="A195" s="26" t="s">
        <v>16</v>
      </c>
      <c r="B195" s="7">
        <f>'Bütçe aylık-TL'!$B$121</f>
        <v>45602759.967029229</v>
      </c>
      <c r="C195" s="7">
        <f>'gerç aylık-tl'!$B$120</f>
        <v>39366711.497949675</v>
      </c>
      <c r="D195" s="8"/>
      <c r="E195" s="7">
        <f>'Bütçe aylık-TL'!$C$121</f>
        <v>41550485.935334541</v>
      </c>
      <c r="F195" s="7">
        <f>'gerç aylık-tl'!$C$120</f>
        <v>63833356.341151454</v>
      </c>
      <c r="G195" s="8"/>
      <c r="H195" s="7">
        <f>'Bütçe aylık-TL'!$D$121</f>
        <v>63653446.790342405</v>
      </c>
      <c r="I195" s="7">
        <f>'gerç aylık-tl'!$D$120</f>
        <v>52105714.325320646</v>
      </c>
      <c r="J195" s="8"/>
      <c r="K195" s="7">
        <f>'Bütçe aylık-TL'!$E$121</f>
        <v>63242840.3030596</v>
      </c>
      <c r="L195" s="7">
        <f>'gerç aylık-tl'!$E$120</f>
        <v>3820347.7192340754</v>
      </c>
      <c r="M195" s="8"/>
      <c r="N195" s="7">
        <f>'Bütçe aylık-TL'!$F$121</f>
        <v>68334768.541457847</v>
      </c>
      <c r="O195" s="7">
        <f>'gerç aylık-tl'!$F$120</f>
        <v>61754718.073040418</v>
      </c>
      <c r="P195" s="8"/>
      <c r="Q195" s="7">
        <f>'Bütçe aylık-TL'!$G$121</f>
        <v>54849388.632286526</v>
      </c>
      <c r="R195" s="7">
        <f>'gerç aylık-tl'!$G$120</f>
        <v>18367412.207381967</v>
      </c>
      <c r="S195" s="8"/>
      <c r="T195" s="7">
        <f>'Bütçe aylık-TL'!$H$121</f>
        <v>47524931.196942575</v>
      </c>
      <c r="U195" s="7">
        <f>'gerç aylık-tl'!$H$120</f>
        <v>103537259.6067545</v>
      </c>
      <c r="V195" s="8"/>
      <c r="W195" s="7">
        <f>'Bütçe aylık-TL'!$I$121</f>
        <v>26963425.442479886</v>
      </c>
      <c r="X195" s="7">
        <f>'gerç aylık-tl'!$I$120</f>
        <v>44327946.042461105</v>
      </c>
      <c r="Y195" s="8"/>
      <c r="Z195" s="7">
        <f>'Bütçe aylık-TL'!$J$121</f>
        <v>84642559.168215662</v>
      </c>
      <c r="AA195" s="7">
        <f>'gerç aylık-tl'!$J$120</f>
        <v>125672323.71054456</v>
      </c>
      <c r="AB195" s="8"/>
      <c r="AC195" s="7">
        <f>'Bütçe aylık-TL'!$K$121</f>
        <v>77514415.082420006</v>
      </c>
      <c r="AD195" s="7">
        <f>'gerç aylık-tl'!$K$120</f>
        <v>0</v>
      </c>
      <c r="AE195" s="8"/>
      <c r="AF195" s="7">
        <f>'Bütçe aylık-TL'!$L$121</f>
        <v>73567108.164377823</v>
      </c>
      <c r="AG195" s="7">
        <f>'gerç aylık-tl'!$L$120</f>
        <v>0</v>
      </c>
      <c r="AH195" s="8"/>
      <c r="AI195" s="7">
        <f>'Bütçe aylık-TL'!$M$121</f>
        <v>42189003.190450579</v>
      </c>
      <c r="AJ195" s="7">
        <f>'gerç aylık-tl'!$M$120</f>
        <v>0</v>
      </c>
      <c r="AK195" s="8"/>
      <c r="AL195" s="21">
        <f t="shared" si="105"/>
        <v>41029764.542328894</v>
      </c>
      <c r="AM195" s="22">
        <f t="shared" si="106"/>
        <v>0.48474154072761166</v>
      </c>
      <c r="AO195" s="44">
        <f t="shared" si="107"/>
        <v>84642559.168215662</v>
      </c>
      <c r="AP195" s="44">
        <f t="shared" si="108"/>
        <v>125672323.71054456</v>
      </c>
    </row>
    <row r="196" spans="1:42" s="1" customFormat="1" ht="15.5">
      <c r="A196" s="26" t="s">
        <v>17</v>
      </c>
      <c r="B196" s="7">
        <f>'Bütçe aylık-TL'!$B$122</f>
        <v>72549963.732655719</v>
      </c>
      <c r="C196" s="7">
        <f>'gerç aylık-tl'!$B$121</f>
        <v>66897250.103214458</v>
      </c>
      <c r="D196" s="8"/>
      <c r="E196" s="7">
        <f>'Bütçe aylık-TL'!$C$122</f>
        <v>77371749.068529442</v>
      </c>
      <c r="F196" s="7">
        <f>'gerç aylık-tl'!$C$121</f>
        <v>17776842.327931158</v>
      </c>
      <c r="G196" s="8"/>
      <c r="H196" s="7">
        <f>'Bütçe aylık-TL'!$D$122</f>
        <v>67624742.730995819</v>
      </c>
      <c r="I196" s="7">
        <f>'gerç aylık-tl'!$D$121</f>
        <v>42166133.958276778</v>
      </c>
      <c r="J196" s="8"/>
      <c r="K196" s="7">
        <f>'Bütçe aylık-TL'!$E$122</f>
        <v>60454139.044412464</v>
      </c>
      <c r="L196" s="7">
        <f>'gerç aylık-tl'!$E$121</f>
        <v>47550786.903090477</v>
      </c>
      <c r="M196" s="8"/>
      <c r="N196" s="7">
        <f>'Bütçe aylık-TL'!$F$122</f>
        <v>99266030.139748201</v>
      </c>
      <c r="O196" s="7">
        <f>'gerç aylık-tl'!$F$121</f>
        <v>111704793.00102432</v>
      </c>
      <c r="P196" s="8"/>
      <c r="Q196" s="7">
        <f>'Bütçe aylık-TL'!$G$122</f>
        <v>59638709.158122227</v>
      </c>
      <c r="R196" s="7">
        <f>'gerç aylık-tl'!$G$121</f>
        <v>65976022.506803535</v>
      </c>
      <c r="S196" s="8"/>
      <c r="T196" s="7">
        <f>'Bütçe aylık-TL'!$H$122</f>
        <v>108013223.31346613</v>
      </c>
      <c r="U196" s="7">
        <f>'gerç aylık-tl'!$H$121</f>
        <v>70412643.439013511</v>
      </c>
      <c r="V196" s="8"/>
      <c r="W196" s="7">
        <f>'Bütçe aylık-TL'!$I$122</f>
        <v>26079404.144645687</v>
      </c>
      <c r="X196" s="7">
        <f>'gerç aylık-tl'!$I$121</f>
        <v>34578426.437719211</v>
      </c>
      <c r="Y196" s="8"/>
      <c r="Z196" s="7">
        <f>'Bütçe aylık-TL'!$J$122</f>
        <v>145342713.33232766</v>
      </c>
      <c r="AA196" s="7">
        <f>'gerç aylık-tl'!$J$121</f>
        <v>150811385.29502255</v>
      </c>
      <c r="AB196" s="8"/>
      <c r="AC196" s="7">
        <f>'Bütçe aylık-TL'!$K$122</f>
        <v>119005281.88237529</v>
      </c>
      <c r="AD196" s="7">
        <f>'gerç aylık-tl'!$K$121</f>
        <v>0</v>
      </c>
      <c r="AE196" s="8"/>
      <c r="AF196" s="7">
        <f>'Bütçe aylık-TL'!$L$122</f>
        <v>119672191.9078275</v>
      </c>
      <c r="AG196" s="7">
        <f>'gerç aylık-tl'!$L$121</f>
        <v>0</v>
      </c>
      <c r="AH196" s="8"/>
      <c r="AI196" s="7">
        <f>'Bütçe aylık-TL'!$M$122</f>
        <v>83727239.589041844</v>
      </c>
      <c r="AJ196" s="7">
        <f>'gerç aylık-tl'!$M$121</f>
        <v>0</v>
      </c>
      <c r="AK196" s="8"/>
      <c r="AL196" s="21">
        <f t="shared" si="105"/>
        <v>5468671.9626948833</v>
      </c>
      <c r="AM196" s="22">
        <f t="shared" si="106"/>
        <v>3.7626048374304943E-2</v>
      </c>
      <c r="AO196" s="44">
        <f t="shared" si="107"/>
        <v>145342713.33232766</v>
      </c>
      <c r="AP196" s="44">
        <f t="shared" si="108"/>
        <v>150811385.29502255</v>
      </c>
    </row>
    <row r="197" spans="1:42" s="1" customFormat="1" ht="15.5">
      <c r="A197" s="26"/>
      <c r="B197" s="7"/>
      <c r="C197" s="8"/>
      <c r="D197" s="8"/>
      <c r="E197" s="7"/>
      <c r="F197" s="8"/>
      <c r="G197" s="8"/>
      <c r="H197" s="7"/>
      <c r="I197" s="8"/>
      <c r="J197" s="8"/>
      <c r="K197" s="7"/>
      <c r="L197" s="8"/>
      <c r="M197" s="8"/>
      <c r="N197" s="7"/>
      <c r="O197" s="8"/>
      <c r="P197" s="8"/>
      <c r="Q197" s="7"/>
      <c r="R197" s="8"/>
      <c r="S197" s="8"/>
      <c r="T197" s="7"/>
      <c r="U197" s="8"/>
      <c r="V197" s="8"/>
      <c r="W197" s="7"/>
      <c r="X197" s="8"/>
      <c r="Y197" s="8"/>
      <c r="Z197" s="7"/>
      <c r="AA197" s="8"/>
      <c r="AB197" s="8"/>
      <c r="AC197" s="7"/>
      <c r="AD197" s="8"/>
      <c r="AE197" s="8"/>
      <c r="AF197" s="7"/>
      <c r="AG197" s="8"/>
      <c r="AH197" s="8"/>
      <c r="AI197" s="7"/>
      <c r="AJ197" s="8"/>
      <c r="AK197" s="8"/>
      <c r="AL197" s="15"/>
      <c r="AM197" s="16"/>
      <c r="AO197" s="44"/>
      <c r="AP197" s="44"/>
    </row>
    <row r="198" spans="1:42" s="1" customFormat="1" ht="15.5">
      <c r="A198" s="26"/>
      <c r="B198" s="7"/>
      <c r="C198" s="8"/>
      <c r="D198" s="8"/>
      <c r="E198" s="7"/>
      <c r="F198" s="8"/>
      <c r="G198" s="8"/>
      <c r="H198" s="7"/>
      <c r="I198" s="8"/>
      <c r="J198" s="8"/>
      <c r="K198" s="7"/>
      <c r="L198" s="8"/>
      <c r="M198" s="8"/>
      <c r="N198" s="7"/>
      <c r="O198" s="8"/>
      <c r="P198" s="8"/>
      <c r="Q198" s="7"/>
      <c r="R198" s="8"/>
      <c r="S198" s="8"/>
      <c r="T198" s="7"/>
      <c r="U198" s="8"/>
      <c r="V198" s="8"/>
      <c r="W198" s="7"/>
      <c r="X198" s="8"/>
      <c r="Y198" s="8"/>
      <c r="Z198" s="7"/>
      <c r="AA198" s="8"/>
      <c r="AB198" s="8"/>
      <c r="AC198" s="7"/>
      <c r="AD198" s="8"/>
      <c r="AE198" s="8"/>
      <c r="AF198" s="7"/>
      <c r="AG198" s="8"/>
      <c r="AH198" s="8"/>
      <c r="AI198" s="7"/>
      <c r="AJ198" s="8"/>
      <c r="AK198" s="8"/>
      <c r="AL198" s="15"/>
      <c r="AM198" s="16"/>
      <c r="AO198" s="44"/>
      <c r="AP198" s="44"/>
    </row>
    <row r="199" spans="1:42" s="44" customFormat="1" ht="15.5">
      <c r="A199" s="31" t="s">
        <v>18</v>
      </c>
      <c r="B199" s="32">
        <f>'Bütçe aylık-TL'!$B$125</f>
        <v>-1619928.0161308052</v>
      </c>
      <c r="C199" s="32">
        <f>'gerç aylık-tl'!$B$124</f>
        <v>-8601422.8515641093</v>
      </c>
      <c r="D199" s="18"/>
      <c r="E199" s="32">
        <f>'Bütçe aylık-TL'!$C$125</f>
        <v>-13899320.778366432</v>
      </c>
      <c r="F199" s="32">
        <f>'gerç aylık-tl'!$C$124</f>
        <v>-20771090.341790631</v>
      </c>
      <c r="G199" s="18"/>
      <c r="H199" s="32">
        <f>'Bütçe aylık-TL'!$D$125</f>
        <v>-1077302.3150881906</v>
      </c>
      <c r="I199" s="32">
        <f>'gerç aylık-tl'!$D$124</f>
        <v>509216.13500321005</v>
      </c>
      <c r="J199" s="18"/>
      <c r="K199" s="32">
        <f>'Bütçe aylık-TL'!$E$125</f>
        <v>-17228155.296583716</v>
      </c>
      <c r="L199" s="32">
        <f>'gerç aylık-tl'!$E$124</f>
        <v>-6356625.6306709293</v>
      </c>
      <c r="M199" s="18"/>
      <c r="N199" s="32">
        <f>'Bütçe aylık-TL'!$F$125</f>
        <v>-19045884.82098832</v>
      </c>
      <c r="O199" s="32">
        <f>'gerç aylık-tl'!$F$124</f>
        <v>-13771772.352319891</v>
      </c>
      <c r="P199" s="18"/>
      <c r="Q199" s="32">
        <f>'Bütçe aylık-TL'!$G$125</f>
        <v>-708367.38365341537</v>
      </c>
      <c r="R199" s="32">
        <f>'gerç aylık-tl'!$G$124</f>
        <v>-7503753.2192185624</v>
      </c>
      <c r="S199" s="18"/>
      <c r="T199" s="32">
        <f>'Bütçe aylık-TL'!$H$125</f>
        <v>-16095282.760002881</v>
      </c>
      <c r="U199" s="32">
        <f>'gerç aylık-tl'!$H$124</f>
        <v>18991966.273517247</v>
      </c>
      <c r="V199" s="18"/>
      <c r="W199" s="32">
        <f>'Bütçe aylık-TL'!$I$125</f>
        <v>-9392573.8237698823</v>
      </c>
      <c r="X199" s="32">
        <f>'gerç aylık-tl'!$I$124</f>
        <v>-8082943.5578354402</v>
      </c>
      <c r="Y199" s="18"/>
      <c r="Z199" s="32">
        <f>'Bütçe aylık-TL'!$J$125</f>
        <v>-8524039.9316149019</v>
      </c>
      <c r="AA199" s="32">
        <f>'gerç aylık-tl'!$J$124</f>
        <v>1348828.4832659988</v>
      </c>
      <c r="AB199" s="18"/>
      <c r="AC199" s="32">
        <f>'Bütçe aylık-TL'!$K$125</f>
        <v>-21924291.667121157</v>
      </c>
      <c r="AD199" s="32">
        <f>'gerç aylık-tl'!$K$124</f>
        <v>0</v>
      </c>
      <c r="AE199" s="18"/>
      <c r="AF199" s="32">
        <f>'Bütçe aylık-TL'!$L$125</f>
        <v>-19787289.33005384</v>
      </c>
      <c r="AG199" s="32">
        <f>'gerç aylık-tl'!$L$124</f>
        <v>0</v>
      </c>
      <c r="AH199" s="18"/>
      <c r="AI199" s="32">
        <f>'Bütçe aylık-TL'!$M$125</f>
        <v>-57548947.327277891</v>
      </c>
      <c r="AJ199" s="32">
        <f>'gerç aylık-tl'!$M$124</f>
        <v>0</v>
      </c>
      <c r="AK199" s="18"/>
      <c r="AL199" s="33">
        <f>AP199-AO199</f>
        <v>9872868.4148809016</v>
      </c>
      <c r="AM199" s="34">
        <f>AP199/AO199-1</f>
        <v>-1.158238170408296</v>
      </c>
      <c r="AO199" s="44">
        <f>IF($A$1=$B$1,B199,IF($A$1=$E$1,E199,IF($A$1=$H$1,H199,IF($A$1=$K$1,K199,IF($A$1=$N$1,N199,IF($A$1=$Q$1,Q199,IF($A$1=$T$1,T199,IF($A$1=$W$1,W199,IF($A$1=$Z$1,Z199,IF($A$1=$AC$1,AC199,IF($A$1=$AF$1,AF199,IF($A$1=$AI$1,AI199))))))))))))</f>
        <v>-8524039.9316149019</v>
      </c>
      <c r="AP199" s="44">
        <f>IF($A$1=$B$1,C199,IF($A$1=$E$1,F199,IF($A$1=$H$1,I199,IF($A$1=$K$1,L199,IF($A$1=$N$1,O199,IF($A$1=$Q$1,R199,IF($A$1=$T$1,U199,IF($A$1=$W$1,X199,IF($A$1=$Z$1,AA199,IF($A$1=$AC$1,AD199,IF($A$1=$AF$1,AG199,IF($A$1=$AI$1,AJ199))))))))))))</f>
        <v>1348828.4832659988</v>
      </c>
    </row>
    <row r="200" spans="1:42" s="13" customFormat="1" ht="15.5">
      <c r="A200" s="27"/>
      <c r="B200" s="30"/>
      <c r="C200" s="30" t="str">
        <f>IFERROR((C157/#REF!),"")</f>
        <v/>
      </c>
      <c r="D200" s="41"/>
      <c r="E200" s="30"/>
      <c r="F200" s="30" t="str">
        <f>IFERROR((F157/#REF!),"")</f>
        <v/>
      </c>
      <c r="G200" s="41"/>
      <c r="H200" s="30"/>
      <c r="I200" s="30" t="str">
        <f>IFERROR((I157/#REF!),"")</f>
        <v/>
      </c>
      <c r="J200" s="41"/>
      <c r="K200" s="30"/>
      <c r="L200" s="30" t="str">
        <f>IFERROR((L157/#REF!),"")</f>
        <v/>
      </c>
      <c r="M200" s="41"/>
      <c r="N200" s="30"/>
      <c r="O200" s="30" t="str">
        <f>IFERROR((O157/#REF!),"")</f>
        <v/>
      </c>
      <c r="P200" s="41"/>
      <c r="Q200" s="30"/>
      <c r="R200" s="30" t="str">
        <f>IFERROR((R157/#REF!),"")</f>
        <v/>
      </c>
      <c r="S200" s="41"/>
      <c r="T200" s="30"/>
      <c r="U200" s="30" t="str">
        <f>IFERROR((U157/#REF!),"")</f>
        <v/>
      </c>
      <c r="V200" s="41"/>
      <c r="W200" s="30"/>
      <c r="X200" s="30" t="str">
        <f>IFERROR((X157/#REF!),"")</f>
        <v/>
      </c>
      <c r="Y200" s="41"/>
      <c r="Z200" s="30"/>
      <c r="AA200" s="30" t="str">
        <f>IFERROR((AA157/#REF!),"")</f>
        <v/>
      </c>
      <c r="AB200" s="41"/>
      <c r="AC200" s="30"/>
      <c r="AD200" s="30" t="str">
        <f>IFERROR((AD157/#REF!),"")</f>
        <v/>
      </c>
      <c r="AE200" s="41"/>
      <c r="AF200" s="30"/>
      <c r="AG200" s="30" t="str">
        <f>IFERROR((AG157/#REF!),"")</f>
        <v/>
      </c>
      <c r="AH200" s="41"/>
      <c r="AI200" s="30"/>
      <c r="AJ200" s="30" t="str">
        <f>IFERROR((AJ157/#REF!),"")</f>
        <v/>
      </c>
      <c r="AK200" s="41"/>
      <c r="AL200" s="15"/>
      <c r="AM200" s="22"/>
      <c r="AO200" s="44">
        <f>IF($A$1=$B$1,B200,IF($A$1=$E$1,E200,IF($A$1=$H$1,H200,IF($A$1=$K$1,K200,IF($A$1=$N$1,N200,IF($A$1=$Q$1,Q200,IF($A$1=$T$1,T200,IF($A$1=$W$1,W200,IF($A$1=$Z$1,Z200,IF($A$1=$AC$1,AC200,IF($A$1=$AF$1,AF200,IF($A$1=$AI$1,AI200))))))))))))</f>
        <v>0</v>
      </c>
      <c r="AP200" s="44" t="str">
        <f>IF($A$1=$B$1,C200,IF($A$1=$E$1,F200,IF($A$1=$H$1,I200,IF($A$1=$K$1,L200,IF($A$1=$N$1,O200,IF($A$1=$Q$1,R200,IF($A$1=$T$1,U200,IF($A$1=$W$1,X200,IF($A$1=$Z$1,AA200,IF($A$1=$AC$1,AD200,IF($A$1=$AF$1,AG200,IF($A$1=$AI$1,AJ200))))))))))))</f>
        <v/>
      </c>
    </row>
    <row r="201" spans="1:42" s="49" customFormat="1" ht="17">
      <c r="A201" s="47" t="s">
        <v>82</v>
      </c>
      <c r="B201" s="413"/>
      <c r="C201" s="413"/>
      <c r="D201" s="413"/>
      <c r="E201" s="413"/>
      <c r="F201" s="413"/>
      <c r="G201" s="413"/>
      <c r="H201" s="413"/>
      <c r="I201" s="413"/>
      <c r="J201" s="413"/>
      <c r="K201" s="413"/>
      <c r="L201" s="413"/>
      <c r="M201" s="413"/>
      <c r="N201" s="413"/>
      <c r="O201" s="413"/>
      <c r="P201" s="413"/>
      <c r="Q201" s="413"/>
      <c r="R201" s="413"/>
      <c r="S201" s="413"/>
      <c r="T201" s="413"/>
      <c r="U201" s="413"/>
      <c r="V201" s="413"/>
      <c r="W201" s="413"/>
      <c r="X201" s="413"/>
      <c r="Y201" s="413"/>
      <c r="Z201" s="413"/>
      <c r="AA201" s="413"/>
      <c r="AB201" s="413"/>
      <c r="AC201" s="413"/>
      <c r="AD201" s="413"/>
      <c r="AE201" s="413"/>
      <c r="AF201" s="413"/>
      <c r="AG201" s="413"/>
      <c r="AH201" s="413"/>
      <c r="AI201" s="413"/>
      <c r="AJ201" s="413"/>
      <c r="AK201" s="413"/>
      <c r="AL201" s="413"/>
      <c r="AM201" s="48"/>
    </row>
    <row r="202" spans="1:42" ht="15.5">
      <c r="A202" s="26" t="s">
        <v>10</v>
      </c>
      <c r="B202" s="7">
        <f>'Bütçe aylık-TL'!$B$126</f>
        <v>-3210352.008229</v>
      </c>
      <c r="C202" s="7">
        <f>'gerç aylık-tl'!$B$125</f>
        <v>1673398.86</v>
      </c>
      <c r="D202" s="7"/>
      <c r="E202" s="7">
        <f>'Bütçe aylık-TL'!$C$126</f>
        <v>-2719385.471351</v>
      </c>
      <c r="F202" s="7">
        <f>'gerç aylık-tl'!$C$125</f>
        <v>4327629.8324999996</v>
      </c>
      <c r="G202" s="7"/>
      <c r="H202" s="7">
        <f>'Bütçe aylık-TL'!$D$126</f>
        <v>-2659377.7600389998</v>
      </c>
      <c r="I202" s="7">
        <f>'gerç aylık-tl'!$D$125</f>
        <v>8231869.1275000004</v>
      </c>
      <c r="J202" s="7"/>
      <c r="K202" s="7">
        <f>'Bütçe aylık-TL'!$E$126</f>
        <v>-2772904.2238779999</v>
      </c>
      <c r="L202" s="7">
        <f>'gerç aylık-tl'!$E$125</f>
        <v>5362542.0449999999</v>
      </c>
      <c r="M202" s="7"/>
      <c r="N202" s="7">
        <f>'Bütçe aylık-TL'!$F$126</f>
        <v>-2987315.3765690001</v>
      </c>
      <c r="O202" s="7">
        <f>'gerç aylık-tl'!$F$125</f>
        <v>3421902.8824999998</v>
      </c>
      <c r="P202" s="7"/>
      <c r="Q202" s="7">
        <f>'Bütçe aylık-TL'!$G$126</f>
        <v>-3280328.5447459999</v>
      </c>
      <c r="R202" s="7">
        <f>'gerç aylık-tl'!$G$125</f>
        <v>2735211.82</v>
      </c>
      <c r="S202" s="7"/>
      <c r="T202" s="7">
        <f>'Bütçe aylık-TL'!$H$126</f>
        <v>-3470612.4005249999</v>
      </c>
      <c r="U202" s="7">
        <f>'gerç aylık-tl'!$H$125</f>
        <v>2738150.8774999999</v>
      </c>
      <c r="V202" s="7"/>
      <c r="W202" s="7">
        <f>'Bütçe aylık-TL'!$I$126</f>
        <v>-2812746.0518209999</v>
      </c>
      <c r="X202" s="7">
        <f>'gerç aylık-tl'!$I$125</f>
        <v>3446433.3224999998</v>
      </c>
      <c r="Y202" s="7"/>
      <c r="Z202" s="7">
        <f>'Bütçe aylık-TL'!$J$126</f>
        <v>-4766490.5674299998</v>
      </c>
      <c r="AA202" s="7">
        <f>'gerç aylık-tl'!$J$125</f>
        <v>6110341.8925000001</v>
      </c>
      <c r="AB202" s="7"/>
      <c r="AC202" s="7">
        <f>'Bütçe aylık-TL'!$K$126</f>
        <v>-4321798.8002399998</v>
      </c>
      <c r="AD202" s="7">
        <f>'gerç aylık-tl'!$K$125</f>
        <v>0</v>
      </c>
      <c r="AE202" s="7"/>
      <c r="AF202" s="7">
        <f>'Bütçe aylık-TL'!$L$126</f>
        <v>-3917696.8264680002</v>
      </c>
      <c r="AG202" s="7">
        <f>'gerç aylık-tl'!$L$125</f>
        <v>0</v>
      </c>
      <c r="AH202" s="7"/>
      <c r="AI202" s="7">
        <f>'Bütçe aylık-TL'!$M$126</f>
        <v>2196093.1151140002</v>
      </c>
      <c r="AJ202" s="7">
        <f>'gerç aylık-tl'!$M$125</f>
        <v>0</v>
      </c>
      <c r="AK202" s="7"/>
      <c r="AL202" s="21">
        <f t="shared" ref="AL202:AL209" si="109">AP202-AO202</f>
        <v>10876832.459929999</v>
      </c>
      <c r="AM202" s="22">
        <f t="shared" ref="AM202:AM209" si="110">AP202/AO202-1</f>
        <v>-2.2819372672743121</v>
      </c>
      <c r="AO202" s="44">
        <f t="shared" ref="AO202:AO209" si="111">IF($A$1=$B$1,B202,IF($A$1=$E$1,E202,IF($A$1=$H$1,H202,IF($A$1=$K$1,K202,IF($A$1=$N$1,N202,IF($A$1=$Q$1,Q202,IF($A$1=$T$1,T202,IF($A$1=$W$1,W202,IF($A$1=$Z$1,Z202,IF($A$1=$AC$1,AC202,IF($A$1=$AF$1,AF202,IF($A$1=$AI$1,AI202))))))))))))</f>
        <v>-4766490.5674299998</v>
      </c>
      <c r="AP202" s="44">
        <f t="shared" ref="AP202:AP209" si="112">IF($A$1=$B$1,C202,IF($A$1=$E$1,F202,IF($A$1=$H$1,I202,IF($A$1=$K$1,L202,IF($A$1=$N$1,O202,IF($A$1=$Q$1,R202,IF($A$1=$T$1,U202,IF($A$1=$W$1,X202,IF($A$1=$Z$1,AA202,IF($A$1=$AC$1,AD202,IF($A$1=$AF$1,AG202,IF($A$1=$AI$1,AJ202))))))))))))</f>
        <v>6110341.8925000001</v>
      </c>
    </row>
    <row r="203" spans="1:42" ht="15.5">
      <c r="A203" s="26" t="s">
        <v>11</v>
      </c>
      <c r="B203" s="7">
        <f>'Bütçe aylık-TL'!$B$127</f>
        <v>274136.95694599999</v>
      </c>
      <c r="C203" s="7">
        <f>'gerç aylık-tl'!$B$126</f>
        <v>156887.68801700001</v>
      </c>
      <c r="D203" s="7"/>
      <c r="E203" s="7">
        <f>'Bütçe aylık-TL'!$C$127</f>
        <v>-591352.94627099996</v>
      </c>
      <c r="F203" s="7">
        <f>'gerç aylık-tl'!$C$126</f>
        <v>135228.741446</v>
      </c>
      <c r="G203" s="7"/>
      <c r="H203" s="7">
        <f>'Bütçe aylık-TL'!$D$127</f>
        <v>-755169.88258900004</v>
      </c>
      <c r="I203" s="7">
        <f>'gerç aylık-tl'!$D$126</f>
        <v>150483.89000399999</v>
      </c>
      <c r="J203" s="7"/>
      <c r="K203" s="7">
        <f>'Bütçe aylık-TL'!$E$127</f>
        <v>-1304289.80678</v>
      </c>
      <c r="L203" s="7">
        <f>'gerç aylık-tl'!$E$126</f>
        <v>192785.69092399999</v>
      </c>
      <c r="M203" s="7"/>
      <c r="N203" s="7">
        <f>'Bütçe aylık-TL'!$F$127</f>
        <v>-1663564.3036410001</v>
      </c>
      <c r="O203" s="7">
        <f>'gerç aylık-tl'!$F$126</f>
        <v>-59487.356478000002</v>
      </c>
      <c r="P203" s="7"/>
      <c r="Q203" s="7">
        <f>'Bütçe aylık-TL'!$G$127</f>
        <v>-1537253.6117839999</v>
      </c>
      <c r="R203" s="7">
        <f>'gerç aylık-tl'!$G$126</f>
        <v>-288826.30120300001</v>
      </c>
      <c r="S203" s="7"/>
      <c r="T203" s="7">
        <f>'Bütçe aylık-TL'!$H$127</f>
        <v>-1182926.623351</v>
      </c>
      <c r="U203" s="7">
        <f>'gerç aylık-tl'!$H$126</f>
        <v>-261896.55175499999</v>
      </c>
      <c r="V203" s="7"/>
      <c r="W203" s="7">
        <f>'Bütçe aylık-TL'!$I$127</f>
        <v>-245799.610709</v>
      </c>
      <c r="X203" s="7">
        <f>'gerç aylık-tl'!$I$126</f>
        <v>-790673.40358100005</v>
      </c>
      <c r="Y203" s="7"/>
      <c r="Z203" s="7">
        <f>'Bütçe aylık-TL'!$J$127</f>
        <v>-500408.55411500001</v>
      </c>
      <c r="AA203" s="7">
        <f>'gerç aylık-tl'!$J$126</f>
        <v>-1002566.26672</v>
      </c>
      <c r="AB203" s="7"/>
      <c r="AC203" s="7">
        <f>'Bütçe aylık-TL'!$K$127</f>
        <v>-136745.19540699999</v>
      </c>
      <c r="AD203" s="7">
        <f>'gerç aylık-tl'!$K$126</f>
        <v>0</v>
      </c>
      <c r="AE203" s="7"/>
      <c r="AF203" s="7">
        <f>'Bütçe aylık-TL'!$L$127</f>
        <v>106119.338806</v>
      </c>
      <c r="AG203" s="7">
        <f>'gerç aylık-tl'!$L$126</f>
        <v>0</v>
      </c>
      <c r="AH203" s="7"/>
      <c r="AI203" s="7">
        <f>'Bütçe aylık-TL'!$M$127</f>
        <v>458138.58582199999</v>
      </c>
      <c r="AJ203" s="7">
        <f>'gerç aylık-tl'!$M$126</f>
        <v>0</v>
      </c>
      <c r="AK203" s="7"/>
      <c r="AL203" s="21">
        <f t="shared" si="109"/>
        <v>-502157.71260499995</v>
      </c>
      <c r="AM203" s="22">
        <f t="shared" si="110"/>
        <v>1.0034954608102042</v>
      </c>
      <c r="AO203" s="44">
        <f t="shared" si="111"/>
        <v>-500408.55411500001</v>
      </c>
      <c r="AP203" s="44">
        <f t="shared" si="112"/>
        <v>-1002566.26672</v>
      </c>
    </row>
    <row r="204" spans="1:42" ht="15.5">
      <c r="A204" s="26" t="s">
        <v>12</v>
      </c>
      <c r="B204" s="7">
        <f>'Bütçe aylık-TL'!$B$128</f>
        <v>0</v>
      </c>
      <c r="C204" s="7">
        <f>'gerç aylık-tl'!$B$127</f>
        <v>-301.15970600000003</v>
      </c>
      <c r="D204" s="7"/>
      <c r="E204" s="7">
        <f>'Bütçe aylık-TL'!$C$128</f>
        <v>0</v>
      </c>
      <c r="F204" s="7">
        <f>'gerç aylık-tl'!$C$127</f>
        <v>0</v>
      </c>
      <c r="G204" s="7"/>
      <c r="H204" s="7">
        <f>'Bütçe aylık-TL'!$D$128</f>
        <v>-22945.761654000002</v>
      </c>
      <c r="I204" s="7">
        <f>'gerç aylık-tl'!$D$127</f>
        <v>0</v>
      </c>
      <c r="J204" s="7"/>
      <c r="K204" s="7">
        <f>'Bütçe aylık-TL'!$E$128</f>
        <v>0</v>
      </c>
      <c r="L204" s="7">
        <f>'gerç aylık-tl'!$E$127</f>
        <v>0</v>
      </c>
      <c r="M204" s="7"/>
      <c r="N204" s="7">
        <f>'Bütçe aylık-TL'!$F$128</f>
        <v>-574583.47915200004</v>
      </c>
      <c r="O204" s="7">
        <f>'gerç aylık-tl'!$F$127</f>
        <v>0</v>
      </c>
      <c r="P204" s="7"/>
      <c r="Q204" s="7">
        <f>'Bütçe aylık-TL'!$G$128</f>
        <v>-580456.53293900006</v>
      </c>
      <c r="R204" s="7">
        <f>'gerç aylık-tl'!$G$127</f>
        <v>0</v>
      </c>
      <c r="S204" s="7"/>
      <c r="T204" s="7">
        <f>'Bütçe aylık-TL'!$H$128</f>
        <v>-844052.03843700001</v>
      </c>
      <c r="U204" s="7">
        <f>'gerç aylık-tl'!$H$127</f>
        <v>0</v>
      </c>
      <c r="V204" s="7"/>
      <c r="W204" s="7">
        <f>'Bütçe aylık-TL'!$I$128</f>
        <v>-545349.45704200002</v>
      </c>
      <c r="X204" s="7">
        <f>'gerç aylık-tl'!$I$127</f>
        <v>0</v>
      </c>
      <c r="Y204" s="7"/>
      <c r="Z204" s="7">
        <f>'Bütçe aylık-TL'!$J$128</f>
        <v>-354212.66977199999</v>
      </c>
      <c r="AA204" s="7">
        <f>'gerç aylık-tl'!$J$127</f>
        <v>0</v>
      </c>
      <c r="AB204" s="7"/>
      <c r="AC204" s="7">
        <f>'Bütçe aylık-TL'!$K$128</f>
        <v>-584134.44561099994</v>
      </c>
      <c r="AD204" s="7">
        <f>'gerç aylık-tl'!$K$127</f>
        <v>0</v>
      </c>
      <c r="AE204" s="7"/>
      <c r="AF204" s="7">
        <f>'Bütçe aylık-TL'!$L$128</f>
        <v>-804401.62246999994</v>
      </c>
      <c r="AG204" s="7">
        <f>'gerç aylık-tl'!$L$127</f>
        <v>0</v>
      </c>
      <c r="AH204" s="7"/>
      <c r="AI204" s="7">
        <f>'Bütçe aylık-TL'!$M$128</f>
        <v>-35675.100533999997</v>
      </c>
      <c r="AJ204" s="7">
        <f>'gerç aylık-tl'!$M$127</f>
        <v>0</v>
      </c>
      <c r="AK204" s="7"/>
      <c r="AL204" s="21">
        <f t="shared" si="109"/>
        <v>354212.66977199999</v>
      </c>
      <c r="AM204" s="22">
        <f t="shared" si="110"/>
        <v>-1</v>
      </c>
      <c r="AO204" s="44">
        <f t="shared" si="111"/>
        <v>-354212.66977199999</v>
      </c>
      <c r="AP204" s="44">
        <f t="shared" si="112"/>
        <v>0</v>
      </c>
    </row>
    <row r="205" spans="1:42" ht="15.5">
      <c r="A205" s="26" t="s">
        <v>13</v>
      </c>
      <c r="B205" s="7">
        <f>'Bütçe aylık-TL'!$B$129</f>
        <v>0</v>
      </c>
      <c r="C205" s="7">
        <f>'gerç aylık-tl'!$B$128</f>
        <v>0</v>
      </c>
      <c r="D205" s="7"/>
      <c r="E205" s="7">
        <f>'Bütçe aylık-TL'!$C$129</f>
        <v>0</v>
      </c>
      <c r="F205" s="7">
        <f>'gerç aylık-tl'!$C$128</f>
        <v>0</v>
      </c>
      <c r="G205" s="7"/>
      <c r="H205" s="7">
        <f>'Bütçe aylık-TL'!$D$129</f>
        <v>0</v>
      </c>
      <c r="I205" s="7">
        <f>'gerç aylık-tl'!$D$128</f>
        <v>0</v>
      </c>
      <c r="J205" s="7"/>
      <c r="K205" s="7">
        <f>'Bütçe aylık-TL'!$E$129</f>
        <v>0</v>
      </c>
      <c r="L205" s="7">
        <f>'gerç aylık-tl'!$E$128</f>
        <v>0</v>
      </c>
      <c r="M205" s="7"/>
      <c r="N205" s="7">
        <f>'Bütçe aylık-TL'!$F$129</f>
        <v>0</v>
      </c>
      <c r="O205" s="7">
        <f>'gerç aylık-tl'!$F$128</f>
        <v>0</v>
      </c>
      <c r="P205" s="7"/>
      <c r="Q205" s="7">
        <f>'Bütçe aylık-TL'!$G$129</f>
        <v>0</v>
      </c>
      <c r="R205" s="7">
        <f>'gerç aylık-tl'!$G$128</f>
        <v>0</v>
      </c>
      <c r="S205" s="7"/>
      <c r="T205" s="7">
        <f>'Bütçe aylık-TL'!$H$129</f>
        <v>0</v>
      </c>
      <c r="U205" s="7">
        <f>'gerç aylık-tl'!$H$128</f>
        <v>0</v>
      </c>
      <c r="V205" s="7"/>
      <c r="W205" s="7">
        <f>'Bütçe aylık-TL'!$I$129</f>
        <v>0</v>
      </c>
      <c r="X205" s="7">
        <f>'gerç aylık-tl'!$I$128</f>
        <v>0</v>
      </c>
      <c r="Y205" s="7"/>
      <c r="Z205" s="7">
        <f>'Bütçe aylık-TL'!$J$129</f>
        <v>0</v>
      </c>
      <c r="AA205" s="7">
        <f>'gerç aylık-tl'!$J$128</f>
        <v>0</v>
      </c>
      <c r="AB205" s="7"/>
      <c r="AC205" s="7">
        <f>'Bütçe aylık-TL'!$K$129</f>
        <v>0</v>
      </c>
      <c r="AD205" s="7">
        <f>'gerç aylık-tl'!$K$128</f>
        <v>0</v>
      </c>
      <c r="AE205" s="7"/>
      <c r="AF205" s="7">
        <f>'Bütçe aylık-TL'!$L$129</f>
        <v>0</v>
      </c>
      <c r="AG205" s="7">
        <f>'gerç aylık-tl'!$L$128</f>
        <v>0</v>
      </c>
      <c r="AH205" s="7"/>
      <c r="AI205" s="7">
        <f>'Bütçe aylık-TL'!$M$129</f>
        <v>0</v>
      </c>
      <c r="AJ205" s="7">
        <f>'gerç aylık-tl'!$M$128</f>
        <v>0</v>
      </c>
      <c r="AK205" s="7"/>
      <c r="AL205" s="21">
        <f t="shared" si="109"/>
        <v>0</v>
      </c>
      <c r="AM205" s="22" t="e">
        <f t="shared" si="110"/>
        <v>#DIV/0!</v>
      </c>
      <c r="AO205" s="44">
        <f t="shared" si="111"/>
        <v>0</v>
      </c>
      <c r="AP205" s="44">
        <f t="shared" si="112"/>
        <v>0</v>
      </c>
    </row>
    <row r="206" spans="1:42" s="1" customFormat="1" ht="15.5">
      <c r="A206" s="26" t="s">
        <v>14</v>
      </c>
      <c r="B206" s="7">
        <f>'Bütçe aylık-TL'!$B$130</f>
        <v>-2840997</v>
      </c>
      <c r="C206" s="7">
        <f>'gerç aylık-tl'!$B$129</f>
        <v>3281552.6016239999</v>
      </c>
      <c r="D206" s="8"/>
      <c r="E206" s="7">
        <f>'Bütçe aylık-TL'!$C$130</f>
        <v>-3328991.5098339999</v>
      </c>
      <c r="F206" s="7">
        <f>'gerç aylık-tl'!$C$129</f>
        <v>-6466616.0926130004</v>
      </c>
      <c r="G206" s="8"/>
      <c r="H206" s="7">
        <f>'Bütçe aylık-TL'!$D$130</f>
        <v>-3112520</v>
      </c>
      <c r="I206" s="7">
        <f>'gerç aylık-tl'!$D$129</f>
        <v>944646.90127899998</v>
      </c>
      <c r="J206" s="8"/>
      <c r="K206" s="7">
        <f>'Bütçe aylık-TL'!$E$130</f>
        <v>125480.38203734846</v>
      </c>
      <c r="L206" s="7">
        <f>'gerç aylık-tl'!$E$129</f>
        <v>709307.59075999993</v>
      </c>
      <c r="M206" s="8"/>
      <c r="N206" s="7">
        <f>'Bütçe aylık-TL'!$F$130</f>
        <v>-654258.37142499164</v>
      </c>
      <c r="O206" s="7">
        <f>'gerç aylık-tl'!$F$129</f>
        <v>450765.28216300008</v>
      </c>
      <c r="P206" s="8"/>
      <c r="Q206" s="7">
        <f>'Bütçe aylık-TL'!$G$130</f>
        <v>376696.00114693068</v>
      </c>
      <c r="R206" s="7">
        <f>'gerç aylık-tl'!$G$129</f>
        <v>-2755564.6351379999</v>
      </c>
      <c r="S206" s="8"/>
      <c r="T206" s="7">
        <f>'Bütçe aylık-TL'!$H$130</f>
        <v>-1145165.5320161211</v>
      </c>
      <c r="U206" s="7">
        <f>'gerç aylık-tl'!$H$129</f>
        <v>-2048534.178297</v>
      </c>
      <c r="V206" s="8"/>
      <c r="W206" s="7">
        <f>'Bütçe aylık-TL'!$I$130</f>
        <v>-1613196.8772448972</v>
      </c>
      <c r="X206" s="7">
        <f>'gerç aylık-tl'!$I$129</f>
        <v>-3988488.4684350002</v>
      </c>
      <c r="Y206" s="8"/>
      <c r="Z206" s="7">
        <f>'Bütçe aylık-TL'!$J$130</f>
        <v>-1541390.931440453</v>
      </c>
      <c r="AA206" s="7">
        <f>'gerç aylık-tl'!$J$129</f>
        <v>604721.72447400005</v>
      </c>
      <c r="AB206" s="8"/>
      <c r="AC206" s="7">
        <f>'Bütçe aylık-TL'!$K$130</f>
        <v>-3488673.0688838991</v>
      </c>
      <c r="AD206" s="7">
        <f>'gerç aylık-tl'!$K$129</f>
        <v>0</v>
      </c>
      <c r="AE206" s="8"/>
      <c r="AF206" s="7">
        <f>'Bütçe aylık-TL'!$L$130</f>
        <v>-2491572.6364460927</v>
      </c>
      <c r="AG206" s="7">
        <f>'gerç aylık-tl'!$L$129</f>
        <v>0</v>
      </c>
      <c r="AH206" s="8"/>
      <c r="AI206" s="7">
        <f>'Bütçe aylık-TL'!$M$130</f>
        <v>-1332563.5967600022</v>
      </c>
      <c r="AJ206" s="7">
        <f>'gerç aylık-tl'!$M$129</f>
        <v>0</v>
      </c>
      <c r="AK206" s="8"/>
      <c r="AL206" s="21">
        <f t="shared" si="109"/>
        <v>2146112.6559144529</v>
      </c>
      <c r="AM206" s="22">
        <f t="shared" si="110"/>
        <v>-1.3923220982680093</v>
      </c>
      <c r="AO206" s="44">
        <f t="shared" si="111"/>
        <v>-1541390.931440453</v>
      </c>
      <c r="AP206" s="44">
        <f t="shared" si="112"/>
        <v>604721.72447400005</v>
      </c>
    </row>
    <row r="207" spans="1:42" ht="15.5">
      <c r="A207" s="26" t="s">
        <v>15</v>
      </c>
      <c r="B207" s="7">
        <f>'Bütçe aylık-TL'!$B$131</f>
        <v>-5124771.4276218629</v>
      </c>
      <c r="C207" s="7">
        <f>'gerç aylık-tl'!$B$130</f>
        <v>-11800033.970313935</v>
      </c>
      <c r="D207" s="7"/>
      <c r="E207" s="7">
        <f>'Bütçe aylık-TL'!$C$131</f>
        <v>-10760034.393270664</v>
      </c>
      <c r="F207" s="7">
        <f>'gerç aylık-tl'!$C$130</f>
        <v>-16510057.987775858</v>
      </c>
      <c r="G207" s="7"/>
      <c r="H207" s="7">
        <f>'Bütçe aylık-TL'!$D$131</f>
        <v>-13030341.446737604</v>
      </c>
      <c r="I207" s="7">
        <f>'gerç aylık-tl'!$D$130</f>
        <v>-25000221.027803235</v>
      </c>
      <c r="J207" s="7"/>
      <c r="K207" s="7">
        <f>'Bütçe aylık-TL'!$E$131</f>
        <v>-8037732.2269914392</v>
      </c>
      <c r="L207" s="7">
        <f>'gerç aylık-tl'!$E$130</f>
        <v>-17612758.805083923</v>
      </c>
      <c r="M207" s="7"/>
      <c r="N207" s="7">
        <f>'Bütçe aylık-TL'!$F$131</f>
        <v>-14150241.791541085</v>
      </c>
      <c r="O207" s="7">
        <f>'gerç aylık-tl'!$F$130</f>
        <v>-27253787.055774964</v>
      </c>
      <c r="P207" s="7"/>
      <c r="Q207" s="7">
        <f>'Bütçe aylık-TL'!$G$131</f>
        <v>-4678220.4343035119</v>
      </c>
      <c r="R207" s="7">
        <f>'gerç aylık-tl'!$G$130</f>
        <v>-6910617.7358659012</v>
      </c>
      <c r="S207" s="7"/>
      <c r="T207" s="7">
        <f>'Bütçe aylık-TL'!$H$131</f>
        <v>-7938428.0025323248</v>
      </c>
      <c r="U207" s="7">
        <f>'gerç aylık-tl'!$H$130</f>
        <v>10866481.019677799</v>
      </c>
      <c r="V207" s="7"/>
      <c r="W207" s="7">
        <f>'Bütçe aylık-TL'!$I$131</f>
        <v>-3797563.0283642947</v>
      </c>
      <c r="X207" s="7">
        <f>'gerç aylık-tl'!$I$130</f>
        <v>-15189561.388112001</v>
      </c>
      <c r="Y207" s="7"/>
      <c r="Z207" s="7">
        <f>'Bütçe aylık-TL'!$J$131</f>
        <v>-17008641.351747934</v>
      </c>
      <c r="AA207" s="7">
        <f>'gerç aylık-tl'!$J$130</f>
        <v>-18077623.759836003</v>
      </c>
      <c r="AB207" s="7"/>
      <c r="AC207" s="7">
        <f>'Bütçe aylık-TL'!$K$131</f>
        <v>-17241360.264271889</v>
      </c>
      <c r="AD207" s="7">
        <f>'gerç aylık-tl'!$K$130</f>
        <v>0</v>
      </c>
      <c r="AE207" s="7"/>
      <c r="AF207" s="7">
        <f>'Bütçe aylık-TL'!$L$131</f>
        <v>-17181653.729555469</v>
      </c>
      <c r="AG207" s="7">
        <f>'gerç aylık-tl'!$L$130</f>
        <v>0</v>
      </c>
      <c r="AH207" s="7"/>
      <c r="AI207" s="7">
        <f>'Bütçe aylık-TL'!$M$131</f>
        <v>-5274919.7567288596</v>
      </c>
      <c r="AJ207" s="7">
        <f>'gerç aylık-tl'!$M$130</f>
        <v>0</v>
      </c>
      <c r="AK207" s="7"/>
      <c r="AL207" s="21">
        <f t="shared" si="109"/>
        <v>-1068982.4080880694</v>
      </c>
      <c r="AM207" s="22">
        <f t="shared" si="110"/>
        <v>6.2849370856903342E-2</v>
      </c>
      <c r="AO207" s="44">
        <f t="shared" si="111"/>
        <v>-17008641.351747934</v>
      </c>
      <c r="AP207" s="44">
        <f t="shared" si="112"/>
        <v>-18077623.759836003</v>
      </c>
    </row>
    <row r="208" spans="1:42" s="1" customFormat="1" ht="15.5">
      <c r="A208" s="26" t="s">
        <v>16</v>
      </c>
      <c r="B208" s="7">
        <f>'Bütçe aylık-TL'!$B$132</f>
        <v>3408882.1958254082</v>
      </c>
      <c r="C208" s="7">
        <f>'gerç aylık-tl'!$B$131</f>
        <v>-4637364.1294879997</v>
      </c>
      <c r="D208" s="8"/>
      <c r="E208" s="7">
        <f>'Bütçe aylık-TL'!$C$132</f>
        <v>-4285497.1356413933</v>
      </c>
      <c r="F208" s="7">
        <f>'gerç aylık-tl'!$C$131</f>
        <v>-33648598.993968219</v>
      </c>
      <c r="G208" s="8"/>
      <c r="H208" s="7">
        <f>'Bütçe aylık-TL'!$D$132</f>
        <v>-9876269.3317478113</v>
      </c>
      <c r="I208" s="7">
        <f>'gerç aylık-tl'!$D$131</f>
        <v>8939060.4911864549</v>
      </c>
      <c r="J208" s="8"/>
      <c r="K208" s="7">
        <f>'Bütçe aylık-TL'!$E$132</f>
        <v>-8804028.099977646</v>
      </c>
      <c r="L208" s="7">
        <f>'gerç aylık-tl'!$E$131</f>
        <v>11169268.299366226</v>
      </c>
      <c r="M208" s="8"/>
      <c r="N208" s="7">
        <f>'Bütçe aylık-TL'!$F$132</f>
        <v>-7099090.167658003</v>
      </c>
      <c r="O208" s="7">
        <f>'gerç aylık-tl'!$F$131</f>
        <v>2892337.613327032</v>
      </c>
      <c r="P208" s="8"/>
      <c r="Q208" s="7">
        <f>'Bütçe aylık-TL'!$G$132</f>
        <v>-12155337.784526622</v>
      </c>
      <c r="R208" s="7">
        <f>'gerç aylık-tl'!$G$131</f>
        <v>-8358139.9191534985</v>
      </c>
      <c r="S208" s="8"/>
      <c r="T208" s="7">
        <f>'Bütçe aylık-TL'!$H$132</f>
        <v>-5267615.8812524565</v>
      </c>
      <c r="U208" s="7">
        <f>'gerç aylık-tl'!$H$131</f>
        <v>13710483.548953293</v>
      </c>
      <c r="V208" s="8"/>
      <c r="W208" s="7">
        <f>'Bütçe aylık-TL'!$I$132</f>
        <v>-4052031.0813193908</v>
      </c>
      <c r="X208" s="7">
        <f>'gerç aylık-tl'!$I$131</f>
        <v>-14501213.422127878</v>
      </c>
      <c r="Y208" s="8"/>
      <c r="Z208" s="7">
        <f>'Bütçe aylık-TL'!$J$132</f>
        <v>-10036786.347065212</v>
      </c>
      <c r="AA208" s="7">
        <f>'gerç aylık-tl'!$J$131</f>
        <v>-673258.21829250117</v>
      </c>
      <c r="AB208" s="8"/>
      <c r="AC208" s="7">
        <f>'Bütçe aylık-TL'!$K$132</f>
        <v>-7392411.7986372355</v>
      </c>
      <c r="AD208" s="7">
        <f>'gerç aylık-tl'!$K$131</f>
        <v>0</v>
      </c>
      <c r="AE208" s="8"/>
      <c r="AF208" s="7">
        <f>'Bütçe aylık-TL'!$L$132</f>
        <v>-7256299.4898185767</v>
      </c>
      <c r="AG208" s="7">
        <f>'gerç aylık-tl'!$L$131</f>
        <v>0</v>
      </c>
      <c r="AH208" s="8"/>
      <c r="AI208" s="7">
        <f>'Bütçe aylık-TL'!$M$132</f>
        <v>-163130095.61995265</v>
      </c>
      <c r="AJ208" s="7">
        <f>'gerç aylık-tl'!$M$131</f>
        <v>0</v>
      </c>
      <c r="AK208" s="8"/>
      <c r="AL208" s="21">
        <f t="shared" si="109"/>
        <v>9363528.1287727114</v>
      </c>
      <c r="AM208" s="22">
        <f t="shared" si="110"/>
        <v>-0.93292093753800354</v>
      </c>
      <c r="AO208" s="44">
        <f t="shared" si="111"/>
        <v>-10036786.347065212</v>
      </c>
      <c r="AP208" s="44">
        <f t="shared" si="112"/>
        <v>-673258.21829250117</v>
      </c>
    </row>
    <row r="209" spans="1:42" s="1" customFormat="1" ht="15.5">
      <c r="A209" s="26" t="s">
        <v>17</v>
      </c>
      <c r="B209" s="7">
        <f>'Bütçe aylık-TL'!$B$133</f>
        <v>7847603.8196769413</v>
      </c>
      <c r="C209" s="7">
        <f>'gerç aylık-tl'!$B$132</f>
        <v>-12922675.101509839</v>
      </c>
      <c r="D209" s="8"/>
      <c r="E209" s="7">
        <f>'Bütçe aylık-TL'!$C$133</f>
        <v>-8096932.8631150229</v>
      </c>
      <c r="F209" s="7">
        <f>'gerç aylık-tl'!$C$132</f>
        <v>-6459599.2149845017</v>
      </c>
      <c r="G209" s="8"/>
      <c r="H209" s="7">
        <f>'Bütçe aylık-TL'!$D$133</f>
        <v>31919608.50146994</v>
      </c>
      <c r="I209" s="7">
        <f>'gerç aylık-tl'!$D$132</f>
        <v>-4566328.570914194</v>
      </c>
      <c r="J209" s="8"/>
      <c r="K209" s="7">
        <f>'Bütçe aylık-TL'!$E$133</f>
        <v>-16161123.21988255</v>
      </c>
      <c r="L209" s="7">
        <f>'gerç aylık-tl'!$E$132</f>
        <v>-24045700.501529623</v>
      </c>
      <c r="M209" s="8"/>
      <c r="N209" s="7">
        <f>'Bütçe aylık-TL'!$F$133</f>
        <v>-12647463.823441723</v>
      </c>
      <c r="O209" s="7">
        <f>'gerç aylık-tl'!$F$132</f>
        <v>-18924785.535569798</v>
      </c>
      <c r="P209" s="8"/>
      <c r="Q209" s="7">
        <f>'Bütçe aylık-TL'!$G$133</f>
        <v>28181040.482222166</v>
      </c>
      <c r="R209" s="7">
        <f>'gerç aylık-tl'!$G$132</f>
        <v>-6851024.5548815066</v>
      </c>
      <c r="S209" s="8"/>
      <c r="T209" s="7">
        <f>'Bütçe aylık-TL'!$H$133</f>
        <v>-12143019.828423798</v>
      </c>
      <c r="U209" s="7">
        <f>'gerç aylık-tl'!$H$132</f>
        <v>18760849.479096521</v>
      </c>
      <c r="V209" s="8"/>
      <c r="W209" s="7">
        <f>'Bütçe aylık-TL'!$I$133</f>
        <v>-5008905.773566124</v>
      </c>
      <c r="X209" s="7">
        <f>'gerç aylık-tl'!$I$132</f>
        <v>6832504.5867887791</v>
      </c>
      <c r="Y209" s="8"/>
      <c r="Z209" s="7">
        <f>'Bütçe aylık-TL'!$J$133</f>
        <v>21329498.279508844</v>
      </c>
      <c r="AA209" s="7">
        <f>'gerç aylık-tl'!$J$132</f>
        <v>8748792.3973694984</v>
      </c>
      <c r="AB209" s="8"/>
      <c r="AC209" s="7">
        <f>'Bütçe aylık-TL'!$K$133</f>
        <v>-14081587.932864856</v>
      </c>
      <c r="AD209" s="7">
        <f>'gerç aylık-tl'!$K$132</f>
        <v>0</v>
      </c>
      <c r="AE209" s="8"/>
      <c r="AF209" s="7">
        <f>'Bütçe aylık-TL'!$L$133</f>
        <v>-10998749.69398446</v>
      </c>
      <c r="AG209" s="7">
        <f>'gerç aylık-tl'!$L$132</f>
        <v>0</v>
      </c>
      <c r="AH209" s="8"/>
      <c r="AI209" s="7">
        <f>'Bütçe aylık-TL'!$M$133</f>
        <v>19318819.154241793</v>
      </c>
      <c r="AJ209" s="7">
        <f>'gerç aylık-tl'!$M$132</f>
        <v>0</v>
      </c>
      <c r="AK209" s="8"/>
      <c r="AL209" s="21">
        <f t="shared" si="109"/>
        <v>-12580705.882139346</v>
      </c>
      <c r="AM209" s="22">
        <f t="shared" si="110"/>
        <v>-0.58982662026446142</v>
      </c>
      <c r="AO209" s="44">
        <f t="shared" si="111"/>
        <v>21329498.279508844</v>
      </c>
      <c r="AP209" s="44">
        <f t="shared" si="112"/>
        <v>8748792.3973694984</v>
      </c>
    </row>
    <row r="210" spans="1:42" s="1" customFormat="1" ht="15.5">
      <c r="A210" s="26"/>
      <c r="B210" s="7"/>
      <c r="C210" s="8"/>
      <c r="D210" s="8"/>
      <c r="E210" s="7"/>
      <c r="F210" s="8"/>
      <c r="G210" s="8"/>
      <c r="H210" s="7"/>
      <c r="I210" s="8"/>
      <c r="J210" s="8"/>
      <c r="K210" s="7"/>
      <c r="L210" s="8"/>
      <c r="M210" s="8"/>
      <c r="N210" s="7"/>
      <c r="O210" s="8"/>
      <c r="P210" s="8"/>
      <c r="Q210" s="7"/>
      <c r="R210" s="8"/>
      <c r="S210" s="8"/>
      <c r="T210" s="7"/>
      <c r="U210" s="8"/>
      <c r="V210" s="8"/>
      <c r="W210" s="7"/>
      <c r="X210" s="8"/>
      <c r="Y210" s="8"/>
      <c r="Z210" s="7"/>
      <c r="AA210" s="8"/>
      <c r="AB210" s="8"/>
      <c r="AC210" s="7"/>
      <c r="AD210" s="8"/>
      <c r="AE210" s="8"/>
      <c r="AF210" s="7"/>
      <c r="AG210" s="8"/>
      <c r="AH210" s="8"/>
      <c r="AI210" s="7"/>
      <c r="AJ210" s="8"/>
      <c r="AK210" s="8"/>
      <c r="AL210" s="15"/>
      <c r="AM210" s="16"/>
      <c r="AO210" s="44"/>
      <c r="AP210" s="44"/>
    </row>
    <row r="211" spans="1:42" s="1" customFormat="1" ht="15.5">
      <c r="A211" s="26"/>
      <c r="B211" s="7"/>
      <c r="C211" s="8"/>
      <c r="D211" s="8"/>
      <c r="E211" s="7"/>
      <c r="F211" s="8"/>
      <c r="G211" s="8"/>
      <c r="H211" s="7"/>
      <c r="I211" s="8"/>
      <c r="J211" s="8"/>
      <c r="K211" s="7"/>
      <c r="L211" s="8"/>
      <c r="M211" s="8"/>
      <c r="N211" s="7"/>
      <c r="O211" s="8"/>
      <c r="P211" s="8"/>
      <c r="Q211" s="7"/>
      <c r="R211" s="8"/>
      <c r="S211" s="8"/>
      <c r="T211" s="7"/>
      <c r="U211" s="8"/>
      <c r="V211" s="8"/>
      <c r="W211" s="7"/>
      <c r="X211" s="8"/>
      <c r="Y211" s="8"/>
      <c r="Z211" s="7"/>
      <c r="AA211" s="8"/>
      <c r="AB211" s="8"/>
      <c r="AC211" s="7"/>
      <c r="AD211" s="8"/>
      <c r="AE211" s="8"/>
      <c r="AF211" s="7"/>
      <c r="AG211" s="8"/>
      <c r="AH211" s="8"/>
      <c r="AI211" s="7"/>
      <c r="AJ211" s="8"/>
      <c r="AK211" s="8"/>
      <c r="AL211" s="15"/>
      <c r="AM211" s="16"/>
      <c r="AO211" s="44"/>
      <c r="AP211" s="44"/>
    </row>
    <row r="212" spans="1:42" s="44" customFormat="1" ht="15.5">
      <c r="A212" s="31" t="s">
        <v>5</v>
      </c>
      <c r="B212" s="32">
        <f>'Bütçe aylık-TL'!$B$136</f>
        <v>56225266.647741072</v>
      </c>
      <c r="C212" s="32">
        <f>'gerç aylık-tl'!$B$135</f>
        <v>26901627.792890068</v>
      </c>
      <c r="D212" s="18"/>
      <c r="E212" s="32">
        <f>'Bütçe aylık-TL'!$C$136</f>
        <v>49667232.177618518</v>
      </c>
      <c r="F212" s="32">
        <f>'gerç aylık-tl'!$C$135</f>
        <v>20622078.70586827</v>
      </c>
      <c r="G212" s="18"/>
      <c r="H212" s="32">
        <f>'Bütçe aylık-TL'!$D$136</f>
        <v>87996651.484105945</v>
      </c>
      <c r="I212" s="32">
        <f>'gerç aylık-tl'!$D$135</f>
        <v>16795071.199654564</v>
      </c>
      <c r="J212" s="18"/>
      <c r="K212" s="32">
        <f>'Bütçe aylık-TL'!$E$136</f>
        <v>31050318.958436992</v>
      </c>
      <c r="L212" s="32">
        <f>'gerç aylık-tl'!$E$135</f>
        <v>-28735910.810987707</v>
      </c>
      <c r="M212" s="18"/>
      <c r="N212" s="32">
        <f>'Bütçe aylık-TL'!$F$136</f>
        <v>81970950.288010687</v>
      </c>
      <c r="O212" s="32">
        <f>'gerç aylık-tl'!$F$135</f>
        <v>33173630.237311244</v>
      </c>
      <c r="P212" s="18"/>
      <c r="Q212" s="32">
        <f>'Bütçe aylık-TL'!$G$136</f>
        <v>89763631.470441714</v>
      </c>
      <c r="R212" s="32">
        <f>'gerç aylık-tl'!$G$135</f>
        <v>-17863791.192253001</v>
      </c>
      <c r="S212" s="18"/>
      <c r="T212" s="32">
        <f>'Bütçe aylık-TL'!$H$136</f>
        <v>76330822.685940593</v>
      </c>
      <c r="U212" s="32">
        <f>'gerç aylık-tl'!$H$135</f>
        <v>50713696.387698814</v>
      </c>
      <c r="V212" s="18"/>
      <c r="W212" s="32">
        <f>'Bütçe aylık-TL'!$I$136</f>
        <v>30307352.508499846</v>
      </c>
      <c r="X212" s="32">
        <f>'gerç aylık-tl'!$I$135</f>
        <v>-1160903.296788607</v>
      </c>
      <c r="Y212" s="18"/>
      <c r="Z212" s="32">
        <f>'Bütçe aylık-TL'!$J$136</f>
        <v>157998490.32519579</v>
      </c>
      <c r="AA212" s="32">
        <f>'gerç aylık-tl'!$J$135</f>
        <v>121425782.96522285</v>
      </c>
      <c r="AB212" s="18"/>
      <c r="AC212" s="32">
        <f>'Bütçe aylık-TL'!$K$136</f>
        <v>129335402.93645555</v>
      </c>
      <c r="AD212" s="32">
        <f>'gerç aylık-tl'!$K$135</f>
        <v>0</v>
      </c>
      <c r="AE212" s="18"/>
      <c r="AF212" s="32">
        <f>'Bütçe aylık-TL'!$L$136</f>
        <v>131276000.00015976</v>
      </c>
      <c r="AG212" s="32">
        <f>'gerç aylık-tl'!$L$135</f>
        <v>0</v>
      </c>
      <c r="AH212" s="18"/>
      <c r="AI212" s="32">
        <f>'Bütçe aylık-TL'!$M$136</f>
        <v>41401597.738116823</v>
      </c>
      <c r="AJ212" s="32">
        <f>'gerç aylık-tl'!$M$135</f>
        <v>0</v>
      </c>
      <c r="AK212" s="18"/>
      <c r="AL212" s="33">
        <f>AP212-AO212</f>
        <v>-36572707.359972939</v>
      </c>
      <c r="AM212" s="34">
        <f>AP212/AO212-1</f>
        <v>-0.23147504311400846</v>
      </c>
      <c r="AO212" s="44">
        <f>IF($A$1=$B$1,B212,IF($A$1=$E$1,E212,IF($A$1=$H$1,H212,IF($A$1=$K$1,K212,IF($A$1=$N$1,N212,IF($A$1=$Q$1,Q212,IF($A$1=$T$1,T212,IF($A$1=$W$1,W212,IF($A$1=$Z$1,Z212,IF($A$1=$AC$1,AC212,IF($A$1=$AF$1,AF212,IF($A$1=$AI$1,AI212))))))))))))</f>
        <v>157998490.32519579</v>
      </c>
      <c r="AP212" s="44">
        <f>IF($A$1=$B$1,C212,IF($A$1=$E$1,F212,IF($A$1=$H$1,I212,IF($A$1=$K$1,L212,IF($A$1=$N$1,O212,IF($A$1=$Q$1,R212,IF($A$1=$T$1,U212,IF($A$1=$W$1,X212,IF($A$1=$Z$1,AA212,IF($A$1=$AC$1,AD212,IF($A$1=$AF$1,AG212,IF($A$1=$AI$1,AJ212))))))))))))</f>
        <v>121425782.96522285</v>
      </c>
    </row>
    <row r="213" spans="1:42" s="13" customFormat="1" ht="15.5">
      <c r="A213" s="27"/>
      <c r="B213" s="30"/>
      <c r="C213" s="30" t="str">
        <f>IFERROR((C170/#REF!),"")</f>
        <v/>
      </c>
      <c r="D213" s="41"/>
      <c r="E213" s="30"/>
      <c r="F213" s="30" t="str">
        <f>IFERROR((F170/#REF!),"")</f>
        <v/>
      </c>
      <c r="G213" s="41"/>
      <c r="H213" s="30"/>
      <c r="I213" s="30" t="str">
        <f>IFERROR((I170/#REF!),"")</f>
        <v/>
      </c>
      <c r="J213" s="41"/>
      <c r="K213" s="30"/>
      <c r="L213" s="30" t="str">
        <f>IFERROR((L170/#REF!),"")</f>
        <v/>
      </c>
      <c r="M213" s="41"/>
      <c r="N213" s="30"/>
      <c r="O213" s="30" t="str">
        <f>IFERROR((O170/#REF!),"")</f>
        <v/>
      </c>
      <c r="P213" s="41"/>
      <c r="Q213" s="30"/>
      <c r="R213" s="30" t="str">
        <f>IFERROR((R170/#REF!),"")</f>
        <v/>
      </c>
      <c r="S213" s="41"/>
      <c r="T213" s="30"/>
      <c r="U213" s="30" t="str">
        <f>IFERROR((U170/#REF!),"")</f>
        <v/>
      </c>
      <c r="V213" s="41"/>
      <c r="W213" s="30"/>
      <c r="X213" s="30" t="str">
        <f>IFERROR((X170/#REF!),"")</f>
        <v/>
      </c>
      <c r="Y213" s="41"/>
      <c r="Z213" s="30"/>
      <c r="AA213" s="30" t="str">
        <f>IFERROR((AA170/#REF!),"")</f>
        <v/>
      </c>
      <c r="AB213" s="41"/>
      <c r="AC213" s="30"/>
      <c r="AD213" s="30" t="str">
        <f>IFERROR((AD170/#REF!),"")</f>
        <v/>
      </c>
      <c r="AE213" s="41"/>
      <c r="AF213" s="30"/>
      <c r="AG213" s="30" t="str">
        <f>IFERROR((AG170/#REF!),"")</f>
        <v/>
      </c>
      <c r="AH213" s="41"/>
      <c r="AI213" s="30"/>
      <c r="AJ213" s="30" t="str">
        <f>IFERROR((AJ170/#REF!),"")</f>
        <v/>
      </c>
      <c r="AK213" s="41"/>
      <c r="AL213" s="15"/>
      <c r="AM213" s="22"/>
      <c r="AO213" s="44">
        <f>IF($A$1=$B$1,B213,IF($A$1=$E$1,E213,IF($A$1=$H$1,H213,IF($A$1=$K$1,K213,IF($A$1=$N$1,N213,IF($A$1=$Q$1,Q213,IF($A$1=$T$1,T213,IF($A$1=$W$1,W213,IF($A$1=$Z$1,Z213,IF($A$1=$AC$1,AC213,IF($A$1=$AF$1,AF213,IF($A$1=$AI$1,AI213))))))))))))</f>
        <v>0</v>
      </c>
      <c r="AP213" s="44" t="str">
        <f>IF($A$1=$B$1,C213,IF($A$1=$E$1,F213,IF($A$1=$H$1,I213,IF($A$1=$K$1,L213,IF($A$1=$N$1,O213,IF($A$1=$Q$1,R213,IF($A$1=$T$1,U213,IF($A$1=$W$1,X213,IF($A$1=$Z$1,AA213,IF($A$1=$AC$1,AD213,IF($A$1=$AF$1,AG213,IF($A$1=$AI$1,AJ213))))))))))))</f>
        <v/>
      </c>
    </row>
    <row r="214" spans="1:42" s="49" customFormat="1" ht="17">
      <c r="A214" s="47" t="s">
        <v>83</v>
      </c>
      <c r="B214" s="413"/>
      <c r="C214" s="413"/>
      <c r="D214" s="413"/>
      <c r="E214" s="413"/>
      <c r="F214" s="413"/>
      <c r="G214" s="413"/>
      <c r="H214" s="413"/>
      <c r="I214" s="413"/>
      <c r="J214" s="413"/>
      <c r="K214" s="413"/>
      <c r="L214" s="413"/>
      <c r="M214" s="413"/>
      <c r="N214" s="413"/>
      <c r="O214" s="413"/>
      <c r="P214" s="413"/>
      <c r="Q214" s="413"/>
      <c r="R214" s="413"/>
      <c r="S214" s="413"/>
      <c r="T214" s="413"/>
      <c r="U214" s="413"/>
      <c r="V214" s="413"/>
      <c r="W214" s="413"/>
      <c r="X214" s="413"/>
      <c r="Y214" s="413"/>
      <c r="Z214" s="413"/>
      <c r="AA214" s="413"/>
      <c r="AB214" s="413"/>
      <c r="AC214" s="413"/>
      <c r="AD214" s="413"/>
      <c r="AE214" s="413"/>
      <c r="AF214" s="413"/>
      <c r="AG214" s="413"/>
      <c r="AH214" s="413"/>
      <c r="AI214" s="413"/>
      <c r="AJ214" s="413"/>
      <c r="AK214" s="413"/>
      <c r="AL214" s="413"/>
      <c r="AM214" s="48"/>
    </row>
    <row r="215" spans="1:42" ht="15.5">
      <c r="A215" s="26" t="s">
        <v>10</v>
      </c>
      <c r="B215" s="7">
        <f>'Bütçe aylık-TL'!$B$137</f>
        <v>9631056.0246859994</v>
      </c>
      <c r="C215" s="7">
        <f>'gerç aylık-tl'!$B$136</f>
        <v>5020196.58</v>
      </c>
      <c r="D215" s="7"/>
      <c r="E215" s="7">
        <f>'Bütçe aylık-TL'!$C$137</f>
        <v>8158156.4140529996</v>
      </c>
      <c r="F215" s="7">
        <f>'gerç aylık-tl'!$C$136</f>
        <v>12982889.497500001</v>
      </c>
      <c r="G215" s="7"/>
      <c r="H215" s="7">
        <f>'Bütçe aylık-TL'!$D$137</f>
        <v>7978133.2801159993</v>
      </c>
      <c r="I215" s="7">
        <f>'gerç aylık-tl'!$D$136</f>
        <v>24695607.3825</v>
      </c>
      <c r="J215" s="7"/>
      <c r="K215" s="7">
        <f>'Bütçe aylık-TL'!$E$137</f>
        <v>8318712.6716339998</v>
      </c>
      <c r="L215" s="7">
        <f>'gerç aylık-tl'!$E$136</f>
        <v>16087626.135</v>
      </c>
      <c r="M215" s="7"/>
      <c r="N215" s="7">
        <f>'Bütçe aylık-TL'!$F$137</f>
        <v>8961946.1297079995</v>
      </c>
      <c r="O215" s="7">
        <f>'gerç aylık-tl'!$F$136</f>
        <v>10265708.647500999</v>
      </c>
      <c r="P215" s="7"/>
      <c r="Q215" s="7">
        <f>'Bütçe aylık-TL'!$G$137</f>
        <v>9840985.6342369989</v>
      </c>
      <c r="R215" s="7">
        <f>'gerç aylık-tl'!$G$136</f>
        <v>8205635.4599989997</v>
      </c>
      <c r="S215" s="7"/>
      <c r="T215" s="7">
        <f>'Bütçe aylık-TL'!$H$137</f>
        <v>10411837.201574</v>
      </c>
      <c r="U215" s="7">
        <f>'gerç aylık-tl'!$H$136</f>
        <v>8214452.6325000077</v>
      </c>
      <c r="V215" s="7"/>
      <c r="W215" s="7">
        <f>'Bütçe aylık-TL'!$I$137</f>
        <v>8438238.1554639991</v>
      </c>
      <c r="X215" s="7">
        <f>'gerç aylık-tl'!$I$136</f>
        <v>10339299.967499999</v>
      </c>
      <c r="Y215" s="7"/>
      <c r="Z215" s="7">
        <f>'Bütçe aylık-TL'!$J$137</f>
        <v>14299471.702289</v>
      </c>
      <c r="AA215" s="7">
        <f>'gerç aylık-tl'!$J$136</f>
        <v>18331025.677501</v>
      </c>
      <c r="AB215" s="7"/>
      <c r="AC215" s="7">
        <f>'Bütçe aylık-TL'!$K$137</f>
        <v>12965396.400721001</v>
      </c>
      <c r="AD215" s="7">
        <f>'gerç aylık-tl'!$K$136</f>
        <v>0</v>
      </c>
      <c r="AE215" s="7"/>
      <c r="AF215" s="7">
        <f>'Bütçe aylık-TL'!$L$137</f>
        <v>11753090.479401991</v>
      </c>
      <c r="AG215" s="7">
        <f>'gerç aylık-tl'!$L$136</f>
        <v>0</v>
      </c>
      <c r="AH215" s="7"/>
      <c r="AI215" s="7">
        <f>'Bütçe aylık-TL'!$M$137</f>
        <v>-6588279.3453420028</v>
      </c>
      <c r="AJ215" s="7">
        <f>'gerç aylık-tl'!$M$136</f>
        <v>0</v>
      </c>
      <c r="AK215" s="7"/>
      <c r="AL215" s="21">
        <f t="shared" ref="AL215:AL222" si="113">AP215-AO215</f>
        <v>4031553.9752120003</v>
      </c>
      <c r="AM215" s="22">
        <f t="shared" ref="AM215:AM222" si="114">AP215/AO215-1</f>
        <v>0.28193726727447177</v>
      </c>
      <c r="AO215" s="44">
        <f t="shared" ref="AO215:AO222" si="115">IF($A$1=$B$1,B215,IF($A$1=$E$1,E215,IF($A$1=$H$1,H215,IF($A$1=$K$1,K215,IF($A$1=$N$1,N215,IF($A$1=$Q$1,Q215,IF($A$1=$T$1,T215,IF($A$1=$W$1,W215,IF($A$1=$Z$1,Z215,IF($A$1=$AC$1,AC215,IF($A$1=$AF$1,AF215,IF($A$1=$AI$1,AI215))))))))))))</f>
        <v>14299471.702289</v>
      </c>
      <c r="AP215" s="44">
        <f t="shared" ref="AP215:AP222" si="116">IF($A$1=$B$1,C215,IF($A$1=$E$1,F215,IF($A$1=$H$1,I215,IF($A$1=$K$1,L215,IF($A$1=$N$1,O215,IF($A$1=$Q$1,R215,IF($A$1=$T$1,U215,IF($A$1=$W$1,X215,IF($A$1=$Z$1,AA215,IF($A$1=$AC$1,AD215,IF($A$1=$AF$1,AG215,IF($A$1=$AI$1,AJ215))))))))))))</f>
        <v>18331025.677501</v>
      </c>
    </row>
    <row r="216" spans="1:42" ht="15.5">
      <c r="A216" s="26" t="s">
        <v>11</v>
      </c>
      <c r="B216" s="7">
        <f>'Bütçe aylık-TL'!$B$138</f>
        <v>-1096547.827785</v>
      </c>
      <c r="C216" s="7">
        <f>'gerç aylık-tl'!$B$137</f>
        <v>-2546874.544514</v>
      </c>
      <c r="D216" s="7"/>
      <c r="E216" s="7">
        <f>'Bütçe aylık-TL'!$C$138</f>
        <v>2365411.7850850001</v>
      </c>
      <c r="F216" s="7">
        <f>'gerç aylık-tl'!$C$137</f>
        <v>-401547.22724699997</v>
      </c>
      <c r="G216" s="7"/>
      <c r="H216" s="7">
        <f>'Bütçe aylık-TL'!$D$138</f>
        <v>3020679.5303549999</v>
      </c>
      <c r="I216" s="7">
        <f>'gerç aylık-tl'!$D$137</f>
        <v>-2431198.1454340001</v>
      </c>
      <c r="J216" s="7"/>
      <c r="K216" s="7">
        <f>'Bütçe aylık-TL'!$E$138</f>
        <v>5217159.2271220004</v>
      </c>
      <c r="L216" s="7">
        <f>'gerç aylık-tl'!$E$137</f>
        <v>3375001.4881449998</v>
      </c>
      <c r="M216" s="7"/>
      <c r="N216" s="7">
        <f>'Bütçe aylık-TL'!$F$138</f>
        <v>6654257.2145649996</v>
      </c>
      <c r="O216" s="7">
        <f>'gerç aylık-tl'!$F$137</f>
        <v>-4926776.2143649999</v>
      </c>
      <c r="P216" s="7"/>
      <c r="Q216" s="7">
        <f>'Bütçe aylık-TL'!$G$138</f>
        <v>6149014.4471349996</v>
      </c>
      <c r="R216" s="7">
        <f>'gerç aylık-tl'!$G$137</f>
        <v>-17991034.582656</v>
      </c>
      <c r="S216" s="7"/>
      <c r="T216" s="7">
        <f>'Bütçe aylık-TL'!$H$138</f>
        <v>4731706.4934050003</v>
      </c>
      <c r="U216" s="7">
        <f>'gerç aylık-tl'!$H$137</f>
        <v>-2364234.330972</v>
      </c>
      <c r="V216" s="7"/>
      <c r="W216" s="7">
        <f>'Bütçe aylık-TL'!$I$138</f>
        <v>983198.44283499999</v>
      </c>
      <c r="X216" s="7">
        <f>'gerç aylık-tl'!$I$137</f>
        <v>-8842797.6348819993</v>
      </c>
      <c r="Y216" s="7"/>
      <c r="Z216" s="7">
        <f>'Bütçe aylık-TL'!$J$138</f>
        <v>2001634.216459</v>
      </c>
      <c r="AA216" s="7">
        <f>'gerç aylık-tl'!$J$137</f>
        <v>-9907341.7657859996</v>
      </c>
      <c r="AB216" s="7"/>
      <c r="AC216" s="7">
        <f>'Bütçe aylık-TL'!$K$138</f>
        <v>546980.78162999998</v>
      </c>
      <c r="AD216" s="7">
        <f>'gerç aylık-tl'!$K$137</f>
        <v>0</v>
      </c>
      <c r="AE216" s="7"/>
      <c r="AF216" s="7">
        <f>'Bütçe aylık-TL'!$L$138</f>
        <v>-424477.35522199998</v>
      </c>
      <c r="AG216" s="7">
        <f>'gerç aylık-tl'!$L$137</f>
        <v>0</v>
      </c>
      <c r="AH216" s="7"/>
      <c r="AI216" s="7">
        <f>'Bütçe aylık-TL'!$M$138</f>
        <v>-1832554.343287</v>
      </c>
      <c r="AJ216" s="7">
        <f>'gerç aylık-tl'!$M$137</f>
        <v>0</v>
      </c>
      <c r="AK216" s="7"/>
      <c r="AL216" s="21">
        <f t="shared" si="113"/>
        <v>-11908975.982245</v>
      </c>
      <c r="AM216" s="22">
        <f t="shared" si="114"/>
        <v>-5.9496265023449828</v>
      </c>
      <c r="AO216" s="44">
        <f t="shared" si="115"/>
        <v>2001634.216459</v>
      </c>
      <c r="AP216" s="44">
        <f t="shared" si="116"/>
        <v>-9907341.7657859996</v>
      </c>
    </row>
    <row r="217" spans="1:42" ht="15.5">
      <c r="A217" s="26" t="s">
        <v>12</v>
      </c>
      <c r="B217" s="7">
        <f>'Bütçe aylık-TL'!$B$139</f>
        <v>-3476655.1079119998</v>
      </c>
      <c r="C217" s="7">
        <f>'gerç aylık-tl'!$B$138</f>
        <v>44197.31</v>
      </c>
      <c r="D217" s="7"/>
      <c r="E217" s="7">
        <f>'Bütçe aylık-TL'!$C$139</f>
        <v>-2016947.891696</v>
      </c>
      <c r="F217" s="7">
        <f>'gerç aylık-tl'!$C$138</f>
        <v>79826.75</v>
      </c>
      <c r="G217" s="7"/>
      <c r="H217" s="7">
        <f>'Bütçe aylık-TL'!$D$139</f>
        <v>68837.286223000003</v>
      </c>
      <c r="I217" s="7">
        <f>'gerç aylık-tl'!$D$138</f>
        <v>-1140211.45</v>
      </c>
      <c r="J217" s="7"/>
      <c r="K217" s="7">
        <f>'Bütçe aylık-TL'!$E$139</f>
        <v>-113500.896194</v>
      </c>
      <c r="L217" s="7">
        <f>'gerç aylık-tl'!$E$138</f>
        <v>-699931.95</v>
      </c>
      <c r="M217" s="7"/>
      <c r="N217" s="7">
        <f>'Bütçe aylık-TL'!$F$139</f>
        <v>1723750.434106</v>
      </c>
      <c r="O217" s="7">
        <f>'gerç aylık-tl'!$F$138</f>
        <v>457732.49</v>
      </c>
      <c r="P217" s="7"/>
      <c r="Q217" s="7">
        <f>'Bütçe aylık-TL'!$G$139</f>
        <v>1741369.5974409999</v>
      </c>
      <c r="R217" s="7">
        <f>'gerç aylık-tl'!$G$138</f>
        <v>-1329786</v>
      </c>
      <c r="S217" s="7"/>
      <c r="T217" s="7">
        <f>'Bütçe aylık-TL'!$H$139</f>
        <v>2532156.1147560002</v>
      </c>
      <c r="U217" s="7">
        <f>'gerç aylık-tl'!$H$138</f>
        <v>-1710368.0338640001</v>
      </c>
      <c r="V217" s="7"/>
      <c r="W217" s="7">
        <f>'Bütçe aylık-TL'!$I$139</f>
        <v>1636048.3703660001</v>
      </c>
      <c r="X217" s="7">
        <f>'gerç aylık-tl'!$I$138</f>
        <v>-1363526.562623</v>
      </c>
      <c r="Y217" s="7"/>
      <c r="Z217" s="7">
        <f>'Bütçe aylık-TL'!$J$139</f>
        <v>1062638.0047909999</v>
      </c>
      <c r="AA217" s="7">
        <f>'gerç aylık-tl'!$J$138</f>
        <v>1313956.4757290001</v>
      </c>
      <c r="AB217" s="7"/>
      <c r="AC217" s="7">
        <f>'Bütçe aylık-TL'!$K$139</f>
        <v>1752403.335896</v>
      </c>
      <c r="AD217" s="7">
        <f>'gerç aylık-tl'!$K$138</f>
        <v>0</v>
      </c>
      <c r="AE217" s="7"/>
      <c r="AF217" s="7">
        <f>'Bütçe aylık-TL'!$L$139</f>
        <v>2413204.8674169998</v>
      </c>
      <c r="AG217" s="7">
        <f>'gerç aylık-tl'!$L$138</f>
        <v>0</v>
      </c>
      <c r="AH217" s="7"/>
      <c r="AI217" s="7">
        <f>'Bütçe aylık-TL'!$M$139</f>
        <v>107025.30078799999</v>
      </c>
      <c r="AJ217" s="7">
        <f>'gerç aylık-tl'!$M$138</f>
        <v>0</v>
      </c>
      <c r="AK217" s="7"/>
      <c r="AL217" s="21">
        <f t="shared" si="113"/>
        <v>251318.47093800013</v>
      </c>
      <c r="AM217" s="22">
        <f t="shared" si="114"/>
        <v>0.23650431266800931</v>
      </c>
      <c r="AO217" s="44">
        <f t="shared" si="115"/>
        <v>1062638.0047909999</v>
      </c>
      <c r="AP217" s="44">
        <f t="shared" si="116"/>
        <v>1313956.4757290001</v>
      </c>
    </row>
    <row r="218" spans="1:42" ht="15.5">
      <c r="A218" s="26" t="s">
        <v>13</v>
      </c>
      <c r="B218" s="7">
        <f>'Bütçe aylık-TL'!$B$140</f>
        <v>-19572019.619374</v>
      </c>
      <c r="C218" s="7">
        <f>'gerç aylık-tl'!$B$139</f>
        <v>-59473752.741926</v>
      </c>
      <c r="D218" s="7"/>
      <c r="E218" s="7">
        <f>'Bütçe aylık-TL'!$C$140</f>
        <v>-42864840.388912991</v>
      </c>
      <c r="F218" s="7">
        <f>'gerç aylık-tl'!$C$139</f>
        <v>-67352195.204800993</v>
      </c>
      <c r="G218" s="7"/>
      <c r="H218" s="7">
        <f>'Bütçe aylık-TL'!$D$140</f>
        <v>-36454193.611250997</v>
      </c>
      <c r="I218" s="7">
        <f>'gerç aylık-tl'!$D$139</f>
        <v>-167999116.75083601</v>
      </c>
      <c r="J218" s="7"/>
      <c r="K218" s="7">
        <f>'Bütçe aylık-TL'!$E$140</f>
        <v>-57728519.863706008</v>
      </c>
      <c r="L218" s="7">
        <f>'gerç aylık-tl'!$E$139</f>
        <v>-207019120.327178</v>
      </c>
      <c r="M218" s="7"/>
      <c r="N218" s="7">
        <f>'Bütçe aylık-TL'!$F$140</f>
        <v>-17953675.892662998</v>
      </c>
      <c r="O218" s="7">
        <f>'gerç aylık-tl'!$F$139</f>
        <v>-128699715.509693</v>
      </c>
      <c r="P218" s="7"/>
      <c r="Q218" s="7">
        <f>'Bütçe aylık-TL'!$G$140</f>
        <v>-1551099.4815979998</v>
      </c>
      <c r="R218" s="7">
        <f>'gerç aylık-tl'!$G$139</f>
        <v>-138951546.30725601</v>
      </c>
      <c r="S218" s="7"/>
      <c r="T218" s="7">
        <f>'Bütçe aylık-TL'!$H$140</f>
        <v>-6605257.752553001</v>
      </c>
      <c r="U218" s="7">
        <f>'gerç aylık-tl'!$H$139</f>
        <v>-154785720.39531699</v>
      </c>
      <c r="V218" s="7"/>
      <c r="W218" s="7">
        <f>'Bütçe aylık-TL'!$I$140</f>
        <v>-706665.498012</v>
      </c>
      <c r="X218" s="7">
        <f>'gerç aylık-tl'!$I$139</f>
        <v>-91817329.554014996</v>
      </c>
      <c r="Y218" s="7"/>
      <c r="Z218" s="7">
        <f>'Bütçe aylık-TL'!$J$140</f>
        <v>17567039.377386998</v>
      </c>
      <c r="AA218" s="7">
        <f>'gerç aylık-tl'!$J$139</f>
        <v>-119530679.129558</v>
      </c>
      <c r="AB218" s="7"/>
      <c r="AC218" s="7">
        <f>'Bütçe aylık-TL'!$K$140</f>
        <v>54191752.868882008</v>
      </c>
      <c r="AD218" s="7">
        <f>'gerç aylık-tl'!$K$139</f>
        <v>0</v>
      </c>
      <c r="AE218" s="7"/>
      <c r="AF218" s="7">
        <f>'Bütçe aylık-TL'!$L$140</f>
        <v>64579087.066494003</v>
      </c>
      <c r="AG218" s="7">
        <f>'gerç aylık-tl'!$L$139</f>
        <v>0</v>
      </c>
      <c r="AH218" s="7"/>
      <c r="AI218" s="7">
        <f>'Bütçe aylık-TL'!$M$140</f>
        <v>95273661.125167996</v>
      </c>
      <c r="AJ218" s="7">
        <f>'gerç aylık-tl'!$M$139</f>
        <v>0</v>
      </c>
      <c r="AK218" s="7"/>
      <c r="AL218" s="21">
        <f t="shared" si="113"/>
        <v>-137097718.50694498</v>
      </c>
      <c r="AM218" s="22">
        <f t="shared" si="114"/>
        <v>-7.8042586210299447</v>
      </c>
      <c r="AO218" s="44">
        <f t="shared" si="115"/>
        <v>17567039.377386998</v>
      </c>
      <c r="AP218" s="44">
        <f t="shared" si="116"/>
        <v>-119530679.129558</v>
      </c>
    </row>
    <row r="219" spans="1:42" s="1" customFormat="1" ht="15.5">
      <c r="A219" s="26" t="s">
        <v>14</v>
      </c>
      <c r="B219" s="7">
        <f>'Bütçe aylık-TL'!$B$141</f>
        <v>8522990</v>
      </c>
      <c r="C219" s="7">
        <f>'gerç aylık-tl'!$B$140</f>
        <v>9264056.790368</v>
      </c>
      <c r="D219" s="8"/>
      <c r="E219" s="7">
        <f>'Bütçe aylık-TL'!$C$141</f>
        <v>9986974.5295010004</v>
      </c>
      <c r="F219" s="7">
        <f>'gerç aylık-tl'!$C$140</f>
        <v>8320403.2385340007</v>
      </c>
      <c r="G219" s="8"/>
      <c r="H219" s="7">
        <f>'Bütçe aylık-TL'!$D$141</f>
        <v>9337560</v>
      </c>
      <c r="I219" s="7">
        <f>'gerç aylık-tl'!$D$140</f>
        <v>20412722.278698999</v>
      </c>
      <c r="J219" s="8"/>
      <c r="K219" s="7">
        <f>'Bütçe aylık-TL'!$E$141</f>
        <v>-6986555.0844462272</v>
      </c>
      <c r="L219" s="7">
        <f>'gerç aylık-tl'!$E$140</f>
        <v>-3658784.9422809999</v>
      </c>
      <c r="M219" s="8"/>
      <c r="N219" s="7">
        <f>'Bütçe aylık-TL'!$F$141</f>
        <v>-519289.47468270361</v>
      </c>
      <c r="O219" s="7">
        <f>'gerç aylık-tl'!$F$140</f>
        <v>47453.113510999996</v>
      </c>
      <c r="P219" s="8"/>
      <c r="Q219" s="7">
        <f>'Bütçe aylık-TL'!$G$141</f>
        <v>-2728255.4419778273</v>
      </c>
      <c r="R219" s="7">
        <f>'gerç aylık-tl'!$G$140</f>
        <v>-4178844.3445879999</v>
      </c>
      <c r="S219" s="8"/>
      <c r="T219" s="7">
        <f>'Bütçe aylık-TL'!$H$141</f>
        <v>2229694.2953346735</v>
      </c>
      <c r="U219" s="7">
        <f>'gerç aylık-tl'!$H$140</f>
        <v>5286718.7148900004</v>
      </c>
      <c r="V219" s="8"/>
      <c r="W219" s="7">
        <f>'Bütçe aylık-TL'!$I$141</f>
        <v>3868036.0899631847</v>
      </c>
      <c r="X219" s="7">
        <f>'gerç aylık-tl'!$I$140</f>
        <v>3342081.9953040001</v>
      </c>
      <c r="Y219" s="8"/>
      <c r="Z219" s="7">
        <f>'Bütçe aylık-TL'!$J$141</f>
        <v>3442061.4406335065</v>
      </c>
      <c r="AA219" s="7">
        <f>'gerç aylık-tl'!$J$140</f>
        <v>12902127.870725002</v>
      </c>
      <c r="AB219" s="8"/>
      <c r="AC219" s="7">
        <f>'Bütçe aylık-TL'!$K$141</f>
        <v>9462507.7791332323</v>
      </c>
      <c r="AD219" s="7">
        <f>'gerç aylık-tl'!$K$140</f>
        <v>0</v>
      </c>
      <c r="AE219" s="8"/>
      <c r="AF219" s="7">
        <f>'Bütçe aylık-TL'!$L$141</f>
        <v>6056168.3017755393</v>
      </c>
      <c r="AG219" s="7">
        <f>'gerç aylık-tl'!$L$140</f>
        <v>0</v>
      </c>
      <c r="AH219" s="8"/>
      <c r="AI219" s="7">
        <f>'Bütçe aylık-TL'!$M$141</f>
        <v>2770693.7526894882</v>
      </c>
      <c r="AJ219" s="7">
        <f>'gerç aylık-tl'!$M$140</f>
        <v>0</v>
      </c>
      <c r="AK219" s="8"/>
      <c r="AL219" s="21">
        <f t="shared" si="113"/>
        <v>9460066.4300914966</v>
      </c>
      <c r="AM219" s="22">
        <f t="shared" si="114"/>
        <v>2.7483723324678317</v>
      </c>
      <c r="AO219" s="44">
        <f t="shared" si="115"/>
        <v>3442061.4406335065</v>
      </c>
      <c r="AP219" s="44">
        <f t="shared" si="116"/>
        <v>12902127.870725002</v>
      </c>
    </row>
    <row r="220" spans="1:42" ht="15.5">
      <c r="A220" s="26" t="s">
        <v>15</v>
      </c>
      <c r="B220" s="7">
        <f>'Bütçe aylık-TL'!$B$142</f>
        <v>9558353.801066881</v>
      </c>
      <c r="C220" s="7">
        <f>'gerç aylık-tl'!$B$141</f>
        <v>22466044.699901871</v>
      </c>
      <c r="D220" s="7"/>
      <c r="E220" s="7">
        <f>'Bütçe aylık-TL'!$C$142</f>
        <v>29239590.529745687</v>
      </c>
      <c r="F220" s="7">
        <f>'gerç aylık-tl'!$C$141</f>
        <v>37432065.720175296</v>
      </c>
      <c r="G220" s="7"/>
      <c r="H220" s="7">
        <f>'Bütçe aylık-TL'!$D$142</f>
        <v>66117608.388720579</v>
      </c>
      <c r="I220" s="7">
        <f>'gerç aylık-tl'!$D$141</f>
        <v>38118997.79973872</v>
      </c>
      <c r="J220" s="7"/>
      <c r="K220" s="7">
        <f>'Bütçe aylık-TL'!$E$142</f>
        <v>10053116.810227795</v>
      </c>
      <c r="L220" s="7">
        <f>'gerç aylık-tl'!$E$141</f>
        <v>53436686.638966113</v>
      </c>
      <c r="M220" s="7"/>
      <c r="N220" s="7">
        <f>'Bütçe aylık-TL'!$F$142</f>
        <v>32196211.951318569</v>
      </c>
      <c r="O220" s="7">
        <f>'gerç aylık-tl'!$F$141</f>
        <v>39667612.529798113</v>
      </c>
      <c r="P220" s="7"/>
      <c r="Q220" s="7">
        <f>'Bütçe aylık-TL'!$G$142</f>
        <v>53846208.914584339</v>
      </c>
      <c r="R220" s="7">
        <f>'gerç aylık-tl'!$G$141</f>
        <v>57124605.237703525</v>
      </c>
      <c r="S220" s="7"/>
      <c r="T220" s="7">
        <f>'Bütçe aylık-TL'!$H$142</f>
        <v>12885851.846874604</v>
      </c>
      <c r="U220" s="7">
        <f>'gerç aylık-tl'!$H$141</f>
        <v>59512715.874130204</v>
      </c>
      <c r="V220" s="7"/>
      <c r="W220" s="7">
        <f>'Bütçe aylık-TL'!$I$142</f>
        <v>981405.52552341565</v>
      </c>
      <c r="X220" s="7">
        <f>'gerç aylık-tl'!$I$141</f>
        <v>14002548.507014684</v>
      </c>
      <c r="Y220" s="7"/>
      <c r="Z220" s="7">
        <f>'Bütçe aylık-TL'!$J$142</f>
        <v>89299780.753091276</v>
      </c>
      <c r="AA220" s="7">
        <f>'gerç aylık-tl'!$J$141</f>
        <v>101289664.51863605</v>
      </c>
      <c r="AB220" s="7"/>
      <c r="AC220" s="7">
        <f>'Bütçe aylık-TL'!$K$142</f>
        <v>46476598.164212689</v>
      </c>
      <c r="AD220" s="7">
        <f>'gerç aylık-tl'!$K$141</f>
        <v>0</v>
      </c>
      <c r="AE220" s="7"/>
      <c r="AF220" s="7">
        <f>'Bütçe aylık-TL'!$L$142</f>
        <v>48215948.764735162</v>
      </c>
      <c r="AG220" s="7">
        <f>'gerç aylık-tl'!$L$141</f>
        <v>0</v>
      </c>
      <c r="AH220" s="7"/>
      <c r="AI220" s="7">
        <f>'Bütçe aylık-TL'!$M$142</f>
        <v>44139194.123255663</v>
      </c>
      <c r="AJ220" s="7">
        <f>'gerç aylık-tl'!$M$141</f>
        <v>0</v>
      </c>
      <c r="AK220" s="7"/>
      <c r="AL220" s="21">
        <f t="shared" si="113"/>
        <v>11989883.765544772</v>
      </c>
      <c r="AM220" s="22">
        <f t="shared" si="114"/>
        <v>0.13426554538466462</v>
      </c>
      <c r="AO220" s="44">
        <f t="shared" si="115"/>
        <v>89299780.753091276</v>
      </c>
      <c r="AP220" s="44">
        <f t="shared" si="116"/>
        <v>101289664.51863605</v>
      </c>
    </row>
    <row r="221" spans="1:42" s="1" customFormat="1" ht="15.5">
      <c r="A221" s="26" t="s">
        <v>16</v>
      </c>
      <c r="B221" s="7">
        <f>'Bütçe aylık-TL'!$B$143</f>
        <v>49011642.162854634</v>
      </c>
      <c r="C221" s="7">
        <f>'gerç aylık-tl'!$B$142</f>
        <v>34729347.368461676</v>
      </c>
      <c r="D221" s="8"/>
      <c r="E221" s="7">
        <f>'Bütçe aylık-TL'!$C$143</f>
        <v>37264988.799693152</v>
      </c>
      <c r="F221" s="7">
        <f>'gerç aylık-tl'!$C$142</f>
        <v>30184757.347183228</v>
      </c>
      <c r="G221" s="8"/>
      <c r="H221" s="7">
        <f>'Bütçe aylık-TL'!$D$143</f>
        <v>53777177.45859459</v>
      </c>
      <c r="I221" s="7">
        <f>'gerç aylık-tl'!$D$142</f>
        <v>61044774.816507109</v>
      </c>
      <c r="J221" s="8"/>
      <c r="K221" s="7">
        <f>'Bütçe aylık-TL'!$E$143</f>
        <v>54438812.203081965</v>
      </c>
      <c r="L221" s="7">
        <f>'gerç aylık-tl'!$E$142</f>
        <v>14989616.018600287</v>
      </c>
      <c r="M221" s="8"/>
      <c r="N221" s="7">
        <f>'Bütçe aylık-TL'!$F$143</f>
        <v>61235678.373799883</v>
      </c>
      <c r="O221" s="7">
        <f>'gerç aylık-tl'!$F$142</f>
        <v>64647055.686367452</v>
      </c>
      <c r="P221" s="8"/>
      <c r="Q221" s="7">
        <f>'Bütçe aylık-TL'!$G$143</f>
        <v>42694050.847718872</v>
      </c>
      <c r="R221" s="7">
        <f>'gerç aylık-tl'!$G$142</f>
        <v>10009272.288228484</v>
      </c>
      <c r="S221" s="8"/>
      <c r="T221" s="7">
        <f>'Bütçe aylık-TL'!$H$143</f>
        <v>42257315.315773621</v>
      </c>
      <c r="U221" s="7">
        <f>'gerç aylık-tl'!$H$142</f>
        <v>117247408.1882737</v>
      </c>
      <c r="V221" s="8"/>
      <c r="W221" s="7">
        <f>'Bütçe aylık-TL'!$I$143</f>
        <v>22911394.361075506</v>
      </c>
      <c r="X221" s="7">
        <f>'gerç aylık-tl'!$I$142</f>
        <v>29827070.360229306</v>
      </c>
      <c r="Y221" s="8"/>
      <c r="Z221" s="7">
        <f>'Bütçe aylık-TL'!$J$143</f>
        <v>74605772.821193621</v>
      </c>
      <c r="AA221" s="7">
        <f>'gerç aylık-tl'!$J$142</f>
        <v>124999065.49225204</v>
      </c>
      <c r="AB221" s="8"/>
      <c r="AC221" s="7">
        <f>'Bütçe aylık-TL'!$K$143</f>
        <v>70122003.283782899</v>
      </c>
      <c r="AD221" s="7">
        <f>'gerç aylık-tl'!$K$142</f>
        <v>0</v>
      </c>
      <c r="AE221" s="8"/>
      <c r="AF221" s="7">
        <f>'Bütçe aylık-TL'!$L$143</f>
        <v>66310808.674559191</v>
      </c>
      <c r="AG221" s="7">
        <f>'gerç aylık-tl'!$L$142</f>
        <v>0</v>
      </c>
      <c r="AH221" s="8"/>
      <c r="AI221" s="7">
        <f>'Bütçe aylık-TL'!$M$143</f>
        <v>-120941092.42950213</v>
      </c>
      <c r="AJ221" s="7">
        <f>'gerç aylık-tl'!$M$142</f>
        <v>0</v>
      </c>
      <c r="AK221" s="8"/>
      <c r="AL221" s="21">
        <f t="shared" si="113"/>
        <v>50393292.671058416</v>
      </c>
      <c r="AM221" s="22">
        <f t="shared" si="114"/>
        <v>0.67546103693390003</v>
      </c>
      <c r="AO221" s="44">
        <f t="shared" si="115"/>
        <v>74605772.821193621</v>
      </c>
      <c r="AP221" s="44">
        <f t="shared" si="116"/>
        <v>124999065.49225204</v>
      </c>
    </row>
    <row r="222" spans="1:42" s="1" customFormat="1" ht="15.5">
      <c r="A222" s="26" t="s">
        <v>17</v>
      </c>
      <c r="B222" s="7">
        <f>'Bütçe aylık-TL'!$B$144</f>
        <v>80397567.552332669</v>
      </c>
      <c r="C222" s="7">
        <f>'gerç aylık-tl'!$B$143</f>
        <v>53974575.001704618</v>
      </c>
      <c r="D222" s="8"/>
      <c r="E222" s="7">
        <f>'Bütçe aylık-TL'!$C$144</f>
        <v>69274816.205414429</v>
      </c>
      <c r="F222" s="7">
        <f>'gerç aylık-tl'!$C$143</f>
        <v>11317243.112946639</v>
      </c>
      <c r="G222" s="8"/>
      <c r="H222" s="7">
        <f>'Bütçe aylık-TL'!$D$144</f>
        <v>99544351.232465729</v>
      </c>
      <c r="I222" s="7">
        <f>'gerç aylık-tl'!$D$143</f>
        <v>37599805.387362584</v>
      </c>
      <c r="J222" s="8"/>
      <c r="K222" s="7">
        <f>'Bütçe aylık-TL'!$E$144</f>
        <v>44293015.824529946</v>
      </c>
      <c r="L222" s="7">
        <f>'gerç aylık-tl'!$E$143</f>
        <v>23505086.401560858</v>
      </c>
      <c r="M222" s="8"/>
      <c r="N222" s="7">
        <f>'Bütçe aylık-TL'!$F$144</f>
        <v>86618566.316306442</v>
      </c>
      <c r="O222" s="7">
        <f>'gerç aylık-tl'!$F$143</f>
        <v>92780007.465454534</v>
      </c>
      <c r="P222" s="8"/>
      <c r="Q222" s="7">
        <f>'Bütçe aylık-TL'!$G$144</f>
        <v>87819749.640344411</v>
      </c>
      <c r="R222" s="7">
        <f>'gerç aylık-tl'!$G$143</f>
        <v>59124997.951922007</v>
      </c>
      <c r="S222" s="8"/>
      <c r="T222" s="7">
        <f>'Bütçe aylık-TL'!$H$144</f>
        <v>95870203.485084072</v>
      </c>
      <c r="U222" s="7">
        <f>'gerç aylık-tl'!$H$143</f>
        <v>89173492.918110088</v>
      </c>
      <c r="V222" s="8"/>
      <c r="W222" s="7">
        <f>'Bütçe aylık-TL'!$I$144</f>
        <v>21070498.371037014</v>
      </c>
      <c r="X222" s="7">
        <f>'gerç aylık-tl'!$I$143</f>
        <v>41410931.024507977</v>
      </c>
      <c r="Y222" s="8"/>
      <c r="Z222" s="7">
        <f>'Bütçe aylık-TL'!$J$144</f>
        <v>166672211.61183652</v>
      </c>
      <c r="AA222" s="7">
        <f>'gerç aylık-tl'!$J$143</f>
        <v>159560177.69239199</v>
      </c>
      <c r="AB222" s="8"/>
      <c r="AC222" s="7">
        <f>'Bütçe aylık-TL'!$K$144</f>
        <v>104923693.94951054</v>
      </c>
      <c r="AD222" s="7">
        <f>'gerç aylık-tl'!$K$143</f>
        <v>0</v>
      </c>
      <c r="AE222" s="8"/>
      <c r="AF222" s="7">
        <f>'Bütçe aylık-TL'!$L$144</f>
        <v>108673442.21384297</v>
      </c>
      <c r="AG222" s="7">
        <f>'gerç aylık-tl'!$L$143</f>
        <v>0</v>
      </c>
      <c r="AH222" s="8"/>
      <c r="AI222" s="7">
        <f>'Bütçe aylık-TL'!$M$144</f>
        <v>103046058.74328354</v>
      </c>
      <c r="AJ222" s="7">
        <f>'gerç aylık-tl'!$M$143</f>
        <v>0</v>
      </c>
      <c r="AK222" s="8"/>
      <c r="AL222" s="21">
        <f t="shared" si="113"/>
        <v>-7112033.9194445312</v>
      </c>
      <c r="AM222" s="22">
        <f t="shared" si="114"/>
        <v>-4.2670783873725582E-2</v>
      </c>
      <c r="AO222" s="44">
        <f t="shared" si="115"/>
        <v>166672211.61183652</v>
      </c>
      <c r="AP222" s="44">
        <f t="shared" si="116"/>
        <v>159560177.69239199</v>
      </c>
    </row>
    <row r="223" spans="1:42" s="1" customFormat="1" ht="15.5">
      <c r="A223" s="26"/>
      <c r="B223" s="7"/>
      <c r="C223" s="8"/>
      <c r="D223" s="8"/>
      <c r="E223" s="7"/>
      <c r="F223" s="8"/>
      <c r="G223" s="8"/>
      <c r="H223" s="7"/>
      <c r="I223" s="8"/>
      <c r="J223" s="8"/>
      <c r="K223" s="7"/>
      <c r="L223" s="8"/>
      <c r="M223" s="8"/>
      <c r="N223" s="7"/>
      <c r="O223" s="8"/>
      <c r="P223" s="8"/>
      <c r="Q223" s="7"/>
      <c r="R223" s="8"/>
      <c r="S223" s="8"/>
      <c r="T223" s="7"/>
      <c r="U223" s="8"/>
      <c r="V223" s="8"/>
      <c r="W223" s="7"/>
      <c r="X223" s="8"/>
      <c r="Y223" s="8"/>
      <c r="Z223" s="7"/>
      <c r="AA223" s="8"/>
      <c r="AB223" s="8"/>
      <c r="AC223" s="7"/>
      <c r="AD223" s="8"/>
      <c r="AE223" s="8"/>
      <c r="AF223" s="7"/>
      <c r="AG223" s="8"/>
      <c r="AH223" s="8"/>
      <c r="AI223" s="7"/>
      <c r="AJ223" s="8"/>
      <c r="AK223" s="8"/>
      <c r="AL223" s="15"/>
      <c r="AM223" s="16"/>
      <c r="AO223" s="44"/>
      <c r="AP223" s="44"/>
    </row>
    <row r="224" spans="1:42" s="1" customFormat="1" ht="15.5">
      <c r="A224" s="26"/>
      <c r="B224" s="7"/>
      <c r="C224" s="8"/>
      <c r="D224" s="8"/>
      <c r="E224" s="7"/>
      <c r="F224" s="8"/>
      <c r="G224" s="8"/>
      <c r="H224" s="7"/>
      <c r="I224" s="8"/>
      <c r="J224" s="8"/>
      <c r="K224" s="7"/>
      <c r="L224" s="8"/>
      <c r="M224" s="8"/>
      <c r="N224" s="7"/>
      <c r="O224" s="8"/>
      <c r="P224" s="8"/>
      <c r="Q224" s="7"/>
      <c r="R224" s="8"/>
      <c r="S224" s="8"/>
      <c r="T224" s="7"/>
      <c r="U224" s="8"/>
      <c r="V224" s="8"/>
      <c r="W224" s="7"/>
      <c r="X224" s="8"/>
      <c r="Y224" s="8"/>
      <c r="Z224" s="7"/>
      <c r="AA224" s="8"/>
      <c r="AB224" s="8"/>
      <c r="AC224" s="7"/>
      <c r="AD224" s="8"/>
      <c r="AE224" s="8"/>
      <c r="AF224" s="7"/>
      <c r="AG224" s="8"/>
      <c r="AH224" s="8"/>
      <c r="AI224" s="7"/>
      <c r="AJ224" s="8"/>
      <c r="AK224" s="8"/>
      <c r="AL224" s="15"/>
      <c r="AM224" s="16"/>
      <c r="AO224" s="44"/>
      <c r="AP224" s="44"/>
    </row>
    <row r="225" spans="1:42" s="49" customFormat="1" ht="17">
      <c r="A225" s="47" t="s">
        <v>25</v>
      </c>
      <c r="B225" s="413"/>
      <c r="C225" s="413"/>
      <c r="D225" s="413"/>
      <c r="E225" s="413"/>
      <c r="F225" s="413"/>
      <c r="G225" s="413"/>
      <c r="H225" s="413"/>
      <c r="I225" s="413"/>
      <c r="J225" s="413"/>
      <c r="K225" s="413"/>
      <c r="L225" s="413"/>
      <c r="M225" s="413"/>
      <c r="N225" s="413"/>
      <c r="O225" s="413"/>
      <c r="P225" s="413"/>
      <c r="Q225" s="413"/>
      <c r="R225" s="413"/>
      <c r="S225" s="413"/>
      <c r="T225" s="413"/>
      <c r="U225" s="413"/>
      <c r="V225" s="413"/>
      <c r="W225" s="413"/>
      <c r="X225" s="413"/>
      <c r="Y225" s="413"/>
      <c r="Z225" s="413"/>
      <c r="AA225" s="413"/>
      <c r="AB225" s="413"/>
      <c r="AC225" s="413"/>
      <c r="AD225" s="413"/>
      <c r="AE225" s="413"/>
      <c r="AF225" s="413"/>
      <c r="AG225" s="413"/>
      <c r="AH225" s="413"/>
      <c r="AI225" s="413"/>
      <c r="AJ225" s="413"/>
      <c r="AK225" s="413"/>
      <c r="AL225" s="413"/>
      <c r="AM225" s="48"/>
    </row>
    <row r="226" spans="1:42" ht="15.5">
      <c r="A226" s="26" t="s">
        <v>10</v>
      </c>
      <c r="B226" s="5">
        <f>B215/B9</f>
        <v>0.36281274864120405</v>
      </c>
      <c r="C226" s="5">
        <f>C215/C9</f>
        <v>0.18132867549462708</v>
      </c>
      <c r="D226" s="7"/>
      <c r="E226" s="5">
        <f>E215/E9</f>
        <v>0.29753167807543535</v>
      </c>
      <c r="F226" s="5">
        <f>F215/F9</f>
        <v>0.47659481362789508</v>
      </c>
      <c r="G226" s="7"/>
      <c r="H226" s="5">
        <f>H215/H9</f>
        <v>0.25465480480316022</v>
      </c>
      <c r="I226" s="5">
        <f>I215/I9</f>
        <v>0.78311105344929888</v>
      </c>
      <c r="J226" s="7"/>
      <c r="K226" s="5">
        <f>K215/K9</f>
        <v>0.28409354168297973</v>
      </c>
      <c r="L226" s="5">
        <f>L215/L9</f>
        <v>0.54715065470869095</v>
      </c>
      <c r="M226" s="7"/>
      <c r="N226" s="5">
        <f>N215/N9</f>
        <v>0.2859341269151211</v>
      </c>
      <c r="O226" s="5">
        <f>O215/O9</f>
        <v>0.30228595377619183</v>
      </c>
      <c r="P226" s="7"/>
      <c r="Q226" s="5">
        <f>Q215/Q9</f>
        <v>0.31507310155045415</v>
      </c>
      <c r="R226" s="5">
        <f>R215/R9</f>
        <v>0.2714545375284913</v>
      </c>
      <c r="S226" s="7"/>
      <c r="T226" s="5">
        <f>T215/T9</f>
        <v>0.32976879099767087</v>
      </c>
      <c r="U226" s="5">
        <f>U215/U9</f>
        <v>0.23987932515732976</v>
      </c>
      <c r="V226" s="7"/>
      <c r="W226" s="5">
        <f>W215/W9</f>
        <v>0.29586724404420683</v>
      </c>
      <c r="X226" s="5">
        <f>X215/X9</f>
        <v>0.36201177524489497</v>
      </c>
      <c r="Y226" s="7"/>
      <c r="Z226" s="5">
        <f>Z215/Z9</f>
        <v>0.37737378603300908</v>
      </c>
      <c r="AA226" s="5">
        <f>AA215/AA9</f>
        <v>0.48006002439171325</v>
      </c>
      <c r="AB226" s="7"/>
      <c r="AC226" s="5">
        <f>AC215/AC9</f>
        <v>0.3456946395976479</v>
      </c>
      <c r="AD226" s="5" t="e">
        <f>AD215/AD9</f>
        <v>#DIV/0!</v>
      </c>
      <c r="AE226" s="7"/>
      <c r="AF226" s="5">
        <f>AF215/AF9</f>
        <v>0.32132068621921639</v>
      </c>
      <c r="AG226" s="5" t="e">
        <f>AG215/AG9</f>
        <v>#DIV/0!</v>
      </c>
      <c r="AH226" s="7"/>
      <c r="AI226" s="5">
        <f>AI215/AI9</f>
        <v>-0.19886560141305354</v>
      </c>
      <c r="AJ226" s="5" t="e">
        <f>AJ215/AJ9</f>
        <v>#DIV/0!</v>
      </c>
      <c r="AK226" s="7"/>
      <c r="AL226" s="21"/>
      <c r="AM226" s="22">
        <f>AP226-AO226</f>
        <v>0.10268623835870416</v>
      </c>
      <c r="AO226" s="44">
        <f t="shared" ref="AO226:AO233" si="117">IF($A$1=$B$1,B226,IF($A$1=$E$1,E226,IF($A$1=$H$1,H226,IF($A$1=$K$1,K226,IF($A$1=$N$1,N226,IF($A$1=$Q$1,Q226,IF($A$1=$T$1,T226,IF($A$1=$W$1,W226,IF($A$1=$Z$1,Z226,IF($A$1=$AC$1,AC226,IF($A$1=$AF$1,AF226,IF($A$1=$AI$1,AI226))))))))))))</f>
        <v>0.37737378603300908</v>
      </c>
      <c r="AP226" s="44">
        <f t="shared" ref="AP226:AP233" si="118">IF($A$1=$B$1,C226,IF($A$1=$E$1,F226,IF($A$1=$H$1,I226,IF($A$1=$K$1,L226,IF($A$1=$N$1,O226,IF($A$1=$Q$1,R226,IF($A$1=$T$1,U226,IF($A$1=$W$1,X226,IF($A$1=$Z$1,AA226,IF($A$1=$AC$1,AD226,IF($A$1=$AF$1,AG226,IF($A$1=$AI$1,AJ226))))))))))))</f>
        <v>0.48006002439171325</v>
      </c>
    </row>
    <row r="227" spans="1:42" ht="15.5">
      <c r="A227" s="26" t="s">
        <v>11</v>
      </c>
      <c r="B227" s="5">
        <f t="shared" ref="B227:C233" si="119">B216/B10</f>
        <v>-3.5400113116245031E-2</v>
      </c>
      <c r="C227" s="5">
        <f t="shared" si="119"/>
        <v>-7.8709863596322052E-2</v>
      </c>
      <c r="D227" s="7"/>
      <c r="E227" s="5">
        <f t="shared" ref="E227:F233" si="120">E216/E10</f>
        <v>6.4511084995448248E-2</v>
      </c>
      <c r="F227" s="5">
        <f t="shared" si="120"/>
        <v>-1.1409649199455606E-2</v>
      </c>
      <c r="G227" s="7"/>
      <c r="H227" s="5">
        <f t="shared" ref="H227:I233" si="121">H216/H10</f>
        <v>7.9186039766937194E-2</v>
      </c>
      <c r="I227" s="5">
        <f t="shared" si="121"/>
        <v>-8.7639821492396575E-2</v>
      </c>
      <c r="J227" s="7"/>
      <c r="K227" s="5">
        <f t="shared" ref="K227:L233" si="122">K216/K10</f>
        <v>0.12472988577449735</v>
      </c>
      <c r="L227" s="5">
        <f t="shared" si="122"/>
        <v>0.16935072204429827</v>
      </c>
      <c r="M227" s="7"/>
      <c r="N227" s="5">
        <f t="shared" ref="N227:O233" si="123">N216/N10</f>
        <v>0.16609449689462977</v>
      </c>
      <c r="O227" s="5">
        <f t="shared" si="123"/>
        <v>-0.16015873861151209</v>
      </c>
      <c r="P227" s="7"/>
      <c r="Q227" s="5">
        <f t="shared" ref="Q227:R233" si="124">Q216/Q10</f>
        <v>0.14759872905385882</v>
      </c>
      <c r="R227" s="5">
        <f t="shared" si="124"/>
        <v>-0.62779063455049022</v>
      </c>
      <c r="S227" s="7"/>
      <c r="T227" s="5">
        <f t="shared" ref="T227:U233" si="125">T216/T10</f>
        <v>0.1327497211497751</v>
      </c>
      <c r="U227" s="5">
        <f t="shared" si="125"/>
        <v>-7.265105073473635E-2</v>
      </c>
      <c r="V227" s="7"/>
      <c r="W227" s="5">
        <f t="shared" ref="W227:X233" si="126">W216/W10</f>
        <v>3.8790202417802913E-2</v>
      </c>
      <c r="X227" s="5">
        <f t="shared" si="126"/>
        <v>-0.37353081082833356</v>
      </c>
      <c r="Y227" s="7"/>
      <c r="Z227" s="5">
        <f t="shared" ref="Z227:AA233" si="127">Z216/Z10</f>
        <v>7.33775991858895E-2</v>
      </c>
      <c r="AA227" s="5">
        <f t="shared" si="127"/>
        <v>-0.452000126748342</v>
      </c>
      <c r="AB227" s="7"/>
      <c r="AC227" s="5">
        <f t="shared" ref="AC227:AD233" si="128">AC216/AC10</f>
        <v>2.3076020166128388E-2</v>
      </c>
      <c r="AD227" s="5" t="e">
        <f t="shared" si="128"/>
        <v>#DIV/0!</v>
      </c>
      <c r="AE227" s="7"/>
      <c r="AF227" s="5">
        <f t="shared" ref="AF227:AG233" si="129">AF216/AF10</f>
        <v>-1.955418597812892E-2</v>
      </c>
      <c r="AG227" s="5" t="e">
        <f t="shared" si="129"/>
        <v>#DIV/0!</v>
      </c>
      <c r="AH227" s="7"/>
      <c r="AI227" s="5">
        <f t="shared" ref="AI227:AJ233" si="130">AI216/AI10</f>
        <v>-9.3042264239567754E-2</v>
      </c>
      <c r="AJ227" s="5" t="e">
        <f t="shared" si="130"/>
        <v>#DIV/0!</v>
      </c>
      <c r="AK227" s="7"/>
      <c r="AL227" s="21"/>
      <c r="AM227" s="22">
        <f t="shared" ref="AM227:AM233" si="131">AP227-AO227</f>
        <v>-0.52537772593423149</v>
      </c>
      <c r="AO227" s="44">
        <f t="shared" si="117"/>
        <v>7.33775991858895E-2</v>
      </c>
      <c r="AP227" s="44">
        <f t="shared" si="118"/>
        <v>-0.452000126748342</v>
      </c>
    </row>
    <row r="228" spans="1:42" ht="15.5">
      <c r="A228" s="26" t="s">
        <v>12</v>
      </c>
      <c r="B228" s="5">
        <f t="shared" si="119"/>
        <v>-9.4184174568694934E-2</v>
      </c>
      <c r="C228" s="5">
        <f t="shared" si="119"/>
        <v>1.2445246733022452E-3</v>
      </c>
      <c r="D228" s="7"/>
      <c r="E228" s="5">
        <f t="shared" si="120"/>
        <v>-5.3898550878818563E-2</v>
      </c>
      <c r="F228" s="5">
        <f t="shared" si="120"/>
        <v>2.0448260911345257E-3</v>
      </c>
      <c r="G228" s="7"/>
      <c r="H228" s="5">
        <f t="shared" si="121"/>
        <v>1.3776006980536376E-3</v>
      </c>
      <c r="I228" s="5">
        <f t="shared" si="121"/>
        <v>-1.8835958158096515E-2</v>
      </c>
      <c r="J228" s="7"/>
      <c r="K228" s="5">
        <f t="shared" si="122"/>
        <v>-2.1467439143745912E-3</v>
      </c>
      <c r="L228" s="5">
        <f t="shared" si="122"/>
        <v>-1.296353397537863E-2</v>
      </c>
      <c r="M228" s="7"/>
      <c r="N228" s="5">
        <f t="shared" si="123"/>
        <v>2.955296742365307E-2</v>
      </c>
      <c r="O228" s="5">
        <f t="shared" si="123"/>
        <v>1.4034888593153319E-2</v>
      </c>
      <c r="P228" s="7"/>
      <c r="Q228" s="5">
        <f t="shared" si="124"/>
        <v>2.9251668980615909E-2</v>
      </c>
      <c r="R228" s="5">
        <f t="shared" si="124"/>
        <v>-3.2683217686579932E-2</v>
      </c>
      <c r="S228" s="7"/>
      <c r="T228" s="5">
        <f t="shared" si="125"/>
        <v>3.4026888518681457E-2</v>
      </c>
      <c r="U228" s="5">
        <f t="shared" si="125"/>
        <v>-3.9319939704017787E-2</v>
      </c>
      <c r="V228" s="7"/>
      <c r="W228" s="5">
        <f t="shared" si="126"/>
        <v>2.6791285635076659E-2</v>
      </c>
      <c r="X228" s="5">
        <f t="shared" si="126"/>
        <v>-3.4660598883234257E-2</v>
      </c>
      <c r="Y228" s="7"/>
      <c r="Z228" s="5">
        <f t="shared" si="127"/>
        <v>1.736327407901498E-2</v>
      </c>
      <c r="AA228" s="5">
        <f t="shared" si="127"/>
        <v>3.0519232392397795E-2</v>
      </c>
      <c r="AB228" s="7"/>
      <c r="AC228" s="5">
        <f t="shared" si="128"/>
        <v>2.735070441058875E-2</v>
      </c>
      <c r="AD228" s="5" t="e">
        <f t="shared" si="128"/>
        <v>#DIV/0!</v>
      </c>
      <c r="AE228" s="7"/>
      <c r="AF228" s="5">
        <f t="shared" si="129"/>
        <v>3.1142760942834968E-2</v>
      </c>
      <c r="AG228" s="5" t="e">
        <f t="shared" si="129"/>
        <v>#DIV/0!</v>
      </c>
      <c r="AH228" s="7"/>
      <c r="AI228" s="5">
        <f t="shared" si="130"/>
        <v>1.585273093688894E-3</v>
      </c>
      <c r="AJ228" s="5" t="e">
        <f t="shared" si="130"/>
        <v>#DIV/0!</v>
      </c>
      <c r="AK228" s="7"/>
      <c r="AL228" s="21"/>
      <c r="AM228" s="22">
        <f t="shared" si="131"/>
        <v>1.3155958313382815E-2</v>
      </c>
      <c r="AO228" s="44">
        <f t="shared" si="117"/>
        <v>1.736327407901498E-2</v>
      </c>
      <c r="AP228" s="44">
        <f t="shared" si="118"/>
        <v>3.0519232392397795E-2</v>
      </c>
    </row>
    <row r="229" spans="1:42" ht="15.5">
      <c r="A229" s="26" t="s">
        <v>13</v>
      </c>
      <c r="B229" s="5">
        <f t="shared" si="119"/>
        <v>-2.7590746951888866E-2</v>
      </c>
      <c r="C229" s="5">
        <f t="shared" si="119"/>
        <v>-7.5962270226340931E-2</v>
      </c>
      <c r="D229" s="7"/>
      <c r="E229" s="5">
        <f t="shared" si="120"/>
        <v>-5.8167879539302206E-2</v>
      </c>
      <c r="F229" s="5">
        <f t="shared" si="120"/>
        <v>-0.11846554306961511</v>
      </c>
      <c r="G229" s="7"/>
      <c r="H229" s="5">
        <f t="shared" si="121"/>
        <v>-4.6329290466800815E-2</v>
      </c>
      <c r="I229" s="5">
        <f t="shared" si="121"/>
        <v>-0.33063681708432224</v>
      </c>
      <c r="J229" s="7"/>
      <c r="K229" s="5">
        <f t="shared" si="122"/>
        <v>-7.5489929150859655E-2</v>
      </c>
      <c r="L229" s="5">
        <f t="shared" si="122"/>
        <v>-0.39012978120592967</v>
      </c>
      <c r="M229" s="7"/>
      <c r="N229" s="5">
        <f t="shared" si="123"/>
        <v>-2.3958992987482435E-2</v>
      </c>
      <c r="O229" s="5">
        <f t="shared" si="123"/>
        <v>-0.20686888416238039</v>
      </c>
      <c r="P229" s="7"/>
      <c r="Q229" s="5">
        <f t="shared" si="124"/>
        <v>-2.020255671015088E-3</v>
      </c>
      <c r="R229" s="5">
        <f t="shared" si="124"/>
        <v>-0.35398252851508932</v>
      </c>
      <c r="S229" s="7"/>
      <c r="T229" s="5">
        <f t="shared" si="125"/>
        <v>-7.2318718247357224E-3</v>
      </c>
      <c r="U229" s="5">
        <f t="shared" si="125"/>
        <v>-0.20141457799364668</v>
      </c>
      <c r="V229" s="7"/>
      <c r="W229" s="5">
        <f t="shared" si="126"/>
        <v>-7.8840690671055176E-4</v>
      </c>
      <c r="X229" s="5">
        <f t="shared" si="126"/>
        <v>-0.13578345497872413</v>
      </c>
      <c r="Y229" s="7"/>
      <c r="Z229" s="5">
        <f t="shared" si="127"/>
        <v>1.8014520639891531E-2</v>
      </c>
      <c r="AA229" s="5">
        <f t="shared" si="127"/>
        <v>-0.22980864628371156</v>
      </c>
      <c r="AB229" s="7"/>
      <c r="AC229" s="5">
        <f t="shared" si="128"/>
        <v>4.7888725565224437E-2</v>
      </c>
      <c r="AD229" s="5" t="e">
        <f t="shared" si="128"/>
        <v>#DIV/0!</v>
      </c>
      <c r="AE229" s="7"/>
      <c r="AF229" s="5">
        <f t="shared" si="129"/>
        <v>5.64342994859032E-2</v>
      </c>
      <c r="AG229" s="5" t="e">
        <f t="shared" si="129"/>
        <v>#DIV/0!</v>
      </c>
      <c r="AH229" s="7"/>
      <c r="AI229" s="5">
        <f t="shared" si="130"/>
        <v>8.0340410720972491E-2</v>
      </c>
      <c r="AJ229" s="5" t="e">
        <f t="shared" si="130"/>
        <v>#DIV/0!</v>
      </c>
      <c r="AK229" s="7"/>
      <c r="AL229" s="21"/>
      <c r="AM229" s="22">
        <f t="shared" si="131"/>
        <v>-0.24782316692360309</v>
      </c>
      <c r="AO229" s="44">
        <f t="shared" si="117"/>
        <v>1.8014520639891531E-2</v>
      </c>
      <c r="AP229" s="44">
        <f t="shared" si="118"/>
        <v>-0.22980864628371156</v>
      </c>
    </row>
    <row r="230" spans="1:42" s="1" customFormat="1" ht="15.5">
      <c r="A230" s="26" t="s">
        <v>14</v>
      </c>
      <c r="B230" s="5">
        <f t="shared" si="119"/>
        <v>3.4722475289825153E-2</v>
      </c>
      <c r="C230" s="5">
        <f t="shared" si="119"/>
        <v>4.1981375898470868E-2</v>
      </c>
      <c r="D230" s="8"/>
      <c r="E230" s="5">
        <f t="shared" si="120"/>
        <v>3.8576170687699696E-2</v>
      </c>
      <c r="F230" s="5">
        <f t="shared" si="120"/>
        <v>3.8914107209811657E-2</v>
      </c>
      <c r="G230" s="8"/>
      <c r="H230" s="5">
        <f t="shared" si="121"/>
        <v>3.5703673686540545E-2</v>
      </c>
      <c r="I230" s="5">
        <f t="shared" si="121"/>
        <v>7.9724880170297815E-2</v>
      </c>
      <c r="J230" s="8"/>
      <c r="K230" s="5">
        <f t="shared" si="122"/>
        <v>-2.6346938902721495E-2</v>
      </c>
      <c r="L230" s="5">
        <f t="shared" si="122"/>
        <v>-1.6845962722363592E-2</v>
      </c>
      <c r="M230" s="8"/>
      <c r="N230" s="5">
        <f t="shared" si="123"/>
        <v>-1.8723602686711287E-3</v>
      </c>
      <c r="O230" s="5">
        <f t="shared" si="123"/>
        <v>1.9345257316737979E-4</v>
      </c>
      <c r="P230" s="8"/>
      <c r="Q230" s="5">
        <f t="shared" si="124"/>
        <v>-1.1787916145606259E-2</v>
      </c>
      <c r="R230" s="5">
        <f t="shared" si="124"/>
        <v>-2.1121186108904396E-2</v>
      </c>
      <c r="S230" s="8"/>
      <c r="T230" s="5">
        <f t="shared" si="125"/>
        <v>7.761540654063666E-3</v>
      </c>
      <c r="U230" s="5">
        <f t="shared" si="125"/>
        <v>2.1276750712737758E-2</v>
      </c>
      <c r="V230" s="8"/>
      <c r="W230" s="5">
        <f t="shared" si="126"/>
        <v>1.5038105068063669E-2</v>
      </c>
      <c r="X230" s="5">
        <f t="shared" si="126"/>
        <v>1.5454021293606707E-2</v>
      </c>
      <c r="Y230" s="8"/>
      <c r="Z230" s="5">
        <f t="shared" si="127"/>
        <v>1.3354793412756544E-2</v>
      </c>
      <c r="AA230" s="5">
        <f t="shared" si="127"/>
        <v>4.9395371581763263E-2</v>
      </c>
      <c r="AB230" s="8"/>
      <c r="AC230" s="5">
        <f t="shared" si="128"/>
        <v>2.8221120069408263E-2</v>
      </c>
      <c r="AD230" s="5" t="e">
        <f t="shared" si="128"/>
        <v>#DIV/0!</v>
      </c>
      <c r="AE230" s="8"/>
      <c r="AF230" s="5">
        <f t="shared" si="129"/>
        <v>2.1198578399675101E-2</v>
      </c>
      <c r="AG230" s="5" t="e">
        <f t="shared" si="129"/>
        <v>#DIV/0!</v>
      </c>
      <c r="AH230" s="8"/>
      <c r="AI230" s="5">
        <f t="shared" si="130"/>
        <v>9.6619755287673196E-3</v>
      </c>
      <c r="AJ230" s="5" t="e">
        <f t="shared" si="130"/>
        <v>#DIV/0!</v>
      </c>
      <c r="AK230" s="8"/>
      <c r="AL230" s="15"/>
      <c r="AM230" s="22">
        <f t="shared" si="131"/>
        <v>3.6040578169006715E-2</v>
      </c>
      <c r="AO230" s="44">
        <f t="shared" si="117"/>
        <v>1.3354793412756544E-2</v>
      </c>
      <c r="AP230" s="44">
        <f t="shared" si="118"/>
        <v>4.9395371581763263E-2</v>
      </c>
    </row>
    <row r="231" spans="1:42" ht="15.5">
      <c r="A231" s="26" t="s">
        <v>15</v>
      </c>
      <c r="B231" s="5">
        <f t="shared" si="119"/>
        <v>2.5616010291613832E-2</v>
      </c>
      <c r="C231" s="5">
        <f t="shared" si="119"/>
        <v>5.2762217914526906E-2</v>
      </c>
      <c r="D231" s="7"/>
      <c r="E231" s="5">
        <f t="shared" si="120"/>
        <v>7.1257578715379563E-2</v>
      </c>
      <c r="F231" s="5">
        <f t="shared" si="120"/>
        <v>8.6295833488176488E-2</v>
      </c>
      <c r="G231" s="7"/>
      <c r="H231" s="5">
        <f t="shared" si="121"/>
        <v>0.13581474187532183</v>
      </c>
      <c r="I231" s="5">
        <f t="shared" si="121"/>
        <v>7.6998791093451216E-2</v>
      </c>
      <c r="J231" s="7"/>
      <c r="K231" s="5">
        <f t="shared" si="122"/>
        <v>2.3321664843264651E-2</v>
      </c>
      <c r="L231" s="5">
        <f t="shared" si="122"/>
        <v>0.1035484259472034</v>
      </c>
      <c r="M231" s="7"/>
      <c r="N231" s="5">
        <f t="shared" si="123"/>
        <v>6.8596116632413162E-2</v>
      </c>
      <c r="O231" s="5">
        <f t="shared" si="123"/>
        <v>7.1827195864977558E-2</v>
      </c>
      <c r="P231" s="7"/>
      <c r="Q231" s="5">
        <f t="shared" si="124"/>
        <v>0.11104620459597385</v>
      </c>
      <c r="R231" s="5">
        <f t="shared" si="124"/>
        <v>0.10123017456244163</v>
      </c>
      <c r="S231" s="7"/>
      <c r="T231" s="5">
        <f t="shared" si="125"/>
        <v>3.2809890756034604E-2</v>
      </c>
      <c r="U231" s="5">
        <f t="shared" si="125"/>
        <v>0.11777641443870471</v>
      </c>
      <c r="V231" s="7"/>
      <c r="W231" s="5">
        <f t="shared" si="126"/>
        <v>2.4557689726452726E-3</v>
      </c>
      <c r="X231" s="5">
        <f t="shared" si="126"/>
        <v>3.0949686026453496E-2</v>
      </c>
      <c r="Y231" s="7"/>
      <c r="Z231" s="5">
        <f t="shared" si="127"/>
        <v>0.14898893600957466</v>
      </c>
      <c r="AA231" s="5">
        <f t="shared" si="127"/>
        <v>0.17735972019091431</v>
      </c>
      <c r="AB231" s="7"/>
      <c r="AC231" s="5">
        <f t="shared" si="128"/>
        <v>8.7993946249508556E-2</v>
      </c>
      <c r="AD231" s="5" t="e">
        <f t="shared" si="128"/>
        <v>#DIV/0!</v>
      </c>
      <c r="AE231" s="7"/>
      <c r="AF231" s="5">
        <f t="shared" si="129"/>
        <v>9.4197713768138375E-2</v>
      </c>
      <c r="AG231" s="5" t="e">
        <f t="shared" si="129"/>
        <v>#DIV/0!</v>
      </c>
      <c r="AH231" s="7"/>
      <c r="AI231" s="5">
        <f t="shared" si="130"/>
        <v>9.7026325750171283E-2</v>
      </c>
      <c r="AJ231" s="5" t="e">
        <f t="shared" si="130"/>
        <v>#DIV/0!</v>
      </c>
      <c r="AK231" s="7"/>
      <c r="AL231" s="21"/>
      <c r="AM231" s="22">
        <f t="shared" si="131"/>
        <v>2.8370784181339648E-2</v>
      </c>
      <c r="AO231" s="44">
        <f t="shared" si="117"/>
        <v>0.14898893600957466</v>
      </c>
      <c r="AP231" s="44">
        <f t="shared" si="118"/>
        <v>0.17735972019091431</v>
      </c>
    </row>
    <row r="232" spans="1:42" s="1" customFormat="1" ht="15.5">
      <c r="A232" s="26" t="s">
        <v>16</v>
      </c>
      <c r="B232" s="5">
        <f t="shared" si="119"/>
        <v>0.17418445939146909</v>
      </c>
      <c r="C232" s="5">
        <f t="shared" si="119"/>
        <v>0.12088297713145423</v>
      </c>
      <c r="D232" s="8"/>
      <c r="E232" s="5">
        <f t="shared" si="120"/>
        <v>0.1611135200584459</v>
      </c>
      <c r="F232" s="5">
        <f t="shared" si="120"/>
        <v>9.198191579402594E-2</v>
      </c>
      <c r="G232" s="8"/>
      <c r="H232" s="5">
        <f t="shared" si="121"/>
        <v>0.17422885296052779</v>
      </c>
      <c r="I232" s="5">
        <f t="shared" si="121"/>
        <v>0.17116940475965997</v>
      </c>
      <c r="J232" s="8"/>
      <c r="K232" s="5">
        <f t="shared" si="122"/>
        <v>0.17269504385354223</v>
      </c>
      <c r="L232" s="5">
        <f t="shared" si="122"/>
        <v>4.0023689923254752E-2</v>
      </c>
      <c r="M232" s="8"/>
      <c r="N232" s="5">
        <f t="shared" si="123"/>
        <v>0.19344153725319546</v>
      </c>
      <c r="O232" s="5">
        <f t="shared" si="123"/>
        <v>0.18307316317729</v>
      </c>
      <c r="P232" s="8"/>
      <c r="Q232" s="5">
        <f t="shared" si="124"/>
        <v>0.1501914008661597</v>
      </c>
      <c r="R232" s="5">
        <f t="shared" si="124"/>
        <v>3.0554340179997894E-2</v>
      </c>
      <c r="S232" s="8"/>
      <c r="T232" s="5">
        <f t="shared" si="125"/>
        <v>0.15466995458076144</v>
      </c>
      <c r="U232" s="5">
        <f t="shared" si="125"/>
        <v>0.31055518827441231</v>
      </c>
      <c r="V232" s="8"/>
      <c r="W232" s="5">
        <f t="shared" si="126"/>
        <v>9.1843460237176933E-2</v>
      </c>
      <c r="X232" s="5">
        <f t="shared" si="126"/>
        <v>9.7417339289429278E-2</v>
      </c>
      <c r="Y232" s="8"/>
      <c r="Z232" s="5">
        <f t="shared" si="127"/>
        <v>0.20794611942262695</v>
      </c>
      <c r="AA232" s="5">
        <f t="shared" si="127"/>
        <v>0.26966751201379968</v>
      </c>
      <c r="AB232" s="8"/>
      <c r="AC232" s="5">
        <f t="shared" si="128"/>
        <v>0.20271843646674453</v>
      </c>
      <c r="AD232" s="5" t="e">
        <f t="shared" si="128"/>
        <v>#DIV/0!</v>
      </c>
      <c r="AE232" s="8"/>
      <c r="AF232" s="5">
        <f t="shared" si="129"/>
        <v>0.20314211242171901</v>
      </c>
      <c r="AG232" s="5" t="e">
        <f t="shared" si="129"/>
        <v>#DIV/0!</v>
      </c>
      <c r="AH232" s="8"/>
      <c r="AI232" s="5">
        <f t="shared" si="130"/>
        <v>-0.48127760287029658</v>
      </c>
      <c r="AJ232" s="5" t="e">
        <f t="shared" si="130"/>
        <v>#DIV/0!</v>
      </c>
      <c r="AK232" s="8"/>
      <c r="AL232" s="15"/>
      <c r="AM232" s="22">
        <f t="shared" si="131"/>
        <v>6.1721392591172736E-2</v>
      </c>
      <c r="AO232" s="44">
        <f t="shared" si="117"/>
        <v>0.20794611942262695</v>
      </c>
      <c r="AP232" s="44">
        <f t="shared" si="118"/>
        <v>0.26966751201379968</v>
      </c>
    </row>
    <row r="233" spans="1:42" s="1" customFormat="1" ht="15.5">
      <c r="A233" s="26" t="s">
        <v>17</v>
      </c>
      <c r="B233" s="5">
        <f t="shared" si="119"/>
        <v>0.1121579159488357</v>
      </c>
      <c r="C233" s="5">
        <f t="shared" si="119"/>
        <v>6.6209096306176995E-2</v>
      </c>
      <c r="D233" s="8"/>
      <c r="E233" s="5">
        <f t="shared" si="120"/>
        <v>8.983180538478075E-2</v>
      </c>
      <c r="F233" s="5">
        <f t="shared" si="120"/>
        <v>1.5147575319723864E-2</v>
      </c>
      <c r="G233" s="8"/>
      <c r="H233" s="5">
        <f t="shared" si="121"/>
        <v>0.11521552834111679</v>
      </c>
      <c r="I233" s="5">
        <f t="shared" si="121"/>
        <v>4.2905675802608241E-2</v>
      </c>
      <c r="J233" s="8"/>
      <c r="K233" s="5">
        <f t="shared" si="122"/>
        <v>5.8063299795577047E-2</v>
      </c>
      <c r="L233" s="5">
        <f t="shared" si="122"/>
        <v>2.4970242199763373E-2</v>
      </c>
      <c r="M233" s="8"/>
      <c r="N233" s="5">
        <f t="shared" si="123"/>
        <v>9.870634355074516E-2</v>
      </c>
      <c r="O233" s="5">
        <f t="shared" si="123"/>
        <v>8.6664621883316639E-2</v>
      </c>
      <c r="P233" s="8"/>
      <c r="Q233" s="5">
        <f t="shared" si="124"/>
        <v>9.951092481170877E-2</v>
      </c>
      <c r="R233" s="5">
        <f t="shared" si="124"/>
        <v>6.219827391604308E-2</v>
      </c>
      <c r="S233" s="8"/>
      <c r="T233" s="5">
        <f t="shared" si="125"/>
        <v>0.10730121992533043</v>
      </c>
      <c r="U233" s="5">
        <f t="shared" si="125"/>
        <v>8.7879191692813177E-2</v>
      </c>
      <c r="V233" s="8"/>
      <c r="W233" s="5">
        <f t="shared" si="126"/>
        <v>2.980116787582127E-2</v>
      </c>
      <c r="X233" s="5">
        <f t="shared" si="126"/>
        <v>5.8122054969155706E-2</v>
      </c>
      <c r="Y233" s="8"/>
      <c r="Z233" s="5">
        <f t="shared" si="127"/>
        <v>0.15901175291216801</v>
      </c>
      <c r="AA233" s="5">
        <f t="shared" si="127"/>
        <v>0.14682122647670406</v>
      </c>
      <c r="AB233" s="8"/>
      <c r="AC233" s="5">
        <f t="shared" si="128"/>
        <v>0.10697381664945979</v>
      </c>
      <c r="AD233" s="5" t="e">
        <f t="shared" si="128"/>
        <v>#DIV/0!</v>
      </c>
      <c r="AE233" s="8"/>
      <c r="AF233" s="5">
        <f t="shared" si="129"/>
        <v>0.11550036174825211</v>
      </c>
      <c r="AG233" s="5" t="e">
        <f t="shared" si="129"/>
        <v>#DIV/0!</v>
      </c>
      <c r="AH233" s="8"/>
      <c r="AI233" s="5">
        <f t="shared" si="130"/>
        <v>0.13006842240546604</v>
      </c>
      <c r="AJ233" s="5" t="e">
        <f t="shared" si="130"/>
        <v>#DIV/0!</v>
      </c>
      <c r="AK233" s="8"/>
      <c r="AL233" s="15"/>
      <c r="AM233" s="22">
        <f t="shared" si="131"/>
        <v>-1.219052643546395E-2</v>
      </c>
      <c r="AO233" s="44">
        <f t="shared" si="117"/>
        <v>0.15901175291216801</v>
      </c>
      <c r="AP233" s="44">
        <f t="shared" si="118"/>
        <v>0.14682122647670406</v>
      </c>
    </row>
    <row r="234" spans="1:42" s="1" customFormat="1" ht="15.5">
      <c r="A234" s="26"/>
      <c r="B234" s="7"/>
      <c r="C234" s="8"/>
      <c r="D234" s="8"/>
      <c r="E234" s="7"/>
      <c r="F234" s="8"/>
      <c r="G234" s="8"/>
      <c r="H234" s="7"/>
      <c r="I234" s="8"/>
      <c r="J234" s="8"/>
      <c r="K234" s="7"/>
      <c r="L234" s="8"/>
      <c r="M234" s="8"/>
      <c r="N234" s="7"/>
      <c r="O234" s="8"/>
      <c r="P234" s="8"/>
      <c r="Q234" s="7"/>
      <c r="R234" s="8"/>
      <c r="S234" s="8"/>
      <c r="T234" s="7"/>
      <c r="U234" s="8"/>
      <c r="V234" s="8"/>
      <c r="W234" s="7"/>
      <c r="X234" s="8"/>
      <c r="Y234" s="8"/>
      <c r="Z234" s="7"/>
      <c r="AA234" s="8"/>
      <c r="AB234" s="8"/>
      <c r="AC234" s="7"/>
      <c r="AD234" s="8"/>
      <c r="AE234" s="8"/>
      <c r="AF234" s="7"/>
      <c r="AG234" s="8"/>
      <c r="AH234" s="8"/>
      <c r="AI234" s="7"/>
      <c r="AJ234" s="8"/>
      <c r="AK234" s="8"/>
      <c r="AL234" s="15"/>
      <c r="AM234" s="16"/>
      <c r="AO234" s="44"/>
      <c r="AP234" s="44"/>
    </row>
    <row r="235" spans="1:42" s="1" customFormat="1" ht="15.5">
      <c r="A235" s="26"/>
      <c r="B235" s="7"/>
      <c r="C235" s="8"/>
      <c r="D235" s="8"/>
      <c r="E235" s="7"/>
      <c r="F235" s="8"/>
      <c r="G235" s="8"/>
      <c r="H235" s="7"/>
      <c r="I235" s="8"/>
      <c r="J235" s="8"/>
      <c r="K235" s="7"/>
      <c r="L235" s="8"/>
      <c r="M235" s="8"/>
      <c r="N235" s="7"/>
      <c r="O235" s="8"/>
      <c r="P235" s="8"/>
      <c r="Q235" s="7"/>
      <c r="R235" s="8"/>
      <c r="S235" s="8"/>
      <c r="T235" s="7"/>
      <c r="U235" s="8"/>
      <c r="V235" s="8"/>
      <c r="W235" s="7"/>
      <c r="X235" s="8"/>
      <c r="Y235" s="8"/>
      <c r="Z235" s="7"/>
      <c r="AA235" s="8"/>
      <c r="AB235" s="8"/>
      <c r="AC235" s="7"/>
      <c r="AD235" s="8"/>
      <c r="AE235" s="8"/>
      <c r="AF235" s="7"/>
      <c r="AG235" s="8"/>
      <c r="AH235" s="8"/>
      <c r="AI235" s="7"/>
      <c r="AJ235" s="8"/>
      <c r="AK235" s="8"/>
      <c r="AL235" s="15"/>
      <c r="AM235" s="16"/>
      <c r="AO235" s="44"/>
      <c r="AP235" s="44"/>
    </row>
    <row r="236" spans="1:42" s="44" customFormat="1" ht="15.5">
      <c r="A236" s="31" t="s">
        <v>84</v>
      </c>
      <c r="B236" s="32">
        <f>'Bütçe aylık-TL'!$B$147</f>
        <v>704432377.05999994</v>
      </c>
      <c r="C236" s="32">
        <f>'gerç aylık-tl'!$B$146</f>
        <v>745030011.314224</v>
      </c>
      <c r="D236" s="18"/>
      <c r="E236" s="32">
        <f>'Bütçe aylık-TL'!$C$147</f>
        <v>731393400.19000006</v>
      </c>
      <c r="F236" s="32">
        <f>'gerç aylık-tl'!$C$146</f>
        <v>804750285.11492205</v>
      </c>
      <c r="G236" s="18"/>
      <c r="H236" s="32">
        <f>'Bütçe aylık-TL'!$D$147</f>
        <v>738877242.65999997</v>
      </c>
      <c r="I236" s="32">
        <f>'gerç aylık-tl'!$D$146</f>
        <v>778653777.09241199</v>
      </c>
      <c r="J236" s="18"/>
      <c r="K236" s="32">
        <f>'Bütçe aylık-TL'!$E$147</f>
        <v>755347215.96479201</v>
      </c>
      <c r="L236" s="32">
        <f>'gerç aylık-tl'!$E$146</f>
        <v>1041029740.9711661</v>
      </c>
      <c r="M236" s="18"/>
      <c r="N236" s="32">
        <f>'Bütçe aylık-TL'!$F$147</f>
        <v>743967949.14479208</v>
      </c>
      <c r="O236" s="32">
        <f>'gerç aylık-tl'!$F$146</f>
        <v>1141373529.268265</v>
      </c>
      <c r="P236" s="18"/>
      <c r="Q236" s="32">
        <f>'Bütçe aylık-TL'!$G$147</f>
        <v>730159596.56479204</v>
      </c>
      <c r="R236" s="32">
        <f>'gerç aylık-tl'!$G$146</f>
        <v>1241095849.955147</v>
      </c>
      <c r="S236" s="18"/>
      <c r="T236" s="32">
        <f>'Bütçe aylık-TL'!$H$147</f>
        <v>821312492.13479209</v>
      </c>
      <c r="U236" s="32">
        <f>'gerç aylık-tl'!$H$146</f>
        <v>1310281703.8926871</v>
      </c>
      <c r="V236" s="18"/>
      <c r="W236" s="32">
        <f>'Bütçe aylık-TL'!$I$147</f>
        <v>803887747.11479199</v>
      </c>
      <c r="X236" s="32">
        <f>'gerç aylık-tl'!$I$146</f>
        <v>1320656927.43643</v>
      </c>
      <c r="Y236" s="18"/>
      <c r="Z236" s="32">
        <f>'Bütçe aylık-TL'!$J$147</f>
        <v>832600058.83479202</v>
      </c>
      <c r="AA236" s="32">
        <f>'gerç aylık-tl'!$J$146</f>
        <v>1385955385.3899999</v>
      </c>
      <c r="AB236" s="18"/>
      <c r="AC236" s="32">
        <f>'Bütçe aylık-TL'!$K$147</f>
        <v>797356578.48479199</v>
      </c>
      <c r="AD236" s="32">
        <f>'gerç aylık-tl'!$K$146</f>
        <v>0</v>
      </c>
      <c r="AE236" s="18"/>
      <c r="AF236" s="32">
        <f>'Bütçe aylık-TL'!$L$147</f>
        <v>786345488.05479205</v>
      </c>
      <c r="AG236" s="32">
        <f>'gerç aylık-tl'!$L$146</f>
        <v>0</v>
      </c>
      <c r="AH236" s="18"/>
      <c r="AI236" s="32">
        <f>'Bütçe aylık-TL'!$M$147</f>
        <v>787889237.05479205</v>
      </c>
      <c r="AJ236" s="32">
        <f>'gerç aylık-tl'!$M$146</f>
        <v>0</v>
      </c>
      <c r="AK236" s="18"/>
      <c r="AL236" s="33">
        <f>AP236-AO236</f>
        <v>553355326.55520785</v>
      </c>
      <c r="AM236" s="34">
        <f>AP236/AO236-1</f>
        <v>0.66461120280200081</v>
      </c>
      <c r="AO236" s="44">
        <f>IF($A$1=$B$1,B236,IF($A$1=$E$1,E236,IF($A$1=$H$1,H236,IF($A$1=$K$1,K236,IF($A$1=$N$1,N236,IF($A$1=$Q$1,Q236,IF($A$1=$T$1,T236,IF($A$1=$W$1,W236,IF($A$1=$Z$1,Z236,IF($A$1=$AC$1,AC236,IF($A$1=$AF$1,AF236,IF($A$1=$AI$1,AI236))))))))))))</f>
        <v>832600058.83479202</v>
      </c>
      <c r="AP236" s="44">
        <f>IF($A$1=$B$1,C236,IF($A$1=$E$1,F236,IF($A$1=$H$1,I236,IF($A$1=$K$1,L236,IF($A$1=$N$1,O236,IF($A$1=$Q$1,R236,IF($A$1=$T$1,U236,IF($A$1=$W$1,X236,IF($A$1=$Z$1,AA236,IF($A$1=$AC$1,AD236,IF($A$1=$AF$1,AG236,IF($A$1=$AI$1,AJ236))))))))))))</f>
        <v>1385955385.3899999</v>
      </c>
    </row>
    <row r="237" spans="1:42" s="13" customFormat="1" ht="15.5">
      <c r="A237" s="27"/>
      <c r="B237" s="30"/>
      <c r="C237" s="30" t="str">
        <f>IFERROR((C194/#REF!),"")</f>
        <v/>
      </c>
      <c r="D237" s="41"/>
      <c r="E237" s="30"/>
      <c r="F237" s="30" t="str">
        <f>IFERROR((F194/#REF!),"")</f>
        <v/>
      </c>
      <c r="G237" s="41"/>
      <c r="H237" s="30"/>
      <c r="I237" s="30" t="str">
        <f>IFERROR((I194/#REF!),"")</f>
        <v/>
      </c>
      <c r="J237" s="41"/>
      <c r="K237" s="30"/>
      <c r="L237" s="30" t="str">
        <f>IFERROR((L194/#REF!),"")</f>
        <v/>
      </c>
      <c r="M237" s="41"/>
      <c r="N237" s="30"/>
      <c r="O237" s="30" t="str">
        <f>IFERROR((O194/#REF!),"")</f>
        <v/>
      </c>
      <c r="P237" s="41"/>
      <c r="Q237" s="30"/>
      <c r="R237" s="30" t="str">
        <f>IFERROR((R194/#REF!),"")</f>
        <v/>
      </c>
      <c r="S237" s="41"/>
      <c r="T237" s="30"/>
      <c r="U237" s="30" t="str">
        <f>IFERROR((U194/#REF!),"")</f>
        <v/>
      </c>
      <c r="V237" s="41"/>
      <c r="W237" s="30"/>
      <c r="X237" s="30" t="str">
        <f>IFERROR((X194/#REF!),"")</f>
        <v/>
      </c>
      <c r="Y237" s="41"/>
      <c r="Z237" s="30"/>
      <c r="AA237" s="30" t="str">
        <f>IFERROR((AA194/#REF!),"")</f>
        <v/>
      </c>
      <c r="AB237" s="41"/>
      <c r="AC237" s="30"/>
      <c r="AD237" s="30" t="str">
        <f>IFERROR((AD194/#REF!),"")</f>
        <v/>
      </c>
      <c r="AE237" s="41"/>
      <c r="AF237" s="30"/>
      <c r="AG237" s="30" t="str">
        <f>IFERROR((AG194/#REF!),"")</f>
        <v/>
      </c>
      <c r="AH237" s="41"/>
      <c r="AI237" s="30"/>
      <c r="AJ237" s="30" t="str">
        <f>IFERROR((AJ194/#REF!),"")</f>
        <v/>
      </c>
      <c r="AK237" s="41"/>
      <c r="AL237" s="15"/>
      <c r="AM237" s="22"/>
      <c r="AO237" s="44">
        <f>IF($A$1=$B$1,B237,IF($A$1=$E$1,E237,IF($A$1=$H$1,H237,IF($A$1=$K$1,K237,IF($A$1=$N$1,N237,IF($A$1=$Q$1,Q237,IF($A$1=$T$1,T237,IF($A$1=$W$1,W237,IF($A$1=$Z$1,Z237,IF($A$1=$AC$1,AC237,IF($A$1=$AF$1,AF237,IF($A$1=$AI$1,AI237))))))))))))</f>
        <v>0</v>
      </c>
      <c r="AP237" s="44" t="str">
        <f>IF($A$1=$B$1,C237,IF($A$1=$E$1,F237,IF($A$1=$H$1,I237,IF($A$1=$K$1,L237,IF($A$1=$N$1,O237,IF($A$1=$Q$1,R237,IF($A$1=$T$1,U237,IF($A$1=$W$1,X237,IF($A$1=$Z$1,AA237,IF($A$1=$AC$1,AD237,IF($A$1=$AF$1,AG237,IF($A$1=$AI$1,AJ237))))))))))))</f>
        <v/>
      </c>
    </row>
    <row r="238" spans="1:42" s="49" customFormat="1" ht="17">
      <c r="A238" s="47" t="s">
        <v>85</v>
      </c>
      <c r="B238" s="413"/>
      <c r="C238" s="413"/>
      <c r="D238" s="413"/>
      <c r="E238" s="413"/>
      <c r="F238" s="413"/>
      <c r="G238" s="413"/>
      <c r="H238" s="413"/>
      <c r="I238" s="413"/>
      <c r="J238" s="413"/>
      <c r="K238" s="413"/>
      <c r="L238" s="413"/>
      <c r="M238" s="413"/>
      <c r="N238" s="413"/>
      <c r="O238" s="413"/>
      <c r="P238" s="413"/>
      <c r="Q238" s="413"/>
      <c r="R238" s="413"/>
      <c r="S238" s="413"/>
      <c r="T238" s="413"/>
      <c r="U238" s="413"/>
      <c r="V238" s="413"/>
      <c r="W238" s="413"/>
      <c r="X238" s="413"/>
      <c r="Y238" s="413"/>
      <c r="Z238" s="413"/>
      <c r="AA238" s="413"/>
      <c r="AB238" s="413"/>
      <c r="AC238" s="413"/>
      <c r="AD238" s="413"/>
      <c r="AE238" s="413"/>
      <c r="AF238" s="413"/>
      <c r="AG238" s="413"/>
      <c r="AH238" s="413"/>
      <c r="AI238" s="413"/>
      <c r="AJ238" s="413"/>
      <c r="AK238" s="413"/>
      <c r="AL238" s="413"/>
      <c r="AM238" s="48"/>
    </row>
    <row r="239" spans="1:42" ht="15.5">
      <c r="A239" s="26" t="s">
        <v>10</v>
      </c>
      <c r="B239" s="7">
        <f>'Bütçe aylık-TL'!$B$148</f>
        <v>0</v>
      </c>
      <c r="C239" s="7">
        <f>'gerç aylık-tl'!$B$147</f>
        <v>0</v>
      </c>
      <c r="D239" s="7"/>
      <c r="E239" s="7">
        <f>'Bütçe aylık-TL'!$C$148</f>
        <v>0</v>
      </c>
      <c r="F239" s="7">
        <f>'gerç aylık-tl'!$C$147</f>
        <v>0</v>
      </c>
      <c r="G239" s="7"/>
      <c r="H239" s="7">
        <f>'Bütçe aylık-TL'!$D$148</f>
        <v>0</v>
      </c>
      <c r="I239" s="7">
        <f>'gerç aylık-tl'!$D$147</f>
        <v>0</v>
      </c>
      <c r="J239" s="7"/>
      <c r="K239" s="7">
        <f>'Bütçe aylık-TL'!$E$148</f>
        <v>0</v>
      </c>
      <c r="L239" s="7">
        <f>'gerç aylık-tl'!$E$147</f>
        <v>0</v>
      </c>
      <c r="M239" s="7"/>
      <c r="N239" s="7">
        <f>'Bütçe aylık-TL'!$F$148</f>
        <v>0</v>
      </c>
      <c r="O239" s="7">
        <f>'gerç aylık-tl'!$F$147</f>
        <v>0</v>
      </c>
      <c r="P239" s="7"/>
      <c r="Q239" s="7">
        <f>'Bütçe aylık-TL'!$G$148</f>
        <v>0</v>
      </c>
      <c r="R239" s="7">
        <f>'gerç aylık-tl'!$G$147</f>
        <v>0</v>
      </c>
      <c r="S239" s="7"/>
      <c r="T239" s="7">
        <f>'Bütçe aylık-TL'!$H$148</f>
        <v>0</v>
      </c>
      <c r="U239" s="7">
        <f>'gerç aylık-tl'!$H$147</f>
        <v>0</v>
      </c>
      <c r="V239" s="7"/>
      <c r="W239" s="7">
        <f>'Bütçe aylık-TL'!$I$148</f>
        <v>0</v>
      </c>
      <c r="X239" s="7">
        <f>'gerç aylık-tl'!$I$147</f>
        <v>0</v>
      </c>
      <c r="Y239" s="7"/>
      <c r="Z239" s="7">
        <f>'Bütçe aylık-TL'!$J$148</f>
        <v>0</v>
      </c>
      <c r="AA239" s="7">
        <f>'gerç aylık-tl'!$J$147</f>
        <v>0</v>
      </c>
      <c r="AB239" s="7"/>
      <c r="AC239" s="7">
        <f>'Bütçe aylık-TL'!$K$148</f>
        <v>0</v>
      </c>
      <c r="AD239" s="7">
        <f>'gerç aylık-tl'!$K$147</f>
        <v>0</v>
      </c>
      <c r="AE239" s="7"/>
      <c r="AF239" s="7">
        <f>'Bütçe aylık-TL'!$L$148</f>
        <v>0</v>
      </c>
      <c r="AG239" s="7">
        <f>'gerç aylık-tl'!$L$147</f>
        <v>0</v>
      </c>
      <c r="AH239" s="7"/>
      <c r="AI239" s="7">
        <f>'Bütçe aylık-TL'!$M$148</f>
        <v>0</v>
      </c>
      <c r="AJ239" s="7">
        <f>'gerç aylık-tl'!$M$147</f>
        <v>0</v>
      </c>
      <c r="AK239" s="7"/>
      <c r="AL239" s="21">
        <f t="shared" ref="AL239:AL246" si="132">AP239-AO239</f>
        <v>0</v>
      </c>
      <c r="AM239" s="22" t="e">
        <f t="shared" ref="AM239:AM246" si="133">AP239/AO239-1</f>
        <v>#DIV/0!</v>
      </c>
      <c r="AO239" s="44">
        <f t="shared" ref="AO239:AO246" si="134">IF($A$1=$B$1,B239,IF($A$1=$E$1,E239,IF($A$1=$H$1,H239,IF($A$1=$K$1,K239,IF($A$1=$N$1,N239,IF($A$1=$Q$1,Q239,IF($A$1=$T$1,T239,IF($A$1=$W$1,W239,IF($A$1=$Z$1,Z239,IF($A$1=$AC$1,AC239,IF($A$1=$AF$1,AF239,IF($A$1=$AI$1,AI239))))))))))))</f>
        <v>0</v>
      </c>
      <c r="AP239" s="44">
        <f t="shared" ref="AP239:AP246" si="135">IF($A$1=$B$1,C239,IF($A$1=$E$1,F239,IF($A$1=$H$1,I239,IF($A$1=$K$1,L239,IF($A$1=$N$1,O239,IF($A$1=$Q$1,R239,IF($A$1=$T$1,U239,IF($A$1=$W$1,X239,IF($A$1=$Z$1,AA239,IF($A$1=$AC$1,AD239,IF($A$1=$AF$1,AG239,IF($A$1=$AI$1,AJ239))))))))))))</f>
        <v>0</v>
      </c>
    </row>
    <row r="240" spans="1:42" ht="15.5">
      <c r="A240" s="26" t="s">
        <v>11</v>
      </c>
      <c r="B240" s="7">
        <f>'Bütçe aylık-TL'!$B$149</f>
        <v>73834171.060000002</v>
      </c>
      <c r="C240" s="7">
        <f>'gerç aylık-tl'!$B$148</f>
        <v>65325403</v>
      </c>
      <c r="D240" s="7"/>
      <c r="E240" s="7">
        <f>'Bütçe aylık-TL'!$C$149</f>
        <v>79515988.189999998</v>
      </c>
      <c r="F240" s="7">
        <f>'gerç aylık-tl'!$C$148</f>
        <v>67852478</v>
      </c>
      <c r="G240" s="7"/>
      <c r="H240" s="7">
        <f>'Bütçe aylık-TL'!$D$149</f>
        <v>78648526.659999996</v>
      </c>
      <c r="I240" s="7">
        <f>'gerç aylık-tl'!$D$148</f>
        <v>71269964.730000004</v>
      </c>
      <c r="J240" s="7"/>
      <c r="K240" s="7">
        <f>'Bütçe aylık-TL'!$E$149</f>
        <v>77781300.900000006</v>
      </c>
      <c r="L240" s="7">
        <f>'gerç aylık-tl'!$E$148</f>
        <v>290407191.19999999</v>
      </c>
      <c r="M240" s="7"/>
      <c r="N240" s="7">
        <f>'Bütçe aylık-TL'!$F$149</f>
        <v>71884573.079999998</v>
      </c>
      <c r="O240" s="7">
        <f>'gerç aylık-tl'!$F$148</f>
        <v>289687738.88999999</v>
      </c>
      <c r="P240" s="7"/>
      <c r="Q240" s="7">
        <f>'Bütçe aylık-TL'!$G$149</f>
        <v>61915832.5</v>
      </c>
      <c r="R240" s="7">
        <f>'gerç aylık-tl'!$G$148</f>
        <v>294966931.94999999</v>
      </c>
      <c r="S240" s="7"/>
      <c r="T240" s="7">
        <f>'Bütçe aylık-TL'!$H$149</f>
        <v>54912962.07</v>
      </c>
      <c r="U240" s="7">
        <f>'gerç aylık-tl'!$H$148</f>
        <v>293932116.80000001</v>
      </c>
      <c r="V240" s="7"/>
      <c r="W240" s="7">
        <f>'Bütçe aylık-TL'!$I$149</f>
        <v>41878095.049999997</v>
      </c>
      <c r="X240" s="7">
        <f>'gerç aylık-tl'!$I$148</f>
        <v>301217184.56</v>
      </c>
      <c r="Y240" s="7"/>
      <c r="Z240" s="7">
        <f>'Bütçe aylık-TL'!$J$149</f>
        <v>36783220.770000003</v>
      </c>
      <c r="AA240" s="7">
        <f>'gerç aylık-tl'!$J$148</f>
        <v>313117561.38999999</v>
      </c>
      <c r="AB240" s="7"/>
      <c r="AC240" s="7">
        <f>'Bütçe aylık-TL'!$K$149</f>
        <v>32645785.420000002</v>
      </c>
      <c r="AD240" s="7">
        <f>'gerç aylık-tl'!$K$148</f>
        <v>0</v>
      </c>
      <c r="AE240" s="7"/>
      <c r="AF240" s="7">
        <f>'Bütçe aylık-TL'!$L$149</f>
        <v>35499999.990000002</v>
      </c>
      <c r="AG240" s="7">
        <f>'gerç aylık-tl'!$L$148</f>
        <v>0</v>
      </c>
      <c r="AH240" s="7"/>
      <c r="AI240" s="7">
        <f>'Bütçe aylık-TL'!$M$149</f>
        <v>32499999.989999998</v>
      </c>
      <c r="AJ240" s="7">
        <f>'gerç aylık-tl'!$M$148</f>
        <v>0</v>
      </c>
      <c r="AK240" s="7"/>
      <c r="AL240" s="21">
        <f t="shared" si="132"/>
        <v>276334340.62</v>
      </c>
      <c r="AM240" s="22">
        <f t="shared" si="133"/>
        <v>7.5125107273198672</v>
      </c>
      <c r="AO240" s="44">
        <f t="shared" si="134"/>
        <v>36783220.770000003</v>
      </c>
      <c r="AP240" s="44">
        <f t="shared" si="135"/>
        <v>313117561.38999999</v>
      </c>
    </row>
    <row r="241" spans="1:42" ht="15.5">
      <c r="A241" s="26" t="s">
        <v>12</v>
      </c>
      <c r="B241" s="7">
        <f>'Bütçe aylık-TL'!$B$150</f>
        <v>12979246</v>
      </c>
      <c r="C241" s="7">
        <f>'gerç aylık-tl'!$B$149</f>
        <v>0</v>
      </c>
      <c r="D241" s="7"/>
      <c r="E241" s="7">
        <f>'Bütçe aylık-TL'!$C$150</f>
        <v>26258452</v>
      </c>
      <c r="F241" s="7">
        <f>'gerç aylık-tl'!$C$149</f>
        <v>8209951.7111060005</v>
      </c>
      <c r="G241" s="7"/>
      <c r="H241" s="7">
        <f>'Bütçe aylık-TL'!$D$150</f>
        <v>20609756</v>
      </c>
      <c r="I241" s="7">
        <f>'gerç aylık-tl'!$D$149</f>
        <v>0</v>
      </c>
      <c r="J241" s="7"/>
      <c r="K241" s="7">
        <f>'Bütçe aylık-TL'!$E$150</f>
        <v>23781474</v>
      </c>
      <c r="L241" s="7">
        <f>'gerç aylık-tl'!$E$149</f>
        <v>12786134.167166</v>
      </c>
      <c r="M241" s="7"/>
      <c r="N241" s="7">
        <f>'Bütçe aylık-TL'!$F$150</f>
        <v>18298935</v>
      </c>
      <c r="O241" s="7">
        <f>'gerç aylık-tl'!$F$149</f>
        <v>18406590.378265001</v>
      </c>
      <c r="P241" s="7"/>
      <c r="Q241" s="7">
        <f>'Bütçe aylık-TL'!$G$150</f>
        <v>14459323</v>
      </c>
      <c r="R241" s="7">
        <f>'gerç aylık-tl'!$G$149</f>
        <v>13279254.005147001</v>
      </c>
      <c r="S241" s="7"/>
      <c r="T241" s="7">
        <f>'Bütçe aylık-TL'!$H$150</f>
        <v>12615089</v>
      </c>
      <c r="U241" s="7">
        <f>'gerç aylık-tl'!$H$149</f>
        <v>22470403.092687</v>
      </c>
      <c r="V241" s="7"/>
      <c r="W241" s="7">
        <f>'Bütçe aylık-TL'!$I$150</f>
        <v>18225211</v>
      </c>
      <c r="X241" s="7">
        <f>'gerç aylık-tl'!$I$149</f>
        <v>17355766.876430001</v>
      </c>
      <c r="Y241" s="7"/>
      <c r="Z241" s="7">
        <f>'Bütçe aylık-TL'!$J$150</f>
        <v>12032397</v>
      </c>
      <c r="AA241" s="7">
        <f>'gerç aylık-tl'!$J$149</f>
        <v>12000000</v>
      </c>
      <c r="AB241" s="7"/>
      <c r="AC241" s="7">
        <f>'Bütçe aylık-TL'!$K$150</f>
        <v>13726352</v>
      </c>
      <c r="AD241" s="7">
        <f>'gerç aylık-tl'!$K$149</f>
        <v>0</v>
      </c>
      <c r="AE241" s="7"/>
      <c r="AF241" s="7">
        <f>'Bütçe aylık-TL'!$L$150</f>
        <v>13861047</v>
      </c>
      <c r="AG241" s="7">
        <f>'gerç aylık-tl'!$L$149</f>
        <v>0</v>
      </c>
      <c r="AH241" s="7"/>
      <c r="AI241" s="7">
        <f>'Bütçe aylık-TL'!$M$150</f>
        <v>18404796</v>
      </c>
      <c r="AJ241" s="7">
        <f>'gerç aylık-tl'!$M$149</f>
        <v>0</v>
      </c>
      <c r="AK241" s="7"/>
      <c r="AL241" s="21">
        <f t="shared" si="132"/>
        <v>-32397</v>
      </c>
      <c r="AM241" s="22">
        <f t="shared" si="133"/>
        <v>-2.6924809744891531E-3</v>
      </c>
      <c r="AO241" s="44">
        <f t="shared" si="134"/>
        <v>12032397</v>
      </c>
      <c r="AP241" s="44">
        <f t="shared" si="135"/>
        <v>12000000</v>
      </c>
    </row>
    <row r="242" spans="1:42" ht="15.5">
      <c r="A242" s="26" t="s">
        <v>13</v>
      </c>
      <c r="B242" s="7">
        <f>'Bütçe aylık-TL'!$B$151</f>
        <v>1544047400</v>
      </c>
      <c r="C242" s="7">
        <f>'gerç aylık-tl'!$B$150</f>
        <v>1699261520.7855599</v>
      </c>
      <c r="D242" s="7"/>
      <c r="E242" s="7">
        <f>'Bütçe aylık-TL'!$C$151</f>
        <v>1564047400</v>
      </c>
      <c r="F242" s="7">
        <f>'gerç aylık-tl'!$C$150</f>
        <v>1821719638.5095401</v>
      </c>
      <c r="G242" s="7"/>
      <c r="H242" s="7">
        <f>'Bütçe aylık-TL'!$D$151</f>
        <v>1599047400</v>
      </c>
      <c r="I242" s="7">
        <f>'gerç aylık-tl'!$D$150</f>
        <v>1768459530.9060299</v>
      </c>
      <c r="J242" s="7"/>
      <c r="K242" s="7">
        <f>'Bütçe aylık-TL'!$E$151</f>
        <v>1634461102.6619799</v>
      </c>
      <c r="L242" s="7">
        <f>'gerç aylık-tl'!$E$150</f>
        <v>1844591039.0100002</v>
      </c>
      <c r="M242" s="7"/>
      <c r="N242" s="7">
        <f>'Bütçe aylık-TL'!$F$151</f>
        <v>1634461102.6619799</v>
      </c>
      <c r="O242" s="7">
        <f>'gerç aylık-tl'!$F$150</f>
        <v>2083198000</v>
      </c>
      <c r="P242" s="7"/>
      <c r="Q242" s="7">
        <f>'Bütçe aylık-TL'!$G$151</f>
        <v>1634461102.6619799</v>
      </c>
      <c r="R242" s="7">
        <f>'gerç aylık-tl'!$G$150</f>
        <v>2332124160</v>
      </c>
      <c r="S242" s="7"/>
      <c r="T242" s="7">
        <f>'Bütçe aylık-TL'!$H$151</f>
        <v>1884461102.6619799</v>
      </c>
      <c r="U242" s="7">
        <f>'gerç aylık-tl'!$H$150</f>
        <v>2484697960</v>
      </c>
      <c r="V242" s="7"/>
      <c r="W242" s="7">
        <f>'Bütçe aylık-TL'!$I$151</f>
        <v>1859461102.6619799</v>
      </c>
      <c r="X242" s="7">
        <f>'gerç aylık-tl'!$I$150</f>
        <v>2505209940</v>
      </c>
      <c r="Y242" s="7"/>
      <c r="Z242" s="7">
        <f>'Bütçe aylık-TL'!$J$151</f>
        <v>1959461102.6619799</v>
      </c>
      <c r="AA242" s="7">
        <f>'gerç aylık-tl'!$J$150</f>
        <v>2652094560</v>
      </c>
      <c r="AB242" s="7"/>
      <c r="AC242" s="7">
        <f>'Bütçe aylık-TL'!$K$151</f>
        <v>1877461102.6619799</v>
      </c>
      <c r="AD242" s="7">
        <f>'gerç aylık-tl'!$K$150</f>
        <v>0</v>
      </c>
      <c r="AE242" s="7"/>
      <c r="AF242" s="7">
        <f>'Bütçe aylık-TL'!$L$151</f>
        <v>1842461102.6619799</v>
      </c>
      <c r="AG242" s="7">
        <f>'gerç aylık-tl'!$L$150</f>
        <v>0</v>
      </c>
      <c r="AH242" s="7"/>
      <c r="AI242" s="7">
        <f>'Bütçe aylık-TL'!$M$151</f>
        <v>1842461102.6619799</v>
      </c>
      <c r="AJ242" s="7">
        <f>'gerç aylık-tl'!$M$150</f>
        <v>0</v>
      </c>
      <c r="AK242" s="7"/>
      <c r="AL242" s="21">
        <f t="shared" si="132"/>
        <v>692633457.33802009</v>
      </c>
      <c r="AM242" s="22">
        <f t="shared" si="133"/>
        <v>0.35348160593596845</v>
      </c>
      <c r="AO242" s="44">
        <f t="shared" si="134"/>
        <v>1959461102.6619799</v>
      </c>
      <c r="AP242" s="44">
        <f t="shared" si="135"/>
        <v>2652094560</v>
      </c>
    </row>
    <row r="243" spans="1:42" s="1" customFormat="1" ht="15.5">
      <c r="A243" s="26" t="s">
        <v>14</v>
      </c>
      <c r="B243" s="7">
        <f>'Bütçe aylık-TL'!$B$152</f>
        <v>0</v>
      </c>
      <c r="C243" s="7">
        <f>'gerç aylık-tl'!$B$151</f>
        <v>0</v>
      </c>
      <c r="D243" s="8"/>
      <c r="E243" s="7">
        <f>'Bütçe aylık-TL'!$C$152</f>
        <v>0</v>
      </c>
      <c r="F243" s="7">
        <f>'gerç aylık-tl'!$C$151</f>
        <v>0</v>
      </c>
      <c r="G243" s="8"/>
      <c r="H243" s="7">
        <f>'Bütçe aylık-TL'!$D$152</f>
        <v>0</v>
      </c>
      <c r="I243" s="7">
        <f>'gerç aylık-tl'!$D$151</f>
        <v>0</v>
      </c>
      <c r="J243" s="8"/>
      <c r="K243" s="7">
        <f>'Bütçe aylık-TL'!$E$152</f>
        <v>0</v>
      </c>
      <c r="L243" s="7">
        <f>'gerç aylık-tl'!$E$151</f>
        <v>0</v>
      </c>
      <c r="M243" s="8"/>
      <c r="N243" s="7">
        <f>'Bütçe aylık-TL'!$F$152</f>
        <v>0</v>
      </c>
      <c r="O243" s="7">
        <f>'gerç aylık-tl'!$F$151</f>
        <v>0</v>
      </c>
      <c r="P243" s="8"/>
      <c r="Q243" s="7">
        <f>'Bütçe aylık-TL'!$G$152</f>
        <v>0</v>
      </c>
      <c r="R243" s="7">
        <f>'gerç aylık-tl'!$G$151</f>
        <v>0</v>
      </c>
      <c r="S243" s="8"/>
      <c r="T243" s="7">
        <f>'Bütçe aylık-TL'!$H$152</f>
        <v>0</v>
      </c>
      <c r="U243" s="7">
        <f>'gerç aylık-tl'!$H$151</f>
        <v>0</v>
      </c>
      <c r="V243" s="8"/>
      <c r="W243" s="7">
        <f>'Bütçe aylık-TL'!$I$152</f>
        <v>0</v>
      </c>
      <c r="X243" s="7">
        <f>'gerç aylık-tl'!$I$151</f>
        <v>0</v>
      </c>
      <c r="Y243" s="8"/>
      <c r="Z243" s="7">
        <f>'Bütçe aylık-TL'!$J$152</f>
        <v>0</v>
      </c>
      <c r="AA243" s="7">
        <f>'gerç aylık-tl'!$J$151</f>
        <v>0</v>
      </c>
      <c r="AB243" s="8"/>
      <c r="AC243" s="7">
        <f>'Bütçe aylık-TL'!$K$152</f>
        <v>0</v>
      </c>
      <c r="AD243" s="7">
        <f>'gerç aylık-tl'!$K$151</f>
        <v>0</v>
      </c>
      <c r="AE243" s="8"/>
      <c r="AF243" s="7">
        <f>'Bütçe aylık-TL'!$L$152</f>
        <v>0</v>
      </c>
      <c r="AG243" s="7">
        <f>'gerç aylık-tl'!$L$151</f>
        <v>0</v>
      </c>
      <c r="AH243" s="8"/>
      <c r="AI243" s="7">
        <f>'Bütçe aylık-TL'!$M$152</f>
        <v>0</v>
      </c>
      <c r="AJ243" s="7">
        <f>'gerç aylık-tl'!$M$151</f>
        <v>0</v>
      </c>
      <c r="AK243" s="8"/>
      <c r="AL243" s="21">
        <f t="shared" si="132"/>
        <v>0</v>
      </c>
      <c r="AM243" s="22" t="e">
        <f t="shared" si="133"/>
        <v>#DIV/0!</v>
      </c>
      <c r="AO243" s="44">
        <f t="shared" si="134"/>
        <v>0</v>
      </c>
      <c r="AP243" s="44">
        <f t="shared" si="135"/>
        <v>0</v>
      </c>
    </row>
    <row r="244" spans="1:42" ht="15.5">
      <c r="A244" s="26" t="s">
        <v>15</v>
      </c>
      <c r="B244" s="7">
        <f>'Bütçe aylık-TL'!$B$153</f>
        <v>0</v>
      </c>
      <c r="C244" s="7">
        <f>'gerç aylık-tl'!$B$152</f>
        <v>0</v>
      </c>
      <c r="D244" s="7"/>
      <c r="E244" s="7">
        <f>'Bütçe aylık-TL'!$C$153</f>
        <v>0</v>
      </c>
      <c r="F244" s="7">
        <f>'gerç aylık-tl'!$C$152</f>
        <v>0</v>
      </c>
      <c r="G244" s="7"/>
      <c r="H244" s="7">
        <f>'Bütçe aylık-TL'!$D$153</f>
        <v>0</v>
      </c>
      <c r="I244" s="7">
        <f>'gerç aylık-tl'!$D$152</f>
        <v>0</v>
      </c>
      <c r="J244" s="7"/>
      <c r="K244" s="7">
        <f>'Bütçe aylık-TL'!$E$153</f>
        <v>0</v>
      </c>
      <c r="L244" s="7">
        <f>'gerç aylık-tl'!$E$152</f>
        <v>0</v>
      </c>
      <c r="M244" s="7"/>
      <c r="N244" s="7">
        <f>'Bütçe aylık-TL'!$F$153</f>
        <v>0</v>
      </c>
      <c r="O244" s="7">
        <f>'gerç aylık-tl'!$F$152</f>
        <v>0</v>
      </c>
      <c r="P244" s="7"/>
      <c r="Q244" s="7">
        <f>'Bütçe aylık-TL'!$G$153</f>
        <v>0</v>
      </c>
      <c r="R244" s="7">
        <f>'gerç aylık-tl'!$G$152</f>
        <v>0</v>
      </c>
      <c r="S244" s="7"/>
      <c r="T244" s="7">
        <f>'Bütçe aylık-TL'!$H$153</f>
        <v>0</v>
      </c>
      <c r="U244" s="7">
        <f>'gerç aylık-tl'!$H$152</f>
        <v>0</v>
      </c>
      <c r="V244" s="7"/>
      <c r="W244" s="7">
        <f>'Bütçe aylık-TL'!$I$153</f>
        <v>0</v>
      </c>
      <c r="X244" s="7">
        <f>'gerç aylık-tl'!$I$152</f>
        <v>0</v>
      </c>
      <c r="Y244" s="7"/>
      <c r="Z244" s="7">
        <f>'Bütçe aylık-TL'!$J$153</f>
        <v>0</v>
      </c>
      <c r="AA244" s="7">
        <f>'gerç aylık-tl'!$J$152</f>
        <v>0</v>
      </c>
      <c r="AB244" s="7"/>
      <c r="AC244" s="7">
        <f>'Bütçe aylık-TL'!$K$153</f>
        <v>0</v>
      </c>
      <c r="AD244" s="7">
        <f>'gerç aylık-tl'!$K$152</f>
        <v>0</v>
      </c>
      <c r="AE244" s="7"/>
      <c r="AF244" s="7">
        <f>'Bütçe aylık-TL'!$L$153</f>
        <v>0</v>
      </c>
      <c r="AG244" s="7">
        <f>'gerç aylık-tl'!$L$152</f>
        <v>0</v>
      </c>
      <c r="AH244" s="7"/>
      <c r="AI244" s="7">
        <f>'Bütçe aylık-TL'!$M$153</f>
        <v>0</v>
      </c>
      <c r="AJ244" s="7">
        <f>'gerç aylık-tl'!$M$152</f>
        <v>0</v>
      </c>
      <c r="AK244" s="7"/>
      <c r="AL244" s="21">
        <f t="shared" si="132"/>
        <v>0</v>
      </c>
      <c r="AM244" s="22" t="e">
        <f t="shared" si="133"/>
        <v>#DIV/0!</v>
      </c>
      <c r="AO244" s="44">
        <f t="shared" si="134"/>
        <v>0</v>
      </c>
      <c r="AP244" s="44">
        <f t="shared" si="135"/>
        <v>0</v>
      </c>
    </row>
    <row r="245" spans="1:42" s="1" customFormat="1" ht="15.5">
      <c r="A245" s="26" t="s">
        <v>16</v>
      </c>
      <c r="B245" s="7">
        <f>'Bütçe aylık-TL'!$B$154</f>
        <v>0</v>
      </c>
      <c r="C245" s="7">
        <f>'gerç aylık-tl'!$B$153</f>
        <v>0</v>
      </c>
      <c r="D245" s="8"/>
      <c r="E245" s="7">
        <f>'Bütçe aylık-TL'!$C$154</f>
        <v>0</v>
      </c>
      <c r="F245" s="7">
        <f>'gerç aylık-tl'!$C$153</f>
        <v>0</v>
      </c>
      <c r="G245" s="8"/>
      <c r="H245" s="7">
        <f>'Bütçe aylık-TL'!$D$154</f>
        <v>0</v>
      </c>
      <c r="I245" s="7">
        <f>'gerç aylık-tl'!$D$153</f>
        <v>0</v>
      </c>
      <c r="J245" s="8"/>
      <c r="K245" s="7">
        <f>'Bütçe aylık-TL'!$E$154</f>
        <v>0</v>
      </c>
      <c r="L245" s="7">
        <f>'gerç aylık-tl'!$E$153</f>
        <v>0</v>
      </c>
      <c r="M245" s="8"/>
      <c r="N245" s="7">
        <f>'Bütçe aylık-TL'!$F$154</f>
        <v>0</v>
      </c>
      <c r="O245" s="7">
        <f>'gerç aylık-tl'!$F$153</f>
        <v>0</v>
      </c>
      <c r="P245" s="8"/>
      <c r="Q245" s="7">
        <f>'Bütçe aylık-TL'!$G$154</f>
        <v>0</v>
      </c>
      <c r="R245" s="7">
        <f>'gerç aylık-tl'!$G$153</f>
        <v>0</v>
      </c>
      <c r="S245" s="8"/>
      <c r="T245" s="7">
        <f>'Bütçe aylık-TL'!$H$154</f>
        <v>0</v>
      </c>
      <c r="U245" s="7">
        <f>'gerç aylık-tl'!$H$153</f>
        <v>0</v>
      </c>
      <c r="V245" s="8"/>
      <c r="W245" s="7">
        <f>'Bütçe aylık-TL'!$I$154</f>
        <v>0</v>
      </c>
      <c r="X245" s="7">
        <f>'gerç aylık-tl'!$I$153</f>
        <v>0</v>
      </c>
      <c r="Y245" s="8"/>
      <c r="Z245" s="7">
        <f>'Bütçe aylık-TL'!$J$154</f>
        <v>0</v>
      </c>
      <c r="AA245" s="7">
        <f>'gerç aylık-tl'!$J$153</f>
        <v>0</v>
      </c>
      <c r="AB245" s="8"/>
      <c r="AC245" s="7">
        <f>'Bütçe aylık-TL'!$K$154</f>
        <v>0</v>
      </c>
      <c r="AD245" s="7">
        <f>'gerç aylık-tl'!$K$153</f>
        <v>0</v>
      </c>
      <c r="AE245" s="8"/>
      <c r="AF245" s="7">
        <f>'Bütçe aylık-TL'!$L$154</f>
        <v>0</v>
      </c>
      <c r="AG245" s="7">
        <f>'gerç aylık-tl'!$L$153</f>
        <v>0</v>
      </c>
      <c r="AH245" s="8"/>
      <c r="AI245" s="7">
        <f>'Bütçe aylık-TL'!$M$154</f>
        <v>0</v>
      </c>
      <c r="AJ245" s="7">
        <f>'gerç aylık-tl'!$M$153</f>
        <v>0</v>
      </c>
      <c r="AK245" s="8"/>
      <c r="AL245" s="21">
        <f t="shared" si="132"/>
        <v>0</v>
      </c>
      <c r="AM245" s="22" t="e">
        <f t="shared" si="133"/>
        <v>#DIV/0!</v>
      </c>
      <c r="AO245" s="44">
        <f t="shared" si="134"/>
        <v>0</v>
      </c>
      <c r="AP245" s="44">
        <f t="shared" si="135"/>
        <v>0</v>
      </c>
    </row>
    <row r="246" spans="1:42" s="1" customFormat="1" ht="15.5">
      <c r="A246" s="26" t="s">
        <v>17</v>
      </c>
      <c r="B246" s="7">
        <f>'Bütçe aylık-TL'!$B$155</f>
        <v>0</v>
      </c>
      <c r="C246" s="7">
        <f>'gerç aylık-tl'!$B$154</f>
        <v>0</v>
      </c>
      <c r="D246" s="8"/>
      <c r="E246" s="7">
        <f>'Bütçe aylık-TL'!$C$155</f>
        <v>0</v>
      </c>
      <c r="F246" s="7">
        <f>'gerç aylık-tl'!$C$154</f>
        <v>0</v>
      </c>
      <c r="G246" s="8"/>
      <c r="H246" s="7">
        <f>'Bütçe aylık-TL'!$D$155</f>
        <v>0</v>
      </c>
      <c r="I246" s="7">
        <f>'gerç aylık-tl'!$D$154</f>
        <v>0</v>
      </c>
      <c r="J246" s="8"/>
      <c r="K246" s="7">
        <f>'Bütçe aylık-TL'!$E$155</f>
        <v>0</v>
      </c>
      <c r="L246" s="7">
        <f>'gerç aylık-tl'!$E$154</f>
        <v>0</v>
      </c>
      <c r="M246" s="8"/>
      <c r="N246" s="7">
        <f>'Bütçe aylık-TL'!$F$155</f>
        <v>0</v>
      </c>
      <c r="O246" s="7">
        <f>'gerç aylık-tl'!$F$154</f>
        <v>0</v>
      </c>
      <c r="P246" s="8"/>
      <c r="Q246" s="7">
        <f>'Bütçe aylık-TL'!$G$155</f>
        <v>0</v>
      </c>
      <c r="R246" s="7">
        <f>'gerç aylık-tl'!$G$154</f>
        <v>0</v>
      </c>
      <c r="S246" s="8"/>
      <c r="T246" s="7">
        <f>'Bütçe aylık-TL'!$H$155</f>
        <v>0</v>
      </c>
      <c r="U246" s="7">
        <f>'gerç aylık-tl'!$H$154</f>
        <v>0</v>
      </c>
      <c r="V246" s="8"/>
      <c r="W246" s="7">
        <f>'Bütçe aylık-TL'!$I$155</f>
        <v>0</v>
      </c>
      <c r="X246" s="7">
        <f>'gerç aylık-tl'!$I$154</f>
        <v>0</v>
      </c>
      <c r="Y246" s="8"/>
      <c r="Z246" s="7">
        <f>'Bütçe aylık-TL'!$J$155</f>
        <v>0</v>
      </c>
      <c r="AA246" s="7">
        <f>'gerç aylık-tl'!$J$154</f>
        <v>0</v>
      </c>
      <c r="AB246" s="8"/>
      <c r="AC246" s="7">
        <f>'Bütçe aylık-TL'!$K$155</f>
        <v>0</v>
      </c>
      <c r="AD246" s="7">
        <f>'gerç aylık-tl'!$K$154</f>
        <v>0</v>
      </c>
      <c r="AE246" s="8"/>
      <c r="AF246" s="7">
        <f>'Bütçe aylık-TL'!$L$155</f>
        <v>0</v>
      </c>
      <c r="AG246" s="7">
        <f>'gerç aylık-tl'!$L$154</f>
        <v>0</v>
      </c>
      <c r="AH246" s="8"/>
      <c r="AI246" s="7">
        <f>'Bütçe aylık-TL'!$M$155</f>
        <v>0</v>
      </c>
      <c r="AJ246" s="7">
        <f>'gerç aylık-tl'!$M$154</f>
        <v>0</v>
      </c>
      <c r="AK246" s="8"/>
      <c r="AL246" s="21">
        <f t="shared" si="132"/>
        <v>0</v>
      </c>
      <c r="AM246" s="22" t="e">
        <f t="shared" si="133"/>
        <v>#DIV/0!</v>
      </c>
      <c r="AO246" s="44">
        <f t="shared" si="134"/>
        <v>0</v>
      </c>
      <c r="AP246" s="44">
        <f t="shared" si="135"/>
        <v>0</v>
      </c>
    </row>
    <row r="247" spans="1:42" s="1" customFormat="1" ht="15.5">
      <c r="A247" s="26"/>
      <c r="B247" s="7"/>
      <c r="C247" s="8"/>
      <c r="D247" s="8"/>
      <c r="E247" s="7"/>
      <c r="F247" s="8"/>
      <c r="G247" s="8"/>
      <c r="H247" s="7"/>
      <c r="I247" s="8"/>
      <c r="J247" s="8"/>
      <c r="K247" s="7"/>
      <c r="L247" s="8"/>
      <c r="M247" s="8"/>
      <c r="N247" s="7"/>
      <c r="O247" s="8"/>
      <c r="P247" s="8"/>
      <c r="Q247" s="7"/>
      <c r="R247" s="8"/>
      <c r="S247" s="8"/>
      <c r="T247" s="7"/>
      <c r="U247" s="8"/>
      <c r="V247" s="8"/>
      <c r="W247" s="7"/>
      <c r="X247" s="8"/>
      <c r="Y247" s="8"/>
      <c r="Z247" s="7"/>
      <c r="AA247" s="8"/>
      <c r="AB247" s="8"/>
      <c r="AC247" s="7"/>
      <c r="AD247" s="8"/>
      <c r="AE247" s="8"/>
      <c r="AF247" s="7"/>
      <c r="AG247" s="8"/>
      <c r="AH247" s="8"/>
      <c r="AI247" s="7"/>
      <c r="AJ247" s="8"/>
      <c r="AK247" s="8"/>
      <c r="AL247" s="15"/>
      <c r="AM247" s="16"/>
      <c r="AO247" s="44"/>
      <c r="AP247" s="44"/>
    </row>
    <row r="248" spans="1:42" s="1" customFormat="1" ht="15.5">
      <c r="A248" s="26"/>
      <c r="B248" s="7"/>
      <c r="C248" s="8"/>
      <c r="D248" s="8"/>
      <c r="E248" s="7"/>
      <c r="F248" s="8"/>
      <c r="G248" s="8"/>
      <c r="H248" s="7"/>
      <c r="I248" s="8"/>
      <c r="J248" s="8"/>
      <c r="K248" s="7"/>
      <c r="L248" s="8"/>
      <c r="M248" s="8"/>
      <c r="N248" s="7"/>
      <c r="O248" s="8"/>
      <c r="P248" s="8"/>
      <c r="Q248" s="7"/>
      <c r="R248" s="8"/>
      <c r="S248" s="8"/>
      <c r="T248" s="7"/>
      <c r="U248" s="8"/>
      <c r="V248" s="8"/>
      <c r="W248" s="7"/>
      <c r="X248" s="8"/>
      <c r="Y248" s="8"/>
      <c r="Z248" s="7"/>
      <c r="AA248" s="8"/>
      <c r="AB248" s="8"/>
      <c r="AC248" s="7"/>
      <c r="AD248" s="8"/>
      <c r="AE248" s="8"/>
      <c r="AF248" s="7"/>
      <c r="AG248" s="8"/>
      <c r="AH248" s="8"/>
      <c r="AI248" s="7"/>
      <c r="AJ248" s="8"/>
      <c r="AK248" s="8"/>
      <c r="AL248" s="15"/>
      <c r="AM248" s="16"/>
      <c r="AO248" s="44"/>
      <c r="AP248" s="44"/>
    </row>
    <row r="249" spans="1:42" s="44" customFormat="1" ht="15.5">
      <c r="A249" s="31" t="s">
        <v>86</v>
      </c>
      <c r="B249" s="32">
        <f>'Bütçe aylık-TL'!$B$160</f>
        <v>1505676702.7970102</v>
      </c>
      <c r="C249" s="32">
        <f>'gerç aylık-tl'!$B$159</f>
        <v>1536456036.1650181</v>
      </c>
      <c r="D249" s="18"/>
      <c r="E249" s="32">
        <f>'Bütçe aylık-TL'!$C$160</f>
        <v>1065954309.8881643</v>
      </c>
      <c r="F249" s="32">
        <f>'gerç aylık-tl'!$C$159</f>
        <v>1483637054.065928</v>
      </c>
      <c r="G249" s="18"/>
      <c r="H249" s="32">
        <f>'Bütçe aylık-TL'!$D$160</f>
        <v>1101922685.957973</v>
      </c>
      <c r="I249" s="32">
        <f>'gerç aylık-tl'!$D$159</f>
        <v>1672230348.0501313</v>
      </c>
      <c r="J249" s="18"/>
      <c r="K249" s="32">
        <f>'Bütçe aylık-TL'!$E$160</f>
        <v>959868779.6135304</v>
      </c>
      <c r="L249" s="32">
        <f>'gerç aylık-tl'!$E$159</f>
        <v>1342518767.1769826</v>
      </c>
      <c r="M249" s="18"/>
      <c r="N249" s="32">
        <f>'Bütçe aylık-TL'!$F$160</f>
        <v>1049850023.7646211</v>
      </c>
      <c r="O249" s="32">
        <f>'gerç aylık-tl'!$F$159</f>
        <v>1270884364.2850852</v>
      </c>
      <c r="P249" s="18"/>
      <c r="Q249" s="32">
        <f>'Bütçe aylık-TL'!$G$160</f>
        <v>1214225775.6338835</v>
      </c>
      <c r="R249" s="32">
        <f>'gerç aylık-tl'!$G$159</f>
        <v>1447229234.319191</v>
      </c>
      <c r="S249" s="18"/>
      <c r="T249" s="32">
        <f>'Bütçe aylık-TL'!$H$160</f>
        <v>1195959068.1634884</v>
      </c>
      <c r="U249" s="32">
        <f>'gerç aylık-tl'!$H$159</f>
        <v>1548036938.0402036</v>
      </c>
      <c r="V249" s="18"/>
      <c r="W249" s="32">
        <f>'Bütçe aylık-TL'!$I$160</f>
        <v>1256329557.3505085</v>
      </c>
      <c r="X249" s="32">
        <f>'gerç aylık-tl'!$I$159</f>
        <v>1617454457.0697367</v>
      </c>
      <c r="Y249" s="18"/>
      <c r="Z249" s="32">
        <f>'Bütçe aylık-TL'!$J$160</f>
        <v>1461446642.4474893</v>
      </c>
      <c r="AA249" s="32">
        <f>'gerç aylık-tl'!$J$159</f>
        <v>1604929008.4831285</v>
      </c>
      <c r="AB249" s="18"/>
      <c r="AC249" s="32">
        <f>'Bütçe aylık-TL'!$K$160</f>
        <v>1358624957.0492771</v>
      </c>
      <c r="AD249" s="32">
        <f>'gerç aylık-tl'!$K$159</f>
        <v>0</v>
      </c>
      <c r="AE249" s="18"/>
      <c r="AF249" s="32">
        <f>'Bütçe aylık-TL'!$L$160</f>
        <v>1534972894.4801064</v>
      </c>
      <c r="AG249" s="32">
        <f>'gerç aylık-tl'!$L$159</f>
        <v>0</v>
      </c>
      <c r="AH249" s="18"/>
      <c r="AI249" s="32">
        <f>'Bütçe aylık-TL'!$M$160</f>
        <v>1749198159.6860981</v>
      </c>
      <c r="AJ249" s="32">
        <f>'gerç aylık-tl'!$M$159</f>
        <v>0</v>
      </c>
      <c r="AK249" s="18"/>
      <c r="AL249" s="33">
        <f>AP249-AO249</f>
        <v>143482366.03563929</v>
      </c>
      <c r="AM249" s="34">
        <f>AP249/AO249-1</f>
        <v>9.8178313096227043E-2</v>
      </c>
      <c r="AO249" s="44">
        <f>IF($A$1=$B$1,B249,IF($A$1=$E$1,E249,IF($A$1=$H$1,H249,IF($A$1=$K$1,K249,IF($A$1=$N$1,N249,IF($A$1=$Q$1,Q249,IF($A$1=$T$1,T249,IF($A$1=$W$1,W249,IF($A$1=$Z$1,Z249,IF($A$1=$AC$1,AC249,IF($A$1=$AF$1,AF249,IF($A$1=$AI$1,AI249))))))))))))</f>
        <v>1461446642.4474893</v>
      </c>
      <c r="AP249" s="44">
        <f>IF($A$1=$B$1,C249,IF($A$1=$E$1,F249,IF($A$1=$H$1,I249,IF($A$1=$K$1,L249,IF($A$1=$N$1,O249,IF($A$1=$Q$1,R249,IF($A$1=$T$1,U249,IF($A$1=$W$1,X249,IF($A$1=$Z$1,AA249,IF($A$1=$AC$1,AD249,IF($A$1=$AF$1,AG249,IF($A$1=$AI$1,AJ249))))))))))))</f>
        <v>1604929008.4831285</v>
      </c>
    </row>
    <row r="250" spans="1:42" s="13" customFormat="1" ht="15.5">
      <c r="A250" s="27"/>
      <c r="B250" s="30"/>
      <c r="C250" s="30" t="str">
        <f>IFERROR((C207/#REF!),"")</f>
        <v/>
      </c>
      <c r="D250" s="41"/>
      <c r="E250" s="30"/>
      <c r="F250" s="30" t="str">
        <f>IFERROR((F207/#REF!),"")</f>
        <v/>
      </c>
      <c r="G250" s="41"/>
      <c r="H250" s="30"/>
      <c r="I250" s="30" t="str">
        <f>IFERROR((I207/#REF!),"")</f>
        <v/>
      </c>
      <c r="J250" s="41"/>
      <c r="K250" s="30"/>
      <c r="L250" s="30" t="str">
        <f>IFERROR((L207/#REF!),"")</f>
        <v/>
      </c>
      <c r="M250" s="41"/>
      <c r="N250" s="30"/>
      <c r="O250" s="30" t="str">
        <f>IFERROR((O207/#REF!),"")</f>
        <v/>
      </c>
      <c r="P250" s="41"/>
      <c r="Q250" s="30"/>
      <c r="R250" s="30" t="str">
        <f>IFERROR((R207/#REF!),"")</f>
        <v/>
      </c>
      <c r="S250" s="41"/>
      <c r="T250" s="30"/>
      <c r="U250" s="30" t="str">
        <f>IFERROR((U207/#REF!),"")</f>
        <v/>
      </c>
      <c r="V250" s="41"/>
      <c r="W250" s="30"/>
      <c r="X250" s="30" t="str">
        <f>IFERROR((X207/#REF!),"")</f>
        <v/>
      </c>
      <c r="Y250" s="41"/>
      <c r="Z250" s="30"/>
      <c r="AA250" s="30" t="str">
        <f>IFERROR((AA207/#REF!),"")</f>
        <v/>
      </c>
      <c r="AB250" s="41"/>
      <c r="AC250" s="30"/>
      <c r="AD250" s="30" t="str">
        <f>IFERROR((AD207/#REF!),"")</f>
        <v/>
      </c>
      <c r="AE250" s="41"/>
      <c r="AF250" s="30"/>
      <c r="AG250" s="30" t="str">
        <f>IFERROR((AG207/#REF!),"")</f>
        <v/>
      </c>
      <c r="AH250" s="41"/>
      <c r="AI250" s="30"/>
      <c r="AJ250" s="30" t="str">
        <f>IFERROR((AJ207/#REF!),"")</f>
        <v/>
      </c>
      <c r="AK250" s="41"/>
      <c r="AL250" s="15"/>
      <c r="AM250" s="22"/>
      <c r="AO250" s="44">
        <f>IF($A$1=$B$1,B250,IF($A$1=$E$1,E250,IF($A$1=$H$1,H250,IF($A$1=$K$1,K250,IF($A$1=$N$1,N250,IF($A$1=$Q$1,Q250,IF($A$1=$T$1,T250,IF($A$1=$W$1,W250,IF($A$1=$Z$1,Z250,IF($A$1=$AC$1,AC250,IF($A$1=$AF$1,AF250,IF($A$1=$AI$1,AI250))))))))))))</f>
        <v>0</v>
      </c>
      <c r="AP250" s="44" t="str">
        <f>IF($A$1=$B$1,C250,IF($A$1=$E$1,F250,IF($A$1=$H$1,I250,IF($A$1=$K$1,L250,IF($A$1=$N$1,O250,IF($A$1=$Q$1,R250,IF($A$1=$T$1,U250,IF($A$1=$W$1,X250,IF($A$1=$Z$1,AA250,IF($A$1=$AC$1,AD250,IF($A$1=$AF$1,AG250,IF($A$1=$AI$1,AJ250))))))))))))</f>
        <v/>
      </c>
    </row>
    <row r="251" spans="1:42" s="49" customFormat="1" ht="17">
      <c r="A251" s="47" t="s">
        <v>87</v>
      </c>
      <c r="B251" s="413"/>
      <c r="C251" s="413"/>
      <c r="D251" s="413"/>
      <c r="E251" s="413"/>
      <c r="F251" s="413"/>
      <c r="G251" s="413"/>
      <c r="H251" s="413"/>
      <c r="I251" s="413"/>
      <c r="J251" s="413"/>
      <c r="K251" s="413"/>
      <c r="L251" s="413"/>
      <c r="M251" s="413"/>
      <c r="N251" s="413"/>
      <c r="O251" s="413"/>
      <c r="P251" s="413"/>
      <c r="Q251" s="413"/>
      <c r="R251" s="413"/>
      <c r="S251" s="413"/>
      <c r="T251" s="413"/>
      <c r="U251" s="413"/>
      <c r="V251" s="413"/>
      <c r="W251" s="413"/>
      <c r="X251" s="413"/>
      <c r="Y251" s="413"/>
      <c r="Z251" s="413"/>
      <c r="AA251" s="413"/>
      <c r="AB251" s="413"/>
      <c r="AC251" s="413"/>
      <c r="AD251" s="413"/>
      <c r="AE251" s="413"/>
      <c r="AF251" s="413"/>
      <c r="AG251" s="413"/>
      <c r="AH251" s="413"/>
      <c r="AI251" s="413"/>
      <c r="AJ251" s="413"/>
      <c r="AK251" s="413"/>
      <c r="AL251" s="413"/>
      <c r="AM251" s="48"/>
    </row>
    <row r="252" spans="1:42" ht="15.5">
      <c r="A252" s="26" t="s">
        <v>10</v>
      </c>
      <c r="B252" s="7">
        <f>'Bütçe aylık-TL'!$B$161</f>
        <v>899592378.16878104</v>
      </c>
      <c r="C252" s="7">
        <f>'gerç aylık-tl'!$B$160</f>
        <v>930276247.77540696</v>
      </c>
      <c r="D252" s="7"/>
      <c r="E252" s="7">
        <f>'Bütçe aylık-TL'!$C$161</f>
        <v>516913006.39238799</v>
      </c>
      <c r="F252" s="7">
        <f>'gerç aylık-tl'!$C$160</f>
        <v>972281280.50488806</v>
      </c>
      <c r="G252" s="7"/>
      <c r="H252" s="7">
        <f>'Bütçe aylık-TL'!$D$161</f>
        <v>410864907.65035498</v>
      </c>
      <c r="I252" s="7">
        <f>'gerç aylık-tl'!$D$160</f>
        <v>961848669.04997694</v>
      </c>
      <c r="J252" s="7"/>
      <c r="K252" s="7">
        <f>'Bütçe aylık-TL'!$E$161</f>
        <v>408281784.11706603</v>
      </c>
      <c r="L252" s="7">
        <f>'gerç aylık-tl'!$E$160</f>
        <v>659356234.62218499</v>
      </c>
      <c r="M252" s="7"/>
      <c r="N252" s="7">
        <f>'Bütçe aylık-TL'!$F$161</f>
        <v>432667461.78618199</v>
      </c>
      <c r="O252" s="7">
        <f>'gerç aylık-tl'!$F$160</f>
        <v>702362911.49849403</v>
      </c>
      <c r="P252" s="7"/>
      <c r="Q252" s="7">
        <f>'Bütçe aylık-TL'!$G$161</f>
        <v>395637285.98241401</v>
      </c>
      <c r="R252" s="7">
        <f>'gerç aylık-tl'!$G$160</f>
        <v>721975936.349998</v>
      </c>
      <c r="S252" s="7"/>
      <c r="T252" s="7">
        <f>'Bütçe aylık-TL'!$H$161</f>
        <v>401879964.25948399</v>
      </c>
      <c r="U252" s="7">
        <f>'gerç aylık-tl'!$H$160</f>
        <v>870288240.31000495</v>
      </c>
      <c r="V252" s="7"/>
      <c r="W252" s="7">
        <f>'Bütçe aylık-TL'!$I$161</f>
        <v>430324209.29405397</v>
      </c>
      <c r="X252" s="7">
        <f>'gerç aylık-tl'!$I$160</f>
        <v>914372909.32867205</v>
      </c>
      <c r="Y252" s="7"/>
      <c r="Z252" s="7">
        <f>'Bütçe aylık-TL'!$J$161</f>
        <v>427699437.96364897</v>
      </c>
      <c r="AA252" s="7">
        <f>'gerç aylık-tl'!$J$160</f>
        <v>831475506.56474304</v>
      </c>
      <c r="AB252" s="7"/>
      <c r="AC252" s="7">
        <f>'Bütçe aylık-TL'!$K$161</f>
        <v>435825438.22600299</v>
      </c>
      <c r="AD252" s="7">
        <f>'gerç aylık-tl'!$K$160</f>
        <v>0</v>
      </c>
      <c r="AE252" s="7"/>
      <c r="AF252" s="7">
        <f>'Bütçe aylık-TL'!$L$161</f>
        <v>510981405.92685997</v>
      </c>
      <c r="AG252" s="7">
        <f>'gerç aylık-tl'!$L$160</f>
        <v>0</v>
      </c>
      <c r="AH252" s="7"/>
      <c r="AI252" s="7">
        <f>'Bütçe aylık-TL'!$M$161</f>
        <v>481003047.897111</v>
      </c>
      <c r="AJ252" s="7">
        <f>'gerç aylık-tl'!$M$160</f>
        <v>0</v>
      </c>
      <c r="AK252" s="7"/>
      <c r="AL252" s="21">
        <f t="shared" ref="AL252:AL259" si="136">AP252-AO252</f>
        <v>403776068.60109407</v>
      </c>
      <c r="AM252" s="22">
        <f t="shared" ref="AM252:AM259" si="137">AP252/AO252-1</f>
        <v>0.94406499696034629</v>
      </c>
      <c r="AO252" s="44">
        <f t="shared" ref="AO252:AO259" si="138">IF($A$1=$B$1,B252,IF($A$1=$E$1,E252,IF($A$1=$H$1,H252,IF($A$1=$K$1,K252,IF($A$1=$N$1,N252,IF($A$1=$Q$1,Q252,IF($A$1=$T$1,T252,IF($A$1=$W$1,W252,IF($A$1=$Z$1,Z252,IF($A$1=$AC$1,AC252,IF($A$1=$AF$1,AF252,IF($A$1=$AI$1,AI252))))))))))))</f>
        <v>427699437.96364897</v>
      </c>
      <c r="AP252" s="44">
        <f t="shared" ref="AP252:AP259" si="139">IF($A$1=$B$1,C252,IF($A$1=$E$1,F252,IF($A$1=$H$1,I252,IF($A$1=$K$1,L252,IF($A$1=$N$1,O252,IF($A$1=$Q$1,R252,IF($A$1=$T$1,U252,IF($A$1=$W$1,X252,IF($A$1=$Z$1,AA252,IF($A$1=$AC$1,AD252,IF($A$1=$AF$1,AG252,IF($A$1=$AI$1,AJ252))))))))))))</f>
        <v>831475506.56474304</v>
      </c>
    </row>
    <row r="253" spans="1:42" ht="15.5">
      <c r="A253" s="26" t="s">
        <v>11</v>
      </c>
      <c r="B253" s="7">
        <f>'Bütçe aylık-TL'!$B$162</f>
        <v>339777.79840600002</v>
      </c>
      <c r="C253" s="7">
        <f>'gerç aylık-tl'!$B$161</f>
        <v>6155399.1500000004</v>
      </c>
      <c r="D253" s="7"/>
      <c r="E253" s="7">
        <f>'Bütçe aylık-TL'!$C$162</f>
        <v>672993.45594000001</v>
      </c>
      <c r="F253" s="7">
        <f>'gerç aylık-tl'!$C$161</f>
        <v>1490601.65</v>
      </c>
      <c r="G253" s="7"/>
      <c r="H253" s="7">
        <f>'Bütçe aylık-TL'!$D$162</f>
        <v>681402.74185200001</v>
      </c>
      <c r="I253" s="7">
        <f>'gerç aylık-tl'!$D$161</f>
        <v>963277.67</v>
      </c>
      <c r="J253" s="7"/>
      <c r="K253" s="7">
        <f>'Bütçe aylık-TL'!$E$162</f>
        <v>576400.53234999999</v>
      </c>
      <c r="L253" s="7">
        <f>'gerç aylık-tl'!$E$161</f>
        <v>41893278.899999999</v>
      </c>
      <c r="M253" s="7"/>
      <c r="N253" s="7">
        <f>'Bütçe aylık-TL'!$F$162</f>
        <v>45532.963028999999</v>
      </c>
      <c r="O253" s="7">
        <f>'gerç aylık-tl'!$F$161</f>
        <v>11187114.195</v>
      </c>
      <c r="P253" s="7"/>
      <c r="Q253" s="7">
        <f>'Bütçe aylık-TL'!$G$162</f>
        <v>312446.31981100002</v>
      </c>
      <c r="R253" s="7">
        <f>'gerç aylık-tl'!$G$161</f>
        <v>2847616.62</v>
      </c>
      <c r="S253" s="7"/>
      <c r="T253" s="7">
        <f>'Bütçe aylık-TL'!$H$162</f>
        <v>343004.58984799997</v>
      </c>
      <c r="U253" s="7">
        <f>'gerç aylık-tl'!$H$161</f>
        <v>2788572.7050000001</v>
      </c>
      <c r="V253" s="7"/>
      <c r="W253" s="7">
        <f>'Bütçe aylık-TL'!$I$162</f>
        <v>488708.37719700002</v>
      </c>
      <c r="X253" s="7">
        <f>'gerç aylık-tl'!$I$161</f>
        <v>1573009.2424999999</v>
      </c>
      <c r="Y253" s="7"/>
      <c r="Z253" s="7">
        <f>'Bütçe aylık-TL'!$J$162</f>
        <v>747981.70355099998</v>
      </c>
      <c r="AA253" s="7">
        <f>'gerç aylık-tl'!$J$161</f>
        <v>2330485.29</v>
      </c>
      <c r="AB253" s="7"/>
      <c r="AC253" s="7">
        <f>'Bütçe aylık-TL'!$K$162</f>
        <v>120500.942989</v>
      </c>
      <c r="AD253" s="7">
        <f>'gerç aylık-tl'!$K$161</f>
        <v>0</v>
      </c>
      <c r="AE253" s="7"/>
      <c r="AF253" s="7">
        <f>'Bütçe aylık-TL'!$L$162</f>
        <v>385595.97722599999</v>
      </c>
      <c r="AG253" s="7">
        <f>'gerç aylık-tl'!$L$161</f>
        <v>0</v>
      </c>
      <c r="AH253" s="7"/>
      <c r="AI253" s="7">
        <f>'Bütçe aylık-TL'!$M$162</f>
        <v>125873.163797</v>
      </c>
      <c r="AJ253" s="7">
        <f>'gerç aylık-tl'!$M$161</f>
        <v>0</v>
      </c>
      <c r="AK253" s="7"/>
      <c r="AL253" s="21">
        <f t="shared" si="136"/>
        <v>1582503.5864490001</v>
      </c>
      <c r="AM253" s="22">
        <f t="shared" si="137"/>
        <v>2.1156982569709335</v>
      </c>
      <c r="AO253" s="44">
        <f t="shared" si="138"/>
        <v>747981.70355099998</v>
      </c>
      <c r="AP253" s="44">
        <f t="shared" si="139"/>
        <v>2330485.29</v>
      </c>
    </row>
    <row r="254" spans="1:42" ht="15.5">
      <c r="A254" s="26" t="s">
        <v>12</v>
      </c>
      <c r="B254" s="7">
        <f>'Bütçe aylık-TL'!$B$163</f>
        <v>0.159937</v>
      </c>
      <c r="C254" s="7">
        <f>'gerç aylık-tl'!$B$162</f>
        <v>5464283</v>
      </c>
      <c r="D254" s="7"/>
      <c r="E254" s="7">
        <f>'Bütçe aylık-TL'!$C$163</f>
        <v>0.31372100000000003</v>
      </c>
      <c r="F254" s="7">
        <f>'gerç aylık-tl'!$C$162</f>
        <v>3519558</v>
      </c>
      <c r="G254" s="7"/>
      <c r="H254" s="7">
        <f>'Bütçe aylık-TL'!$D$163</f>
        <v>-0.27301300000000001</v>
      </c>
      <c r="I254" s="7">
        <f>'gerç aylık-tl'!$D$162</f>
        <v>9147816</v>
      </c>
      <c r="J254" s="7"/>
      <c r="K254" s="7">
        <f>'Bütçe aylık-TL'!$E$163</f>
        <v>0.33074500000000001</v>
      </c>
      <c r="L254" s="7">
        <f>'gerç aylık-tl'!$E$162</f>
        <v>3065732</v>
      </c>
      <c r="M254" s="7"/>
      <c r="N254" s="7">
        <f>'Bütçe aylık-TL'!$F$163</f>
        <v>-0.109099</v>
      </c>
      <c r="O254" s="7">
        <f>'gerç aylık-tl'!$F$162</f>
        <v>5196919</v>
      </c>
      <c r="P254" s="7"/>
      <c r="Q254" s="7">
        <f>'Bütçe aylık-TL'!$G$163</f>
        <v>0.267314</v>
      </c>
      <c r="R254" s="7">
        <f>'gerç aylık-tl'!$G$162</f>
        <v>3455835</v>
      </c>
      <c r="S254" s="7"/>
      <c r="T254" s="7">
        <f>'Bütçe aylık-TL'!$H$163</f>
        <v>-0.22375200000000001</v>
      </c>
      <c r="U254" s="7">
        <f>'gerç aylık-tl'!$H$162</f>
        <v>1388049</v>
      </c>
      <c r="V254" s="7"/>
      <c r="W254" s="7">
        <f>'Bütçe aylık-TL'!$I$163</f>
        <v>0.27898699999999999</v>
      </c>
      <c r="X254" s="7">
        <f>'gerç aylık-tl'!$I$162</f>
        <v>7302043</v>
      </c>
      <c r="Y254" s="7"/>
      <c r="Z254" s="7">
        <f>'Bütçe aylık-TL'!$J$163</f>
        <v>-0.13435</v>
      </c>
      <c r="AA254" s="7">
        <f>'gerç aylık-tl'!$J$162</f>
        <v>3325974</v>
      </c>
      <c r="AB254" s="7"/>
      <c r="AC254" s="7">
        <f>'Bütçe aylık-TL'!$K$163</f>
        <v>0.49807000000000001</v>
      </c>
      <c r="AD254" s="7">
        <f>'gerç aylık-tl'!$K$162</f>
        <v>0</v>
      </c>
      <c r="AE254" s="7"/>
      <c r="AF254" s="7">
        <f>'Bütçe aylık-TL'!$L$163</f>
        <v>0.12438200000000001</v>
      </c>
      <c r="AG254" s="7">
        <f>'gerç aylık-tl'!$L$162</f>
        <v>0</v>
      </c>
      <c r="AH254" s="7"/>
      <c r="AI254" s="7">
        <f>'Bütçe aylık-TL'!$M$163</f>
        <v>-0.46068100000000001</v>
      </c>
      <c r="AJ254" s="7">
        <f>'gerç aylık-tl'!$M$162</f>
        <v>0</v>
      </c>
      <c r="AK254" s="7"/>
      <c r="AL254" s="21">
        <f t="shared" si="136"/>
        <v>3325974.1343499999</v>
      </c>
      <c r="AM254" s="22">
        <f t="shared" si="137"/>
        <v>-24756041.193524376</v>
      </c>
      <c r="AO254" s="44">
        <f t="shared" si="138"/>
        <v>-0.13435</v>
      </c>
      <c r="AP254" s="44">
        <f t="shared" si="139"/>
        <v>3325974</v>
      </c>
    </row>
    <row r="255" spans="1:42" ht="15.5">
      <c r="A255" s="26" t="s">
        <v>13</v>
      </c>
      <c r="B255" s="7">
        <f>'Bütçe aylık-TL'!$B$164</f>
        <v>220102195.80897599</v>
      </c>
      <c r="C255" s="7">
        <f>'gerç aylık-tl'!$B$163</f>
        <v>269237866.8222</v>
      </c>
      <c r="D255" s="7"/>
      <c r="E255" s="7">
        <f>'Bütçe aylık-TL'!$C$164</f>
        <v>187796198.99991399</v>
      </c>
      <c r="F255" s="7">
        <f>'gerç aylık-tl'!$C$163</f>
        <v>166163130.45199999</v>
      </c>
      <c r="G255" s="7"/>
      <c r="H255" s="7">
        <f>'Bütçe aylık-TL'!$D$164</f>
        <v>182460014.82336798</v>
      </c>
      <c r="I255" s="7">
        <f>'gerç aylık-tl'!$D$163</f>
        <v>117991774.49345</v>
      </c>
      <c r="J255" s="7"/>
      <c r="K255" s="7">
        <f>'Bütçe aylık-TL'!$E$164</f>
        <v>180042190.96016899</v>
      </c>
      <c r="L255" s="7">
        <f>'gerç aylık-tl'!$E$163</f>
        <v>135161956.00345001</v>
      </c>
      <c r="M255" s="7"/>
      <c r="N255" s="7">
        <f>'Bütçe aylık-TL'!$F$164</f>
        <v>180276338.723483</v>
      </c>
      <c r="O255" s="7">
        <f>'gerç aylık-tl'!$F$163</f>
        <v>164757980.8398</v>
      </c>
      <c r="P255" s="7"/>
      <c r="Q255" s="7">
        <f>'Bütçe aylık-TL'!$G$164</f>
        <v>159900580.20140001</v>
      </c>
      <c r="R255" s="7">
        <f>'gerç aylık-tl'!$G$163</f>
        <v>72469117.991300002</v>
      </c>
      <c r="S255" s="7"/>
      <c r="T255" s="7">
        <f>'Bütçe aylık-TL'!$H$164</f>
        <v>183486135.60370499</v>
      </c>
      <c r="U255" s="7">
        <f>'gerç aylık-tl'!$H$163</f>
        <v>104383720.7342</v>
      </c>
      <c r="V255" s="7"/>
      <c r="W255" s="7">
        <f>'Bütçe aylık-TL'!$I$164</f>
        <v>188905462.495749</v>
      </c>
      <c r="X255" s="7">
        <f>'gerç aylık-tl'!$I$163</f>
        <v>190941166.40419999</v>
      </c>
      <c r="Y255" s="7"/>
      <c r="Z255" s="7">
        <f>'Bütçe aylık-TL'!$J$164</f>
        <v>162176863.66490099</v>
      </c>
      <c r="AA255" s="7">
        <f>'gerç aylık-tl'!$J$163</f>
        <v>168885408.33645299</v>
      </c>
      <c r="AB255" s="7"/>
      <c r="AC255" s="7">
        <f>'Bütçe aylık-TL'!$K$164</f>
        <v>129543510.508818</v>
      </c>
      <c r="AD255" s="7">
        <f>'gerç aylık-tl'!$K$163</f>
        <v>0</v>
      </c>
      <c r="AE255" s="7"/>
      <c r="AF255" s="7">
        <f>'Bütçe aylık-TL'!$L$164</f>
        <v>128791359.80137201</v>
      </c>
      <c r="AG255" s="7">
        <f>'gerç aylık-tl'!$L$163</f>
        <v>0</v>
      </c>
      <c r="AH255" s="7"/>
      <c r="AI255" s="7">
        <f>'Bütçe aylık-TL'!$M$164</f>
        <v>178026245.661255</v>
      </c>
      <c r="AJ255" s="7">
        <f>'gerç aylık-tl'!$M$163</f>
        <v>0</v>
      </c>
      <c r="AK255" s="7"/>
      <c r="AL255" s="21">
        <f t="shared" si="136"/>
        <v>6708544.6715520024</v>
      </c>
      <c r="AM255" s="22">
        <f t="shared" si="137"/>
        <v>4.1365608632150996E-2</v>
      </c>
      <c r="AO255" s="44">
        <f t="shared" si="138"/>
        <v>162176863.66490099</v>
      </c>
      <c r="AP255" s="44">
        <f t="shared" si="139"/>
        <v>168885408.33645299</v>
      </c>
    </row>
    <row r="256" spans="1:42" s="1" customFormat="1" ht="15.5">
      <c r="A256" s="26" t="s">
        <v>14</v>
      </c>
      <c r="B256" s="7">
        <f>'Bütçe aylık-TL'!$B$165</f>
        <v>60106546.756340005</v>
      </c>
      <c r="C256" s="7">
        <f>'gerç aylık-tl'!$B$164</f>
        <v>29619763.890000004</v>
      </c>
      <c r="D256" s="8"/>
      <c r="E256" s="7">
        <f>'Bütçe aylık-TL'!$C$165</f>
        <v>72115624.220721006</v>
      </c>
      <c r="F256" s="7">
        <f>'gerç aylık-tl'!$C$164</f>
        <v>24606207.5</v>
      </c>
      <c r="G256" s="8"/>
      <c r="H256" s="7">
        <f>'Bütçe aylık-TL'!$D$165</f>
        <v>27323845.710997004</v>
      </c>
      <c r="I256" s="7">
        <f>'gerç aylık-tl'!$D$164</f>
        <v>96194091.909999996</v>
      </c>
      <c r="J256" s="8"/>
      <c r="K256" s="7">
        <f>'Bütçe aylık-TL'!$E$165</f>
        <v>34167646.395328</v>
      </c>
      <c r="L256" s="7">
        <f>'gerç aylık-tl'!$E$164</f>
        <v>109486472.64</v>
      </c>
      <c r="M256" s="8"/>
      <c r="N256" s="7">
        <f>'Bütçe aylık-TL'!$F$165</f>
        <v>31238114.258673999</v>
      </c>
      <c r="O256" s="7">
        <f>'gerç aylık-tl'!$F$164</f>
        <v>86650288.609999985</v>
      </c>
      <c r="P256" s="8"/>
      <c r="Q256" s="7">
        <f>'Bütçe aylık-TL'!$G$165</f>
        <v>63678838.925830998</v>
      </c>
      <c r="R256" s="7">
        <f>'gerç aylık-tl'!$G$164</f>
        <v>63252102.200000003</v>
      </c>
      <c r="S256" s="8"/>
      <c r="T256" s="7">
        <f>'Bütçe aylık-TL'!$H$165</f>
        <v>38662328.649801001</v>
      </c>
      <c r="U256" s="7">
        <f>'gerç aylık-tl'!$H$164</f>
        <v>111445836.23999999</v>
      </c>
      <c r="V256" s="8"/>
      <c r="W256" s="7">
        <f>'Bütçe aylık-TL'!$I$165</f>
        <v>59220423.434372999</v>
      </c>
      <c r="X256" s="7">
        <f>'gerç aylık-tl'!$I$164</f>
        <v>115142710.5</v>
      </c>
      <c r="Y256" s="8"/>
      <c r="Z256" s="7">
        <f>'Bütçe aylık-TL'!$J$165</f>
        <v>70746266.064197004</v>
      </c>
      <c r="AA256" s="7">
        <f>'gerç aylık-tl'!$J$164</f>
        <v>77986436.730000004</v>
      </c>
      <c r="AB256" s="8"/>
      <c r="AC256" s="7">
        <f>'Bütçe aylık-TL'!$K$165</f>
        <v>40140276.797604002</v>
      </c>
      <c r="AD256" s="7">
        <f>'gerç aylık-tl'!$K$164</f>
        <v>0</v>
      </c>
      <c r="AE256" s="8"/>
      <c r="AF256" s="7">
        <f>'Bütçe aylık-TL'!$L$165</f>
        <v>83124994.016742006</v>
      </c>
      <c r="AG256" s="7">
        <f>'gerç aylık-tl'!$L$164</f>
        <v>0</v>
      </c>
      <c r="AH256" s="8"/>
      <c r="AI256" s="7">
        <f>'Bütçe aylık-TL'!$M$165</f>
        <v>98478936.128601</v>
      </c>
      <c r="AJ256" s="7">
        <f>'gerç aylık-tl'!$M$164</f>
        <v>0</v>
      </c>
      <c r="AK256" s="8"/>
      <c r="AL256" s="21">
        <f t="shared" si="136"/>
        <v>7240170.6658030003</v>
      </c>
      <c r="AM256" s="22">
        <f t="shared" si="137"/>
        <v>0.10233996885762253</v>
      </c>
      <c r="AO256" s="44">
        <f t="shared" si="138"/>
        <v>70746266.064197004</v>
      </c>
      <c r="AP256" s="44">
        <f t="shared" si="139"/>
        <v>77986436.730000004</v>
      </c>
    </row>
    <row r="257" spans="1:42" ht="15.5">
      <c r="A257" s="26" t="s">
        <v>15</v>
      </c>
      <c r="B257" s="7">
        <f>'Bütçe aylık-TL'!$B$166</f>
        <v>229829241.09510526</v>
      </c>
      <c r="C257" s="7">
        <f>'gerç aylık-tl'!$B$165</f>
        <v>304031090.46221995</v>
      </c>
      <c r="D257" s="7"/>
      <c r="E257" s="7">
        <f>'Bütçe aylık-TL'!$C$166</f>
        <v>246316674.76791129</v>
      </c>
      <c r="F257" s="7">
        <f>'gerç aylık-tl'!$C$165</f>
        <v>194547843.52432001</v>
      </c>
      <c r="G257" s="7"/>
      <c r="H257" s="7">
        <f>'Bütçe aylık-TL'!$D$166</f>
        <v>339885502.0925619</v>
      </c>
      <c r="I257" s="7">
        <f>'gerç aylık-tl'!$D$165</f>
        <v>151282224.50747401</v>
      </c>
      <c r="J257" s="7"/>
      <c r="K257" s="7">
        <f>'Bütçe aylık-TL'!$E$166</f>
        <v>240021247.30540207</v>
      </c>
      <c r="L257" s="7">
        <f>'gerç aylık-tl'!$E$165</f>
        <v>228532585.85844204</v>
      </c>
      <c r="M257" s="7"/>
      <c r="N257" s="7">
        <f>'Bütçe aylık-TL'!$F$166</f>
        <v>265752219.36409521</v>
      </c>
      <c r="O257" s="7">
        <f>'gerç aylık-tl'!$F$165</f>
        <v>105647044.190622</v>
      </c>
      <c r="P257" s="7"/>
      <c r="Q257" s="7">
        <f>'Bütçe aylık-TL'!$G$166</f>
        <v>348598137.04223561</v>
      </c>
      <c r="R257" s="7">
        <f>'gerç aylık-tl'!$G$165</f>
        <v>154748303.38520199</v>
      </c>
      <c r="S257" s="7"/>
      <c r="T257" s="7">
        <f>'Bütçe aylık-TL'!$H$166</f>
        <v>396276291.52343291</v>
      </c>
      <c r="U257" s="7">
        <f>'gerç aylık-tl'!$H$165</f>
        <v>320371076.25997597</v>
      </c>
      <c r="V257" s="7"/>
      <c r="W257" s="7">
        <f>'Bütçe aylık-TL'!$I$166</f>
        <v>430068034.8904599</v>
      </c>
      <c r="X257" s="7">
        <f>'gerç aylık-tl'!$I$165</f>
        <v>349158849.71258199</v>
      </c>
      <c r="Y257" s="7"/>
      <c r="Z257" s="7">
        <f>'Bütçe aylık-TL'!$J$166</f>
        <v>578872513.69342554</v>
      </c>
      <c r="AA257" s="7">
        <f>'gerç aylık-tl'!$J$165</f>
        <v>395743272.01920003</v>
      </c>
      <c r="AB257" s="7"/>
      <c r="AC257" s="7">
        <f>'Bütçe aylık-TL'!$K$166</f>
        <v>644245099.09759963</v>
      </c>
      <c r="AD257" s="7">
        <f>'gerç aylık-tl'!$K$165</f>
        <v>0</v>
      </c>
      <c r="AE257" s="7"/>
      <c r="AF257" s="7">
        <f>'Bütçe aylık-TL'!$L$166</f>
        <v>745480753.44279742</v>
      </c>
      <c r="AG257" s="7">
        <f>'gerç aylık-tl'!$L$165</f>
        <v>0</v>
      </c>
      <c r="AH257" s="7"/>
      <c r="AI257" s="7">
        <f>'Bütçe aylık-TL'!$M$166</f>
        <v>675610826.19287252</v>
      </c>
      <c r="AJ257" s="7">
        <f>'gerç aylık-tl'!$M$165</f>
        <v>0</v>
      </c>
      <c r="AK257" s="7"/>
      <c r="AL257" s="21">
        <f t="shared" si="136"/>
        <v>-183129241.67422551</v>
      </c>
      <c r="AM257" s="22">
        <f t="shared" si="137"/>
        <v>-0.31635504768708345</v>
      </c>
      <c r="AO257" s="44">
        <f t="shared" si="138"/>
        <v>578872513.69342554</v>
      </c>
      <c r="AP257" s="44">
        <f t="shared" si="139"/>
        <v>395743272.01920003</v>
      </c>
    </row>
    <row r="258" spans="1:42" s="1" customFormat="1" ht="15.5">
      <c r="A258" s="26" t="s">
        <v>16</v>
      </c>
      <c r="B258" s="7">
        <f>'Bütçe aylık-TL'!$B$167</f>
        <v>610140563.02907884</v>
      </c>
      <c r="C258" s="7">
        <f>'gerç aylık-tl'!$B$166</f>
        <v>579578982.95444393</v>
      </c>
      <c r="D258" s="8"/>
      <c r="E258" s="7">
        <f>'Bütçe aylık-TL'!$C$167</f>
        <v>561810520.91713905</v>
      </c>
      <c r="F258" s="7">
        <f>'gerç aylık-tl'!$C$166</f>
        <v>749169574.14199984</v>
      </c>
      <c r="G258" s="8"/>
      <c r="H258" s="7">
        <f>'Bütçe aylık-TL'!$D$167</f>
        <v>731610458.77264738</v>
      </c>
      <c r="I258" s="7">
        <f>'gerç aylık-tl'!$D$166</f>
        <v>668411117.67580497</v>
      </c>
      <c r="J258" s="8"/>
      <c r="K258" s="7">
        <f>'Bütçe aylık-TL'!$E$167</f>
        <v>673173638.90124059</v>
      </c>
      <c r="L258" s="7">
        <f>'gerç aylık-tl'!$E$166</f>
        <v>603623727.76169801</v>
      </c>
      <c r="M258" s="8"/>
      <c r="N258" s="7">
        <f>'Bütçe aylık-TL'!$F$167</f>
        <v>750118900.36499453</v>
      </c>
      <c r="O258" s="7">
        <f>'gerç aylık-tl'!$F$166</f>
        <v>660674622.86379409</v>
      </c>
      <c r="P258" s="8"/>
      <c r="Q258" s="7">
        <f>'Bütçe aylık-TL'!$G$167</f>
        <v>924792908.39232361</v>
      </c>
      <c r="R258" s="7">
        <f>'gerç aylık-tl'!$G$166</f>
        <v>886026375.09128213</v>
      </c>
      <c r="S258" s="8"/>
      <c r="T258" s="7">
        <f>'Bütçe aylık-TL'!$H$167</f>
        <v>936198840.56551373</v>
      </c>
      <c r="U258" s="7">
        <f>'gerç aylık-tl'!$H$166</f>
        <v>595580822.31127203</v>
      </c>
      <c r="V258" s="8"/>
      <c r="W258" s="7">
        <f>'Bütçe aylık-TL'!$I$167</f>
        <v>1004383479.8128959</v>
      </c>
      <c r="X258" s="7">
        <f>'gerç aylık-tl'!$I$166</f>
        <v>541722449.92047</v>
      </c>
      <c r="Y258" s="8"/>
      <c r="Z258" s="7">
        <f>'Bütçe aylık-TL'!$J$167</f>
        <v>1174176373.056483</v>
      </c>
      <c r="AA258" s="7">
        <f>'gerç aylık-tl'!$J$166</f>
        <v>694664872.79602706</v>
      </c>
      <c r="AB258" s="8"/>
      <c r="AC258" s="7">
        <f>'Bütçe aylık-TL'!$K$167</f>
        <v>1084568446.7995081</v>
      </c>
      <c r="AD258" s="7">
        <f>'gerç aylık-tl'!$K$166</f>
        <v>0</v>
      </c>
      <c r="AE258" s="8"/>
      <c r="AF258" s="7">
        <f>'Bütçe aylık-TL'!$L$167</f>
        <v>908020937.87092865</v>
      </c>
      <c r="AG258" s="7">
        <f>'gerç aylık-tl'!$L$166</f>
        <v>0</v>
      </c>
      <c r="AH258" s="8"/>
      <c r="AI258" s="7">
        <f>'Bütçe aylık-TL'!$M$167</f>
        <v>1219921003.9244156</v>
      </c>
      <c r="AJ258" s="7">
        <f>'gerç aylık-tl'!$M$166</f>
        <v>0</v>
      </c>
      <c r="AK258" s="8"/>
      <c r="AL258" s="21">
        <f t="shared" si="136"/>
        <v>-479511500.26045597</v>
      </c>
      <c r="AM258" s="22">
        <f t="shared" si="137"/>
        <v>-0.40838115232402938</v>
      </c>
      <c r="AO258" s="44">
        <f t="shared" si="138"/>
        <v>1174176373.056483</v>
      </c>
      <c r="AP258" s="44">
        <f t="shared" si="139"/>
        <v>694664872.79602706</v>
      </c>
    </row>
    <row r="259" spans="1:42" s="1" customFormat="1" ht="15.5">
      <c r="A259" s="26" t="s">
        <v>17</v>
      </c>
      <c r="B259" s="7">
        <f>'Bütçe aylık-TL'!$B$168</f>
        <v>394182819.98521513</v>
      </c>
      <c r="C259" s="7">
        <f>'gerç aylık-tl'!$B$167</f>
        <v>303932561.47016394</v>
      </c>
      <c r="D259" s="8"/>
      <c r="E259" s="7">
        <f>'Bütçe aylık-TL'!$C$168</f>
        <v>302881755.40960282</v>
      </c>
      <c r="F259" s="7">
        <f>'gerç aylık-tl'!$C$167</f>
        <v>131377279.15927999</v>
      </c>
      <c r="G259" s="8"/>
      <c r="H259" s="7">
        <f>'Bütçe aylık-TL'!$D$168</f>
        <v>444661118.19737297</v>
      </c>
      <c r="I259" s="7">
        <f>'gerç aylık-tl'!$D$167</f>
        <v>716797254.73865712</v>
      </c>
      <c r="J259" s="8"/>
      <c r="K259" s="7">
        <f>'Bütçe aylık-TL'!$E$168</f>
        <v>250121763.0212836</v>
      </c>
      <c r="L259" s="7">
        <f>'gerç aylık-tl'!$E$167</f>
        <v>518704061.87340409</v>
      </c>
      <c r="M259" s="8"/>
      <c r="N259" s="7">
        <f>'Bütçe aylık-TL'!$F$168</f>
        <v>315457000.10002583</v>
      </c>
      <c r="O259" s="7">
        <f>'gerç aylık-tl'!$F$167</f>
        <v>362613612.47476202</v>
      </c>
      <c r="P259" s="8"/>
      <c r="Q259" s="7">
        <f>'Bütçe aylık-TL'!$G$168</f>
        <v>548719643.09907067</v>
      </c>
      <c r="R259" s="7">
        <f>'gerç aylık-tl'!$G$167</f>
        <v>620878717.20519805</v>
      </c>
      <c r="S259" s="8"/>
      <c r="T259" s="7">
        <f>'Bütçe aylık-TL'!$H$168</f>
        <v>429716652.50231838</v>
      </c>
      <c r="U259" s="7">
        <f>'gerç aylık-tl'!$H$167</f>
        <v>552148734.51754808</v>
      </c>
      <c r="V259" s="8"/>
      <c r="W259" s="7">
        <f>'Bütçe aylık-TL'!$I$168</f>
        <v>381214197.86719847</v>
      </c>
      <c r="X259" s="7">
        <f>'gerç aylık-tl'!$I$167</f>
        <v>538551062.20915997</v>
      </c>
      <c r="Y259" s="8"/>
      <c r="Z259" s="7">
        <f>'Bütçe aylık-TL'!$J$168</f>
        <v>596526040.80759144</v>
      </c>
      <c r="AA259" s="7">
        <f>'gerç aylık-tl'!$J$167</f>
        <v>582212616.68928409</v>
      </c>
      <c r="AB259" s="8"/>
      <c r="AC259" s="7">
        <f>'Bütçe aylık-TL'!$K$168</f>
        <v>408200210.25200796</v>
      </c>
      <c r="AD259" s="7">
        <f>'gerç aylık-tl'!$K$167</f>
        <v>0</v>
      </c>
      <c r="AE259" s="8"/>
      <c r="AF259" s="7">
        <f>'Bütçe aylık-TL'!$L$168</f>
        <v>693596685.99725556</v>
      </c>
      <c r="AG259" s="7">
        <f>'gerç aylık-tl'!$L$167</f>
        <v>0</v>
      </c>
      <c r="AH259" s="8"/>
      <c r="AI259" s="7">
        <f>'Bütçe aylık-TL'!$M$168</f>
        <v>998136085.80753386</v>
      </c>
      <c r="AJ259" s="7">
        <f>'gerç aylık-tl'!$M$167</f>
        <v>0</v>
      </c>
      <c r="AK259" s="8"/>
      <c r="AL259" s="21">
        <f t="shared" si="136"/>
        <v>-14313424.118307352</v>
      </c>
      <c r="AM259" s="22">
        <f t="shared" si="137"/>
        <v>-2.3994634163714834E-2</v>
      </c>
      <c r="AO259" s="44">
        <f t="shared" si="138"/>
        <v>596526040.80759144</v>
      </c>
      <c r="AP259" s="44">
        <f t="shared" si="139"/>
        <v>582212616.68928409</v>
      </c>
    </row>
    <row r="260" spans="1:42" s="1" customFormat="1" ht="15.5">
      <c r="A260" s="26"/>
      <c r="B260" s="7"/>
      <c r="C260" s="8"/>
      <c r="D260" s="8"/>
      <c r="E260" s="7"/>
      <c r="F260" s="8"/>
      <c r="G260" s="8"/>
      <c r="H260" s="7"/>
      <c r="I260" s="8"/>
      <c r="J260" s="8"/>
      <c r="K260" s="7"/>
      <c r="L260" s="8"/>
      <c r="M260" s="8"/>
      <c r="N260" s="7"/>
      <c r="O260" s="8"/>
      <c r="P260" s="8"/>
      <c r="Q260" s="7"/>
      <c r="R260" s="8"/>
      <c r="S260" s="8"/>
      <c r="T260" s="7"/>
      <c r="U260" s="8"/>
      <c r="V260" s="8"/>
      <c r="W260" s="7"/>
      <c r="X260" s="8"/>
      <c r="Y260" s="8"/>
      <c r="Z260" s="7"/>
      <c r="AA260" s="8"/>
      <c r="AB260" s="8"/>
      <c r="AC260" s="7"/>
      <c r="AD260" s="8"/>
      <c r="AE260" s="8"/>
      <c r="AF260" s="7"/>
      <c r="AG260" s="8"/>
      <c r="AH260" s="8"/>
      <c r="AI260" s="7"/>
      <c r="AJ260" s="8"/>
      <c r="AK260" s="8"/>
      <c r="AL260" s="15"/>
      <c r="AM260" s="16"/>
      <c r="AO260" s="44"/>
      <c r="AP260" s="44"/>
    </row>
    <row r="261" spans="1:42" s="1" customFormat="1" ht="15.5">
      <c r="A261" s="26"/>
      <c r="B261" s="7"/>
      <c r="C261" s="8"/>
      <c r="D261" s="8"/>
      <c r="E261" s="7"/>
      <c r="F261" s="8"/>
      <c r="G261" s="8"/>
      <c r="H261" s="7"/>
      <c r="I261" s="8"/>
      <c r="J261" s="8"/>
      <c r="K261" s="7"/>
      <c r="L261" s="8"/>
      <c r="M261" s="8"/>
      <c r="N261" s="7"/>
      <c r="O261" s="8"/>
      <c r="P261" s="8"/>
      <c r="Q261" s="7"/>
      <c r="R261" s="8"/>
      <c r="S261" s="8"/>
      <c r="T261" s="7"/>
      <c r="U261" s="8"/>
      <c r="V261" s="8"/>
      <c r="W261" s="7"/>
      <c r="X261" s="8"/>
      <c r="Y261" s="8"/>
      <c r="Z261" s="7"/>
      <c r="AA261" s="8"/>
      <c r="AB261" s="8"/>
      <c r="AC261" s="7"/>
      <c r="AD261" s="8"/>
      <c r="AE261" s="8"/>
      <c r="AF261" s="7"/>
      <c r="AG261" s="8"/>
      <c r="AH261" s="8"/>
      <c r="AI261" s="7"/>
      <c r="AJ261" s="8"/>
      <c r="AK261" s="8"/>
      <c r="AL261" s="15"/>
      <c r="AM261" s="16"/>
      <c r="AO261" s="44"/>
      <c r="AP261" s="44"/>
    </row>
    <row r="262" spans="1:42" s="44" customFormat="1" ht="15.5">
      <c r="A262" s="31" t="s">
        <v>88</v>
      </c>
      <c r="B262" s="32">
        <f>B249-B236</f>
        <v>801244325.73701024</v>
      </c>
      <c r="C262" s="32">
        <f>C249-C236</f>
        <v>791426024.85079408</v>
      </c>
      <c r="D262" s="18"/>
      <c r="E262" s="32">
        <f>E249-E236</f>
        <v>334560909.69816422</v>
      </c>
      <c r="F262" s="32">
        <f>F249-F236</f>
        <v>678886768.95100594</v>
      </c>
      <c r="G262" s="18"/>
      <c r="H262" s="32">
        <f>H249-H236</f>
        <v>363045443.29797304</v>
      </c>
      <c r="I262" s="32">
        <f>I249-I236</f>
        <v>893576570.95771933</v>
      </c>
      <c r="J262" s="18"/>
      <c r="K262" s="32">
        <f>K249-K236</f>
        <v>204521563.64873838</v>
      </c>
      <c r="L262" s="32">
        <f>L249-L236</f>
        <v>301489026.20581651</v>
      </c>
      <c r="M262" s="18"/>
      <c r="N262" s="32">
        <f>N249-N236</f>
        <v>305882074.61982906</v>
      </c>
      <c r="O262" s="32">
        <f>O249-O236</f>
        <v>129510835.01682019</v>
      </c>
      <c r="P262" s="18"/>
      <c r="Q262" s="32">
        <f>Q249-Q236</f>
        <v>484066179.06909144</v>
      </c>
      <c r="R262" s="32">
        <f>R249-R236</f>
        <v>206133384.36404395</v>
      </c>
      <c r="S262" s="18"/>
      <c r="T262" s="32">
        <f>T249-T236</f>
        <v>374646576.0286963</v>
      </c>
      <c r="U262" s="32">
        <f>U249-U236</f>
        <v>237755234.14751649</v>
      </c>
      <c r="V262" s="18"/>
      <c r="W262" s="32">
        <f>W249-W236</f>
        <v>452441810.23571646</v>
      </c>
      <c r="X262" s="32">
        <f>X249-X236</f>
        <v>296797529.63330674</v>
      </c>
      <c r="Y262" s="18"/>
      <c r="Z262" s="32">
        <f>Z249-Z236</f>
        <v>628846583.61269724</v>
      </c>
      <c r="AA262" s="32">
        <f>AA249-AA236</f>
        <v>218973623.09312868</v>
      </c>
      <c r="AB262" s="18"/>
      <c r="AC262" s="32">
        <f>AC249-AC236</f>
        <v>561268378.56448507</v>
      </c>
      <c r="AD262" s="32">
        <f>AD249-AD236</f>
        <v>0</v>
      </c>
      <c r="AE262" s="18"/>
      <c r="AF262" s="32">
        <f>AF249-AF236</f>
        <v>748627406.42531431</v>
      </c>
      <c r="AG262" s="32">
        <f>AG249-AG236</f>
        <v>0</v>
      </c>
      <c r="AH262" s="18"/>
      <c r="AI262" s="32">
        <f>AI249-AI236</f>
        <v>961308922.63130605</v>
      </c>
      <c r="AJ262" s="32">
        <f>AJ249-AJ236</f>
        <v>0</v>
      </c>
      <c r="AK262" s="18"/>
      <c r="AL262" s="33">
        <f>AP262-AO262</f>
        <v>-409872960.51956856</v>
      </c>
      <c r="AM262" s="34">
        <f>AP262/AO262-1</f>
        <v>-0.65178530217158148</v>
      </c>
      <c r="AO262" s="44">
        <f>IF($A$1=$B$1,B262,IF($A$1=$E$1,E262,IF($A$1=$H$1,H262,IF($A$1=$K$1,K262,IF($A$1=$N$1,N262,IF($A$1=$Q$1,Q262,IF($A$1=$T$1,T262,IF($A$1=$W$1,W262,IF($A$1=$Z$1,Z262,IF($A$1=$AC$1,AC262,IF($A$1=$AF$1,AF262,IF($A$1=$AI$1,AI262))))))))))))</f>
        <v>628846583.61269724</v>
      </c>
      <c r="AP262" s="44">
        <f>IF($A$1=$B$1,C262,IF($A$1=$E$1,F262,IF($A$1=$H$1,I262,IF($A$1=$K$1,L262,IF($A$1=$N$1,O262,IF($A$1=$Q$1,R262,IF($A$1=$T$1,U262,IF($A$1=$W$1,X262,IF($A$1=$Z$1,AA262,IF($A$1=$AC$1,AD262,IF($A$1=$AF$1,AG262,IF($A$1=$AI$1,AJ262))))))))))))</f>
        <v>218973623.09312868</v>
      </c>
    </row>
    <row r="263" spans="1:42" s="13" customFormat="1" ht="15.5">
      <c r="A263" s="27"/>
      <c r="B263" s="30"/>
      <c r="C263" s="30" t="str">
        <f>IFERROR((C220/#REF!),"")</f>
        <v/>
      </c>
      <c r="D263" s="41"/>
      <c r="E263" s="30"/>
      <c r="F263" s="30" t="str">
        <f>IFERROR((F220/#REF!),"")</f>
        <v/>
      </c>
      <c r="G263" s="41"/>
      <c r="H263" s="30"/>
      <c r="I263" s="30" t="str">
        <f>IFERROR((I220/#REF!),"")</f>
        <v/>
      </c>
      <c r="J263" s="41"/>
      <c r="K263" s="30"/>
      <c r="L263" s="30" t="str">
        <f>IFERROR((L220/#REF!),"")</f>
        <v/>
      </c>
      <c r="M263" s="41"/>
      <c r="N263" s="30"/>
      <c r="O263" s="30" t="str">
        <f>IFERROR((O220/#REF!),"")</f>
        <v/>
      </c>
      <c r="P263" s="41"/>
      <c r="Q263" s="30"/>
      <c r="R263" s="30" t="str">
        <f>IFERROR((R220/#REF!),"")</f>
        <v/>
      </c>
      <c r="S263" s="41"/>
      <c r="T263" s="30"/>
      <c r="U263" s="30" t="str">
        <f>IFERROR((U220/#REF!),"")</f>
        <v/>
      </c>
      <c r="V263" s="41"/>
      <c r="W263" s="30"/>
      <c r="X263" s="30" t="str">
        <f>IFERROR((X220/#REF!),"")</f>
        <v/>
      </c>
      <c r="Y263" s="41"/>
      <c r="Z263" s="30"/>
      <c r="AA263" s="30" t="str">
        <f>IFERROR((AA220/#REF!),"")</f>
        <v/>
      </c>
      <c r="AB263" s="41"/>
      <c r="AC263" s="30"/>
      <c r="AD263" s="30" t="str">
        <f>IFERROR((AD220/#REF!),"")</f>
        <v/>
      </c>
      <c r="AE263" s="41"/>
      <c r="AF263" s="30"/>
      <c r="AG263" s="30" t="str">
        <f>IFERROR((AG220/#REF!),"")</f>
        <v/>
      </c>
      <c r="AH263" s="41"/>
      <c r="AI263" s="30"/>
      <c r="AJ263" s="30" t="str">
        <f>IFERROR((AJ220/#REF!),"")</f>
        <v/>
      </c>
      <c r="AK263" s="41"/>
      <c r="AL263" s="15"/>
      <c r="AM263" s="22"/>
      <c r="AO263" s="44">
        <f>IF($A$1=$B$1,B263,IF($A$1=$E$1,E263,IF($A$1=$H$1,H263,IF($A$1=$K$1,K263,IF($A$1=$N$1,N263,IF($A$1=$Q$1,Q263,IF($A$1=$T$1,T263,IF($A$1=$W$1,W263,IF($A$1=$Z$1,Z263,IF($A$1=$AC$1,AC263,IF($A$1=$AF$1,AF263,IF($A$1=$AI$1,AI263))))))))))))</f>
        <v>0</v>
      </c>
      <c r="AP263" s="44" t="str">
        <f>IF($A$1=$B$1,C263,IF($A$1=$E$1,F263,IF($A$1=$H$1,I263,IF($A$1=$K$1,L263,IF($A$1=$N$1,O263,IF($A$1=$Q$1,R263,IF($A$1=$T$1,U263,IF($A$1=$W$1,X263,IF($A$1=$Z$1,AA263,IF($A$1=$AC$1,AD263,IF($A$1=$AF$1,AG263,IF($A$1=$AI$1,AJ263))))))))))))</f>
        <v/>
      </c>
    </row>
    <row r="264" spans="1:42" s="49" customFormat="1" ht="17">
      <c r="A264" s="47" t="s">
        <v>89</v>
      </c>
      <c r="B264" s="413"/>
      <c r="C264" s="413"/>
      <c r="D264" s="413"/>
      <c r="E264" s="413"/>
      <c r="F264" s="413"/>
      <c r="G264" s="413"/>
      <c r="H264" s="413"/>
      <c r="I264" s="413"/>
      <c r="J264" s="413"/>
      <c r="K264" s="413"/>
      <c r="L264" s="413"/>
      <c r="M264" s="413"/>
      <c r="N264" s="413"/>
      <c r="O264" s="413"/>
      <c r="P264" s="413"/>
      <c r="Q264" s="413"/>
      <c r="R264" s="413"/>
      <c r="S264" s="413"/>
      <c r="T264" s="413"/>
      <c r="U264" s="413"/>
      <c r="V264" s="413"/>
      <c r="W264" s="413"/>
      <c r="X264" s="413"/>
      <c r="Y264" s="413"/>
      <c r="Z264" s="413"/>
      <c r="AA264" s="413"/>
      <c r="AB264" s="413"/>
      <c r="AC264" s="413"/>
      <c r="AD264" s="413"/>
      <c r="AE264" s="413"/>
      <c r="AF264" s="413"/>
      <c r="AG264" s="413"/>
      <c r="AH264" s="413"/>
      <c r="AI264" s="413"/>
      <c r="AJ264" s="413"/>
      <c r="AK264" s="413"/>
      <c r="AL264" s="413"/>
      <c r="AM264" s="48"/>
    </row>
    <row r="265" spans="1:42" ht="15.5">
      <c r="A265" s="26" t="s">
        <v>10</v>
      </c>
      <c r="B265" s="7">
        <f>B252-B239</f>
        <v>899592378.16878104</v>
      </c>
      <c r="C265" s="7">
        <f>C252-C239</f>
        <v>930276247.77540696</v>
      </c>
      <c r="D265" s="7"/>
      <c r="E265" s="7">
        <f>E252-E239</f>
        <v>516913006.39238799</v>
      </c>
      <c r="F265" s="7">
        <f>F252-F239</f>
        <v>972281280.50488806</v>
      </c>
      <c r="G265" s="7"/>
      <c r="H265" s="7">
        <f>H252-H239</f>
        <v>410864907.65035498</v>
      </c>
      <c r="I265" s="7">
        <f>I252-I239</f>
        <v>961848669.04997694</v>
      </c>
      <c r="J265" s="7"/>
      <c r="K265" s="7">
        <f>K252-K239</f>
        <v>408281784.11706603</v>
      </c>
      <c r="L265" s="7">
        <f>L252-L239</f>
        <v>659356234.62218499</v>
      </c>
      <c r="M265" s="7"/>
      <c r="N265" s="7">
        <f>N252-N239</f>
        <v>432667461.78618199</v>
      </c>
      <c r="O265" s="7">
        <f>O252-O239</f>
        <v>702362911.49849403</v>
      </c>
      <c r="P265" s="7"/>
      <c r="Q265" s="7">
        <f>Q252-Q239</f>
        <v>395637285.98241401</v>
      </c>
      <c r="R265" s="7">
        <f>R252-R239</f>
        <v>721975936.349998</v>
      </c>
      <c r="S265" s="7"/>
      <c r="T265" s="7">
        <f>T252-T239</f>
        <v>401879964.25948399</v>
      </c>
      <c r="U265" s="7">
        <f>U252-U239</f>
        <v>870288240.31000495</v>
      </c>
      <c r="V265" s="7"/>
      <c r="W265" s="7">
        <f>W252-W239</f>
        <v>430324209.29405397</v>
      </c>
      <c r="X265" s="7">
        <f>X252-X239</f>
        <v>914372909.32867205</v>
      </c>
      <c r="Y265" s="7"/>
      <c r="Z265" s="7">
        <f>Z252-Z239</f>
        <v>427699437.96364897</v>
      </c>
      <c r="AA265" s="7">
        <f>AA252-AA239</f>
        <v>831475506.56474304</v>
      </c>
      <c r="AB265" s="7"/>
      <c r="AC265" s="7">
        <f>AC252-AC239</f>
        <v>435825438.22600299</v>
      </c>
      <c r="AD265" s="7">
        <f>AD252-AD239</f>
        <v>0</v>
      </c>
      <c r="AE265" s="7"/>
      <c r="AF265" s="7">
        <f>AF252-AF239</f>
        <v>510981405.92685997</v>
      </c>
      <c r="AG265" s="7">
        <f>AG252-AG239</f>
        <v>0</v>
      </c>
      <c r="AH265" s="7"/>
      <c r="AI265" s="7">
        <f>AI252-AI239</f>
        <v>481003047.897111</v>
      </c>
      <c r="AJ265" s="7">
        <f>AJ252-AJ239</f>
        <v>0</v>
      </c>
      <c r="AK265" s="7"/>
      <c r="AL265" s="21">
        <f t="shared" ref="AL265:AL272" si="140">AP265-AO265</f>
        <v>403776068.60109407</v>
      </c>
      <c r="AM265" s="22">
        <f t="shared" ref="AM265:AM272" si="141">AP265/AO265-1</f>
        <v>0.94406499696034629</v>
      </c>
      <c r="AO265" s="44">
        <f t="shared" ref="AO265:AO272" si="142">IF($A$1=$B$1,B265,IF($A$1=$E$1,E265,IF($A$1=$H$1,H265,IF($A$1=$K$1,K265,IF($A$1=$N$1,N265,IF($A$1=$Q$1,Q265,IF($A$1=$T$1,T265,IF($A$1=$W$1,W265,IF($A$1=$Z$1,Z265,IF($A$1=$AC$1,AC265,IF($A$1=$AF$1,AF265,IF($A$1=$AI$1,AI265))))))))))))</f>
        <v>427699437.96364897</v>
      </c>
      <c r="AP265" s="44">
        <f t="shared" ref="AP265:AP272" si="143">IF($A$1=$B$1,C265,IF($A$1=$E$1,F265,IF($A$1=$H$1,I265,IF($A$1=$K$1,L265,IF($A$1=$N$1,O265,IF($A$1=$Q$1,R265,IF($A$1=$T$1,U265,IF($A$1=$W$1,X265,IF($A$1=$Z$1,AA265,IF($A$1=$AC$1,AD265,IF($A$1=$AF$1,AG265,IF($A$1=$AI$1,AJ265))))))))))))</f>
        <v>831475506.56474304</v>
      </c>
    </row>
    <row r="266" spans="1:42" ht="15.5">
      <c r="A266" s="26" t="s">
        <v>11</v>
      </c>
      <c r="B266" s="7">
        <f t="shared" ref="B266:C272" si="144">B253-B240</f>
        <v>-73494393.261593997</v>
      </c>
      <c r="C266" s="7">
        <f t="shared" si="144"/>
        <v>-59170003.850000001</v>
      </c>
      <c r="D266" s="7"/>
      <c r="E266" s="7">
        <f t="shared" ref="E266:F272" si="145">E253-E240</f>
        <v>-78842994.734060004</v>
      </c>
      <c r="F266" s="7">
        <f t="shared" si="145"/>
        <v>-66361876.350000001</v>
      </c>
      <c r="G266" s="7"/>
      <c r="H266" s="7">
        <f t="shared" ref="H266:I272" si="146">H253-H240</f>
        <v>-77967123.918147996</v>
      </c>
      <c r="I266" s="7">
        <f t="shared" si="146"/>
        <v>-70306687.060000002</v>
      </c>
      <c r="J266" s="7"/>
      <c r="K266" s="7">
        <f t="shared" ref="K266:L272" si="147">K253-K240</f>
        <v>-77204900.367650002</v>
      </c>
      <c r="L266" s="7">
        <f t="shared" si="147"/>
        <v>-248513912.29999998</v>
      </c>
      <c r="M266" s="7"/>
      <c r="N266" s="7">
        <f t="shared" ref="N266:O272" si="148">N253-N240</f>
        <v>-71839040.116971001</v>
      </c>
      <c r="O266" s="7">
        <f t="shared" si="148"/>
        <v>-278500624.69499999</v>
      </c>
      <c r="P266" s="7"/>
      <c r="Q266" s="7">
        <f t="shared" ref="Q266:R272" si="149">Q253-Q240</f>
        <v>-61603386.180188999</v>
      </c>
      <c r="R266" s="7">
        <f t="shared" si="149"/>
        <v>-292119315.32999998</v>
      </c>
      <c r="S266" s="7"/>
      <c r="T266" s="7">
        <f t="shared" ref="T266:U272" si="150">T253-T240</f>
        <v>-54569957.480152003</v>
      </c>
      <c r="U266" s="7">
        <f t="shared" si="150"/>
        <v>-291143544.09500003</v>
      </c>
      <c r="V266" s="7"/>
      <c r="W266" s="7">
        <f t="shared" ref="W266:X272" si="151">W253-W240</f>
        <v>-41389386.672803</v>
      </c>
      <c r="X266" s="7">
        <f t="shared" si="151"/>
        <v>-299644175.3175</v>
      </c>
      <c r="Y266" s="7"/>
      <c r="Z266" s="7">
        <f t="shared" ref="Z266:AA272" si="152">Z253-Z240</f>
        <v>-36035239.066449001</v>
      </c>
      <c r="AA266" s="7">
        <f t="shared" si="152"/>
        <v>-310787076.09999996</v>
      </c>
      <c r="AB266" s="7"/>
      <c r="AC266" s="7">
        <f t="shared" ref="AC266:AD272" si="153">AC253-AC240</f>
        <v>-32525284.477011003</v>
      </c>
      <c r="AD266" s="7">
        <f t="shared" si="153"/>
        <v>0</v>
      </c>
      <c r="AE266" s="7"/>
      <c r="AF266" s="7">
        <f t="shared" ref="AF266:AG272" si="154">AF253-AF240</f>
        <v>-35114404.012774006</v>
      </c>
      <c r="AG266" s="7">
        <f t="shared" si="154"/>
        <v>0</v>
      </c>
      <c r="AH266" s="7"/>
      <c r="AI266" s="7">
        <f t="shared" ref="AI266:AJ272" si="155">AI253-AI240</f>
        <v>-32374126.826203</v>
      </c>
      <c r="AJ266" s="7">
        <f t="shared" si="155"/>
        <v>0</v>
      </c>
      <c r="AK266" s="7"/>
      <c r="AL266" s="21">
        <f t="shared" si="140"/>
        <v>-274751837.03355098</v>
      </c>
      <c r="AM266" s="22">
        <f t="shared" si="141"/>
        <v>7.6245321011165874</v>
      </c>
      <c r="AO266" s="44">
        <f t="shared" si="142"/>
        <v>-36035239.066449001</v>
      </c>
      <c r="AP266" s="44">
        <f t="shared" si="143"/>
        <v>-310787076.09999996</v>
      </c>
    </row>
    <row r="267" spans="1:42" ht="15.5">
      <c r="A267" s="26" t="s">
        <v>12</v>
      </c>
      <c r="B267" s="7">
        <f t="shared" si="144"/>
        <v>-12979245.840063</v>
      </c>
      <c r="C267" s="7">
        <f t="shared" si="144"/>
        <v>5464283</v>
      </c>
      <c r="D267" s="7"/>
      <c r="E267" s="7">
        <f t="shared" si="145"/>
        <v>-26258451.686278999</v>
      </c>
      <c r="F267" s="7">
        <f t="shared" si="145"/>
        <v>-4690393.7111060005</v>
      </c>
      <c r="G267" s="7"/>
      <c r="H267" s="7">
        <f t="shared" si="146"/>
        <v>-20609756.273012999</v>
      </c>
      <c r="I267" s="7">
        <f t="shared" si="146"/>
        <v>9147816</v>
      </c>
      <c r="J267" s="7"/>
      <c r="K267" s="7">
        <f t="shared" si="147"/>
        <v>-23781473.669255</v>
      </c>
      <c r="L267" s="7">
        <f t="shared" si="147"/>
        <v>-9720402.1671660002</v>
      </c>
      <c r="M267" s="7"/>
      <c r="N267" s="7">
        <f t="shared" si="148"/>
        <v>-18298935.109099001</v>
      </c>
      <c r="O267" s="7">
        <f t="shared" si="148"/>
        <v>-13209671.378265001</v>
      </c>
      <c r="P267" s="7"/>
      <c r="Q267" s="7">
        <f t="shared" si="149"/>
        <v>-14459322.732686</v>
      </c>
      <c r="R267" s="7">
        <f t="shared" si="149"/>
        <v>-9823419.0051470008</v>
      </c>
      <c r="S267" s="7"/>
      <c r="T267" s="7">
        <f t="shared" si="150"/>
        <v>-12615089.223751999</v>
      </c>
      <c r="U267" s="7">
        <f t="shared" si="150"/>
        <v>-21082354.092687</v>
      </c>
      <c r="V267" s="7"/>
      <c r="W267" s="7">
        <f t="shared" si="151"/>
        <v>-18225210.721012998</v>
      </c>
      <c r="X267" s="7">
        <f t="shared" si="151"/>
        <v>-10053723.876430001</v>
      </c>
      <c r="Y267" s="7"/>
      <c r="Z267" s="7">
        <f t="shared" si="152"/>
        <v>-12032397.13435</v>
      </c>
      <c r="AA267" s="7">
        <f t="shared" si="152"/>
        <v>-8674026</v>
      </c>
      <c r="AB267" s="7"/>
      <c r="AC267" s="7">
        <f t="shared" si="153"/>
        <v>-13726351.50193</v>
      </c>
      <c r="AD267" s="7">
        <f t="shared" si="153"/>
        <v>0</v>
      </c>
      <c r="AE267" s="7"/>
      <c r="AF267" s="7">
        <f t="shared" si="154"/>
        <v>-13861046.875618</v>
      </c>
      <c r="AG267" s="7">
        <f t="shared" si="154"/>
        <v>0</v>
      </c>
      <c r="AH267" s="7"/>
      <c r="AI267" s="7">
        <f t="shared" si="155"/>
        <v>-18404796.460680999</v>
      </c>
      <c r="AJ267" s="7">
        <f t="shared" si="155"/>
        <v>0</v>
      </c>
      <c r="AK267" s="7"/>
      <c r="AL267" s="21">
        <f t="shared" si="140"/>
        <v>3358371.1343499999</v>
      </c>
      <c r="AM267" s="22">
        <f t="shared" si="141"/>
        <v>-0.27911072888066057</v>
      </c>
      <c r="AO267" s="44">
        <f t="shared" si="142"/>
        <v>-12032397.13435</v>
      </c>
      <c r="AP267" s="44">
        <f t="shared" si="143"/>
        <v>-8674026</v>
      </c>
    </row>
    <row r="268" spans="1:42" ht="15.5">
      <c r="A268" s="26" t="s">
        <v>13</v>
      </c>
      <c r="B268" s="7">
        <f t="shared" si="144"/>
        <v>-1323945204.1910241</v>
      </c>
      <c r="C268" s="7">
        <f t="shared" si="144"/>
        <v>-1430023653.9633598</v>
      </c>
      <c r="D268" s="7"/>
      <c r="E268" s="7">
        <f t="shared" si="145"/>
        <v>-1376251201.0000861</v>
      </c>
      <c r="F268" s="7">
        <f>F255-F242</f>
        <v>-1655556508.0575402</v>
      </c>
      <c r="G268" s="7"/>
      <c r="H268" s="7">
        <f t="shared" si="146"/>
        <v>-1416587385.1766319</v>
      </c>
      <c r="I268" s="7">
        <f t="shared" si="146"/>
        <v>-1650467756.41258</v>
      </c>
      <c r="J268" s="7"/>
      <c r="K268" s="7">
        <f t="shared" si="147"/>
        <v>-1454418911.7018108</v>
      </c>
      <c r="L268" s="7">
        <f t="shared" si="147"/>
        <v>-1709429083.0065503</v>
      </c>
      <c r="M268" s="7"/>
      <c r="N268" s="7">
        <f t="shared" si="148"/>
        <v>-1454184763.9384968</v>
      </c>
      <c r="O268" s="7">
        <f t="shared" si="148"/>
        <v>-1918440019.1602001</v>
      </c>
      <c r="P268" s="7"/>
      <c r="Q268" s="7">
        <f t="shared" si="149"/>
        <v>-1474560522.4605799</v>
      </c>
      <c r="R268" s="7">
        <f t="shared" si="149"/>
        <v>-2259655042.0086999</v>
      </c>
      <c r="S268" s="7"/>
      <c r="T268" s="7">
        <f t="shared" si="150"/>
        <v>-1700974967.058275</v>
      </c>
      <c r="U268" s="7">
        <f t="shared" si="150"/>
        <v>-2380314239.2658</v>
      </c>
      <c r="V268" s="7"/>
      <c r="W268" s="7">
        <f t="shared" si="151"/>
        <v>-1670555640.1662309</v>
      </c>
      <c r="X268" s="7">
        <f t="shared" si="151"/>
        <v>-2314268773.5957999</v>
      </c>
      <c r="Y268" s="7"/>
      <c r="Z268" s="7">
        <f t="shared" si="152"/>
        <v>-1797284238.9970789</v>
      </c>
      <c r="AA268" s="7">
        <f t="shared" si="152"/>
        <v>-2483209151.663547</v>
      </c>
      <c r="AB268" s="7"/>
      <c r="AC268" s="7">
        <f t="shared" si="153"/>
        <v>-1747917592.153162</v>
      </c>
      <c r="AD268" s="7">
        <f t="shared" si="153"/>
        <v>0</v>
      </c>
      <c r="AE268" s="7"/>
      <c r="AF268" s="7">
        <f t="shared" si="154"/>
        <v>-1713669742.8606079</v>
      </c>
      <c r="AG268" s="7">
        <f t="shared" si="154"/>
        <v>0</v>
      </c>
      <c r="AH268" s="7"/>
      <c r="AI268" s="7">
        <f t="shared" si="155"/>
        <v>-1664434857.0007248</v>
      </c>
      <c r="AJ268" s="7">
        <f t="shared" si="155"/>
        <v>0</v>
      </c>
      <c r="AK268" s="7"/>
      <c r="AL268" s="21">
        <f t="shared" si="140"/>
        <v>-685924912.66646814</v>
      </c>
      <c r="AM268" s="22">
        <f t="shared" si="141"/>
        <v>0.38164520546245262</v>
      </c>
      <c r="AO268" s="44">
        <f t="shared" si="142"/>
        <v>-1797284238.9970789</v>
      </c>
      <c r="AP268" s="44">
        <f t="shared" si="143"/>
        <v>-2483209151.663547</v>
      </c>
    </row>
    <row r="269" spans="1:42" s="1" customFormat="1" ht="15.5">
      <c r="A269" s="26" t="s">
        <v>14</v>
      </c>
      <c r="B269" s="7">
        <f t="shared" si="144"/>
        <v>60106546.756340005</v>
      </c>
      <c r="C269" s="7">
        <f t="shared" si="144"/>
        <v>29619763.890000004</v>
      </c>
      <c r="D269" s="8"/>
      <c r="E269" s="7">
        <f t="shared" si="145"/>
        <v>72115624.220721006</v>
      </c>
      <c r="F269" s="7">
        <f t="shared" si="145"/>
        <v>24606207.5</v>
      </c>
      <c r="G269" s="8"/>
      <c r="H269" s="7">
        <f t="shared" si="146"/>
        <v>27323845.710997004</v>
      </c>
      <c r="I269" s="7">
        <f t="shared" si="146"/>
        <v>96194091.909999996</v>
      </c>
      <c r="J269" s="8"/>
      <c r="K269" s="7">
        <f t="shared" si="147"/>
        <v>34167646.395328</v>
      </c>
      <c r="L269" s="7">
        <f t="shared" si="147"/>
        <v>109486472.64</v>
      </c>
      <c r="M269" s="8"/>
      <c r="N269" s="7">
        <f t="shared" si="148"/>
        <v>31238114.258673999</v>
      </c>
      <c r="O269" s="7">
        <f t="shared" si="148"/>
        <v>86650288.609999985</v>
      </c>
      <c r="P269" s="8"/>
      <c r="Q269" s="7">
        <f t="shared" si="149"/>
        <v>63678838.925830998</v>
      </c>
      <c r="R269" s="7">
        <f t="shared" si="149"/>
        <v>63252102.200000003</v>
      </c>
      <c r="S269" s="8"/>
      <c r="T269" s="7">
        <f t="shared" si="150"/>
        <v>38662328.649801001</v>
      </c>
      <c r="U269" s="7">
        <f t="shared" si="150"/>
        <v>111445836.23999999</v>
      </c>
      <c r="V269" s="8"/>
      <c r="W269" s="7">
        <f t="shared" si="151"/>
        <v>59220423.434372999</v>
      </c>
      <c r="X269" s="7">
        <f t="shared" si="151"/>
        <v>115142710.5</v>
      </c>
      <c r="Y269" s="8"/>
      <c r="Z269" s="7">
        <f t="shared" si="152"/>
        <v>70746266.064197004</v>
      </c>
      <c r="AA269" s="7">
        <f t="shared" si="152"/>
        <v>77986436.730000004</v>
      </c>
      <c r="AB269" s="8"/>
      <c r="AC269" s="7">
        <f t="shared" si="153"/>
        <v>40140276.797604002</v>
      </c>
      <c r="AD269" s="7">
        <f t="shared" si="153"/>
        <v>0</v>
      </c>
      <c r="AE269" s="8"/>
      <c r="AF269" s="7">
        <f t="shared" si="154"/>
        <v>83124994.016742006</v>
      </c>
      <c r="AG269" s="7">
        <f t="shared" si="154"/>
        <v>0</v>
      </c>
      <c r="AH269" s="8"/>
      <c r="AI269" s="7">
        <f t="shared" si="155"/>
        <v>98478936.128601</v>
      </c>
      <c r="AJ269" s="7">
        <f t="shared" si="155"/>
        <v>0</v>
      </c>
      <c r="AK269" s="8"/>
      <c r="AL269" s="21">
        <f t="shared" si="140"/>
        <v>7240170.6658030003</v>
      </c>
      <c r="AM269" s="22">
        <f t="shared" si="141"/>
        <v>0.10233996885762253</v>
      </c>
      <c r="AO269" s="44">
        <f t="shared" si="142"/>
        <v>70746266.064197004</v>
      </c>
      <c r="AP269" s="44">
        <f t="shared" si="143"/>
        <v>77986436.730000004</v>
      </c>
    </row>
    <row r="270" spans="1:42" ht="15.5">
      <c r="A270" s="26" t="s">
        <v>15</v>
      </c>
      <c r="B270" s="7">
        <f t="shared" si="144"/>
        <v>229829241.09510526</v>
      </c>
      <c r="C270" s="7">
        <f t="shared" si="144"/>
        <v>304031090.46221995</v>
      </c>
      <c r="D270" s="7"/>
      <c r="E270" s="7">
        <f t="shared" si="145"/>
        <v>246316674.76791129</v>
      </c>
      <c r="F270" s="7">
        <f t="shared" si="145"/>
        <v>194547843.52432001</v>
      </c>
      <c r="G270" s="7"/>
      <c r="H270" s="7">
        <f t="shared" si="146"/>
        <v>339885502.0925619</v>
      </c>
      <c r="I270" s="7">
        <f t="shared" si="146"/>
        <v>151282224.50747401</v>
      </c>
      <c r="J270" s="7"/>
      <c r="K270" s="7">
        <f t="shared" si="147"/>
        <v>240021247.30540207</v>
      </c>
      <c r="L270" s="7">
        <f t="shared" si="147"/>
        <v>228532585.85844204</v>
      </c>
      <c r="M270" s="7"/>
      <c r="N270" s="7">
        <f t="shared" si="148"/>
        <v>265752219.36409521</v>
      </c>
      <c r="O270" s="7">
        <f t="shared" si="148"/>
        <v>105647044.190622</v>
      </c>
      <c r="P270" s="7"/>
      <c r="Q270" s="7">
        <f t="shared" si="149"/>
        <v>348598137.04223561</v>
      </c>
      <c r="R270" s="7">
        <f t="shared" si="149"/>
        <v>154748303.38520199</v>
      </c>
      <c r="S270" s="7"/>
      <c r="T270" s="7">
        <f t="shared" si="150"/>
        <v>396276291.52343291</v>
      </c>
      <c r="U270" s="7">
        <f t="shared" si="150"/>
        <v>320371076.25997597</v>
      </c>
      <c r="V270" s="7"/>
      <c r="W270" s="7">
        <f t="shared" si="151"/>
        <v>430068034.8904599</v>
      </c>
      <c r="X270" s="7">
        <f t="shared" si="151"/>
        <v>349158849.71258199</v>
      </c>
      <c r="Y270" s="7"/>
      <c r="Z270" s="7">
        <f t="shared" si="152"/>
        <v>578872513.69342554</v>
      </c>
      <c r="AA270" s="7">
        <f t="shared" si="152"/>
        <v>395743272.01920003</v>
      </c>
      <c r="AB270" s="7"/>
      <c r="AC270" s="7">
        <f t="shared" si="153"/>
        <v>644245099.09759963</v>
      </c>
      <c r="AD270" s="7">
        <f t="shared" si="153"/>
        <v>0</v>
      </c>
      <c r="AE270" s="7"/>
      <c r="AF270" s="7">
        <f t="shared" si="154"/>
        <v>745480753.44279742</v>
      </c>
      <c r="AG270" s="7">
        <f t="shared" si="154"/>
        <v>0</v>
      </c>
      <c r="AH270" s="7"/>
      <c r="AI270" s="7">
        <f t="shared" si="155"/>
        <v>675610826.19287252</v>
      </c>
      <c r="AJ270" s="7">
        <f t="shared" si="155"/>
        <v>0</v>
      </c>
      <c r="AK270" s="7"/>
      <c r="AL270" s="21">
        <f t="shared" si="140"/>
        <v>-183129241.67422551</v>
      </c>
      <c r="AM270" s="22">
        <f t="shared" si="141"/>
        <v>-0.31635504768708345</v>
      </c>
      <c r="AO270" s="44">
        <f t="shared" si="142"/>
        <v>578872513.69342554</v>
      </c>
      <c r="AP270" s="44">
        <f t="shared" si="143"/>
        <v>395743272.01920003</v>
      </c>
    </row>
    <row r="271" spans="1:42" s="1" customFormat="1" ht="15.5">
      <c r="A271" s="26" t="s">
        <v>16</v>
      </c>
      <c r="B271" s="7">
        <f t="shared" si="144"/>
        <v>610140563.02907884</v>
      </c>
      <c r="C271" s="7">
        <f t="shared" si="144"/>
        <v>579578982.95444393</v>
      </c>
      <c r="D271" s="8"/>
      <c r="E271" s="7">
        <f t="shared" si="145"/>
        <v>561810520.91713905</v>
      </c>
      <c r="F271" s="7">
        <f t="shared" si="145"/>
        <v>749169574.14199984</v>
      </c>
      <c r="G271" s="8"/>
      <c r="H271" s="7">
        <f t="shared" si="146"/>
        <v>731610458.77264738</v>
      </c>
      <c r="I271" s="7">
        <f t="shared" si="146"/>
        <v>668411117.67580497</v>
      </c>
      <c r="J271" s="8"/>
      <c r="K271" s="7">
        <f t="shared" si="147"/>
        <v>673173638.90124059</v>
      </c>
      <c r="L271" s="7">
        <f t="shared" si="147"/>
        <v>603623727.76169801</v>
      </c>
      <c r="M271" s="8"/>
      <c r="N271" s="7">
        <f t="shared" si="148"/>
        <v>750118900.36499453</v>
      </c>
      <c r="O271" s="7">
        <f t="shared" si="148"/>
        <v>660674622.86379409</v>
      </c>
      <c r="P271" s="8"/>
      <c r="Q271" s="7">
        <f t="shared" si="149"/>
        <v>924792908.39232361</v>
      </c>
      <c r="R271" s="7">
        <f t="shared" si="149"/>
        <v>886026375.09128213</v>
      </c>
      <c r="S271" s="8"/>
      <c r="T271" s="7">
        <f t="shared" si="150"/>
        <v>936198840.56551373</v>
      </c>
      <c r="U271" s="7">
        <f t="shared" si="150"/>
        <v>595580822.31127203</v>
      </c>
      <c r="V271" s="8"/>
      <c r="W271" s="7">
        <f t="shared" si="151"/>
        <v>1004383479.8128959</v>
      </c>
      <c r="X271" s="7">
        <f t="shared" si="151"/>
        <v>541722449.92047</v>
      </c>
      <c r="Y271" s="8"/>
      <c r="Z271" s="7">
        <f t="shared" si="152"/>
        <v>1174176373.056483</v>
      </c>
      <c r="AA271" s="7">
        <f t="shared" si="152"/>
        <v>694664872.79602706</v>
      </c>
      <c r="AB271" s="8"/>
      <c r="AC271" s="7">
        <f t="shared" si="153"/>
        <v>1084568446.7995081</v>
      </c>
      <c r="AD271" s="7">
        <f t="shared" si="153"/>
        <v>0</v>
      </c>
      <c r="AE271" s="8"/>
      <c r="AF271" s="7">
        <f t="shared" si="154"/>
        <v>908020937.87092865</v>
      </c>
      <c r="AG271" s="7">
        <f t="shared" si="154"/>
        <v>0</v>
      </c>
      <c r="AH271" s="8"/>
      <c r="AI271" s="7">
        <f t="shared" si="155"/>
        <v>1219921003.9244156</v>
      </c>
      <c r="AJ271" s="7">
        <f t="shared" si="155"/>
        <v>0</v>
      </c>
      <c r="AK271" s="8"/>
      <c r="AL271" s="21">
        <f t="shared" si="140"/>
        <v>-479511500.26045597</v>
      </c>
      <c r="AM271" s="22">
        <f t="shared" si="141"/>
        <v>-0.40838115232402938</v>
      </c>
      <c r="AO271" s="44">
        <f t="shared" si="142"/>
        <v>1174176373.056483</v>
      </c>
      <c r="AP271" s="44">
        <f t="shared" si="143"/>
        <v>694664872.79602706</v>
      </c>
    </row>
    <row r="272" spans="1:42" s="1" customFormat="1" ht="15.5">
      <c r="A272" s="26" t="s">
        <v>17</v>
      </c>
      <c r="B272" s="7">
        <f t="shared" si="144"/>
        <v>394182819.98521513</v>
      </c>
      <c r="C272" s="7">
        <f t="shared" si="144"/>
        <v>303932561.47016394</v>
      </c>
      <c r="D272" s="8"/>
      <c r="E272" s="7">
        <f t="shared" si="145"/>
        <v>302881755.40960282</v>
      </c>
      <c r="F272" s="7">
        <f t="shared" si="145"/>
        <v>131377279.15927999</v>
      </c>
      <c r="G272" s="8"/>
      <c r="H272" s="7">
        <f t="shared" si="146"/>
        <v>444661118.19737297</v>
      </c>
      <c r="I272" s="7">
        <f t="shared" si="146"/>
        <v>716797254.73865712</v>
      </c>
      <c r="J272" s="8"/>
      <c r="K272" s="7">
        <f t="shared" si="147"/>
        <v>250121763.0212836</v>
      </c>
      <c r="L272" s="7">
        <f t="shared" si="147"/>
        <v>518704061.87340409</v>
      </c>
      <c r="M272" s="8"/>
      <c r="N272" s="7">
        <f t="shared" si="148"/>
        <v>315457000.10002583</v>
      </c>
      <c r="O272" s="7">
        <f t="shared" si="148"/>
        <v>362613612.47476202</v>
      </c>
      <c r="P272" s="8"/>
      <c r="Q272" s="7">
        <f t="shared" si="149"/>
        <v>548719643.09907067</v>
      </c>
      <c r="R272" s="7">
        <f t="shared" si="149"/>
        <v>620878717.20519805</v>
      </c>
      <c r="S272" s="8"/>
      <c r="T272" s="7">
        <f t="shared" si="150"/>
        <v>429716652.50231838</v>
      </c>
      <c r="U272" s="7">
        <f t="shared" si="150"/>
        <v>552148734.51754808</v>
      </c>
      <c r="V272" s="8"/>
      <c r="W272" s="7">
        <f t="shared" si="151"/>
        <v>381214197.86719847</v>
      </c>
      <c r="X272" s="7">
        <f t="shared" si="151"/>
        <v>538551062.20915997</v>
      </c>
      <c r="Y272" s="8"/>
      <c r="Z272" s="7">
        <f t="shared" si="152"/>
        <v>596526040.80759144</v>
      </c>
      <c r="AA272" s="7">
        <f t="shared" si="152"/>
        <v>582212616.68928409</v>
      </c>
      <c r="AB272" s="8"/>
      <c r="AC272" s="7">
        <f t="shared" si="153"/>
        <v>408200210.25200796</v>
      </c>
      <c r="AD272" s="7">
        <f t="shared" si="153"/>
        <v>0</v>
      </c>
      <c r="AE272" s="8"/>
      <c r="AF272" s="7">
        <f t="shared" si="154"/>
        <v>693596685.99725556</v>
      </c>
      <c r="AG272" s="7">
        <f t="shared" si="154"/>
        <v>0</v>
      </c>
      <c r="AH272" s="8"/>
      <c r="AI272" s="7">
        <f t="shared" si="155"/>
        <v>998136085.80753386</v>
      </c>
      <c r="AJ272" s="7">
        <f t="shared" si="155"/>
        <v>0</v>
      </c>
      <c r="AK272" s="8"/>
      <c r="AL272" s="21">
        <f t="shared" si="140"/>
        <v>-14313424.118307352</v>
      </c>
      <c r="AM272" s="22">
        <f t="shared" si="141"/>
        <v>-2.3994634163714834E-2</v>
      </c>
      <c r="AO272" s="44">
        <f t="shared" si="142"/>
        <v>596526040.80759144</v>
      </c>
      <c r="AP272" s="44">
        <f t="shared" si="143"/>
        <v>582212616.68928409</v>
      </c>
    </row>
    <row r="273" spans="1:57" s="1" customFormat="1" ht="15.5">
      <c r="A273" s="26"/>
      <c r="B273" s="7"/>
      <c r="C273" s="8"/>
      <c r="D273" s="8"/>
      <c r="E273" s="7"/>
      <c r="F273" s="8"/>
      <c r="G273" s="8"/>
      <c r="H273" s="7"/>
      <c r="I273" s="8"/>
      <c r="J273" s="8"/>
      <c r="K273" s="7"/>
      <c r="L273" s="8"/>
      <c r="M273" s="8"/>
      <c r="N273" s="7"/>
      <c r="O273" s="8"/>
      <c r="P273" s="8"/>
      <c r="Q273" s="7"/>
      <c r="R273" s="8"/>
      <c r="S273" s="8"/>
      <c r="T273" s="7"/>
      <c r="U273" s="8"/>
      <c r="V273" s="8"/>
      <c r="W273" s="7"/>
      <c r="X273" s="8"/>
      <c r="Y273" s="8"/>
      <c r="Z273" s="7"/>
      <c r="AA273" s="8"/>
      <c r="AB273" s="8"/>
      <c r="AC273" s="7"/>
      <c r="AD273" s="8"/>
      <c r="AE273" s="8"/>
      <c r="AF273" s="7"/>
      <c r="AG273" s="8"/>
      <c r="AH273" s="8"/>
      <c r="AI273" s="7"/>
      <c r="AJ273" s="8"/>
      <c r="AK273" s="8"/>
      <c r="AL273" s="15"/>
      <c r="AM273" s="16"/>
      <c r="AO273" s="44"/>
      <c r="AP273" s="44"/>
    </row>
    <row r="274" spans="1:57" s="1" customFormat="1" ht="15.5">
      <c r="A274" s="26"/>
      <c r="B274" s="7"/>
      <c r="C274" s="8"/>
      <c r="D274" s="8"/>
      <c r="E274" s="7"/>
      <c r="F274" s="8"/>
      <c r="G274" s="8"/>
      <c r="H274" s="7"/>
      <c r="I274" s="8"/>
      <c r="J274" s="8"/>
      <c r="K274" s="7"/>
      <c r="L274" s="8"/>
      <c r="M274" s="8"/>
      <c r="N274" s="7"/>
      <c r="O274" s="8"/>
      <c r="P274" s="8"/>
      <c r="Q274" s="7"/>
      <c r="R274" s="8"/>
      <c r="S274" s="8"/>
      <c r="T274" s="7"/>
      <c r="U274" s="8"/>
      <c r="V274" s="8"/>
      <c r="W274" s="7"/>
      <c r="X274" s="8"/>
      <c r="Y274" s="8"/>
      <c r="Z274" s="7"/>
      <c r="AA274" s="8"/>
      <c r="AB274" s="8"/>
      <c r="AC274" s="7"/>
      <c r="AD274" s="8"/>
      <c r="AE274" s="8"/>
      <c r="AF274" s="7"/>
      <c r="AG274" s="8"/>
      <c r="AH274" s="8"/>
      <c r="AI274" s="7"/>
      <c r="AJ274" s="8"/>
      <c r="AK274" s="8"/>
      <c r="AL274" s="15"/>
      <c r="AM274" s="16"/>
      <c r="AO274" s="44"/>
      <c r="AP274" s="44"/>
    </row>
    <row r="275" spans="1:57" s="44" customFormat="1" ht="15.5">
      <c r="A275" s="31" t="s">
        <v>90</v>
      </c>
      <c r="B275" s="32">
        <f>'Bütçe aylık-TL'!$B$186</f>
        <v>17106915.027101252</v>
      </c>
      <c r="C275" s="32">
        <f>'gerç aylık-tl'!$B$185</f>
        <v>9734379.947805794</v>
      </c>
      <c r="D275" s="18"/>
      <c r="E275" s="32">
        <f>'Bütçe aylık-TL'!$C$186</f>
        <v>19602696.481339708</v>
      </c>
      <c r="F275" s="32">
        <f>'gerç aylık-tl'!$C$185</f>
        <v>7480531.1451193783</v>
      </c>
      <c r="G275" s="18"/>
      <c r="H275" s="32">
        <f>'Bütçe aylık-TL'!$D$186</f>
        <v>24036040.535508975</v>
      </c>
      <c r="I275" s="32">
        <f>'gerç aylık-tl'!$D$185</f>
        <v>14196628.540314406</v>
      </c>
      <c r="J275" s="18"/>
      <c r="K275" s="32">
        <f>'Bütçe aylık-TL'!$E$186</f>
        <v>26686021.24555888</v>
      </c>
      <c r="L275" s="32">
        <f>'gerç aylık-tl'!$E$185</f>
        <v>76161393.787639424</v>
      </c>
      <c r="M275" s="18"/>
      <c r="N275" s="32">
        <f>'Bütçe aylık-TL'!$F$186</f>
        <v>25034260.014915049</v>
      </c>
      <c r="O275" s="32">
        <f>'gerç aylık-tl'!$F$185</f>
        <v>38041504.812460072</v>
      </c>
      <c r="P275" s="18"/>
      <c r="Q275" s="32">
        <f>'Bütçe aylık-TL'!$G$186</f>
        <v>31992288.156967476</v>
      </c>
      <c r="R275" s="32">
        <f>'gerç aylık-tl'!$G$185</f>
        <v>18957548.212033324</v>
      </c>
      <c r="S275" s="18"/>
      <c r="T275" s="32">
        <f>'Bütçe aylık-TL'!$H$186</f>
        <v>26592282.364794701</v>
      </c>
      <c r="U275" s="32">
        <f>'gerç aylık-tl'!$H$185</f>
        <v>-75776784.011540189</v>
      </c>
      <c r="V275" s="18"/>
      <c r="W275" s="32">
        <f>'Bütçe aylık-TL'!$I$186</f>
        <v>29171587.704913594</v>
      </c>
      <c r="X275" s="32">
        <f>'gerç aylık-tl'!$I$185</f>
        <v>49600734.069352299</v>
      </c>
      <c r="Y275" s="18"/>
      <c r="Z275" s="32">
        <f>'Bütçe aylık-TL'!$J$186</f>
        <v>32509707.776504505</v>
      </c>
      <c r="AA275" s="32">
        <f>'gerç aylık-tl'!$J$185</f>
        <v>23127636.257345229</v>
      </c>
      <c r="AB275" s="18"/>
      <c r="AC275" s="32">
        <f>'Bütçe aylık-TL'!$K$186</f>
        <v>26550276.641311198</v>
      </c>
      <c r="AD275" s="32">
        <f>'gerç aylık-tl'!$K$185</f>
        <v>0</v>
      </c>
      <c r="AE275" s="18"/>
      <c r="AF275" s="32">
        <f>'Bütçe aylık-TL'!$L$186</f>
        <v>24431071.224787146</v>
      </c>
      <c r="AG275" s="32">
        <f>'gerç aylık-tl'!$L$185</f>
        <v>0</v>
      </c>
      <c r="AH275" s="18"/>
      <c r="AI275" s="32">
        <f>'Bütçe aylık-TL'!$M$186</f>
        <v>27935253.51199393</v>
      </c>
      <c r="AJ275" s="32">
        <f>'gerç aylık-tl'!$M$185</f>
        <v>0</v>
      </c>
      <c r="AK275" s="18"/>
      <c r="AL275" s="33">
        <f>AP275-AO275</f>
        <v>-9382071.519159276</v>
      </c>
      <c r="AM275" s="34">
        <f>AP275/AO275-1</f>
        <v>-0.28859292072566423</v>
      </c>
      <c r="AO275" s="44">
        <f>IF($A$1=$B$1,B275,IF($A$1=$E$1,E275,IF($A$1=$H$1,H275,IF($A$1=$K$1,K275,IF($A$1=$N$1,N275,IF($A$1=$Q$1,Q275,IF($A$1=$T$1,T275,IF($A$1=$W$1,W275,IF($A$1=$Z$1,Z275,IF($A$1=$AC$1,AC275,IF($A$1=$AF$1,AF275,IF($A$1=$AI$1,AI275))))))))))))</f>
        <v>32509707.776504505</v>
      </c>
      <c r="AP275" s="44">
        <f>IF($A$1=$B$1,C275,IF($A$1=$E$1,F275,IF($A$1=$H$1,I275,IF($A$1=$K$1,L275,IF($A$1=$N$1,O275,IF($A$1=$Q$1,R275,IF($A$1=$T$1,U275,IF($A$1=$W$1,X275,IF($A$1=$Z$1,AA275,IF($A$1=$AC$1,AD275,IF($A$1=$AF$1,AG275,IF($A$1=$AI$1,AJ275))))))))))))</f>
        <v>23127636.257345229</v>
      </c>
    </row>
    <row r="276" spans="1:57" s="13" customFormat="1" ht="15.5">
      <c r="A276" s="27"/>
      <c r="B276" s="30"/>
      <c r="C276" s="30" t="str">
        <f>IFERROR((C233/#REF!),"")</f>
        <v/>
      </c>
      <c r="D276" s="41"/>
      <c r="E276" s="30"/>
      <c r="F276" s="30" t="str">
        <f>IFERROR((F233/#REF!),"")</f>
        <v/>
      </c>
      <c r="G276" s="41"/>
      <c r="H276" s="30"/>
      <c r="I276" s="30" t="str">
        <f>IFERROR((I233/#REF!),"")</f>
        <v/>
      </c>
      <c r="J276" s="41"/>
      <c r="K276" s="30"/>
      <c r="L276" s="30" t="str">
        <f>IFERROR((L233/#REF!),"")</f>
        <v/>
      </c>
      <c r="M276" s="41"/>
      <c r="N276" s="30"/>
      <c r="O276" s="30" t="str">
        <f>IFERROR((O233/#REF!),"")</f>
        <v/>
      </c>
      <c r="P276" s="41"/>
      <c r="Q276" s="30"/>
      <c r="R276" s="30" t="str">
        <f>IFERROR((R233/#REF!),"")</f>
        <v/>
      </c>
      <c r="S276" s="41"/>
      <c r="T276" s="30"/>
      <c r="U276" s="30" t="str">
        <f>IFERROR((U233/#REF!),"")</f>
        <v/>
      </c>
      <c r="V276" s="41"/>
      <c r="W276" s="30"/>
      <c r="X276" s="30" t="str">
        <f>IFERROR((X233/#REF!),"")</f>
        <v/>
      </c>
      <c r="Y276" s="41"/>
      <c r="Z276" s="30"/>
      <c r="AA276" s="30" t="str">
        <f>IFERROR((AA233/#REF!),"")</f>
        <v/>
      </c>
      <c r="AB276" s="41"/>
      <c r="AC276" s="30"/>
      <c r="AD276" s="30" t="str">
        <f>IFERROR((AD233/#REF!),"")</f>
        <v/>
      </c>
      <c r="AE276" s="41"/>
      <c r="AF276" s="30"/>
      <c r="AG276" s="30" t="str">
        <f>IFERROR((AG233/#REF!),"")</f>
        <v/>
      </c>
      <c r="AH276" s="41"/>
      <c r="AI276" s="30"/>
      <c r="AJ276" s="30" t="str">
        <f>IFERROR((AJ233/#REF!),"")</f>
        <v/>
      </c>
      <c r="AK276" s="41"/>
      <c r="AL276" s="15"/>
      <c r="AM276" s="22"/>
      <c r="AO276" s="44">
        <f>IF($A$1=$B$1,B276,IF($A$1=$E$1,E276,IF($A$1=$H$1,H276,IF($A$1=$K$1,K276,IF($A$1=$N$1,N276,IF($A$1=$Q$1,Q276,IF($A$1=$T$1,T276,IF($A$1=$W$1,W276,IF($A$1=$Z$1,Z276,IF($A$1=$AC$1,AC276,IF($A$1=$AF$1,AF276,IF($A$1=$AI$1,AI276))))))))))))</f>
        <v>0</v>
      </c>
      <c r="AP276" s="44" t="str">
        <f>IF($A$1=$B$1,C276,IF($A$1=$E$1,F276,IF($A$1=$H$1,I276,IF($A$1=$K$1,L276,IF($A$1=$N$1,O276,IF($A$1=$Q$1,R276,IF($A$1=$T$1,U276,IF($A$1=$W$1,X276,IF($A$1=$Z$1,AA276,IF($A$1=$AC$1,AD276,IF($A$1=$AF$1,AG276,IF($A$1=$AI$1,AJ276))))))))))))</f>
        <v/>
      </c>
    </row>
    <row r="277" spans="1:57" s="49" customFormat="1" ht="17">
      <c r="A277" s="47" t="s">
        <v>91</v>
      </c>
      <c r="B277" s="413"/>
      <c r="C277" s="413"/>
      <c r="D277" s="413"/>
      <c r="E277" s="413"/>
      <c r="F277" s="413"/>
      <c r="G277" s="413"/>
      <c r="H277" s="413"/>
      <c r="I277" s="413"/>
      <c r="J277" s="413"/>
      <c r="K277" s="413"/>
      <c r="L277" s="413"/>
      <c r="M277" s="413"/>
      <c r="N277" s="413"/>
      <c r="O277" s="413"/>
      <c r="P277" s="413"/>
      <c r="Q277" s="413"/>
      <c r="R277" s="413"/>
      <c r="S277" s="413"/>
      <c r="T277" s="413"/>
      <c r="U277" s="413"/>
      <c r="V277" s="413"/>
      <c r="W277" s="413"/>
      <c r="X277" s="413"/>
      <c r="Y277" s="413"/>
      <c r="Z277" s="413"/>
      <c r="AA277" s="413"/>
      <c r="AB277" s="413"/>
      <c r="AC277" s="413"/>
      <c r="AD277" s="413"/>
      <c r="AE277" s="413"/>
      <c r="AF277" s="413"/>
      <c r="AG277" s="413"/>
      <c r="AH277" s="413"/>
      <c r="AI277" s="413"/>
      <c r="AJ277" s="413"/>
      <c r="AK277" s="413"/>
      <c r="AL277" s="413"/>
      <c r="AM277" s="48"/>
    </row>
    <row r="278" spans="1:57" ht="15.5">
      <c r="A278" s="26" t="s">
        <v>10</v>
      </c>
      <c r="B278" s="7">
        <f>'Bütçe aylık-TL'!$B$187</f>
        <v>71458.333333000002</v>
      </c>
      <c r="C278" s="7">
        <f>'gerç aylık-tl'!$B$186</f>
        <v>0</v>
      </c>
      <c r="D278" s="7"/>
      <c r="E278" s="7">
        <f>'Bütçe aylık-TL'!$C$187</f>
        <v>0</v>
      </c>
      <c r="F278" s="7">
        <f>'gerç aylık-tl'!$C$186</f>
        <v>15416.66</v>
      </c>
      <c r="G278" s="7"/>
      <c r="H278" s="7">
        <f>'Bütçe aylık-TL'!$D$187</f>
        <v>0</v>
      </c>
      <c r="I278" s="7">
        <f>'gerç aylık-tl'!$D$186</f>
        <v>0</v>
      </c>
      <c r="J278" s="7"/>
      <c r="K278" s="7">
        <f>'Bütçe aylık-TL'!$E$187</f>
        <v>0</v>
      </c>
      <c r="L278" s="7">
        <f>'gerç aylık-tl'!$E$186</f>
        <v>0</v>
      </c>
      <c r="M278" s="7"/>
      <c r="N278" s="7">
        <f>'Bütçe aylık-TL'!$F$187</f>
        <v>38645.833333000002</v>
      </c>
      <c r="O278" s="7">
        <f>'gerç aylık-tl'!$F$186</f>
        <v>0</v>
      </c>
      <c r="P278" s="7"/>
      <c r="Q278" s="7">
        <f>'Bütçe aylık-TL'!$G$187</f>
        <v>78750</v>
      </c>
      <c r="R278" s="7">
        <f>'gerç aylık-tl'!$G$186</f>
        <v>322686</v>
      </c>
      <c r="S278" s="7"/>
      <c r="T278" s="7">
        <f>'Bütçe aylık-TL'!$H$187</f>
        <v>0</v>
      </c>
      <c r="U278" s="7">
        <f>'gerç aylık-tl'!$H$186</f>
        <v>0</v>
      </c>
      <c r="V278" s="7"/>
      <c r="W278" s="7">
        <f>'Bütçe aylık-TL'!$I$187</f>
        <v>250000</v>
      </c>
      <c r="X278" s="7">
        <f>'gerç aylık-tl'!$I$186</f>
        <v>0</v>
      </c>
      <c r="Y278" s="7"/>
      <c r="Z278" s="7">
        <f>'Bütçe aylık-TL'!$J$187</f>
        <v>85000</v>
      </c>
      <c r="AA278" s="7">
        <f>'gerç aylık-tl'!$J$186</f>
        <v>0</v>
      </c>
      <c r="AB278" s="7"/>
      <c r="AC278" s="7">
        <f>'Bütçe aylık-TL'!$K$187</f>
        <v>100000</v>
      </c>
      <c r="AD278" s="7">
        <f>'gerç aylık-tl'!$K$186</f>
        <v>0</v>
      </c>
      <c r="AE278" s="7"/>
      <c r="AF278" s="7">
        <f>'Bütçe aylık-TL'!$L$187</f>
        <v>0</v>
      </c>
      <c r="AG278" s="7">
        <f>'gerç aylık-tl'!$L$186</f>
        <v>0</v>
      </c>
      <c r="AH278" s="7"/>
      <c r="AI278" s="7">
        <f>'Bütçe aylık-TL'!$M$187</f>
        <v>0</v>
      </c>
      <c r="AJ278" s="7">
        <f>'gerç aylık-tl'!$M$186</f>
        <v>0</v>
      </c>
      <c r="AK278" s="7"/>
      <c r="AL278" s="21">
        <f t="shared" ref="AL278:AL285" si="156">AP278-AO278</f>
        <v>-85000</v>
      </c>
      <c r="AM278" s="22">
        <f t="shared" ref="AM278:AM285" si="157">AP278/AO278-1</f>
        <v>-1</v>
      </c>
      <c r="AO278" s="44">
        <f t="shared" ref="AO278:AO285" si="158">IF($A$1=$B$1,B278,IF($A$1=$E$1,E278,IF($A$1=$H$1,H278,IF($A$1=$K$1,K278,IF($A$1=$N$1,N278,IF($A$1=$Q$1,Q278,IF($A$1=$T$1,T278,IF($A$1=$W$1,W278,IF($A$1=$Z$1,Z278,IF($A$1=$AC$1,AC278,IF($A$1=$AF$1,AF278,IF($A$1=$AI$1,AI278))))))))))))</f>
        <v>85000</v>
      </c>
      <c r="AP278" s="44">
        <f t="shared" ref="AP278:AP285" si="159">IF($A$1=$B$1,C278,IF($A$1=$E$1,F278,IF($A$1=$H$1,I278,IF($A$1=$K$1,L278,IF($A$1=$N$1,O278,IF($A$1=$Q$1,R278,IF($A$1=$T$1,U278,IF($A$1=$W$1,X278,IF($A$1=$Z$1,AA278,IF($A$1=$AC$1,AD278,IF($A$1=$AF$1,AG278,IF($A$1=$AI$1,AJ278))))))))))))</f>
        <v>0</v>
      </c>
    </row>
    <row r="279" spans="1:57" ht="15.5">
      <c r="A279" s="26" t="s">
        <v>11</v>
      </c>
      <c r="B279" s="7">
        <f>'Bütçe aylık-TL'!$B$188</f>
        <v>1389547</v>
      </c>
      <c r="C279" s="7">
        <f>'gerç aylık-tl'!$B$187</f>
        <v>1953778.61</v>
      </c>
      <c r="D279" s="7"/>
      <c r="E279" s="7">
        <f>'Bütçe aylık-TL'!$C$188</f>
        <v>1107800</v>
      </c>
      <c r="F279" s="7">
        <f>'gerç aylık-tl'!$C$187</f>
        <v>2466823.94</v>
      </c>
      <c r="G279" s="7"/>
      <c r="H279" s="7">
        <f>'Bütçe aylık-TL'!$D$188</f>
        <v>1247303</v>
      </c>
      <c r="I279" s="7">
        <f>'gerç aylık-tl'!$D$187</f>
        <v>3242317</v>
      </c>
      <c r="J279" s="7"/>
      <c r="K279" s="7">
        <f>'Bütçe aylık-TL'!$E$188</f>
        <v>8054500</v>
      </c>
      <c r="L279" s="7">
        <f>'gerç aylık-tl'!$E$187</f>
        <v>2535050</v>
      </c>
      <c r="M279" s="7"/>
      <c r="N279" s="7">
        <f>'Bütçe aylık-TL'!$F$188</f>
        <v>2412520</v>
      </c>
      <c r="O279" s="7">
        <f>'gerç aylık-tl'!$F$187</f>
        <v>2213108</v>
      </c>
      <c r="P279" s="7"/>
      <c r="Q279" s="7">
        <f>'Bütçe aylık-TL'!$G$188</f>
        <v>3271000</v>
      </c>
      <c r="R279" s="7">
        <f>'gerç aylık-tl'!$G$187</f>
        <v>2940656.23</v>
      </c>
      <c r="S279" s="7"/>
      <c r="T279" s="7">
        <f>'Bütçe aylık-TL'!$H$188</f>
        <v>2410000</v>
      </c>
      <c r="U279" s="7">
        <f>'gerç aylık-tl'!$H$187</f>
        <v>2381556</v>
      </c>
      <c r="V279" s="7"/>
      <c r="W279" s="7">
        <f>'Bütçe aylık-TL'!$I$188</f>
        <v>984409</v>
      </c>
      <c r="X279" s="7">
        <f>'gerç aylık-tl'!$I$187</f>
        <v>2486575</v>
      </c>
      <c r="Y279" s="7"/>
      <c r="Z279" s="7">
        <f>'Bütçe aylık-TL'!$J$188</f>
        <v>2360000</v>
      </c>
      <c r="AA279" s="7">
        <f>'gerç aylık-tl'!$J$187</f>
        <v>2452957</v>
      </c>
      <c r="AB279" s="7"/>
      <c r="AC279" s="7">
        <f>'Bütçe aylık-TL'!$K$188</f>
        <v>723567</v>
      </c>
      <c r="AD279" s="7">
        <f>'gerç aylık-tl'!$K$187</f>
        <v>0</v>
      </c>
      <c r="AE279" s="7"/>
      <c r="AF279" s="7">
        <f>'Bütçe aylık-TL'!$L$188</f>
        <v>724816</v>
      </c>
      <c r="AG279" s="7">
        <f>'gerç aylık-tl'!$L$187</f>
        <v>0</v>
      </c>
      <c r="AH279" s="7"/>
      <c r="AI279" s="7">
        <f>'Bütçe aylık-TL'!$M$188</f>
        <v>726604</v>
      </c>
      <c r="AJ279" s="7">
        <f>'gerç aylık-tl'!$M$187</f>
        <v>0</v>
      </c>
      <c r="AK279" s="7"/>
      <c r="AL279" s="21">
        <f t="shared" si="156"/>
        <v>92957</v>
      </c>
      <c r="AM279" s="22">
        <f t="shared" si="157"/>
        <v>3.9388559322034E-2</v>
      </c>
      <c r="AO279" s="44">
        <f t="shared" si="158"/>
        <v>2360000</v>
      </c>
      <c r="AP279" s="44">
        <f t="shared" si="159"/>
        <v>2452957</v>
      </c>
    </row>
    <row r="280" spans="1:57" ht="15.5">
      <c r="A280" s="26" t="s">
        <v>12</v>
      </c>
      <c r="B280" s="7">
        <f>'Bütçe aylık-TL'!$B$189</f>
        <v>0</v>
      </c>
      <c r="C280" s="7">
        <f>'gerç aylık-tl'!$B$188</f>
        <v>0</v>
      </c>
      <c r="D280" s="7"/>
      <c r="E280" s="7">
        <f>'Bütçe aylık-TL'!$C$189</f>
        <v>0</v>
      </c>
      <c r="F280" s="7">
        <f>'gerç aylık-tl'!$C$188</f>
        <v>0</v>
      </c>
      <c r="G280" s="7"/>
      <c r="H280" s="7">
        <f>'Bütçe aylık-TL'!$D$189</f>
        <v>0</v>
      </c>
      <c r="I280" s="7">
        <f>'gerç aylık-tl'!$D$188</f>
        <v>0</v>
      </c>
      <c r="J280" s="7"/>
      <c r="K280" s="7">
        <f>'Bütçe aylık-TL'!$E$189</f>
        <v>0</v>
      </c>
      <c r="L280" s="7">
        <f>'gerç aylık-tl'!$E$188</f>
        <v>0</v>
      </c>
      <c r="M280" s="7"/>
      <c r="N280" s="7">
        <f>'Bütçe aylık-TL'!$F$189</f>
        <v>0</v>
      </c>
      <c r="O280" s="7">
        <f>'gerç aylık-tl'!$F$188</f>
        <v>0</v>
      </c>
      <c r="P280" s="7"/>
      <c r="Q280" s="7">
        <f>'Bütçe aylık-TL'!$G$189</f>
        <v>0</v>
      </c>
      <c r="R280" s="7">
        <f>'gerç aylık-tl'!$G$188</f>
        <v>0</v>
      </c>
      <c r="S280" s="7"/>
      <c r="T280" s="7">
        <f>'Bütçe aylık-TL'!$H$189</f>
        <v>0</v>
      </c>
      <c r="U280" s="7">
        <f>'gerç aylık-tl'!$H$188</f>
        <v>0</v>
      </c>
      <c r="V280" s="7"/>
      <c r="W280" s="7">
        <f>'Bütçe aylık-TL'!$I$189</f>
        <v>0</v>
      </c>
      <c r="X280" s="7">
        <f>'gerç aylık-tl'!$I$188</f>
        <v>0</v>
      </c>
      <c r="Y280" s="7"/>
      <c r="Z280" s="7">
        <f>'Bütçe aylık-TL'!$J$189</f>
        <v>0</v>
      </c>
      <c r="AA280" s="7">
        <f>'gerç aylık-tl'!$J$188</f>
        <v>0</v>
      </c>
      <c r="AB280" s="7"/>
      <c r="AC280" s="7">
        <f>'Bütçe aylık-TL'!$K$189</f>
        <v>0</v>
      </c>
      <c r="AD280" s="7">
        <f>'gerç aylık-tl'!$K$188</f>
        <v>0</v>
      </c>
      <c r="AE280" s="7"/>
      <c r="AF280" s="7">
        <f>'Bütçe aylık-TL'!$L$189</f>
        <v>0</v>
      </c>
      <c r="AG280" s="7">
        <f>'gerç aylık-tl'!$L$188</f>
        <v>0</v>
      </c>
      <c r="AH280" s="7"/>
      <c r="AI280" s="7">
        <f>'Bütçe aylık-TL'!$M$189</f>
        <v>0</v>
      </c>
      <c r="AJ280" s="7">
        <f>'gerç aylık-tl'!$M$188</f>
        <v>0</v>
      </c>
      <c r="AK280" s="7"/>
      <c r="AL280" s="21">
        <f t="shared" si="156"/>
        <v>0</v>
      </c>
      <c r="AM280" s="22" t="e">
        <f t="shared" si="157"/>
        <v>#DIV/0!</v>
      </c>
      <c r="AO280" s="44">
        <f t="shared" si="158"/>
        <v>0</v>
      </c>
      <c r="AP280" s="44">
        <f t="shared" si="159"/>
        <v>0</v>
      </c>
    </row>
    <row r="281" spans="1:57" ht="15.5">
      <c r="A281" s="26" t="s">
        <v>13</v>
      </c>
      <c r="B281" s="7">
        <f>'Bütçe aylık-TL'!$B$190</f>
        <v>11490909.855599999</v>
      </c>
      <c r="C281" s="7">
        <f>'gerç aylık-tl'!$B$189</f>
        <v>6583183.5099999998</v>
      </c>
      <c r="D281" s="7"/>
      <c r="E281" s="7">
        <f>'Bütçe aylık-TL'!$C$190</f>
        <v>11706479.324491</v>
      </c>
      <c r="F281" s="7">
        <f>'gerç aylık-tl'!$C$189</f>
        <v>3476445.34</v>
      </c>
      <c r="G281" s="7"/>
      <c r="H281" s="7">
        <f>'Bütçe aylık-TL'!$D$190</f>
        <v>11926092.876619</v>
      </c>
      <c r="I281" s="7">
        <f>'gerç aylık-tl'!$D$189</f>
        <v>6652195.1399999997</v>
      </c>
      <c r="J281" s="7"/>
      <c r="K281" s="7">
        <f>'Bütçe aylık-TL'!$E$190</f>
        <v>17009756.930576999</v>
      </c>
      <c r="L281" s="7">
        <f>'gerç aylık-tl'!$E$189</f>
        <v>0</v>
      </c>
      <c r="M281" s="7"/>
      <c r="N281" s="7">
        <f>'Bütçe aylık-TL'!$F$190</f>
        <v>17328859.970594998</v>
      </c>
      <c r="O281" s="7">
        <f>'gerç aylık-tl'!$F$189</f>
        <v>0</v>
      </c>
      <c r="P281" s="7"/>
      <c r="Q281" s="7">
        <f>'Bütçe aylık-TL'!$G$190</f>
        <v>21016606.409099001</v>
      </c>
      <c r="R281" s="7">
        <f>'gerç aylık-tl'!$G$189</f>
        <v>0</v>
      </c>
      <c r="S281" s="7"/>
      <c r="T281" s="7">
        <f>'Bütçe aylık-TL'!$H$190</f>
        <v>21410877.945333999</v>
      </c>
      <c r="U281" s="7">
        <f>'gerç aylık-tl'!$H$189</f>
        <v>0</v>
      </c>
      <c r="V281" s="7"/>
      <c r="W281" s="7">
        <f>'Bütçe aylık-TL'!$I$190</f>
        <v>21812546.015588999</v>
      </c>
      <c r="X281" s="7">
        <f>'gerç aylık-tl'!$I$189</f>
        <v>34103383.189999998</v>
      </c>
      <c r="Y281" s="7"/>
      <c r="Z281" s="7">
        <f>'Bütçe aylık-TL'!$J$190</f>
        <v>26666099.254609</v>
      </c>
      <c r="AA281" s="7">
        <f>'gerç aylık-tl'!$J$189</f>
        <v>12928270.26</v>
      </c>
      <c r="AB281" s="7"/>
      <c r="AC281" s="7">
        <f>'Bütçe aylık-TL'!$K$190</f>
        <v>27166355.276625998</v>
      </c>
      <c r="AD281" s="7">
        <f>'gerç aylık-tl'!$K$189</f>
        <v>0</v>
      </c>
      <c r="AE281" s="7"/>
      <c r="AF281" s="7">
        <f>'Bütçe aylık-TL'!$L$190</f>
        <v>33211195.321938004</v>
      </c>
      <c r="AG281" s="7">
        <f>'gerç aylık-tl'!$L$189</f>
        <v>0</v>
      </c>
      <c r="AH281" s="7"/>
      <c r="AI281" s="7">
        <f>'Bütçe aylık-TL'!$M$190</f>
        <v>39477585</v>
      </c>
      <c r="AJ281" s="7">
        <f>'gerç aylık-tl'!$M$189</f>
        <v>0</v>
      </c>
      <c r="AK281" s="7"/>
      <c r="AL281" s="21">
        <f t="shared" si="156"/>
        <v>-13737828.994609</v>
      </c>
      <c r="AM281" s="22">
        <f t="shared" si="157"/>
        <v>-0.51517954926364184</v>
      </c>
      <c r="AO281" s="44">
        <f t="shared" si="158"/>
        <v>26666099.254609</v>
      </c>
      <c r="AP281" s="44">
        <f t="shared" si="159"/>
        <v>12928270.26</v>
      </c>
    </row>
    <row r="282" spans="1:57" s="1" customFormat="1" ht="15.5">
      <c r="A282" s="26" t="s">
        <v>14</v>
      </c>
      <c r="B282" s="7">
        <f>'Bütçe aylık-TL'!$B$191</f>
        <v>3865061.1788329999</v>
      </c>
      <c r="C282" s="7">
        <f>'gerç aylık-tl'!$B$190</f>
        <v>4126656.09</v>
      </c>
      <c r="D282" s="8"/>
      <c r="E282" s="7">
        <f>'Bütçe aylık-TL'!$C$191</f>
        <v>2645574.6788329994</v>
      </c>
      <c r="F282" s="7">
        <f>'gerç aylık-tl'!$C$190</f>
        <v>3984782.6</v>
      </c>
      <c r="G282" s="8"/>
      <c r="H282" s="7">
        <f>'Bütçe aylık-TL'!$D$191</f>
        <v>3178974.6788330004</v>
      </c>
      <c r="I282" s="7">
        <f>'gerç aylık-tl'!$D$190</f>
        <v>13306981.789999999</v>
      </c>
      <c r="J282" s="8"/>
      <c r="K282" s="7">
        <f>'Bütçe aylık-TL'!$E$191</f>
        <v>3000000</v>
      </c>
      <c r="L282" s="7">
        <f>'gerç aylık-tl'!$E$190</f>
        <v>1351136.05</v>
      </c>
      <c r="M282" s="8"/>
      <c r="N282" s="7">
        <f>'Bütçe aylık-TL'!$F$191</f>
        <v>3000000</v>
      </c>
      <c r="O282" s="7">
        <f>'gerç aylık-tl'!$F$190</f>
        <v>1286956.06</v>
      </c>
      <c r="P282" s="8"/>
      <c r="Q282" s="7">
        <f>'Bütçe aylık-TL'!$G$191</f>
        <v>3000000</v>
      </c>
      <c r="R282" s="7">
        <f>'gerç aylık-tl'!$G$190</f>
        <v>4808022.0599999996</v>
      </c>
      <c r="S282" s="8"/>
      <c r="T282" s="7">
        <f>'Bütçe aylık-TL'!$H$191</f>
        <v>3000000</v>
      </c>
      <c r="U282" s="7">
        <f>'gerç aylık-tl'!$H$190</f>
        <v>17503956.460000001</v>
      </c>
      <c r="V282" s="8"/>
      <c r="W282" s="7">
        <f>'Bütçe aylık-TL'!$I$191</f>
        <v>3000000</v>
      </c>
      <c r="X282" s="7">
        <f>'gerç aylık-tl'!$I$190</f>
        <v>575795.31999999995</v>
      </c>
      <c r="Y282" s="8"/>
      <c r="Z282" s="7">
        <f>'Bütçe aylık-TL'!$J$191</f>
        <v>3000000</v>
      </c>
      <c r="AA282" s="7">
        <f>'gerç aylık-tl'!$J$190</f>
        <v>2955012.17</v>
      </c>
      <c r="AB282" s="8"/>
      <c r="AC282" s="7">
        <f>'Bütçe aylık-TL'!$K$191</f>
        <v>3000000</v>
      </c>
      <c r="AD282" s="7">
        <f>'gerç aylık-tl'!$K$190</f>
        <v>0</v>
      </c>
      <c r="AE282" s="8"/>
      <c r="AF282" s="7">
        <f>'Bütçe aylık-TL'!$L$191</f>
        <v>3000000</v>
      </c>
      <c r="AG282" s="7">
        <f>'gerç aylık-tl'!$L$190</f>
        <v>0</v>
      </c>
      <c r="AH282" s="8"/>
      <c r="AI282" s="7">
        <f>'Bütçe aylık-TL'!$M$191</f>
        <v>3000000</v>
      </c>
      <c r="AJ282" s="7">
        <f>'gerç aylık-tl'!$M$190</f>
        <v>0</v>
      </c>
      <c r="AK282" s="8"/>
      <c r="AL282" s="21">
        <f t="shared" si="156"/>
        <v>-44987.830000000075</v>
      </c>
      <c r="AM282" s="22">
        <f t="shared" si="157"/>
        <v>-1.4995943333333317E-2</v>
      </c>
      <c r="AO282" s="44">
        <f t="shared" si="158"/>
        <v>3000000</v>
      </c>
      <c r="AP282" s="44">
        <f t="shared" si="159"/>
        <v>2955012.17</v>
      </c>
    </row>
    <row r="283" spans="1:57" ht="15.5">
      <c r="A283" s="26" t="s">
        <v>15</v>
      </c>
      <c r="B283" s="7">
        <f>'Bütçe aylık-TL'!$B$192</f>
        <v>10205331.199987624</v>
      </c>
      <c r="C283" s="7">
        <f>'gerç aylık-tl'!$B$191</f>
        <v>4658661.8787744194</v>
      </c>
      <c r="D283" s="7"/>
      <c r="E283" s="7">
        <f>'Bütçe aylık-TL'!$C$192</f>
        <v>10415743.600025266</v>
      </c>
      <c r="F283" s="7">
        <f>'gerç aylık-tl'!$C$191</f>
        <v>1693712.4935941596</v>
      </c>
      <c r="G283" s="7"/>
      <c r="H283" s="7">
        <f>'Bütçe aylık-TL'!$D$192</f>
        <v>10626183.483320443</v>
      </c>
      <c r="I283" s="7">
        <f>'gerç aylık-tl'!$D$191</f>
        <v>1013158.2863049128</v>
      </c>
      <c r="J283" s="7"/>
      <c r="K283" s="7">
        <f>'Bütçe aylık-TL'!$E$192</f>
        <v>10836595.883320192</v>
      </c>
      <c r="L283" s="7">
        <f>'gerç aylık-tl'!$E$191</f>
        <v>10601005.126869392</v>
      </c>
      <c r="M283" s="7"/>
      <c r="N283" s="7">
        <f>'Bütçe aylık-TL'!$F$192</f>
        <v>11047008.283360125</v>
      </c>
      <c r="O283" s="7">
        <f>'gerç aylık-tl'!$F$191</f>
        <v>11719272.882018281</v>
      </c>
      <c r="P283" s="7"/>
      <c r="Q283" s="7">
        <f>'Bütçe aylık-TL'!$G$192</f>
        <v>11257420.683319684</v>
      </c>
      <c r="R283" s="7">
        <f>'gerç aylık-tl'!$G$191</f>
        <v>8900086.2215687949</v>
      </c>
      <c r="S283" s="7"/>
      <c r="T283" s="7">
        <f>'Bütçe aylık-TL'!$H$192</f>
        <v>11467860.566652758</v>
      </c>
      <c r="U283" s="7">
        <f>'gerç aylık-tl'!$H$191</f>
        <v>-4460509.6159935063</v>
      </c>
      <c r="V283" s="7"/>
      <c r="W283" s="7">
        <f>'Bütçe aylık-TL'!$I$192</f>
        <v>11678272.966694986</v>
      </c>
      <c r="X283" s="7">
        <f>'gerç aylık-tl'!$I$191</f>
        <v>62011775.662240833</v>
      </c>
      <c r="Y283" s="7"/>
      <c r="Z283" s="7">
        <f>'Bütçe aylık-TL'!$J$192</f>
        <v>11888685.36665225</v>
      </c>
      <c r="AA283" s="7">
        <f>'gerç aylık-tl'!$J$191</f>
        <v>14279360.094818994</v>
      </c>
      <c r="AB283" s="7"/>
      <c r="AC283" s="7">
        <f>'Bütçe aylık-TL'!$K$192</f>
        <v>12099097.766651995</v>
      </c>
      <c r="AD283" s="7">
        <f>'gerç aylık-tl'!$K$191</f>
        <v>0</v>
      </c>
      <c r="AE283" s="7"/>
      <c r="AF283" s="7">
        <f>'Bütçe aylık-TL'!$L$192</f>
        <v>12309537.650029851</v>
      </c>
      <c r="AG283" s="7">
        <f>'gerç aylık-tl'!$L$191</f>
        <v>0</v>
      </c>
      <c r="AH283" s="7"/>
      <c r="AI283" s="7">
        <f>'Bütçe aylık-TL'!$M$192</f>
        <v>12519950.049984818</v>
      </c>
      <c r="AJ283" s="7">
        <f>'gerç aylık-tl'!$M$191</f>
        <v>0</v>
      </c>
      <c r="AK283" s="7"/>
      <c r="AL283" s="21">
        <f t="shared" si="156"/>
        <v>2390674.7281667441</v>
      </c>
      <c r="AM283" s="22">
        <f t="shared" si="157"/>
        <v>0.20108823258731223</v>
      </c>
      <c r="AO283" s="44">
        <f t="shared" si="158"/>
        <v>11888685.36665225</v>
      </c>
      <c r="AP283" s="44">
        <f t="shared" si="159"/>
        <v>14279360.094818994</v>
      </c>
    </row>
    <row r="284" spans="1:57" s="1" customFormat="1" ht="15.5">
      <c r="A284" s="26" t="s">
        <v>16</v>
      </c>
      <c r="B284" s="7">
        <f>'Bütçe aylık-TL'!$B$193</f>
        <v>1113984</v>
      </c>
      <c r="C284" s="7">
        <f>'gerç aylık-tl'!$B$192</f>
        <v>346179.69044177426</v>
      </c>
      <c r="D284" s="8"/>
      <c r="E284" s="7">
        <f>'Bütçe aylık-TL'!$C$193</f>
        <v>10080974.4</v>
      </c>
      <c r="F284" s="7">
        <f>'gerç aylık-tl'!$C$192</f>
        <v>765531.17102892871</v>
      </c>
      <c r="G284" s="8"/>
      <c r="H284" s="7">
        <f>'Bütçe aylık-TL'!$D$193</f>
        <v>17978806.5</v>
      </c>
      <c r="I284" s="7">
        <f>'gerç aylık-tl'!$D$192</f>
        <v>216463.12555142184</v>
      </c>
      <c r="J284" s="8"/>
      <c r="K284" s="7">
        <f>'Bütçe aylık-TL'!$E$193</f>
        <v>10291151.699999999</v>
      </c>
      <c r="L284" s="7">
        <f>'gerç aylık-tl'!$E$192</f>
        <v>137073287.05121765</v>
      </c>
      <c r="M284" s="8"/>
      <c r="N284" s="7">
        <f>'Bütçe aylık-TL'!$F$193</f>
        <v>11495855.800000001</v>
      </c>
      <c r="O284" s="7">
        <f>'gerç aylık-tl'!$F$192</f>
        <v>65365626.063331574</v>
      </c>
      <c r="P284" s="8"/>
      <c r="Q284" s="7">
        <f>'Bütçe aylık-TL'!$G$193</f>
        <v>27812451.100000001</v>
      </c>
      <c r="R284" s="7">
        <f>'gerç aylık-tl'!$G$192</f>
        <v>20789114.247498423</v>
      </c>
      <c r="S284" s="8"/>
      <c r="T284" s="7">
        <f>'Bütçe aylık-TL'!$H$193</f>
        <v>2128056.6</v>
      </c>
      <c r="U284" s="7">
        <f>'gerç aylık-tl'!$H$192</f>
        <v>-214312949.38783306</v>
      </c>
      <c r="V284" s="8"/>
      <c r="W284" s="7">
        <f>'Bütçe aylık-TL'!$I$193</f>
        <v>18654075.799999997</v>
      </c>
      <c r="X284" s="7">
        <f>'gerç aylık-tl'!$I$192</f>
        <v>7253048.2477201801</v>
      </c>
      <c r="Y284" s="8"/>
      <c r="Z284" s="7">
        <f>'Bütçe aylık-TL'!$J$193</f>
        <v>15183487.800000003</v>
      </c>
      <c r="AA284" s="7">
        <f>'gerç aylık-tl'!$J$192</f>
        <v>12084487.5</v>
      </c>
      <c r="AB284" s="8"/>
      <c r="AC284" s="7">
        <f>'Bütçe aylık-TL'!$K$193</f>
        <v>7792141.8000000017</v>
      </c>
      <c r="AD284" s="7">
        <f>'gerç aylık-tl'!$K$192</f>
        <v>0</v>
      </c>
      <c r="AE284" s="8"/>
      <c r="AF284" s="7">
        <f>'Bütçe aylık-TL'!$L$193</f>
        <v>2508189.6</v>
      </c>
      <c r="AG284" s="7">
        <f>'gerç aylık-tl'!$L$192</f>
        <v>0</v>
      </c>
      <c r="AH284" s="8"/>
      <c r="AI284" s="7">
        <f>'Bütçe aylık-TL'!$M$193</f>
        <v>1184422.2</v>
      </c>
      <c r="AJ284" s="7">
        <f>'gerç aylık-tl'!$M$192</f>
        <v>0</v>
      </c>
      <c r="AK284" s="8"/>
      <c r="AL284" s="21">
        <f t="shared" si="156"/>
        <v>-3099000.3000000026</v>
      </c>
      <c r="AM284" s="22">
        <f t="shared" si="157"/>
        <v>-0.2041033220311872</v>
      </c>
      <c r="AO284" s="44">
        <f t="shared" si="158"/>
        <v>15183487.800000003</v>
      </c>
      <c r="AP284" s="44">
        <f t="shared" si="159"/>
        <v>12084487.5</v>
      </c>
    </row>
    <row r="285" spans="1:57" s="1" customFormat="1" ht="15.5">
      <c r="A285" s="26" t="s">
        <v>17</v>
      </c>
      <c r="B285" s="7">
        <f>'Bütçe aylık-TL'!$B$194</f>
        <v>12439488.000000002</v>
      </c>
      <c r="C285" s="7">
        <f>'gerç aylık-tl'!$B$193</f>
        <v>3736822.1752982913</v>
      </c>
      <c r="D285" s="8"/>
      <c r="E285" s="7">
        <f>'Bütçe aylık-TL'!$C$194</f>
        <v>11388469.200000001</v>
      </c>
      <c r="F285" s="7">
        <f>'gerç aylık-tl'!$C$193</f>
        <v>2575254.7581753568</v>
      </c>
      <c r="G285" s="8"/>
      <c r="H285" s="7">
        <f>'Bütçe aylık-TL'!$D$194</f>
        <v>13261786.299999999</v>
      </c>
      <c r="I285" s="7">
        <f>'gerç aylık-tl'!$D$193</f>
        <v>6196980.5089296792</v>
      </c>
      <c r="J285" s="8"/>
      <c r="K285" s="7">
        <f>'Bütçe aylık-TL'!$E$194</f>
        <v>5441298.5999999996</v>
      </c>
      <c r="L285" s="7">
        <f>'gerç aylık-tl'!$E$193</f>
        <v>35040431.24101153</v>
      </c>
      <c r="M285" s="8"/>
      <c r="N285" s="7">
        <f>'Bütçe aylık-TL'!$F$194</f>
        <v>13586011.4</v>
      </c>
      <c r="O285" s="7">
        <f>'gerç aylık-tl'!$F$193</f>
        <v>11199137.025800323</v>
      </c>
      <c r="P285" s="8"/>
      <c r="Q285" s="7">
        <f>'Bütçe aylık-TL'!$G$194</f>
        <v>8519867.2000000011</v>
      </c>
      <c r="R285" s="7">
        <f>'gerç aylık-tl'!$G$193</f>
        <v>4738292.426016096</v>
      </c>
      <c r="S285" s="8"/>
      <c r="T285" s="7">
        <f>'Bütçe aylık-TL'!$H$194</f>
        <v>22448910.799999993</v>
      </c>
      <c r="U285" s="7">
        <f>'gerç aylık-tl'!$H$193</f>
        <v>5873652.5149761252</v>
      </c>
      <c r="V285" s="8"/>
      <c r="W285" s="7">
        <f>'Bütçe aylık-TL'!$I$194</f>
        <v>14698051.979999999</v>
      </c>
      <c r="X285" s="7">
        <f>'gerç aylık-tl'!$I$193</f>
        <v>13841395.253419748</v>
      </c>
      <c r="Y285" s="8"/>
      <c r="Z285" s="7">
        <f>'Bütçe aylık-TL'!$J$194</f>
        <v>18423497.02</v>
      </c>
      <c r="AA285" s="7">
        <f>'gerç aylık-tl'!$J$193</f>
        <v>9439568.1185440775</v>
      </c>
      <c r="AB285" s="8"/>
      <c r="AC285" s="7">
        <f>'Bütçe aylık-TL'!$K$194</f>
        <v>14259179.260000002</v>
      </c>
      <c r="AD285" s="7">
        <f>'gerç aylık-tl'!$K$193</f>
        <v>0</v>
      </c>
      <c r="AE285" s="8"/>
      <c r="AF285" s="7">
        <f>'Bütçe aylık-TL'!$L$194</f>
        <v>8236715.4899999993</v>
      </c>
      <c r="AG285" s="7">
        <f>'gerç aylık-tl'!$L$193</f>
        <v>0</v>
      </c>
      <c r="AH285" s="8"/>
      <c r="AI285" s="7">
        <f>'Bütçe aylık-TL'!$M$194</f>
        <v>11839666.529999999</v>
      </c>
      <c r="AJ285" s="7">
        <f>'gerç aylık-tl'!$M$193</f>
        <v>0</v>
      </c>
      <c r="AK285" s="8"/>
      <c r="AL285" s="21">
        <f t="shared" si="156"/>
        <v>-8983928.9014559221</v>
      </c>
      <c r="AM285" s="22">
        <f t="shared" si="157"/>
        <v>-0.48763429069428221</v>
      </c>
      <c r="AO285" s="44">
        <f t="shared" si="158"/>
        <v>18423497.02</v>
      </c>
      <c r="AP285" s="44">
        <f t="shared" si="159"/>
        <v>9439568.1185440775</v>
      </c>
    </row>
    <row r="286" spans="1:57" s="1" customFormat="1" ht="15.5">
      <c r="A286" s="26"/>
      <c r="B286" s="7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7"/>
      <c r="R286" s="8"/>
      <c r="S286" s="8"/>
      <c r="T286" s="7"/>
      <c r="U286" s="8"/>
      <c r="V286" s="8"/>
      <c r="W286" s="7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15"/>
      <c r="AM286" s="16"/>
      <c r="AO286" s="44"/>
      <c r="AP286" s="44"/>
    </row>
    <row r="287" spans="1:57" s="1" customFormat="1" ht="15.5">
      <c r="A287" s="31" t="s">
        <v>19</v>
      </c>
      <c r="B287" s="32">
        <f>'Bütçe Değişim TL'!$B$2</f>
        <v>-169655583.10378695</v>
      </c>
      <c r="C287" s="32">
        <f>'değişim-tl'!$B$2</f>
        <v>-106356016.2250239</v>
      </c>
      <c r="D287" s="18"/>
      <c r="E287" s="32">
        <f>'Bütçe Değişim TL'!$C$2</f>
        <v>176289723.78180358</v>
      </c>
      <c r="F287" s="32">
        <f>'değişim-tl'!$C$2</f>
        <v>-105233956.98123461</v>
      </c>
      <c r="G287" s="18"/>
      <c r="H287" s="32">
        <f>'Bütçe Değişim TL'!$D$2</f>
        <v>266680671.49251091</v>
      </c>
      <c r="I287" s="32">
        <f>'değişim-tl'!$D$2</f>
        <v>178336636.68069059</v>
      </c>
      <c r="J287" s="18"/>
      <c r="K287" s="32">
        <f>'Bütçe Değişim TL'!$E$2</f>
        <v>-354290305.6448707</v>
      </c>
      <c r="L287" s="32">
        <f>'değişim-tl'!$E$2</f>
        <v>-435262533.77684349</v>
      </c>
      <c r="M287" s="18"/>
      <c r="N287" s="32">
        <f>'Bütçe Değişim TL'!$F$2</f>
        <v>222623964.05314866</v>
      </c>
      <c r="O287" s="32">
        <f>'değişim-tl'!$F$2</f>
        <v>-170794032.5280571</v>
      </c>
      <c r="P287" s="18"/>
      <c r="Q287" s="32">
        <f>'Bütçe Değişim TL'!$G$2</f>
        <v>87153211.754852712</v>
      </c>
      <c r="R287" s="32">
        <f>'değişim-tl'!$G$2</f>
        <v>414207127.4635821</v>
      </c>
      <c r="S287" s="18"/>
      <c r="T287" s="32">
        <f>'Bütçe Değişim TL'!$H$2</f>
        <v>-292545080.78449339</v>
      </c>
      <c r="U287" s="32">
        <f>'değişim-tl'!$H$2</f>
        <v>423661181.05977303</v>
      </c>
      <c r="V287" s="18"/>
      <c r="W287" s="32">
        <f>'Bütçe Değişim TL'!$I$2</f>
        <v>221344967.00929224</v>
      </c>
      <c r="X287" s="32">
        <f>'değişim-tl'!$I$2</f>
        <v>106107469.24027756</v>
      </c>
      <c r="Y287" s="18"/>
      <c r="Z287" s="32">
        <f>'Bütçe Değişim TL'!$J$2</f>
        <v>107996734.683706</v>
      </c>
      <c r="AA287" s="32">
        <f>'değişim-tl'!$J$2</f>
        <v>163753260.29331017</v>
      </c>
      <c r="AB287" s="18"/>
      <c r="AC287" s="32">
        <f>'Bütçe Değişim TL'!$K$2</f>
        <v>-285316411.97118044</v>
      </c>
      <c r="AD287" s="32">
        <f>'değişim-tl'!$K$2</f>
        <v>0</v>
      </c>
      <c r="AE287" s="18"/>
      <c r="AF287" s="32">
        <f>'Bütçe Değişim TL'!$L$2</f>
        <v>294654321.31165308</v>
      </c>
      <c r="AG287" s="32">
        <f>'değişim-tl'!$L$2</f>
        <v>0</v>
      </c>
      <c r="AH287" s="18"/>
      <c r="AI287" s="32">
        <f>'Bütçe Değişim TL'!$M$2</f>
        <v>27097207.691400528</v>
      </c>
      <c r="AJ287" s="32">
        <f>'değişim-tl'!$M$2</f>
        <v>0</v>
      </c>
      <c r="AK287" s="18"/>
      <c r="AL287" s="33">
        <f>AP287-AO287</f>
        <v>55756525.609604165</v>
      </c>
      <c r="AM287" s="34">
        <f>AP287/AO287-1</f>
        <v>0.51627973542811589</v>
      </c>
      <c r="AN287" s="44"/>
      <c r="AO287" s="44">
        <f>IF($A$1=$B$1,B287,IF($A$1=$E$1,E287,IF($A$1=$H$1,H287,IF($A$1=$K$1,K287,IF($A$1=$N$1,N287,IF($A$1=$Q$1,Q287,IF($A$1=$T$1,T287,IF($A$1=$W$1,W287,IF($A$1=$Z$1,Z287,IF($A$1=$AC$1,AC287,IF($A$1=$AF$1,AF287,IF($A$1=$AI$1,AI287))))))))))))</f>
        <v>107996734.683706</v>
      </c>
      <c r="AP287" s="44">
        <f>IF($A$1=$B$1,C287,IF($A$1=$E$1,F287,IF($A$1=$H$1,I287,IF($A$1=$K$1,L287,IF($A$1=$N$1,O287,IF($A$1=$Q$1,R287,IF($A$1=$T$1,U287,IF($A$1=$W$1,X287,IF($A$1=$Z$1,AA287,IF($A$1=$AC$1,AD287,IF($A$1=$AF$1,AG287,IF($A$1=$AI$1,AJ287))))))))))))</f>
        <v>163753260.29331017</v>
      </c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</row>
    <row r="288" spans="1:57" s="44" customFormat="1" ht="15.5">
      <c r="A288" s="27"/>
      <c r="B288" s="30"/>
      <c r="C288" s="30" t="str">
        <f>IFERROR((C246/#REF!),"")</f>
        <v/>
      </c>
      <c r="D288" s="41"/>
      <c r="E288" s="30"/>
      <c r="F288" s="30" t="str">
        <f>IFERROR((F246/#REF!),"")</f>
        <v/>
      </c>
      <c r="G288" s="41"/>
      <c r="H288" s="30"/>
      <c r="I288" s="30" t="str">
        <f>IFERROR((I246/#REF!),"")</f>
        <v/>
      </c>
      <c r="J288" s="41"/>
      <c r="K288" s="30"/>
      <c r="L288" s="30" t="str">
        <f>IFERROR((L246/#REF!),"")</f>
        <v/>
      </c>
      <c r="M288" s="41"/>
      <c r="N288" s="30"/>
      <c r="O288" s="30" t="str">
        <f>IFERROR((O246/#REF!),"")</f>
        <v/>
      </c>
      <c r="P288" s="41"/>
      <c r="Q288" s="30"/>
      <c r="R288" s="30" t="str">
        <f>IFERROR((R246/#REF!),"")</f>
        <v/>
      </c>
      <c r="S288" s="41"/>
      <c r="T288" s="30"/>
      <c r="U288" s="30" t="str">
        <f>IFERROR((U246/#REF!),"")</f>
        <v/>
      </c>
      <c r="V288" s="41"/>
      <c r="W288" s="30"/>
      <c r="X288" s="30" t="str">
        <f>IFERROR((X246/#REF!),"")</f>
        <v/>
      </c>
      <c r="Y288" s="41"/>
      <c r="Z288" s="30"/>
      <c r="AA288" s="30" t="str">
        <f>IFERROR((AA246/#REF!),"")</f>
        <v/>
      </c>
      <c r="AB288" s="41"/>
      <c r="AC288" s="30"/>
      <c r="AD288" s="30" t="str">
        <f>IFERROR((AD246/#REF!),"")</f>
        <v/>
      </c>
      <c r="AE288" s="41"/>
      <c r="AF288" s="30"/>
      <c r="AG288" s="30" t="str">
        <f>IFERROR((AG246/#REF!),"")</f>
        <v/>
      </c>
      <c r="AH288" s="41"/>
      <c r="AI288" s="30"/>
      <c r="AJ288" s="30" t="str">
        <f>IFERROR((AJ246/#REF!),"")</f>
        <v/>
      </c>
      <c r="AK288" s="41"/>
      <c r="AL288" s="15"/>
      <c r="AM288" s="22"/>
      <c r="AN288" s="13"/>
      <c r="AO288" s="44">
        <f>IF($A$1=$B$1,B288,IF($A$1=$E$1,E288,IF($A$1=$H$1,H288,IF($A$1=$K$1,K288,IF($A$1=$N$1,N288,IF($A$1=$Q$1,Q288,IF($A$1=$T$1,T288,IF($A$1=$W$1,W288,IF($A$1=$Z$1,Z288,IF($A$1=$AC$1,AC288,IF($A$1=$AF$1,AF288,IF($A$1=$AI$1,AI288))))))))))))</f>
        <v>0</v>
      </c>
      <c r="AP288" s="44" t="str">
        <f>IF($A$1=$B$1,C288,IF($A$1=$E$1,F288,IF($A$1=$H$1,I288,IF($A$1=$K$1,L288,IF($A$1=$N$1,O288,IF($A$1=$Q$1,R288,IF($A$1=$T$1,U288,IF($A$1=$W$1,X288,IF($A$1=$Z$1,AA288,IF($A$1=$AC$1,AD288,IF($A$1=$AF$1,AG288,IF($A$1=$AI$1,AJ288))))))))))))</f>
        <v/>
      </c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</row>
    <row r="289" spans="1:57" s="13" customFormat="1" ht="17">
      <c r="A289" s="47" t="s">
        <v>92</v>
      </c>
      <c r="B289" s="413"/>
      <c r="C289" s="413"/>
      <c r="D289" s="413"/>
      <c r="E289" s="413"/>
      <c r="F289" s="413"/>
      <c r="G289" s="413"/>
      <c r="H289" s="413"/>
      <c r="I289" s="413"/>
      <c r="J289" s="413"/>
      <c r="K289" s="413"/>
      <c r="L289" s="413"/>
      <c r="M289" s="413"/>
      <c r="N289" s="413"/>
      <c r="O289" s="413"/>
      <c r="P289" s="413"/>
      <c r="Q289" s="413"/>
      <c r="R289" s="413"/>
      <c r="S289" s="413"/>
      <c r="T289" s="413"/>
      <c r="U289" s="413"/>
      <c r="V289" s="413"/>
      <c r="W289" s="413"/>
      <c r="X289" s="413"/>
      <c r="Y289" s="413"/>
      <c r="Z289" s="413"/>
      <c r="AA289" s="413"/>
      <c r="AB289" s="413"/>
      <c r="AC289" s="413"/>
      <c r="AD289" s="413"/>
      <c r="AE289" s="413"/>
      <c r="AF289" s="413"/>
      <c r="AG289" s="413"/>
      <c r="AH289" s="413"/>
      <c r="AI289" s="413"/>
      <c r="AJ289" s="413"/>
      <c r="AK289" s="413"/>
      <c r="AL289" s="413"/>
      <c r="AM289" s="48"/>
      <c r="AN289" s="49"/>
      <c r="AO289" s="49"/>
      <c r="AP289" s="49"/>
      <c r="AQ289" s="49"/>
      <c r="AR289" s="49"/>
      <c r="AS289" s="49"/>
      <c r="AT289" s="49"/>
      <c r="AU289" s="49"/>
      <c r="AV289" s="49"/>
      <c r="AW289" s="49"/>
      <c r="AX289" s="49"/>
      <c r="AY289" s="49"/>
      <c r="AZ289" s="49"/>
      <c r="BA289" s="49"/>
      <c r="BB289" s="49"/>
      <c r="BC289" s="49"/>
      <c r="BD289" s="49"/>
      <c r="BE289" s="49"/>
    </row>
    <row r="290" spans="1:57" s="49" customFormat="1" ht="15.5">
      <c r="A290" s="26" t="s">
        <v>10</v>
      </c>
      <c r="B290" s="7">
        <f>'Bütçe Değişim TL'!$B$3</f>
        <v>9236421.6993320063</v>
      </c>
      <c r="C290" s="7">
        <f>'değişim-tl'!$B$3</f>
        <v>11764788.871667001</v>
      </c>
      <c r="D290" s="7"/>
      <c r="E290" s="7">
        <f>'Bütçe Değişim TL'!$C$3</f>
        <v>27419076.787479989</v>
      </c>
      <c r="F290" s="7">
        <f>'değişim-tl'!$C$3</f>
        <v>39061794.447500005</v>
      </c>
      <c r="G290" s="7"/>
      <c r="H290" s="7">
        <f>'Bütçe Değişim TL'!$D$3</f>
        <v>-33555673.013887994</v>
      </c>
      <c r="I290" s="7">
        <f>'değişim-tl'!$D$3</f>
        <v>-13150954.107500009</v>
      </c>
      <c r="J290" s="7"/>
      <c r="K290" s="7">
        <f>'Bütçe Değişim TL'!$E$3</f>
        <v>6175712.624493001</v>
      </c>
      <c r="L290" s="7">
        <f>'değişim-tl'!$E$3</f>
        <v>-354868970.31499898</v>
      </c>
      <c r="M290" s="7"/>
      <c r="N290" s="7">
        <f>'Bütçe Değişim TL'!$F$3</f>
        <v>26200505.013670001</v>
      </c>
      <c r="O290" s="7">
        <f>'değişim-tl'!$F$3</f>
        <v>24898723.947498977</v>
      </c>
      <c r="P290" s="7"/>
      <c r="Q290" s="7">
        <f>'Bütçe Değişim TL'!$G$3</f>
        <v>-66867948.782239996</v>
      </c>
      <c r="R290" s="7">
        <f>'değişim-tl'!$G$3</f>
        <v>-1263665.8099989891</v>
      </c>
      <c r="S290" s="7"/>
      <c r="T290" s="7">
        <f>'Bütçe Değişim TL'!$H$3</f>
        <v>40989992.765508004</v>
      </c>
      <c r="U290" s="7">
        <f>'değişim-tl'!$H$3</f>
        <v>356699031.32249999</v>
      </c>
      <c r="V290" s="7"/>
      <c r="W290" s="7">
        <f>'Bütçe Değişim TL'!$I$3</f>
        <v>29683561.106426992</v>
      </c>
      <c r="X290" s="7">
        <f>'değişim-tl'!$I$3</f>
        <v>34528405.397501007</v>
      </c>
      <c r="Y290" s="7"/>
      <c r="Z290" s="7">
        <f>'Bütçe Değişim TL'!$J$3</f>
        <v>-33446949.986706007</v>
      </c>
      <c r="AA290" s="7">
        <f>'değişim-tl'!$J$3</f>
        <v>-16596551.69249998</v>
      </c>
      <c r="AB290" s="7"/>
      <c r="AC290" s="7">
        <f>'Bütçe Değişim TL'!$K$3</f>
        <v>4449815.0121410079</v>
      </c>
      <c r="AD290" s="7">
        <f>'değişim-tl'!$K$3</f>
        <v>0</v>
      </c>
      <c r="AE290" s="7"/>
      <c r="AF290" s="7">
        <f>'Bütçe Değişim TL'!$L$3</f>
        <v>40259778.814220004</v>
      </c>
      <c r="AG290" s="7">
        <f>'değişim-tl'!$L$3</f>
        <v>0</v>
      </c>
      <c r="AH290" s="7"/>
      <c r="AI290" s="7">
        <f>'Bütçe Değişim TL'!$M$3</f>
        <v>-112119657.22235599</v>
      </c>
      <c r="AJ290" s="7">
        <f>'değişim-tl'!$M$3</f>
        <v>0</v>
      </c>
      <c r="AK290" s="7"/>
      <c r="AL290" s="21">
        <f>AP290-AO290</f>
        <v>16850398.294206027</v>
      </c>
      <c r="AM290" s="22">
        <f>AP290/AO290-1</f>
        <v>-0.50379476457206018</v>
      </c>
      <c r="AN290"/>
      <c r="AO290" s="44">
        <f>IF($A$1=$B$1,B290,IF($A$1=$E$1,E290,IF($A$1=$H$1,H290,IF($A$1=$K$1,K290,IF($A$1=$N$1,N290,IF($A$1=$Q$1,Q290,IF($A$1=$T$1,T290,IF($A$1=$W$1,W290,IF($A$1=$Z$1,Z290,IF($A$1=$AC$1,AC290,IF($A$1=$AF$1,AF290,IF($A$1=$AI$1,AI290))))))))))))</f>
        <v>-33446949.986706007</v>
      </c>
      <c r="AP290" s="44">
        <f>IF($A$1=$B$1,C290,IF($A$1=$E$1,F290,IF($A$1=$H$1,I290,IF($A$1=$K$1,L290,IF($A$1=$N$1,O290,IF($A$1=$Q$1,R290,IF($A$1=$T$1,U290,IF($A$1=$W$1,X290,IF($A$1=$Z$1,AA290,IF($A$1=$AC$1,AD290,IF($A$1=$AF$1,AG290,IF($A$1=$AI$1,AJ290))))))))))))</f>
        <v>-16596551.69249998</v>
      </c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</row>
    <row r="291" spans="1:57" ht="15.5">
      <c r="A291" s="26" t="s">
        <v>11</v>
      </c>
      <c r="B291" s="7">
        <f>'Bütçe Değişim TL'!$B$4</f>
        <v>-25741816.887877002</v>
      </c>
      <c r="C291" s="7">
        <f>'değişim-tl'!$B$4</f>
        <v>-10731909.891733989</v>
      </c>
      <c r="D291" s="7"/>
      <c r="E291" s="7">
        <f>'Bütçe Değişim TL'!$C$4</f>
        <v>14525882.282684002</v>
      </c>
      <c r="F291" s="7">
        <f>'değişim-tl'!$C$4</f>
        <v>-977255.68986701779</v>
      </c>
      <c r="G291" s="7"/>
      <c r="H291" s="7">
        <f>'Bütçe Değişim TL'!$D$4</f>
        <v>5369398.712698984</v>
      </c>
      <c r="I291" s="7">
        <f>'değişim-tl'!$D$4</f>
        <v>4284882.123626003</v>
      </c>
      <c r="J291" s="7"/>
      <c r="K291" s="7">
        <f>'Bütçe Değişim TL'!$E$4</f>
        <v>20567801.388266034</v>
      </c>
      <c r="L291" s="7">
        <f>'değişim-tl'!$E$4</f>
        <v>-6747507.343747979</v>
      </c>
      <c r="M291" s="7"/>
      <c r="N291" s="7">
        <f>'Bütçe Değişim TL'!$F$4</f>
        <v>-9180068.1726390161</v>
      </c>
      <c r="O291" s="7">
        <f>'değişim-tl'!$F$4</f>
        <v>-7191750.6800250169</v>
      </c>
      <c r="P291" s="7"/>
      <c r="Q291" s="7">
        <f>'Bütçe Değişim TL'!$G$4</f>
        <v>18041365.803151991</v>
      </c>
      <c r="R291" s="7">
        <f>'değişim-tl'!$G$4</f>
        <v>-1484485.5944549851</v>
      </c>
      <c r="S291" s="7"/>
      <c r="T291" s="7">
        <f>'Bütçe Değişim TL'!$H$4</f>
        <v>-7551303.8938719835</v>
      </c>
      <c r="U291" s="7">
        <f>'değişim-tl'!$H$4</f>
        <v>10382245.267048987</v>
      </c>
      <c r="V291" s="7"/>
      <c r="W291" s="7">
        <f>'Bütçe Değişim TL'!$I$4</f>
        <v>-5168615.3690180164</v>
      </c>
      <c r="X291" s="7">
        <f>'değişim-tl'!$I$4</f>
        <v>-4538493.2260999959</v>
      </c>
      <c r="Y291" s="7"/>
      <c r="Z291" s="7">
        <f>'Bütçe Değişim TL'!$J$4</f>
        <v>-1801896.2693119962</v>
      </c>
      <c r="AA291" s="7">
        <f>'değişim-tl'!$J$4</f>
        <v>7710529.4009269979</v>
      </c>
      <c r="AB291" s="7"/>
      <c r="AC291" s="7">
        <f>'Bütçe Değişim TL'!$K$4</f>
        <v>-892002.76000899915</v>
      </c>
      <c r="AD291" s="7">
        <f>'değişim-tl'!$K$4</f>
        <v>0</v>
      </c>
      <c r="AE291" s="7"/>
      <c r="AF291" s="7">
        <f>'Bütçe Değişim TL'!$L$4</f>
        <v>-13492506.930103008</v>
      </c>
      <c r="AG291" s="7">
        <f>'değişim-tl'!$L$4</f>
        <v>0</v>
      </c>
      <c r="AH291" s="7"/>
      <c r="AI291" s="7">
        <f>'Bütçe Değişim TL'!$M$4</f>
        <v>5803851.7085240167</v>
      </c>
      <c r="AJ291" s="7">
        <f>'değişim-tl'!$M$4</f>
        <v>0</v>
      </c>
      <c r="AK291" s="7"/>
      <c r="AL291" s="21">
        <f>AP291-AO291</f>
        <v>9512425.6702389941</v>
      </c>
      <c r="AM291" s="22">
        <f>AP291/AO291-1</f>
        <v>-5.2791194655567208</v>
      </c>
      <c r="AO291" s="44">
        <f>IF($A$1=$B$1,B291,IF($A$1=$E$1,E291,IF($A$1=$H$1,H291,IF($A$1=$K$1,K291,IF($A$1=$N$1,N291,IF($A$1=$Q$1,Q291,IF($A$1=$T$1,T291,IF($A$1=$W$1,W291,IF($A$1=$Z$1,Z291,IF($A$1=$AC$1,AC291,IF($A$1=$AF$1,AF291,IF($A$1=$AI$1,AI291))))))))))))</f>
        <v>-1801896.2693119962</v>
      </c>
      <c r="AP291" s="44">
        <f>IF($A$1=$B$1,C291,IF($A$1=$E$1,F291,IF($A$1=$H$1,I291,IF($A$1=$K$1,L291,IF($A$1=$N$1,O291,IF($A$1=$Q$1,R291,IF($A$1=$T$1,U291,IF($A$1=$W$1,X291,IF($A$1=$Z$1,AA291,IF($A$1=$AC$1,AD291,IF($A$1=$AF$1,AG291,IF($A$1=$AI$1,AJ291))))))))))))</f>
        <v>7710529.4009269979</v>
      </c>
    </row>
    <row r="292" spans="1:57" ht="15.5">
      <c r="A292" s="26" t="s">
        <v>12</v>
      </c>
      <c r="B292" s="7">
        <f>'Bütçe Değişim TL'!$B$5</f>
        <v>-21630091.228491977</v>
      </c>
      <c r="C292" s="7">
        <f>'değişim-tl'!$B$5</f>
        <v>-1118153.8424719735</v>
      </c>
      <c r="D292" s="7"/>
      <c r="E292" s="7">
        <f>'Bütçe Değişim TL'!$C$5</f>
        <v>-7083467.6189695681</v>
      </c>
      <c r="F292" s="7">
        <f>'değişim-tl'!$C$5</f>
        <v>-5516093.8865520209</v>
      </c>
      <c r="G292" s="7"/>
      <c r="H292" s="7">
        <f>'Bütçe Değişim TL'!$D$5</f>
        <v>1287016.7754124547</v>
      </c>
      <c r="I292" s="7">
        <f>'değişim-tl'!$D$5</f>
        <v>16917389.02712401</v>
      </c>
      <c r="J292" s="7"/>
      <c r="K292" s="7">
        <f>'Bütçe Değişim TL'!$E$5</f>
        <v>-2459372.6415897328</v>
      </c>
      <c r="L292" s="7">
        <f>'değişim-tl'!$E$5</f>
        <v>-21574235.20924399</v>
      </c>
      <c r="M292" s="7"/>
      <c r="N292" s="7">
        <f>'Bütçe Değişim TL'!$F$5</f>
        <v>-2296240.0106620155</v>
      </c>
      <c r="O292" s="7">
        <f>'değişim-tl'!$F$5</f>
        <v>1538015.6108590122</v>
      </c>
      <c r="P292" s="7"/>
      <c r="Q292" s="7">
        <f>'Bütçe Değişim TL'!$G$5</f>
        <v>5930190.4406207725</v>
      </c>
      <c r="R292" s="7">
        <f>'değişim-tl'!$G$5</f>
        <v>346240.01924398541</v>
      </c>
      <c r="S292" s="7"/>
      <c r="T292" s="7">
        <f>'Bütçe Değişim TL'!$H$5</f>
        <v>-4384141.5053189704</v>
      </c>
      <c r="U292" s="7">
        <f>'değişim-tl'!$H$5</f>
        <v>-13358329.112595994</v>
      </c>
      <c r="V292" s="7"/>
      <c r="W292" s="7">
        <f>'Bütçe Değişim TL'!$I$5</f>
        <v>6745020.4957691841</v>
      </c>
      <c r="X292" s="7">
        <f>'değişim-tl'!$I$5</f>
        <v>13714880.290464997</v>
      </c>
      <c r="Y292" s="7"/>
      <c r="Z292" s="7">
        <f>'Bütçe Değişim TL'!$J$5</f>
        <v>6256377.1982305758</v>
      </c>
      <c r="AA292" s="7">
        <f>'değişim-tl'!$J$5</f>
        <v>1842638.5475290027</v>
      </c>
      <c r="AB292" s="7"/>
      <c r="AC292" s="7">
        <f>'Bütçe Değişim TL'!$K$5</f>
        <v>-10550785.852446102</v>
      </c>
      <c r="AD292" s="7">
        <f>'değişim-tl'!$K$5</f>
        <v>0</v>
      </c>
      <c r="AE292" s="7"/>
      <c r="AF292" s="7">
        <f>'Bütçe Değişim TL'!$L$5</f>
        <v>1374007.2328141797</v>
      </c>
      <c r="AG292" s="7">
        <f>'değişim-tl'!$L$5</f>
        <v>0</v>
      </c>
      <c r="AH292" s="7"/>
      <c r="AI292" s="7">
        <f>'Bütçe Değişim TL'!$M$5</f>
        <v>567619.70353982109</v>
      </c>
      <c r="AJ292" s="7">
        <f>'değişim-tl'!$M$5</f>
        <v>0</v>
      </c>
      <c r="AK292" s="7"/>
      <c r="AL292" s="21">
        <f t="shared" ref="AL292:AL297" si="160">AP292-AO292</f>
        <v>-4413738.6507015731</v>
      </c>
      <c r="AM292" s="22">
        <f t="shared" ref="AM292:AM297" si="161">AP292/AO292-1</f>
        <v>-0.70547834806856979</v>
      </c>
      <c r="AO292" s="44">
        <f t="shared" ref="AO292:AO297" si="162">IF($A$1=$B$1,B292,IF($A$1=$E$1,E292,IF($A$1=$H$1,H292,IF($A$1=$K$1,K292,IF($A$1=$N$1,N292,IF($A$1=$Q$1,Q292,IF($A$1=$T$1,T292,IF($A$1=$W$1,W292,IF($A$1=$Z$1,Z292,IF($A$1=$AC$1,AC292,IF($A$1=$AF$1,AF292,IF($A$1=$AI$1,AI292))))))))))))</f>
        <v>6256377.1982305758</v>
      </c>
      <c r="AP292" s="44">
        <f t="shared" ref="AP292:AP297" si="163">IF($A$1=$B$1,C292,IF($A$1=$E$1,F292,IF($A$1=$H$1,I292,IF($A$1=$K$1,L292,IF($A$1=$N$1,O292,IF($A$1=$Q$1,R292,IF($A$1=$T$1,U292,IF($A$1=$W$1,X292,IF($A$1=$Z$1,AA292,IF($A$1=$AC$1,AD292,IF($A$1=$AF$1,AG292,IF($A$1=$AI$1,AJ292))))))))))))</f>
        <v>1842638.5475290027</v>
      </c>
    </row>
    <row r="293" spans="1:57" ht="15.5">
      <c r="A293" s="26" t="s">
        <v>13</v>
      </c>
      <c r="B293" s="7">
        <f>'Bütçe Değişim TL'!$B$6</f>
        <v>-161561206.45284414</v>
      </c>
      <c r="C293" s="7">
        <f>'değişim-tl'!$B$6</f>
        <v>-138737083.28825036</v>
      </c>
      <c r="D293" s="7"/>
      <c r="E293" s="7">
        <f>'Bütçe Değişim TL'!$C$6</f>
        <v>209680395.67545038</v>
      </c>
      <c r="F293" s="7">
        <f>'değişim-tl'!$C$6</f>
        <v>-200244483.73803404</v>
      </c>
      <c r="G293" s="7"/>
      <c r="H293" s="7">
        <f>'Bütçe Değişim TL'!$D$6</f>
        <v>11555939.125497453</v>
      </c>
      <c r="I293" s="7">
        <f>'değişim-tl'!$D$6</f>
        <v>62318762.897729158</v>
      </c>
      <c r="J293" s="7"/>
      <c r="K293" s="7">
        <f>'Bütçe Değişim TL'!$E$6</f>
        <v>22468576.595706396</v>
      </c>
      <c r="L293" s="7">
        <f>'değişim-tl'!$E$6</f>
        <v>79277646.154689044</v>
      </c>
      <c r="M293" s="7"/>
      <c r="N293" s="7">
        <f>'Bütçe Değişim TL'!$F$6</f>
        <v>3919286.713796407</v>
      </c>
      <c r="O293" s="7">
        <f>'değişim-tl'!$F$6</f>
        <v>-364454825.28201866</v>
      </c>
      <c r="P293" s="7"/>
      <c r="Q293" s="7">
        <f>'Bütçe Değişim TL'!$G$6</f>
        <v>-27542511.328862831</v>
      </c>
      <c r="R293" s="7">
        <f>'değişim-tl'!$G$6</f>
        <v>303764683.30126375</v>
      </c>
      <c r="S293" s="7"/>
      <c r="T293" s="7">
        <f>'Bütçe Değişim TL'!$H$6</f>
        <v>-178044381.86824852</v>
      </c>
      <c r="U293" s="7">
        <f>'değişim-tl'!$H$6</f>
        <v>-75523434.887791038</v>
      </c>
      <c r="V293" s="7"/>
      <c r="W293" s="7">
        <f>'Bütçe Değişim TL'!$I$6</f>
        <v>255082442.35840476</v>
      </c>
      <c r="X293" s="7">
        <f>'değişim-tl'!$I$6</f>
        <v>33533402.820255041</v>
      </c>
      <c r="Y293" s="7"/>
      <c r="Z293" s="7">
        <f>'Bütçe Değişim TL'!$J$6</f>
        <v>-146648217.55313209</v>
      </c>
      <c r="AA293" s="7">
        <f>'değişim-tl'!$J$6</f>
        <v>132746608.76641619</v>
      </c>
      <c r="AB293" s="7"/>
      <c r="AC293" s="7">
        <f>'Bütçe Değişim TL'!$K$6</f>
        <v>170654922.16188997</v>
      </c>
      <c r="AD293" s="7">
        <f>'değişim-tl'!$K$6</f>
        <v>0</v>
      </c>
      <c r="AE293" s="7"/>
      <c r="AF293" s="7">
        <f>'Bütçe Değişim TL'!$L$6</f>
        <v>-7028457.2079343498</v>
      </c>
      <c r="AG293" s="7">
        <f>'değişim-tl'!$L$6</f>
        <v>0</v>
      </c>
      <c r="AH293" s="7"/>
      <c r="AI293" s="7">
        <f>'Bütçe Değişim TL'!$M$6</f>
        <v>21059657.97964564</v>
      </c>
      <c r="AJ293" s="7">
        <f>'değişim-tl'!$M$6</f>
        <v>0</v>
      </c>
      <c r="AK293" s="7"/>
      <c r="AL293" s="21">
        <f t="shared" si="160"/>
        <v>279394826.31954825</v>
      </c>
      <c r="AM293" s="22">
        <f t="shared" si="161"/>
        <v>-1.9052043794417126</v>
      </c>
      <c r="AO293" s="44">
        <f t="shared" si="162"/>
        <v>-146648217.55313209</v>
      </c>
      <c r="AP293" s="44">
        <f t="shared" si="163"/>
        <v>132746608.76641619</v>
      </c>
    </row>
    <row r="294" spans="1:57" s="1" customFormat="1" ht="15.5">
      <c r="A294" s="26" t="s">
        <v>14</v>
      </c>
      <c r="B294" s="7">
        <f>'Bütçe Değişim TL'!$B$7</f>
        <v>49635377.608754039</v>
      </c>
      <c r="C294" s="7">
        <f>'değişim-tl'!$B$7</f>
        <v>9715952.3099149019</v>
      </c>
      <c r="D294" s="8"/>
      <c r="E294" s="7">
        <f>'Bütçe Değişim TL'!$C$7</f>
        <v>-34869460.808650054</v>
      </c>
      <c r="F294" s="7">
        <f>'değişim-tl'!$C$7</f>
        <v>-3301056.2043199548</v>
      </c>
      <c r="G294" s="8"/>
      <c r="H294" s="7">
        <f>'Bütçe Değişim TL'!$D$7</f>
        <v>28739211.423125081</v>
      </c>
      <c r="I294" s="7">
        <f>'değişim-tl'!$D$7</f>
        <v>74987276.779570043</v>
      </c>
      <c r="J294" s="8"/>
      <c r="K294" s="7">
        <f>'Bütçe Değişim TL'!$E$7</f>
        <v>-11910782.094500061</v>
      </c>
      <c r="L294" s="7">
        <f>'değişim-tl'!$E$7</f>
        <v>21086596.21076104</v>
      </c>
      <c r="M294" s="8"/>
      <c r="N294" s="7">
        <f>'Bütçe Değişim TL'!$F$7</f>
        <v>1176275.7920260001</v>
      </c>
      <c r="O294" s="7">
        <f>'değişim-tl'!$F$7</f>
        <v>-34031209.418937102</v>
      </c>
      <c r="P294" s="8"/>
      <c r="Q294" s="7">
        <f>'Bütçe Değişim TL'!$G$7</f>
        <v>35281039.388861001</v>
      </c>
      <c r="R294" s="7">
        <f>'değişim-tl'!$G$7</f>
        <v>30710940.984862089</v>
      </c>
      <c r="S294" s="8"/>
      <c r="T294" s="7">
        <f>'Bütçe Değişim TL'!$H$7</f>
        <v>-21005479.941349</v>
      </c>
      <c r="U294" s="7">
        <f>'değişim-tl'!$H$7</f>
        <v>61609818.111704022</v>
      </c>
      <c r="V294" s="8"/>
      <c r="W294" s="7">
        <f>'Bütçe Değişim TL'!$I$7</f>
        <v>24800908.269850001</v>
      </c>
      <c r="X294" s="7">
        <f>'değişim-tl'!$I$7</f>
        <v>11311510.411565036</v>
      </c>
      <c r="Y294" s="8"/>
      <c r="Z294" s="7">
        <f>'Bütçe Değişim TL'!$J$7</f>
        <v>15755156.133819001</v>
      </c>
      <c r="AA294" s="7">
        <f>'değişim-tl'!$J$7</f>
        <v>-11955080.135525048</v>
      </c>
      <c r="AB294" s="8"/>
      <c r="AC294" s="7">
        <f>'Bütçe Değişim TL'!$K$7</f>
        <v>-26141477.527681999</v>
      </c>
      <c r="AD294" s="7">
        <f>'değişim-tl'!$K$7</f>
        <v>0</v>
      </c>
      <c r="AE294" s="8"/>
      <c r="AF294" s="7">
        <f>'Bütçe Değişim TL'!$L$7</f>
        <v>47034544.994959995</v>
      </c>
      <c r="AG294" s="7">
        <f>'değişim-tl'!$L$7</f>
        <v>0</v>
      </c>
      <c r="AH294" s="8"/>
      <c r="AI294" s="7">
        <f>'Bütçe Değişim TL'!$M$7</f>
        <v>19570689.445873998</v>
      </c>
      <c r="AJ294" s="7">
        <f>'değişim-tl'!$M$7</f>
        <v>0</v>
      </c>
      <c r="AK294" s="8"/>
      <c r="AL294" s="21">
        <f t="shared" si="160"/>
        <v>-27710236.269344047</v>
      </c>
      <c r="AM294" s="22">
        <f t="shared" si="161"/>
        <v>-1.7588042945422195</v>
      </c>
      <c r="AO294" s="44">
        <f t="shared" si="162"/>
        <v>15755156.133819001</v>
      </c>
      <c r="AP294" s="44">
        <f t="shared" si="163"/>
        <v>-11955080.135525048</v>
      </c>
      <c r="AQ294" s="129">
        <v>-52464204.384368844</v>
      </c>
      <c r="AR294" s="129">
        <f>AQ294*0.4</f>
        <v>-20985681.753747538</v>
      </c>
      <c r="AT294" s="1">
        <v>43.12</v>
      </c>
      <c r="AU294" s="129">
        <f>B294/AT294</f>
        <v>1151098.7386074685</v>
      </c>
    </row>
    <row r="295" spans="1:57" ht="15.5">
      <c r="A295" s="26" t="s">
        <v>15</v>
      </c>
      <c r="B295" s="7">
        <f>'Bütçe Değişim TL'!$B$8</f>
        <v>-120058521.77395058</v>
      </c>
      <c r="C295" s="7">
        <f>'değişim-tl'!$B$8</f>
        <v>50521899.707458742</v>
      </c>
      <c r="D295" s="7"/>
      <c r="E295" s="7">
        <f>'Bütçe Değişim TL'!$C$8</f>
        <v>137008950.73552847</v>
      </c>
      <c r="F295" s="7">
        <f>'değişim-tl'!$C$8</f>
        <v>-107800359.28823262</v>
      </c>
      <c r="G295" s="7"/>
      <c r="H295" s="7">
        <f>'Bütçe Değişim TL'!$D$8</f>
        <v>48606260.304396354</v>
      </c>
      <c r="I295" s="7">
        <f>'değişim-tl'!$D$8</f>
        <v>-72801244.996531814</v>
      </c>
      <c r="J295" s="7"/>
      <c r="K295" s="7">
        <f>'Bütçe Değişim TL'!$E$8</f>
        <v>-154635058.76603624</v>
      </c>
      <c r="L295" s="7">
        <f>'değişim-tl'!$E$8</f>
        <v>-62025625.881037995</v>
      </c>
      <c r="M295" s="7"/>
      <c r="N295" s="7">
        <f>'Bütçe Değişim TL'!$F$8</f>
        <v>127764483.20815635</v>
      </c>
      <c r="O295" s="7">
        <f>'değişim-tl'!$F$8</f>
        <v>-44360056.737018853</v>
      </c>
      <c r="P295" s="7"/>
      <c r="Q295" s="7">
        <f>'Bütçe Değişim TL'!$G$8</f>
        <v>46268542.857276268</v>
      </c>
      <c r="R295" s="7">
        <f>'değişim-tl'!$G$8</f>
        <v>102649339.43785661</v>
      </c>
      <c r="S295" s="7"/>
      <c r="T295" s="7">
        <f>'Bütçe Değişim TL'!$H$8</f>
        <v>-66229263.062548086</v>
      </c>
      <c r="U295" s="7">
        <f>'değişim-tl'!$H$8</f>
        <v>199672088.46526653</v>
      </c>
      <c r="V295" s="7"/>
      <c r="W295" s="7">
        <f>'Bütçe Değişim TL'!$I$8</f>
        <v>32455280.346272931</v>
      </c>
      <c r="X295" s="7">
        <f>'değişim-tl'!$I$8</f>
        <v>138962924.77071217</v>
      </c>
      <c r="Y295" s="7"/>
      <c r="Z295" s="7">
        <f>'Bütçe Değişim TL'!$J$8</f>
        <v>74864303.726349413</v>
      </c>
      <c r="AA295" s="7">
        <f>'değişim-tl'!$J$8</f>
        <v>-63783837.687127292</v>
      </c>
      <c r="AB295" s="7"/>
      <c r="AC295" s="7">
        <f>'Bütçe Değişim TL'!$K$8</f>
        <v>-107248613.45268482</v>
      </c>
      <c r="AD295" s="7">
        <f>'değişim-tl'!$K$8</f>
        <v>0</v>
      </c>
      <c r="AE295" s="7"/>
      <c r="AF295" s="7">
        <f>'Bütçe Değişim TL'!$L$8</f>
        <v>75692699.052364603</v>
      </c>
      <c r="AG295" s="7">
        <f>'değişim-tl'!$L$8</f>
        <v>0</v>
      </c>
      <c r="AH295" s="7"/>
      <c r="AI295" s="7">
        <f>'Bütçe Değişim TL'!$M$8</f>
        <v>110223491.57679862</v>
      </c>
      <c r="AJ295" s="7">
        <f>'değişim-tl'!$M$8</f>
        <v>0</v>
      </c>
      <c r="AK295" s="7"/>
      <c r="AL295" s="21">
        <f t="shared" si="160"/>
        <v>-138648141.41347671</v>
      </c>
      <c r="AM295" s="22">
        <f t="shared" si="161"/>
        <v>-1.8519926655602861</v>
      </c>
      <c r="AO295" s="44">
        <f t="shared" si="162"/>
        <v>74864303.726349413</v>
      </c>
      <c r="AP295" s="44">
        <f t="shared" si="163"/>
        <v>-63783837.687127292</v>
      </c>
    </row>
    <row r="296" spans="1:57" s="1" customFormat="1" ht="15.5">
      <c r="A296" s="26" t="s">
        <v>16</v>
      </c>
      <c r="B296" s="7">
        <f>'Bütçe Değişim TL'!$B$9</f>
        <v>142243978.19054344</v>
      </c>
      <c r="C296" s="7">
        <f>'değişim-tl'!$B$9</f>
        <v>3022198.1972638797</v>
      </c>
      <c r="D296" s="8"/>
      <c r="E296" s="7">
        <f>'Bütçe Değişim TL'!$C$9</f>
        <v>-168342005.44806412</v>
      </c>
      <c r="F296" s="7">
        <f>'değişim-tl'!$C$9</f>
        <v>-58423470.297457457</v>
      </c>
      <c r="G296" s="8"/>
      <c r="H296" s="7">
        <f>'Bütçe Değişim TL'!$D$9</f>
        <v>306881054.8783499</v>
      </c>
      <c r="I296" s="7">
        <f>'değişim-tl'!$D$9</f>
        <v>106158408.74094419</v>
      </c>
      <c r="J296" s="8"/>
      <c r="K296" s="7">
        <f>'Bütçe Değişim TL'!$E$9</f>
        <v>-346595335.51478577</v>
      </c>
      <c r="L296" s="7">
        <f>'değişim-tl'!$E$9</f>
        <v>33847347.950094864</v>
      </c>
      <c r="M296" s="8"/>
      <c r="N296" s="7">
        <f>'Bütçe Değişim TL'!$F$9</f>
        <v>131315371.98122728</v>
      </c>
      <c r="O296" s="7">
        <f>'değişim-tl'!$F$9</f>
        <v>19317335.412938073</v>
      </c>
      <c r="P296" s="8"/>
      <c r="Q296" s="7">
        <f>'Bütçe Değişim TL'!$G$9</f>
        <v>102077107.30611652</v>
      </c>
      <c r="R296" s="7">
        <f>'değişim-tl'!$G$9</f>
        <v>214283331.57605466</v>
      </c>
      <c r="S296" s="8"/>
      <c r="T296" s="7">
        <f>'Bütçe Değişim TL'!$H$9</f>
        <v>-186181494.28625953</v>
      </c>
      <c r="U296" s="7">
        <f>'değişim-tl'!$H$9</f>
        <v>29811972.663416028</v>
      </c>
      <c r="V296" s="8"/>
      <c r="W296" s="7">
        <f>'Bütçe Değişim TL'!$I$9</f>
        <v>87983256.595743656</v>
      </c>
      <c r="X296" s="7">
        <f>'değişim-tl'!$I$9</f>
        <v>-51547838.822771311</v>
      </c>
      <c r="Y296" s="8"/>
      <c r="Z296" s="7">
        <f>'Bütçe Değişim TL'!$J$9</f>
        <v>78102514.3394842</v>
      </c>
      <c r="AA296" s="7">
        <f>'değişim-tl'!$J$9</f>
        <v>193583545.21014255</v>
      </c>
      <c r="AB296" s="8"/>
      <c r="AC296" s="7">
        <f>'Bütçe Değişim TL'!$K$9</f>
        <v>-264672919.55133277</v>
      </c>
      <c r="AD296" s="7">
        <f>'değişim-tl'!$K$9</f>
        <v>0</v>
      </c>
      <c r="AE296" s="8"/>
      <c r="AF296" s="7">
        <f>'Bütçe Değişim TL'!$L$9</f>
        <v>116442847.75216047</v>
      </c>
      <c r="AG296" s="7">
        <f>'değişim-tl'!$L$9</f>
        <v>0</v>
      </c>
      <c r="AH296" s="8"/>
      <c r="AI296" s="7">
        <f>'Bütçe Değişim TL'!$M$9</f>
        <v>127951026.45245309</v>
      </c>
      <c r="AJ296" s="7">
        <f>'değişim-tl'!$M$9</f>
        <v>0</v>
      </c>
      <c r="AK296" s="8"/>
      <c r="AL296" s="21">
        <f t="shared" si="160"/>
        <v>115481030.87065835</v>
      </c>
      <c r="AM296" s="22">
        <f t="shared" si="161"/>
        <v>1.4785827555909772</v>
      </c>
      <c r="AO296" s="44">
        <f t="shared" si="162"/>
        <v>78102514.3394842</v>
      </c>
      <c r="AP296" s="44">
        <f t="shared" si="163"/>
        <v>193583545.21014255</v>
      </c>
    </row>
    <row r="297" spans="1:57" s="1" customFormat="1" ht="15.5">
      <c r="A297" s="26" t="s">
        <v>17</v>
      </c>
      <c r="B297" s="7">
        <f>'Bütçe Değişim TL'!$B$10</f>
        <v>-239059869.28937766</v>
      </c>
      <c r="C297" s="7">
        <f>'değişim-tl'!$B$10</f>
        <v>-190199820.33259952</v>
      </c>
      <c r="D297" s="8"/>
      <c r="E297" s="7">
        <f>'Bütçe Değişim TL'!$C$10</f>
        <v>210092700.67225814</v>
      </c>
      <c r="F297" s="7">
        <f>'değişim-tl'!$C$10</f>
        <v>25263364.897255212</v>
      </c>
      <c r="G297" s="8"/>
      <c r="H297" s="7">
        <f>'Bütçe Değişim TL'!$D$10</f>
        <v>338167356.81434995</v>
      </c>
      <c r="I297" s="7">
        <f>'değişim-tl'!$D$10</f>
        <v>255050095.6718899</v>
      </c>
      <c r="J297" s="8"/>
      <c r="K297" s="7">
        <f>'Bütçe Değişim TL'!$E$10</f>
        <v>-455763517.76048434</v>
      </c>
      <c r="L297" s="7">
        <f>'değişim-tl'!$E$10</f>
        <v>-202365516.70663819</v>
      </c>
      <c r="M297" s="8"/>
      <c r="N297" s="7">
        <f>'Bütçe Değişim TL'!$F$10</f>
        <v>255574000.36174315</v>
      </c>
      <c r="O297" s="7">
        <f>'değişim-tl'!$F$10</f>
        <v>-51568797.490938678</v>
      </c>
      <c r="P297" s="8"/>
      <c r="Q297" s="7">
        <f>'Bütçe Değişim TL'!$G$10</f>
        <v>169039832.50990891</v>
      </c>
      <c r="R297" s="7">
        <f>'değişim-tl'!$G$10</f>
        <v>390114301.82194304</v>
      </c>
      <c r="S297" s="8"/>
      <c r="T297" s="7">
        <f>'Bütçe Değişim TL'!$H$10</f>
        <v>-352538451.21862084</v>
      </c>
      <c r="U297" s="7">
        <f>'değişim-tl'!$H$10</f>
        <v>-40724860.395545512</v>
      </c>
      <c r="V297" s="8"/>
      <c r="W297" s="7">
        <f>'Bütçe Değişim TL'!$I$10</f>
        <v>74890614.370013759</v>
      </c>
      <c r="X297" s="7">
        <f>'değişim-tl'!$I$10</f>
        <v>23746692.766267955</v>
      </c>
      <c r="Y297" s="8"/>
      <c r="Z297" s="7">
        <f>'Bütçe Değişim TL'!$J$10</f>
        <v>320399252.70721304</v>
      </c>
      <c r="AA297" s="7">
        <f>'değişim-tl'!$J$10</f>
        <v>176400373.93947896</v>
      </c>
      <c r="AB297" s="8"/>
      <c r="AC297" s="7">
        <f>'Bütçe Değişim TL'!$K$10</f>
        <v>-468400507.55735624</v>
      </c>
      <c r="AD297" s="7">
        <f>'değişim-tl'!$K$10</f>
        <v>0</v>
      </c>
      <c r="AE297" s="8"/>
      <c r="AF297" s="7">
        <f>'Bütçe Değişim TL'!$L$10</f>
        <v>434140970.89525402</v>
      </c>
      <c r="AG297" s="7">
        <f>'değişim-tl'!$L$10</f>
        <v>0</v>
      </c>
      <c r="AH297" s="8"/>
      <c r="AI297" s="7">
        <f>'Bütçe Değişim TL'!$M$10</f>
        <v>53308618.299460351</v>
      </c>
      <c r="AJ297" s="7">
        <f>'değişim-tl'!$M$10</f>
        <v>0</v>
      </c>
      <c r="AK297" s="8"/>
      <c r="AL297" s="21">
        <f t="shared" si="160"/>
        <v>-143998878.76773408</v>
      </c>
      <c r="AM297" s="22">
        <f t="shared" si="161"/>
        <v>-0.44943575102318667</v>
      </c>
      <c r="AO297" s="44">
        <f t="shared" si="162"/>
        <v>320399252.70721304</v>
      </c>
      <c r="AP297" s="44">
        <f t="shared" si="163"/>
        <v>176400373.93947896</v>
      </c>
    </row>
    <row r="298" spans="1:57" s="1" customFormat="1" ht="15.5">
      <c r="A298" s="26"/>
      <c r="B298" s="7"/>
      <c r="C298" s="8"/>
      <c r="D298" s="8"/>
      <c r="E298" s="7"/>
      <c r="F298" s="8"/>
      <c r="G298" s="8"/>
      <c r="H298" s="7"/>
      <c r="I298" s="8"/>
      <c r="J298" s="8"/>
      <c r="K298" s="7"/>
      <c r="L298" s="8"/>
      <c r="M298" s="8"/>
      <c r="N298" s="7"/>
      <c r="O298" s="8"/>
      <c r="P298" s="8"/>
      <c r="Q298" s="7"/>
      <c r="R298" s="8"/>
      <c r="S298" s="8"/>
      <c r="T298" s="7"/>
      <c r="U298" s="8"/>
      <c r="V298" s="8"/>
      <c r="W298" s="7"/>
      <c r="X298" s="8"/>
      <c r="Y298" s="8"/>
      <c r="Z298" s="7"/>
      <c r="AA298" s="8"/>
      <c r="AB298" s="8"/>
      <c r="AC298" s="7"/>
      <c r="AD298" s="8"/>
      <c r="AE298" s="8"/>
      <c r="AF298" s="7"/>
      <c r="AG298" s="8"/>
      <c r="AH298" s="8"/>
      <c r="AI298" s="7"/>
      <c r="AJ298" s="8"/>
      <c r="AK298" s="8"/>
      <c r="AL298" s="15"/>
      <c r="AM298" s="16"/>
      <c r="AO298" s="44"/>
      <c r="AP298" s="44"/>
    </row>
    <row r="299" spans="1:57" s="1" customFormat="1" ht="15.5">
      <c r="A299" s="26"/>
      <c r="B299" s="7"/>
      <c r="C299" s="8"/>
      <c r="D299" s="8"/>
      <c r="E299" s="7"/>
      <c r="F299" s="8"/>
      <c r="G299" s="8"/>
      <c r="H299" s="7"/>
      <c r="I299" s="8"/>
      <c r="J299" s="8"/>
      <c r="K299" s="7"/>
      <c r="L299" s="8"/>
      <c r="M299" s="8"/>
      <c r="N299" s="7"/>
      <c r="O299" s="8"/>
      <c r="P299" s="8"/>
      <c r="Q299" s="7"/>
      <c r="R299" s="8"/>
      <c r="S299" s="8"/>
      <c r="T299" s="7"/>
      <c r="U299" s="8"/>
      <c r="V299" s="8"/>
      <c r="W299" s="7"/>
      <c r="X299" s="8"/>
      <c r="Y299" s="8"/>
      <c r="Z299" s="7"/>
      <c r="AA299" s="8"/>
      <c r="AB299" s="8"/>
      <c r="AC299" s="7"/>
      <c r="AD299" s="8"/>
      <c r="AE299" s="8"/>
      <c r="AF299" s="7"/>
      <c r="AG299" s="8"/>
      <c r="AH299" s="8"/>
      <c r="AI299" s="7"/>
      <c r="AJ299" s="8"/>
      <c r="AK299" s="8"/>
      <c r="AL299" s="15"/>
      <c r="AM299" s="16"/>
      <c r="AO299" s="44"/>
      <c r="AP299" s="44"/>
    </row>
    <row r="300" spans="1:57" s="44" customFormat="1" ht="15.5">
      <c r="A300" s="31" t="s">
        <v>20</v>
      </c>
      <c r="B300" s="32">
        <f>'Bütçe Değişim TL'!$B$11</f>
        <v>-186762498.13088819</v>
      </c>
      <c r="C300" s="32">
        <f>'değişim-tl'!$B$11</f>
        <v>-116090396.1728297</v>
      </c>
      <c r="D300" s="18"/>
      <c r="E300" s="32">
        <f>'Bütçe Değişim TL'!$C$11</f>
        <v>173793942.32756513</v>
      </c>
      <c r="F300" s="32">
        <f>'değişim-tl'!$C$11</f>
        <v>-112714488.12635395</v>
      </c>
      <c r="G300" s="18"/>
      <c r="H300" s="32">
        <f>'Bütçe Değişim TL'!$D$11</f>
        <v>262247327.43834168</v>
      </c>
      <c r="I300" s="32">
        <f>'değişim-tl'!$D$11</f>
        <v>164140008.14037615</v>
      </c>
      <c r="J300" s="18"/>
      <c r="K300" s="32">
        <f>'Bütçe Değişim TL'!$E$11</f>
        <v>-358111491.59682387</v>
      </c>
      <c r="L300" s="32">
        <f>'değişim-tl'!$E$11</f>
        <v>-511423927.56448287</v>
      </c>
      <c r="M300" s="18"/>
      <c r="N300" s="32">
        <f>'Bütçe Değişim TL'!$F$11</f>
        <v>222552318.58665231</v>
      </c>
      <c r="O300" s="32">
        <f>'değişim-tl'!$F$11</f>
        <v>-208835537.34051722</v>
      </c>
      <c r="P300" s="18"/>
      <c r="Q300" s="32">
        <f>'Bütçe Değişim TL'!$G$11</f>
        <v>79296540.413717777</v>
      </c>
      <c r="R300" s="32">
        <f>'değişim-tl'!$G$11</f>
        <v>395249579.25154877</v>
      </c>
      <c r="S300" s="18"/>
      <c r="T300" s="32">
        <f>'Bütçe Değişim TL'!$H$11</f>
        <v>-288345074.99232048</v>
      </c>
      <c r="U300" s="32">
        <f>'değişim-tl'!$H$11</f>
        <v>324419197.86825204</v>
      </c>
      <c r="V300" s="18"/>
      <c r="W300" s="32">
        <f>'Bütçe Değişim TL'!$I$11</f>
        <v>217565661.66917348</v>
      </c>
      <c r="X300" s="32">
        <f>'değişim-tl'!$I$11</f>
        <v>56506735.170925282</v>
      </c>
      <c r="Y300" s="18"/>
      <c r="Z300" s="32">
        <f>'Bütçe Değişim TL'!$J$11</f>
        <v>103458614.61211476</v>
      </c>
      <c r="AA300" s="32">
        <f>'değişim-tl'!$J$11</f>
        <v>140625624.03596491</v>
      </c>
      <c r="AB300" s="18"/>
      <c r="AC300" s="32">
        <f>'Bütçe Değişim TL'!$K$11</f>
        <v>-280556980.83598733</v>
      </c>
      <c r="AD300" s="32">
        <f>'değişim-tl'!$K$11</f>
        <v>0</v>
      </c>
      <c r="AE300" s="18"/>
      <c r="AF300" s="32">
        <f>'Bütçe Değişim TL'!$L$11</f>
        <v>295573526.72817695</v>
      </c>
      <c r="AG300" s="32">
        <f>'değişim-tl'!$L$11</f>
        <v>0</v>
      </c>
      <c r="AH300" s="18"/>
      <c r="AI300" s="32">
        <f>'Bütçe Değişim TL'!$M$11</f>
        <v>22393025.404193789</v>
      </c>
      <c r="AJ300" s="32">
        <f>'değişim-tl'!$M$11</f>
        <v>0</v>
      </c>
      <c r="AK300" s="18"/>
      <c r="AL300" s="33">
        <f>AP300-AO300</f>
        <v>37167009.423850149</v>
      </c>
      <c r="AM300" s="34">
        <f>AP300/AO300-1</f>
        <v>0.35924518768394553</v>
      </c>
      <c r="AO300" s="44">
        <f>IF($A$1=$B$1,B300,IF($A$1=$E$1,E300,IF($A$1=$H$1,H300,IF($A$1=$K$1,K300,IF($A$1=$N$1,N300,IF($A$1=$Q$1,Q300,IF($A$1=$T$1,T300,IF($A$1=$W$1,W300,IF($A$1=$Z$1,Z300,IF($A$1=$AC$1,AC300,IF($A$1=$AF$1,AF300,IF($A$1=$AI$1,AI300))))))))))))</f>
        <v>103458614.61211476</v>
      </c>
      <c r="AP300" s="44">
        <f>IF($A$1=$B$1,C300,IF($A$1=$E$1,F300,IF($A$1=$H$1,I300,IF($A$1=$K$1,L300,IF($A$1=$N$1,O300,IF($A$1=$Q$1,R300,IF($A$1=$T$1,U300,IF($A$1=$W$1,X300,IF($A$1=$Z$1,AA300,IF($A$1=$AC$1,AD300,IF($A$1=$AF$1,AG300,IF($A$1=$AI$1,AJ300))))))))))))</f>
        <v>140625624.03596491</v>
      </c>
    </row>
    <row r="301" spans="1:57" s="13" customFormat="1" ht="15.5">
      <c r="A301" s="27"/>
      <c r="B301" s="30"/>
      <c r="C301" s="30" t="str">
        <f>IFERROR((C259/#REF!),"")</f>
        <v/>
      </c>
      <c r="D301" s="41"/>
      <c r="E301" s="30"/>
      <c r="F301" s="30" t="str">
        <f>IFERROR((F259/#REF!),"")</f>
        <v/>
      </c>
      <c r="G301" s="41"/>
      <c r="H301" s="30"/>
      <c r="I301" s="30" t="str">
        <f>IFERROR((I259/#REF!),"")</f>
        <v/>
      </c>
      <c r="J301" s="41"/>
      <c r="K301" s="30"/>
      <c r="L301" s="30" t="str">
        <f>IFERROR((L259/#REF!),"")</f>
        <v/>
      </c>
      <c r="M301" s="41"/>
      <c r="N301" s="30"/>
      <c r="O301" s="30" t="str">
        <f>IFERROR((O259/#REF!),"")</f>
        <v/>
      </c>
      <c r="P301" s="41"/>
      <c r="Q301" s="30"/>
      <c r="R301" s="30" t="str">
        <f>IFERROR((R259/#REF!),"")</f>
        <v/>
      </c>
      <c r="S301" s="41"/>
      <c r="T301" s="30"/>
      <c r="U301" s="30" t="str">
        <f>IFERROR((U259/#REF!),"")</f>
        <v/>
      </c>
      <c r="V301" s="41"/>
      <c r="W301" s="30"/>
      <c r="X301" s="30" t="str">
        <f>IFERROR((X259/#REF!),"")</f>
        <v/>
      </c>
      <c r="Y301" s="41"/>
      <c r="Z301" s="30"/>
      <c r="AA301" s="30" t="str">
        <f>IFERROR((AA259/#REF!),"")</f>
        <v/>
      </c>
      <c r="AB301" s="41"/>
      <c r="AC301" s="30"/>
      <c r="AD301" s="30" t="str">
        <f>IFERROR((AD259/#REF!),"")</f>
        <v/>
      </c>
      <c r="AE301" s="41"/>
      <c r="AF301" s="30"/>
      <c r="AG301" s="30" t="str">
        <f>IFERROR((AG259/#REF!),"")</f>
        <v/>
      </c>
      <c r="AH301" s="41"/>
      <c r="AI301" s="30"/>
      <c r="AJ301" s="30" t="str">
        <f>IFERROR((AJ259/#REF!),"")</f>
        <v/>
      </c>
      <c r="AK301" s="41"/>
      <c r="AL301" s="15"/>
      <c r="AM301" s="22"/>
      <c r="AO301" s="44">
        <f>IF($A$1=$B$1,B301,IF($A$1=$E$1,E301,IF($A$1=$H$1,H301,IF($A$1=$K$1,K301,IF($A$1=$N$1,N301,IF($A$1=$Q$1,Q301,IF($A$1=$T$1,T301,IF($A$1=$W$1,W301,IF($A$1=$Z$1,Z301,IF($A$1=$AC$1,AC301,IF($A$1=$AF$1,AF301,IF($A$1=$AI$1,AI301))))))))))))</f>
        <v>0</v>
      </c>
      <c r="AP301" s="44" t="str">
        <f>IF($A$1=$B$1,C301,IF($A$1=$E$1,F301,IF($A$1=$H$1,I301,IF($A$1=$K$1,L301,IF($A$1=$N$1,O301,IF($A$1=$Q$1,R301,IF($A$1=$T$1,U301,IF($A$1=$W$1,X301,IF($A$1=$Z$1,AA301,IF($A$1=$AC$1,AD301,IF($A$1=$AF$1,AG301,IF($A$1=$AI$1,AJ301))))))))))))</f>
        <v/>
      </c>
    </row>
    <row r="302" spans="1:57" s="49" customFormat="1" ht="17">
      <c r="A302" s="47" t="s">
        <v>93</v>
      </c>
      <c r="B302" s="413"/>
      <c r="C302" s="413"/>
      <c r="D302" s="413"/>
      <c r="E302" s="413"/>
      <c r="F302" s="413"/>
      <c r="G302" s="413"/>
      <c r="H302" s="413"/>
      <c r="I302" s="413"/>
      <c r="J302" s="413"/>
      <c r="K302" s="413"/>
      <c r="L302" s="413"/>
      <c r="M302" s="413"/>
      <c r="N302" s="413"/>
      <c r="O302" s="413"/>
      <c r="P302" s="413"/>
      <c r="Q302" s="413"/>
      <c r="R302" s="413"/>
      <c r="S302" s="413"/>
      <c r="T302" s="413"/>
      <c r="U302" s="413"/>
      <c r="V302" s="413"/>
      <c r="W302" s="413"/>
      <c r="X302" s="413"/>
      <c r="Y302" s="413"/>
      <c r="Z302" s="413"/>
      <c r="AA302" s="413"/>
      <c r="AB302" s="413"/>
      <c r="AC302" s="413"/>
      <c r="AD302" s="413"/>
      <c r="AE302" s="413"/>
      <c r="AF302" s="413"/>
      <c r="AG302" s="413"/>
      <c r="AH302" s="413"/>
      <c r="AI302" s="413"/>
      <c r="AJ302" s="413"/>
      <c r="AK302" s="413"/>
      <c r="AL302" s="413"/>
      <c r="AM302" s="48"/>
    </row>
    <row r="303" spans="1:57" ht="15.5">
      <c r="A303" s="26" t="s">
        <v>10</v>
      </c>
      <c r="B303" s="7">
        <f>'Bütçe Değişim TL'!$B$12</f>
        <v>9164963.3659990057</v>
      </c>
      <c r="C303" s="7">
        <f>'değişim-tl'!$B$12</f>
        <v>11764788.871667001</v>
      </c>
      <c r="D303" s="7"/>
      <c r="E303" s="7">
        <f>'Bütçe Değişim TL'!$C$12</f>
        <v>27490535.12081299</v>
      </c>
      <c r="F303" s="7">
        <f>'değişim-tl'!$C$12</f>
        <v>39046377.787500009</v>
      </c>
      <c r="G303" s="7"/>
      <c r="H303" s="7">
        <f>'Bütçe Değişim TL'!$D$12</f>
        <v>-33555673.013887994</v>
      </c>
      <c r="I303" s="7">
        <f>'değişim-tl'!$D$12</f>
        <v>-13150954.107500009</v>
      </c>
      <c r="J303" s="7"/>
      <c r="K303" s="7">
        <f>'Bütçe Değişim TL'!$E$12</f>
        <v>6175712.624493001</v>
      </c>
      <c r="L303" s="7">
        <f>'değişim-tl'!$E$12</f>
        <v>-354868970.31499898</v>
      </c>
      <c r="M303" s="7"/>
      <c r="N303" s="7">
        <f>'Bütçe Değişim TL'!$F$12</f>
        <v>26161859.180337001</v>
      </c>
      <c r="O303" s="7">
        <f>'değişim-tl'!$F$12</f>
        <v>24898723.947498977</v>
      </c>
      <c r="P303" s="7"/>
      <c r="Q303" s="7">
        <f>'Bütçe Değişim TL'!$G$12</f>
        <v>-66908052.948906995</v>
      </c>
      <c r="R303" s="7">
        <f>'değişim-tl'!$G$12</f>
        <v>-1586351.8099989891</v>
      </c>
      <c r="S303" s="7"/>
      <c r="T303" s="7">
        <f>'Bütçe Değişim TL'!$H$12</f>
        <v>41068742.765508004</v>
      </c>
      <c r="U303" s="7">
        <f>'değişim-tl'!$H$12</f>
        <v>356699031.32249999</v>
      </c>
      <c r="V303" s="7"/>
      <c r="W303" s="7">
        <f>'Bütçe Değişim TL'!$I$12</f>
        <v>29433561.106426992</v>
      </c>
      <c r="X303" s="7">
        <f>'değişim-tl'!$I$12</f>
        <v>34528405.397501007</v>
      </c>
      <c r="Y303" s="7"/>
      <c r="Z303" s="7">
        <f>'Bütçe Değişim TL'!$J$12</f>
        <v>-33281949.986706007</v>
      </c>
      <c r="AA303" s="7">
        <f>'değişim-tl'!$J$12</f>
        <v>-16596551.69249998</v>
      </c>
      <c r="AB303" s="7"/>
      <c r="AC303" s="7">
        <f>'Bütçe Değişim TL'!$K$12</f>
        <v>4434815.0121410079</v>
      </c>
      <c r="AD303" s="7">
        <f>'değişim-tl'!$K$12</f>
        <v>0</v>
      </c>
      <c r="AE303" s="7"/>
      <c r="AF303" s="7">
        <f>'Bütçe Değişim TL'!$L$12</f>
        <v>40359778.814220004</v>
      </c>
      <c r="AG303" s="7">
        <f>'değişim-tl'!$L$12</f>
        <v>0</v>
      </c>
      <c r="AH303" s="7"/>
      <c r="AI303" s="7">
        <f>'Bütçe Değişim TL'!$M$12</f>
        <v>-112119657.22235599</v>
      </c>
      <c r="AJ303" s="7">
        <f>'değişim-tl'!$M$12</f>
        <v>0</v>
      </c>
      <c r="AK303" s="7"/>
      <c r="AL303" s="21">
        <f t="shared" ref="AL303:AL310" si="164">AP303-AO303</f>
        <v>16685398.294206027</v>
      </c>
      <c r="AM303" s="22">
        <f t="shared" ref="AM303:AM310" si="165">AP303/AO303-1</f>
        <v>-0.50133475655335002</v>
      </c>
      <c r="AO303" s="44">
        <f t="shared" ref="AO303:AO310" si="166">IF($A$1=$B$1,B303,IF($A$1=$E$1,E303,IF($A$1=$H$1,H303,IF($A$1=$K$1,K303,IF($A$1=$N$1,N303,IF($A$1=$Q$1,Q303,IF($A$1=$T$1,T303,IF($A$1=$W$1,W303,IF($A$1=$Z$1,Z303,IF($A$1=$AC$1,AC303,IF($A$1=$AF$1,AF303,IF($A$1=$AI$1,AI303))))))))))))</f>
        <v>-33281949.986706007</v>
      </c>
      <c r="AP303" s="44">
        <f t="shared" ref="AP303:AP310" si="167">IF($A$1=$B$1,C303,IF($A$1=$E$1,F303,IF($A$1=$H$1,I303,IF($A$1=$K$1,L303,IF($A$1=$N$1,O303,IF($A$1=$Q$1,R303,IF($A$1=$T$1,U303,IF($A$1=$W$1,X303,IF($A$1=$Z$1,AA303,IF($A$1=$AC$1,AD303,IF($A$1=$AF$1,AG303,IF($A$1=$AI$1,AJ303))))))))))))</f>
        <v>-16596551.69249998</v>
      </c>
    </row>
    <row r="304" spans="1:57" ht="15.5">
      <c r="A304" s="26" t="s">
        <v>11</v>
      </c>
      <c r="B304" s="7">
        <f>'Bütçe Değişim TL'!$B$13</f>
        <v>-27131363.887877002</v>
      </c>
      <c r="C304" s="7">
        <f>'değişim-tl'!$B$13</f>
        <v>-12685688.501733989</v>
      </c>
      <c r="D304" s="7"/>
      <c r="E304" s="7">
        <f>'Bütçe Değişim TL'!$C$13</f>
        <v>14807629.282684002</v>
      </c>
      <c r="F304" s="7">
        <f>'değişim-tl'!$C$13</f>
        <v>-3444079.6298670173</v>
      </c>
      <c r="G304" s="7"/>
      <c r="H304" s="7">
        <f>'Bütçe Değişim TL'!$D$13</f>
        <v>5229895.712698984</v>
      </c>
      <c r="I304" s="7">
        <f>'değişim-tl'!$D$13</f>
        <v>1042565.1236260012</v>
      </c>
      <c r="J304" s="7"/>
      <c r="K304" s="7">
        <f>'Bütçe Değişim TL'!$E$13</f>
        <v>13760604.388266034</v>
      </c>
      <c r="L304" s="7">
        <f>'değişim-tl'!$E$13</f>
        <v>-9282557.3437479809</v>
      </c>
      <c r="M304" s="7"/>
      <c r="N304" s="7">
        <f>'Bütçe Değişim TL'!$F$13</f>
        <v>-3538088.172639017</v>
      </c>
      <c r="O304" s="7">
        <f>'değişim-tl'!$F$13</f>
        <v>-9404858.6800250113</v>
      </c>
      <c r="P304" s="7"/>
      <c r="Q304" s="7">
        <f>'Bütçe Değişim TL'!$G$13</f>
        <v>17182885.803151991</v>
      </c>
      <c r="R304" s="7">
        <f>'değişim-tl'!$G$13</f>
        <v>-4425141.824454993</v>
      </c>
      <c r="S304" s="7"/>
      <c r="T304" s="7">
        <f>'Bütçe Değişim TL'!$H$13</f>
        <v>-6690303.8938719835</v>
      </c>
      <c r="U304" s="7">
        <f>'değişim-tl'!$H$13</f>
        <v>8000689.2670489922</v>
      </c>
      <c r="V304" s="7"/>
      <c r="W304" s="7">
        <f>'Bütçe Değişim TL'!$I$13</f>
        <v>-3743024.3690180164</v>
      </c>
      <c r="X304" s="7">
        <f>'değişim-tl'!$I$13</f>
        <v>-7025068.2260999978</v>
      </c>
      <c r="Y304" s="7"/>
      <c r="Z304" s="7">
        <f>'Bütçe Değişim TL'!$J$13</f>
        <v>-3177487.2693119962</v>
      </c>
      <c r="AA304" s="7">
        <f>'değişim-tl'!$J$13</f>
        <v>5257572.4009269997</v>
      </c>
      <c r="AB304" s="7"/>
      <c r="AC304" s="7">
        <f>'Bütçe Değişim TL'!$K$13</f>
        <v>744430.23999100085</v>
      </c>
      <c r="AD304" s="7">
        <f>'değişim-tl'!$K$13</f>
        <v>0</v>
      </c>
      <c r="AE304" s="7"/>
      <c r="AF304" s="7">
        <f>'Bütçe Değişim TL'!$L$13</f>
        <v>-13493755.930103008</v>
      </c>
      <c r="AG304" s="7">
        <f>'değişim-tl'!$L$13</f>
        <v>0</v>
      </c>
      <c r="AH304" s="7"/>
      <c r="AI304" s="7">
        <f>'Bütçe Değişim TL'!$M$13</f>
        <v>5802063.7085240167</v>
      </c>
      <c r="AJ304" s="7">
        <f>'değişim-tl'!$M$13</f>
        <v>0</v>
      </c>
      <c r="AK304" s="7"/>
      <c r="AL304" s="21">
        <f t="shared" si="164"/>
        <v>8435059.6702389959</v>
      </c>
      <c r="AM304" s="22">
        <f t="shared" si="165"/>
        <v>-2.6546320898605495</v>
      </c>
      <c r="AO304" s="44">
        <f t="shared" si="166"/>
        <v>-3177487.2693119962</v>
      </c>
      <c r="AP304" s="44">
        <f t="shared" si="167"/>
        <v>5257572.4009269997</v>
      </c>
    </row>
    <row r="305" spans="1:42" ht="15.5">
      <c r="A305" s="26" t="s">
        <v>12</v>
      </c>
      <c r="B305" s="7">
        <f>'Bütçe Değişim TL'!$B$14</f>
        <v>-21630091.228491977</v>
      </c>
      <c r="C305" s="7">
        <f>'değişim-tl'!$B$14</f>
        <v>-1118153.8424719735</v>
      </c>
      <c r="D305" s="7"/>
      <c r="E305" s="7">
        <f>'Bütçe Değişim TL'!$C$14</f>
        <v>-7083467.6189695681</v>
      </c>
      <c r="F305" s="7">
        <f>'değişim-tl'!$C$14</f>
        <v>-5516093.8865520209</v>
      </c>
      <c r="G305" s="7"/>
      <c r="H305" s="7">
        <f>'Bütçe Değişim TL'!$D$14</f>
        <v>1287016.7754124547</v>
      </c>
      <c r="I305" s="7">
        <f>'değişim-tl'!$D$14</f>
        <v>16917389.02712401</v>
      </c>
      <c r="J305" s="7"/>
      <c r="K305" s="7">
        <f>'Bütçe Değişim TL'!$E$14</f>
        <v>-2459372.6415897328</v>
      </c>
      <c r="L305" s="7">
        <f>'değişim-tl'!$E$14</f>
        <v>-21574235.20924399</v>
      </c>
      <c r="M305" s="7"/>
      <c r="N305" s="7">
        <f>'Bütçe Değişim TL'!$F$14</f>
        <v>-2296240.0106620155</v>
      </c>
      <c r="O305" s="7">
        <f>'değişim-tl'!$F$14</f>
        <v>1538015.6108590122</v>
      </c>
      <c r="P305" s="7"/>
      <c r="Q305" s="7">
        <f>'Bütçe Değişim TL'!$G$14</f>
        <v>5930190.4406207725</v>
      </c>
      <c r="R305" s="7">
        <f>'değişim-tl'!$G$14</f>
        <v>346240.01924398541</v>
      </c>
      <c r="S305" s="7"/>
      <c r="T305" s="7">
        <f>'Bütçe Değişim TL'!$H$14</f>
        <v>-4384141.5053189704</v>
      </c>
      <c r="U305" s="7">
        <f>'değişim-tl'!$H$14</f>
        <v>-13358329.112595994</v>
      </c>
      <c r="V305" s="7"/>
      <c r="W305" s="7">
        <f>'Bütçe Değişim TL'!$I$14</f>
        <v>6745020.4957691841</v>
      </c>
      <c r="X305" s="7">
        <f>'değişim-tl'!$I$14</f>
        <v>13714880.290464997</v>
      </c>
      <c r="Y305" s="7"/>
      <c r="Z305" s="7">
        <f>'Bütçe Değişim TL'!$J$14</f>
        <v>6256377.1982305758</v>
      </c>
      <c r="AA305" s="7">
        <f>'değişim-tl'!$J$14</f>
        <v>1842638.5475290027</v>
      </c>
      <c r="AB305" s="7"/>
      <c r="AC305" s="7">
        <f>'Bütçe Değişim TL'!$K$14</f>
        <v>-10550785.852446102</v>
      </c>
      <c r="AD305" s="7">
        <f>'değişim-tl'!$K$14</f>
        <v>0</v>
      </c>
      <c r="AE305" s="7"/>
      <c r="AF305" s="7">
        <f>'Bütçe Değişim TL'!$L$14</f>
        <v>1374007.2328141797</v>
      </c>
      <c r="AG305" s="7">
        <f>'değişim-tl'!$L$14</f>
        <v>0</v>
      </c>
      <c r="AH305" s="7"/>
      <c r="AI305" s="7">
        <f>'Bütçe Değişim TL'!$M$14</f>
        <v>567619.70353982109</v>
      </c>
      <c r="AJ305" s="7">
        <f>'değişim-tl'!$M$14</f>
        <v>0</v>
      </c>
      <c r="AK305" s="7"/>
      <c r="AL305" s="21">
        <f t="shared" si="164"/>
        <v>-4413738.6507015731</v>
      </c>
      <c r="AM305" s="22">
        <f t="shared" si="165"/>
        <v>-0.70547834806856979</v>
      </c>
      <c r="AO305" s="44">
        <f t="shared" si="166"/>
        <v>6256377.1982305758</v>
      </c>
      <c r="AP305" s="44">
        <f t="shared" si="167"/>
        <v>1842638.5475290027</v>
      </c>
    </row>
    <row r="306" spans="1:42" ht="15.5">
      <c r="A306" s="26" t="s">
        <v>13</v>
      </c>
      <c r="B306" s="7">
        <f>'Bütçe Değişim TL'!$B$15</f>
        <v>-173052116.30844414</v>
      </c>
      <c r="C306" s="7">
        <f>'değişim-tl'!$B$15</f>
        <v>-145320266.79825038</v>
      </c>
      <c r="D306" s="7"/>
      <c r="E306" s="7">
        <f>'Bütçe Değişim TL'!$C$15</f>
        <v>209464826.20655942</v>
      </c>
      <c r="F306" s="7">
        <f>'değişim-tl'!$C$15</f>
        <v>-203720929.07803398</v>
      </c>
      <c r="G306" s="7"/>
      <c r="H306" s="7">
        <f>'Bütçe Değişim TL'!$D$15</f>
        <v>11336325.573369451</v>
      </c>
      <c r="I306" s="7">
        <f>'değişim-tl'!$D$15</f>
        <v>55666567.757729113</v>
      </c>
      <c r="J306" s="7"/>
      <c r="K306" s="7">
        <f>'Bütçe Değişim TL'!$E$15</f>
        <v>17384912.54174839</v>
      </c>
      <c r="L306" s="7">
        <f>'değişim-tl'!$E$15</f>
        <v>79277646.154689044</v>
      </c>
      <c r="M306" s="7"/>
      <c r="N306" s="7">
        <f>'Bütçe Değişim TL'!$F$15</f>
        <v>3600183.6737784073</v>
      </c>
      <c r="O306" s="7">
        <f>'değişim-tl'!$F$15</f>
        <v>-364454825.28201866</v>
      </c>
      <c r="P306" s="7"/>
      <c r="Q306" s="7">
        <f>'Bütçe Değişim TL'!$G$15</f>
        <v>-31230257.767366834</v>
      </c>
      <c r="R306" s="7">
        <f>'değişim-tl'!$G$15</f>
        <v>303764683.30126375</v>
      </c>
      <c r="S306" s="7"/>
      <c r="T306" s="7">
        <f>'Bütçe Değişim TL'!$H$15</f>
        <v>-178438653.40448353</v>
      </c>
      <c r="U306" s="7">
        <f>'değişim-tl'!$H$15</f>
        <v>-75523434.887790978</v>
      </c>
      <c r="V306" s="7"/>
      <c r="W306" s="7">
        <f>'Bütçe Değişim TL'!$I$15</f>
        <v>254680774.28814974</v>
      </c>
      <c r="X306" s="7">
        <f>'değişim-tl'!$I$15</f>
        <v>-569980.36974495649</v>
      </c>
      <c r="Y306" s="7"/>
      <c r="Z306" s="7">
        <f>'Bütçe Değişim TL'!$J$15</f>
        <v>-151501770.79215211</v>
      </c>
      <c r="AA306" s="7">
        <f>'değişim-tl'!$J$15</f>
        <v>119818338.50641614</v>
      </c>
      <c r="AB306" s="7"/>
      <c r="AC306" s="7">
        <f>'Bütçe Değişim TL'!$K$15</f>
        <v>170154666.13987297</v>
      </c>
      <c r="AD306" s="7">
        <f>'değişim-tl'!$K$15</f>
        <v>0</v>
      </c>
      <c r="AE306" s="7"/>
      <c r="AF306" s="7">
        <f>'Bütçe Değişim TL'!$L$15</f>
        <v>-13073297.253246367</v>
      </c>
      <c r="AG306" s="7">
        <f>'değişim-tl'!$L$15</f>
        <v>0</v>
      </c>
      <c r="AH306" s="7"/>
      <c r="AI306" s="7">
        <f>'Bütçe Değişim TL'!$M$15</f>
        <v>14793268.301583663</v>
      </c>
      <c r="AJ306" s="7">
        <f>'değişim-tl'!$M$15</f>
        <v>0</v>
      </c>
      <c r="AK306" s="7"/>
      <c r="AL306" s="21">
        <f t="shared" si="164"/>
        <v>271320109.29856825</v>
      </c>
      <c r="AM306" s="22">
        <f t="shared" si="165"/>
        <v>-1.7908708781417282</v>
      </c>
      <c r="AO306" s="44">
        <f t="shared" si="166"/>
        <v>-151501770.79215211</v>
      </c>
      <c r="AP306" s="44">
        <f t="shared" si="167"/>
        <v>119818338.50641614</v>
      </c>
    </row>
    <row r="307" spans="1:42" s="1" customFormat="1" ht="15.5">
      <c r="A307" s="26" t="s">
        <v>14</v>
      </c>
      <c r="B307" s="7">
        <f>'Bütçe Değişim TL'!$B$16</f>
        <v>45770316.429921031</v>
      </c>
      <c r="C307" s="7">
        <f>'değişim-tl'!$B$16</f>
        <v>5589296.219914902</v>
      </c>
      <c r="D307" s="8"/>
      <c r="E307" s="7">
        <f>'Bütçe Değişim TL'!$C$16</f>
        <v>-33649974.308650047</v>
      </c>
      <c r="F307" s="7">
        <f>'değişim-tl'!$C$16</f>
        <v>-7285838.8043199545</v>
      </c>
      <c r="G307" s="8"/>
      <c r="H307" s="7">
        <f>'Bütçe Değişim TL'!$D$16</f>
        <v>28205811.423125081</v>
      </c>
      <c r="I307" s="7">
        <f>'değişim-tl'!$D$16</f>
        <v>61680294.989570037</v>
      </c>
      <c r="J307" s="8"/>
      <c r="K307" s="7">
        <f>'Bütçe Değişim TL'!$E$16</f>
        <v>-14659820.520425204</v>
      </c>
      <c r="L307" s="7">
        <f>'değişim-tl'!$E$16</f>
        <v>19735460.160761058</v>
      </c>
      <c r="M307" s="8"/>
      <c r="N307" s="7">
        <f>'Bütçe Değişim TL'!$F$16</f>
        <v>-3132240.9508244367</v>
      </c>
      <c r="O307" s="7">
        <f>'değişim-tl'!$F$16</f>
        <v>-35318165.478937119</v>
      </c>
      <c r="P307" s="8"/>
      <c r="Q307" s="7">
        <f>'Bütçe Değişim TL'!$G$16</f>
        <v>33034431.391154662</v>
      </c>
      <c r="R307" s="7">
        <f>'değişim-tl'!$G$16</f>
        <v>25902918.924862087</v>
      </c>
      <c r="S307" s="8"/>
      <c r="T307" s="7">
        <f>'Bütçe Değişim TL'!$H$16</f>
        <v>-24005479.941348851</v>
      </c>
      <c r="U307" s="7">
        <f>'değişim-tl'!$H$16</f>
        <v>44105861.651704028</v>
      </c>
      <c r="V307" s="8"/>
      <c r="W307" s="7">
        <f>'Bütçe Değişim TL'!$I$16</f>
        <v>21800908.269850366</v>
      </c>
      <c r="X307" s="7">
        <f>'değişim-tl'!$I$16</f>
        <v>10735715.091565058</v>
      </c>
      <c r="Y307" s="8"/>
      <c r="Z307" s="7">
        <f>'Bütçe Değişim TL'!$J$16</f>
        <v>12755156.133818105</v>
      </c>
      <c r="AA307" s="7">
        <f>'değişim-tl'!$J$16</f>
        <v>-14910092.305525064</v>
      </c>
      <c r="AB307" s="8"/>
      <c r="AC307" s="7">
        <f>'Bütçe Değişim TL'!$K$16</f>
        <v>-29141477.527682401</v>
      </c>
      <c r="AD307" s="7">
        <f>'değişim-tl'!$K$16</f>
        <v>0</v>
      </c>
      <c r="AE307" s="8"/>
      <c r="AF307" s="7">
        <f>'Bütçe Değişim TL'!$L$16</f>
        <v>44034544.994959585</v>
      </c>
      <c r="AG307" s="7">
        <f>'değişim-tl'!$L$16</f>
        <v>0</v>
      </c>
      <c r="AH307" s="8"/>
      <c r="AI307" s="7">
        <f>'Bütçe Değişim TL'!$M$16</f>
        <v>16570689.445874128</v>
      </c>
      <c r="AJ307" s="7">
        <f>'değişim-tl'!$M$16</f>
        <v>0</v>
      </c>
      <c r="AK307" s="8"/>
      <c r="AL307" s="21">
        <f t="shared" si="164"/>
        <v>-27665248.439343169</v>
      </c>
      <c r="AM307" s="22">
        <f t="shared" si="165"/>
        <v>-2.1689462793790124</v>
      </c>
      <c r="AO307" s="44">
        <f t="shared" si="166"/>
        <v>12755156.133818105</v>
      </c>
      <c r="AP307" s="44">
        <f t="shared" si="167"/>
        <v>-14910092.305525064</v>
      </c>
    </row>
    <row r="308" spans="1:42" ht="15.5">
      <c r="A308" s="26" t="s">
        <v>15</v>
      </c>
      <c r="B308" s="7">
        <f>'Bütçe Değişim TL'!$B$17</f>
        <v>-130263852.97393821</v>
      </c>
      <c r="C308" s="7">
        <f>'değişim-tl'!$B$17</f>
        <v>45863237.828684323</v>
      </c>
      <c r="D308" s="7"/>
      <c r="E308" s="7">
        <f>'Bütçe Değişim TL'!$C$17</f>
        <v>136798538.33549085</v>
      </c>
      <c r="F308" s="7">
        <f>'değişim-tl'!$C$17</f>
        <v>-109494071.78182679</v>
      </c>
      <c r="G308" s="7"/>
      <c r="H308" s="7">
        <f>'Bütçe Değişim TL'!$D$17</f>
        <v>48395820.421101175</v>
      </c>
      <c r="I308" s="7">
        <f>'değişim-tl'!$D$17</f>
        <v>-73814403.282836705</v>
      </c>
      <c r="J308" s="7"/>
      <c r="K308" s="7">
        <f>'Bütçe Değişim TL'!$E$17</f>
        <v>-154845471.16603601</v>
      </c>
      <c r="L308" s="7">
        <f>'değişim-tl'!$E$17</f>
        <v>-72626631.007907391</v>
      </c>
      <c r="M308" s="7"/>
      <c r="N308" s="7">
        <f>'Bütçe Değişim TL'!$F$17</f>
        <v>127554070.80811644</v>
      </c>
      <c r="O308" s="7">
        <f>'değişim-tl'!$F$17</f>
        <v>-56079329.619037181</v>
      </c>
      <c r="P308" s="7"/>
      <c r="Q308" s="7">
        <f>'Bütçe Değişim TL'!$G$17</f>
        <v>46058130.457316704</v>
      </c>
      <c r="R308" s="7">
        <f>'değişim-tl'!$G$17</f>
        <v>93749253.216287881</v>
      </c>
      <c r="S308" s="7"/>
      <c r="T308" s="7">
        <f>'Bütçe Değişim TL'!$H$17</f>
        <v>-66439702.945881158</v>
      </c>
      <c r="U308" s="7">
        <f>'değişim-tl'!$H$17</f>
        <v>195211578.849273</v>
      </c>
      <c r="V308" s="7"/>
      <c r="W308" s="7">
        <f>'Bütçe Değişim TL'!$I$17</f>
        <v>32244867.946230691</v>
      </c>
      <c r="X308" s="7">
        <f>'değişim-tl'!$I$17</f>
        <v>76951149.108471334</v>
      </c>
      <c r="Y308" s="7"/>
      <c r="Z308" s="7">
        <f>'Bütçe Değişim TL'!$J$17</f>
        <v>74653891.326392159</v>
      </c>
      <c r="AA308" s="7">
        <f>'değişim-tl'!$J$17</f>
        <v>-78063197.781946272</v>
      </c>
      <c r="AB308" s="7"/>
      <c r="AC308" s="7">
        <f>'Bütçe Değişim TL'!$K$17</f>
        <v>-107459025.85268456</v>
      </c>
      <c r="AD308" s="7">
        <f>'değişim-tl'!$K$17</f>
        <v>0</v>
      </c>
      <c r="AE308" s="7"/>
      <c r="AF308" s="7">
        <f>'Bütçe Değişim TL'!$L$17</f>
        <v>75482259.168986738</v>
      </c>
      <c r="AG308" s="7">
        <f>'değişim-tl'!$L$17</f>
        <v>0</v>
      </c>
      <c r="AH308" s="7"/>
      <c r="AI308" s="7">
        <f>'Bütçe Değişim TL'!$M$17</f>
        <v>110013079.17684366</v>
      </c>
      <c r="AJ308" s="7">
        <f>'değişim-tl'!$M$17</f>
        <v>0</v>
      </c>
      <c r="AK308" s="7"/>
      <c r="AL308" s="21">
        <f t="shared" si="164"/>
        <v>-152717089.10833842</v>
      </c>
      <c r="AM308" s="22">
        <f t="shared" si="165"/>
        <v>-2.0456681680617073</v>
      </c>
      <c r="AO308" s="44">
        <f t="shared" si="166"/>
        <v>74653891.326392159</v>
      </c>
      <c r="AP308" s="44">
        <f t="shared" si="167"/>
        <v>-78063197.781946272</v>
      </c>
    </row>
    <row r="309" spans="1:42" s="1" customFormat="1" ht="15.5">
      <c r="A309" s="26" t="s">
        <v>16</v>
      </c>
      <c r="B309" s="7">
        <f>'Bütçe Değişim TL'!$B$18</f>
        <v>141129994.19054344</v>
      </c>
      <c r="C309" s="7">
        <f>'değişim-tl'!$B$18</f>
        <v>2676018.506822105</v>
      </c>
      <c r="D309" s="8"/>
      <c r="E309" s="7">
        <f>'Bütçe Değişim TL'!$C$18</f>
        <v>-177308995.84806412</v>
      </c>
      <c r="F309" s="7">
        <f>'değişim-tl'!$C$18</f>
        <v>-59189001.468486376</v>
      </c>
      <c r="G309" s="8"/>
      <c r="H309" s="7">
        <f>'Bütçe Değişim TL'!$D$18</f>
        <v>298983222.77834988</v>
      </c>
      <c r="I309" s="7">
        <f>'değişim-tl'!$D$18</f>
        <v>105941945.61539276</v>
      </c>
      <c r="J309" s="8"/>
      <c r="K309" s="7">
        <f>'Bütçe Değişim TL'!$E$18</f>
        <v>-338907680.71478575</v>
      </c>
      <c r="L309" s="7">
        <f>'değişim-tl'!$E$18</f>
        <v>-103225939.10112277</v>
      </c>
      <c r="M309" s="8"/>
      <c r="N309" s="7">
        <f>'Bütçe Değişim TL'!$F$18</f>
        <v>130110667.88122727</v>
      </c>
      <c r="O309" s="7">
        <f>'değişim-tl'!$F$18</f>
        <v>-46048290.650393501</v>
      </c>
      <c r="P309" s="8"/>
      <c r="Q309" s="7">
        <f>'Bütçe Değişim TL'!$G$18</f>
        <v>85760512.006116495</v>
      </c>
      <c r="R309" s="7">
        <f>'değişim-tl'!$G$18</f>
        <v>193494217.32855624</v>
      </c>
      <c r="S309" s="8"/>
      <c r="T309" s="7">
        <f>'Bütçe Değişim TL'!$H$18</f>
        <v>-160497099.7862595</v>
      </c>
      <c r="U309" s="7">
        <f>'değişim-tl'!$H$18</f>
        <v>-184500976.72441697</v>
      </c>
      <c r="V309" s="8"/>
      <c r="W309" s="7">
        <f>'Bütçe Değişim TL'!$I$18</f>
        <v>71457237.395743668</v>
      </c>
      <c r="X309" s="7">
        <f>'değişim-tl'!$I$18</f>
        <v>-58800887.070491448</v>
      </c>
      <c r="Y309" s="8"/>
      <c r="Z309" s="7">
        <f>'Bütçe Değişim TL'!$J$18</f>
        <v>81573102.339484215</v>
      </c>
      <c r="AA309" s="7">
        <f>'değişim-tl'!$J$18</f>
        <v>181499057.71014249</v>
      </c>
      <c r="AB309" s="8"/>
      <c r="AC309" s="7">
        <f>'Bütçe Değişim TL'!$K$18</f>
        <v>-257281573.5513328</v>
      </c>
      <c r="AD309" s="7">
        <f>'değişim-tl'!$K$18</f>
        <v>0</v>
      </c>
      <c r="AE309" s="8"/>
      <c r="AF309" s="7">
        <f>'Bütçe Değişim TL'!$L$18</f>
        <v>121726799.95216048</v>
      </c>
      <c r="AG309" s="7">
        <f>'değişim-tl'!$L$18</f>
        <v>0</v>
      </c>
      <c r="AH309" s="8"/>
      <c r="AI309" s="7">
        <f>'Bütçe Değişim TL'!$M$18</f>
        <v>129274793.85245307</v>
      </c>
      <c r="AJ309" s="7">
        <f>'değişim-tl'!$M$18</f>
        <v>0</v>
      </c>
      <c r="AK309" s="8"/>
      <c r="AL309" s="21">
        <f t="shared" si="164"/>
        <v>99925955.370658278</v>
      </c>
      <c r="AM309" s="22">
        <f t="shared" si="165"/>
        <v>1.2249865765162968</v>
      </c>
      <c r="AO309" s="44">
        <f t="shared" si="166"/>
        <v>81573102.339484215</v>
      </c>
      <c r="AP309" s="44">
        <f t="shared" si="167"/>
        <v>181499057.71014249</v>
      </c>
    </row>
    <row r="310" spans="1:42" s="1" customFormat="1" ht="15.5">
      <c r="A310" s="26" t="s">
        <v>17</v>
      </c>
      <c r="B310" s="7">
        <f>'Bütçe Değişim TL'!$B$19</f>
        <v>-251499357.28937766</v>
      </c>
      <c r="C310" s="7">
        <f>'değişim-tl'!$B$19</f>
        <v>-193936642.50789782</v>
      </c>
      <c r="D310" s="8"/>
      <c r="E310" s="7">
        <f>'Bütçe Değişim TL'!$C$19</f>
        <v>211143719.47225815</v>
      </c>
      <c r="F310" s="7">
        <f>'değişim-tl'!$C$19</f>
        <v>22688110.139079869</v>
      </c>
      <c r="G310" s="8"/>
      <c r="H310" s="7">
        <f>'Bütçe Değişim TL'!$D$19</f>
        <v>336294039.71434999</v>
      </c>
      <c r="I310" s="7">
        <f>'değişim-tl'!$D$19</f>
        <v>248853115.1629602</v>
      </c>
      <c r="J310" s="8"/>
      <c r="K310" s="7">
        <f>'Bütçe Değişim TL'!$E$19</f>
        <v>-447943030.06048435</v>
      </c>
      <c r="L310" s="7">
        <f>'değişim-tl'!$E$19</f>
        <v>-237405947.94764972</v>
      </c>
      <c r="M310" s="8"/>
      <c r="N310" s="7">
        <f>'Bütçe Değişim TL'!$F$19</f>
        <v>247429287.56174314</v>
      </c>
      <c r="O310" s="7">
        <f>'değişim-tl'!$F$19</f>
        <v>-62767934.516738981</v>
      </c>
      <c r="P310" s="8"/>
      <c r="Q310" s="7">
        <f>'Bütçe Değişim TL'!$G$19</f>
        <v>174105976.70990896</v>
      </c>
      <c r="R310" s="7">
        <f>'değişim-tl'!$G$19</f>
        <v>385376009.39592695</v>
      </c>
      <c r="S310" s="8"/>
      <c r="T310" s="7">
        <f>'Bütçe Değişim TL'!$H$19</f>
        <v>-366467494.8186208</v>
      </c>
      <c r="U310" s="7">
        <f>'değişim-tl'!$H$19</f>
        <v>-46598512.910521626</v>
      </c>
      <c r="V310" s="8"/>
      <c r="W310" s="7">
        <f>'Bütçe Değişim TL'!$I$19</f>
        <v>82641473.190013766</v>
      </c>
      <c r="X310" s="7">
        <f>'değişim-tl'!$I$19</f>
        <v>9905297.5128481984</v>
      </c>
      <c r="Y310" s="8"/>
      <c r="Z310" s="7">
        <f>'Bütçe Değişim TL'!$J$19</f>
        <v>316673807.66721308</v>
      </c>
      <c r="AA310" s="7">
        <f>'değişim-tl'!$J$19</f>
        <v>166960805.82093492</v>
      </c>
      <c r="AB310" s="8"/>
      <c r="AC310" s="7">
        <f>'Bütçe Değişim TL'!$K$19</f>
        <v>-464236189.79735625</v>
      </c>
      <c r="AD310" s="7">
        <f>'değişim-tl'!$K$19</f>
        <v>0</v>
      </c>
      <c r="AE310" s="8"/>
      <c r="AF310" s="7">
        <f>'Bütçe Değişim TL'!$L$19</f>
        <v>440163434.665254</v>
      </c>
      <c r="AG310" s="7">
        <f>'değişim-tl'!$L$19</f>
        <v>0</v>
      </c>
      <c r="AH310" s="8"/>
      <c r="AI310" s="7">
        <f>'Bütçe Değişim TL'!$M$19</f>
        <v>49705667.25946033</v>
      </c>
      <c r="AJ310" s="7">
        <f>'değişim-tl'!$M$19</f>
        <v>0</v>
      </c>
      <c r="AK310" s="8"/>
      <c r="AL310" s="21">
        <f t="shared" si="164"/>
        <v>-149713001.84627816</v>
      </c>
      <c r="AM310" s="22">
        <f t="shared" si="165"/>
        <v>-0.47276723941630472</v>
      </c>
      <c r="AO310" s="44">
        <f t="shared" si="166"/>
        <v>316673807.66721308</v>
      </c>
      <c r="AP310" s="44">
        <f t="shared" si="167"/>
        <v>166960805.82093492</v>
      </c>
    </row>
    <row r="311" spans="1:42" s="1" customFormat="1" ht="15.5">
      <c r="A311" s="26"/>
      <c r="B311" s="7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7"/>
      <c r="R311" s="8"/>
      <c r="S311" s="8"/>
      <c r="T311" s="7"/>
      <c r="U311" s="8"/>
      <c r="V311" s="8"/>
      <c r="W311" s="7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15"/>
      <c r="AM311" s="16"/>
      <c r="AO311" s="44"/>
      <c r="AP311" s="44"/>
    </row>
    <row r="312" spans="1:42" s="1" customFormat="1" ht="15.5">
      <c r="A312" s="26"/>
      <c r="B312" s="7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7"/>
      <c r="R312" s="8"/>
      <c r="S312" s="8"/>
      <c r="T312" s="7"/>
      <c r="U312" s="8"/>
      <c r="V312" s="8"/>
      <c r="W312" s="7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15"/>
      <c r="AM312" s="16"/>
      <c r="AO312" s="44"/>
      <c r="AP312" s="44"/>
    </row>
    <row r="313" spans="1:42" s="1" customFormat="1" ht="15.5">
      <c r="A313" s="26"/>
      <c r="B313" s="7">
        <f t="shared" ref="B313:C320" si="168">B290-B278-B303</f>
        <v>0</v>
      </c>
      <c r="C313" s="7">
        <f t="shared" si="168"/>
        <v>0</v>
      </c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7"/>
      <c r="R313" s="8"/>
      <c r="S313" s="8"/>
      <c r="T313" s="7"/>
      <c r="U313" s="8"/>
      <c r="V313" s="8"/>
      <c r="W313" s="7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15"/>
      <c r="AM313" s="16"/>
      <c r="AO313" s="44"/>
      <c r="AP313" s="44"/>
    </row>
    <row r="314" spans="1:42" s="1" customFormat="1" ht="15.5">
      <c r="A314" s="26"/>
      <c r="B314" s="7">
        <f t="shared" si="168"/>
        <v>0</v>
      </c>
      <c r="C314" s="7">
        <f t="shared" si="168"/>
        <v>0</v>
      </c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7"/>
      <c r="R314" s="8"/>
      <c r="S314" s="8"/>
      <c r="T314" s="7"/>
      <c r="U314" s="8"/>
      <c r="V314" s="8"/>
      <c r="W314" s="7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15"/>
      <c r="AM314" s="16"/>
      <c r="AO314" s="44"/>
      <c r="AP314" s="44"/>
    </row>
    <row r="315" spans="1:42" s="1" customFormat="1" ht="15.5">
      <c r="A315" s="26"/>
      <c r="B315" s="7">
        <f t="shared" si="168"/>
        <v>0</v>
      </c>
      <c r="C315" s="7">
        <f t="shared" si="168"/>
        <v>0</v>
      </c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7"/>
      <c r="R315" s="8"/>
      <c r="S315" s="8"/>
      <c r="T315" s="7"/>
      <c r="U315" s="8"/>
      <c r="V315" s="8"/>
      <c r="W315" s="7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15"/>
      <c r="AM315" s="16"/>
      <c r="AO315" s="44"/>
      <c r="AP315" s="44"/>
    </row>
    <row r="316" spans="1:42" s="1" customFormat="1" ht="15.5">
      <c r="A316" s="26"/>
      <c r="B316" s="7">
        <f t="shared" si="168"/>
        <v>0</v>
      </c>
      <c r="C316" s="7">
        <f t="shared" si="168"/>
        <v>0</v>
      </c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7"/>
      <c r="R316" s="8"/>
      <c r="S316" s="8"/>
      <c r="T316" s="7"/>
      <c r="U316" s="8"/>
      <c r="V316" s="8"/>
      <c r="W316" s="7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15"/>
      <c r="AM316" s="16"/>
      <c r="AO316" s="44"/>
      <c r="AP316" s="44"/>
    </row>
    <row r="317" spans="1:42" s="1" customFormat="1" ht="15.5">
      <c r="A317" s="26"/>
      <c r="B317" s="7">
        <f t="shared" si="168"/>
        <v>0</v>
      </c>
      <c r="C317" s="7">
        <f t="shared" si="168"/>
        <v>0</v>
      </c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7"/>
      <c r="R317" s="8"/>
      <c r="S317" s="8"/>
      <c r="T317" s="7"/>
      <c r="U317" s="8"/>
      <c r="V317" s="8"/>
      <c r="W317" s="7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15"/>
      <c r="AM317" s="16"/>
      <c r="AO317" s="44"/>
      <c r="AP317" s="44"/>
    </row>
    <row r="318" spans="1:42" s="1" customFormat="1" ht="15.5">
      <c r="A318" s="26"/>
      <c r="B318" s="7">
        <f t="shared" si="168"/>
        <v>0</v>
      </c>
      <c r="C318" s="7">
        <f t="shared" si="168"/>
        <v>0</v>
      </c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7"/>
      <c r="R318" s="8"/>
      <c r="S318" s="8"/>
      <c r="T318" s="7"/>
      <c r="U318" s="8"/>
      <c r="V318" s="8"/>
      <c r="W318" s="7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15"/>
      <c r="AM318" s="16"/>
      <c r="AO318" s="44"/>
      <c r="AP318" s="44"/>
    </row>
    <row r="319" spans="1:42" s="1" customFormat="1" ht="15.5">
      <c r="A319" s="26"/>
      <c r="B319" s="7">
        <f t="shared" si="168"/>
        <v>0</v>
      </c>
      <c r="C319" s="7">
        <f t="shared" si="168"/>
        <v>0</v>
      </c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7"/>
      <c r="R319" s="8"/>
      <c r="S319" s="8"/>
      <c r="T319" s="7"/>
      <c r="U319" s="8"/>
      <c r="V319" s="8"/>
      <c r="W319" s="7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15"/>
      <c r="AM319" s="16"/>
      <c r="AO319" s="44"/>
      <c r="AP319" s="44"/>
    </row>
    <row r="320" spans="1:42" s="1" customFormat="1" ht="15.5">
      <c r="A320" s="26"/>
      <c r="B320" s="7">
        <f t="shared" si="168"/>
        <v>0</v>
      </c>
      <c r="C320" s="7">
        <f t="shared" si="168"/>
        <v>0</v>
      </c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7"/>
      <c r="R320" s="8"/>
      <c r="S320" s="8"/>
      <c r="T320" s="7"/>
      <c r="U320" s="8"/>
      <c r="V320" s="8"/>
      <c r="W320" s="7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15"/>
      <c r="AM320" s="16"/>
      <c r="AO320" s="44"/>
      <c r="AP320" s="44"/>
    </row>
    <row r="321" spans="1:42" s="1" customFormat="1" ht="15.5">
      <c r="A321" s="26"/>
      <c r="B321" s="7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7"/>
      <c r="R321" s="8"/>
      <c r="S321" s="8"/>
      <c r="T321" s="7"/>
      <c r="U321" s="8"/>
      <c r="V321" s="8"/>
      <c r="W321" s="7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15"/>
      <c r="AM321" s="16"/>
      <c r="AO321" s="44"/>
      <c r="AP321" s="44"/>
    </row>
    <row r="322" spans="1:42" s="1" customFormat="1" ht="15.5">
      <c r="A322" s="26"/>
      <c r="B322" s="7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7"/>
      <c r="R322" s="8"/>
      <c r="S322" s="8"/>
      <c r="T322" s="7"/>
      <c r="U322" s="8"/>
      <c r="V322" s="8"/>
      <c r="W322" s="7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15"/>
      <c r="AM322" s="16"/>
      <c r="AO322" s="44"/>
      <c r="AP322" s="44"/>
    </row>
    <row r="323" spans="1:42" s="1" customFormat="1" ht="15.5">
      <c r="A323" s="26"/>
      <c r="B323" s="7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7"/>
      <c r="R323" s="8"/>
      <c r="S323" s="8"/>
      <c r="T323" s="7"/>
      <c r="U323" s="8"/>
      <c r="V323" s="8"/>
      <c r="W323" s="7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15"/>
      <c r="AM323" s="16"/>
      <c r="AO323" s="44"/>
      <c r="AP323" s="44"/>
    </row>
    <row r="324" spans="1:42" s="1" customFormat="1" ht="15.5">
      <c r="A324" s="26"/>
      <c r="B324" s="7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7"/>
      <c r="R324" s="8"/>
      <c r="S324" s="8"/>
      <c r="T324" s="7"/>
      <c r="U324" s="8"/>
      <c r="V324" s="8"/>
      <c r="W324" s="7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15"/>
      <c r="AM324" s="16"/>
      <c r="AO324" s="44"/>
      <c r="AP324" s="44"/>
    </row>
    <row r="325" spans="1:42" s="1" customFormat="1" ht="15.5">
      <c r="A325" s="26"/>
      <c r="B325" s="7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7"/>
      <c r="R325" s="8"/>
      <c r="S325" s="8"/>
      <c r="T325" s="7"/>
      <c r="U325" s="8"/>
      <c r="V325" s="8"/>
      <c r="W325" s="7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15"/>
      <c r="AM325" s="16"/>
      <c r="AO325" s="44"/>
      <c r="AP325" s="44"/>
    </row>
    <row r="326" spans="1:42" s="1" customFormat="1" ht="15.5">
      <c r="A326" s="26"/>
      <c r="B326" s="7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7"/>
      <c r="R326" s="8"/>
      <c r="S326" s="8"/>
      <c r="T326" s="7"/>
      <c r="U326" s="8"/>
      <c r="V326" s="8"/>
      <c r="W326" s="7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15"/>
      <c r="AM326" s="16"/>
      <c r="AO326" s="44"/>
      <c r="AP326" s="44"/>
    </row>
    <row r="327" spans="1:42" s="1" customFormat="1" ht="15.5">
      <c r="A327" s="26"/>
      <c r="B327" s="7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7"/>
      <c r="R327" s="8"/>
      <c r="S327" s="8"/>
      <c r="T327" s="7"/>
      <c r="U327" s="8"/>
      <c r="V327" s="8"/>
      <c r="W327" s="7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15"/>
      <c r="AM327" s="16"/>
      <c r="AO327" s="44"/>
      <c r="AP327" s="44"/>
    </row>
    <row r="328" spans="1:42" s="1" customFormat="1" ht="15.5">
      <c r="A328" s="26"/>
      <c r="B328" s="7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7"/>
      <c r="R328" s="8"/>
      <c r="S328" s="8"/>
      <c r="T328" s="7"/>
      <c r="U328" s="8"/>
      <c r="V328" s="8"/>
      <c r="W328" s="7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15"/>
      <c r="AM328" s="16"/>
      <c r="AO328" s="44"/>
      <c r="AP328" s="44"/>
    </row>
    <row r="329" spans="1:42" s="1" customFormat="1" ht="15.5">
      <c r="A329" s="26"/>
      <c r="B329" s="7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7"/>
      <c r="R329" s="8"/>
      <c r="S329" s="8"/>
      <c r="T329" s="7"/>
      <c r="U329" s="8"/>
      <c r="V329" s="8"/>
      <c r="W329" s="7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15"/>
      <c r="AM329" s="16"/>
      <c r="AO329" s="44"/>
      <c r="AP329" s="44"/>
    </row>
    <row r="330" spans="1:42" s="1" customFormat="1" ht="15.5">
      <c r="A330" s="26"/>
      <c r="B330" s="7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7"/>
      <c r="R330" s="8"/>
      <c r="S330" s="8"/>
      <c r="T330" s="7"/>
      <c r="U330" s="8"/>
      <c r="V330" s="8"/>
      <c r="W330" s="7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15"/>
      <c r="AM330" s="16"/>
      <c r="AO330" s="44"/>
      <c r="AP330" s="44"/>
    </row>
    <row r="331" spans="1:42" s="1" customFormat="1" ht="15.5">
      <c r="A331" s="26"/>
      <c r="B331" s="7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7"/>
      <c r="R331" s="8"/>
      <c r="S331" s="8"/>
      <c r="T331" s="7"/>
      <c r="U331" s="8"/>
      <c r="V331" s="8"/>
      <c r="W331" s="7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15"/>
      <c r="AM331" s="16"/>
      <c r="AO331" s="44"/>
      <c r="AP331" s="44"/>
    </row>
    <row r="332" spans="1:42" s="1" customFormat="1" ht="15.5">
      <c r="A332" s="26"/>
      <c r="B332" s="7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7"/>
      <c r="R332" s="8"/>
      <c r="S332" s="8"/>
      <c r="T332" s="7"/>
      <c r="U332" s="8"/>
      <c r="V332" s="8"/>
      <c r="W332" s="7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15"/>
      <c r="AM332" s="16"/>
      <c r="AO332" s="44"/>
      <c r="AP332" s="44"/>
    </row>
    <row r="333" spans="1:42" s="1" customFormat="1" ht="15.5">
      <c r="A333" s="26"/>
      <c r="B333" s="7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7"/>
      <c r="R333" s="8"/>
      <c r="S333" s="8"/>
      <c r="T333" s="7"/>
      <c r="U333" s="8"/>
      <c r="V333" s="8"/>
      <c r="W333" s="7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15"/>
      <c r="AM333" s="16"/>
      <c r="AO333" s="44"/>
      <c r="AP333" s="44"/>
    </row>
    <row r="334" spans="1:42" s="1" customFormat="1" ht="15.5">
      <c r="A334" s="26"/>
      <c r="B334" s="7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7"/>
      <c r="R334" s="8"/>
      <c r="S334" s="8"/>
      <c r="T334" s="7"/>
      <c r="U334" s="8"/>
      <c r="V334" s="8"/>
      <c r="W334" s="7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15"/>
      <c r="AM334" s="16"/>
      <c r="AO334" s="44"/>
      <c r="AP334" s="44"/>
    </row>
    <row r="335" spans="1:42" s="1" customFormat="1" ht="15.5">
      <c r="A335" s="26"/>
      <c r="B335" s="7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7"/>
      <c r="R335" s="8"/>
      <c r="S335" s="8"/>
      <c r="T335" s="7"/>
      <c r="U335" s="8"/>
      <c r="V335" s="8"/>
      <c r="W335" s="7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15"/>
      <c r="AM335" s="16"/>
      <c r="AO335" s="44"/>
      <c r="AP335" s="44"/>
    </row>
    <row r="336" spans="1:42" s="1" customFormat="1" ht="15.5">
      <c r="A336" s="26"/>
      <c r="B336" s="7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7"/>
      <c r="R336" s="8"/>
      <c r="S336" s="8"/>
      <c r="T336" s="7"/>
      <c r="U336" s="8"/>
      <c r="V336" s="8"/>
      <c r="W336" s="7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15"/>
      <c r="AM336" s="16"/>
      <c r="AO336" s="44"/>
      <c r="AP336" s="44"/>
    </row>
    <row r="337" spans="1:42" s="1" customFormat="1" ht="15.5">
      <c r="A337" s="26"/>
      <c r="B337" s="7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7"/>
      <c r="R337" s="8"/>
      <c r="S337" s="8"/>
      <c r="T337" s="7"/>
      <c r="U337" s="8"/>
      <c r="V337" s="8"/>
      <c r="W337" s="7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15"/>
      <c r="AM337" s="16"/>
      <c r="AO337" s="44"/>
      <c r="AP337" s="44"/>
    </row>
    <row r="338" spans="1:42" s="1" customFormat="1" ht="15.5">
      <c r="A338" s="26"/>
      <c r="B338" s="7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7"/>
      <c r="R338" s="8"/>
      <c r="S338" s="8"/>
      <c r="T338" s="7"/>
      <c r="U338" s="8"/>
      <c r="V338" s="8"/>
      <c r="W338" s="7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15"/>
      <c r="AM338" s="16"/>
      <c r="AO338" s="44"/>
      <c r="AP338" s="44"/>
    </row>
    <row r="339" spans="1:42" s="1" customFormat="1" ht="15.5">
      <c r="A339" s="26"/>
      <c r="B339" s="7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7"/>
      <c r="R339" s="8"/>
      <c r="S339" s="8"/>
      <c r="T339" s="7"/>
      <c r="U339" s="8"/>
      <c r="V339" s="8"/>
      <c r="W339" s="7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15"/>
      <c r="AM339" s="16"/>
      <c r="AO339" s="44"/>
      <c r="AP339" s="44"/>
    </row>
    <row r="340" spans="1:42" s="1" customFormat="1" ht="15.5">
      <c r="A340" s="26"/>
      <c r="B340" s="7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7"/>
      <c r="R340" s="8"/>
      <c r="S340" s="8"/>
      <c r="T340" s="7"/>
      <c r="U340" s="8"/>
      <c r="V340" s="8"/>
      <c r="W340" s="7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15"/>
      <c r="AM340" s="16"/>
      <c r="AO340" s="44"/>
      <c r="AP340" s="44"/>
    </row>
    <row r="341" spans="1:42" s="1" customFormat="1" ht="15.5">
      <c r="A341" s="26"/>
      <c r="B341" s="7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7"/>
      <c r="R341" s="8"/>
      <c r="S341" s="8"/>
      <c r="T341" s="7"/>
      <c r="U341" s="8"/>
      <c r="V341" s="8"/>
      <c r="W341" s="7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15"/>
      <c r="AM341" s="16"/>
      <c r="AO341" s="44"/>
      <c r="AP341" s="44"/>
    </row>
    <row r="342" spans="1:42" s="1" customFormat="1" ht="15.5">
      <c r="A342" s="26"/>
      <c r="B342" s="7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7"/>
      <c r="R342" s="8"/>
      <c r="S342" s="8"/>
      <c r="T342" s="7"/>
      <c r="U342" s="8"/>
      <c r="V342" s="8"/>
      <c r="W342" s="7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15"/>
      <c r="AM342" s="16"/>
      <c r="AO342" s="44"/>
      <c r="AP342" s="44"/>
    </row>
    <row r="343" spans="1:42" s="1" customFormat="1" ht="15.5">
      <c r="A343" s="26"/>
      <c r="B343" s="7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7"/>
      <c r="R343" s="8"/>
      <c r="S343" s="8"/>
      <c r="T343" s="7"/>
      <c r="U343" s="8"/>
      <c r="V343" s="8"/>
      <c r="W343" s="7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15"/>
      <c r="AM343" s="16"/>
      <c r="AO343" s="44"/>
      <c r="AP343" s="44"/>
    </row>
    <row r="344" spans="1:42" s="1" customFormat="1" ht="15.5">
      <c r="A344" s="26"/>
      <c r="B344" s="7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7"/>
      <c r="R344" s="8"/>
      <c r="S344" s="8"/>
      <c r="T344" s="7"/>
      <c r="U344" s="8"/>
      <c r="V344" s="8"/>
      <c r="W344" s="7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15"/>
      <c r="AM344" s="16"/>
      <c r="AO344" s="44"/>
      <c r="AP344" s="44"/>
    </row>
    <row r="345" spans="1:42" s="1" customFormat="1" ht="15.5">
      <c r="A345" s="26"/>
      <c r="B345" s="7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7"/>
      <c r="R345" s="8"/>
      <c r="S345" s="8"/>
      <c r="T345" s="7"/>
      <c r="U345" s="8"/>
      <c r="V345" s="8"/>
      <c r="W345" s="7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15"/>
      <c r="AM345" s="16"/>
      <c r="AO345" s="44"/>
      <c r="AP345" s="44"/>
    </row>
    <row r="346" spans="1:42" s="1" customFormat="1" ht="15.5">
      <c r="A346" s="26"/>
      <c r="B346" s="7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7"/>
      <c r="R346" s="8"/>
      <c r="S346" s="8"/>
      <c r="T346" s="7"/>
      <c r="U346" s="8"/>
      <c r="V346" s="8"/>
      <c r="W346" s="7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15"/>
      <c r="AM346" s="16"/>
      <c r="AO346" s="44"/>
      <c r="AP346" s="44"/>
    </row>
    <row r="347" spans="1:42" s="1" customFormat="1" ht="15.5">
      <c r="A347" s="26"/>
      <c r="B347" s="7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7"/>
      <c r="R347" s="8"/>
      <c r="S347" s="8"/>
      <c r="T347" s="7"/>
      <c r="U347" s="8"/>
      <c r="V347" s="8"/>
      <c r="W347" s="7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15"/>
      <c r="AM347" s="16"/>
      <c r="AO347" s="44"/>
      <c r="AP347" s="44"/>
    </row>
    <row r="348" spans="1:42" s="1" customFormat="1" ht="15.5">
      <c r="A348" s="26"/>
      <c r="B348" s="7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7"/>
      <c r="R348" s="8"/>
      <c r="S348" s="8"/>
      <c r="T348" s="7"/>
      <c r="U348" s="8"/>
      <c r="V348" s="8"/>
      <c r="W348" s="7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15"/>
      <c r="AM348" s="16"/>
      <c r="AO348" s="44"/>
      <c r="AP348" s="44"/>
    </row>
    <row r="349" spans="1:42" s="1" customFormat="1" ht="15.5">
      <c r="A349" s="26"/>
      <c r="B349" s="7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7"/>
      <c r="R349" s="8"/>
      <c r="S349" s="8"/>
      <c r="T349" s="7"/>
      <c r="U349" s="8"/>
      <c r="V349" s="8"/>
      <c r="W349" s="7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15"/>
      <c r="AM349" s="16"/>
      <c r="AO349" s="44"/>
      <c r="AP349" s="44"/>
    </row>
    <row r="350" spans="1:42" s="1" customFormat="1" ht="15.5">
      <c r="A350" s="26"/>
      <c r="B350" s="7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7"/>
      <c r="R350" s="8"/>
      <c r="S350" s="8"/>
      <c r="T350" s="7"/>
      <c r="U350" s="8"/>
      <c r="V350" s="8"/>
      <c r="W350" s="7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15"/>
      <c r="AM350" s="16"/>
      <c r="AO350" s="44"/>
      <c r="AP350" s="44"/>
    </row>
    <row r="351" spans="1:42" s="1" customFormat="1" ht="15.5">
      <c r="A351" s="26"/>
      <c r="B351" s="7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7"/>
      <c r="R351" s="8"/>
      <c r="S351" s="8"/>
      <c r="T351" s="7"/>
      <c r="U351" s="8"/>
      <c r="V351" s="8"/>
      <c r="W351" s="7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15"/>
      <c r="AM351" s="16"/>
      <c r="AO351" s="44"/>
      <c r="AP351" s="44"/>
    </row>
    <row r="352" spans="1:42" s="1" customFormat="1" ht="15.5">
      <c r="A352" s="26"/>
      <c r="B352" s="7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7"/>
      <c r="R352" s="8"/>
      <c r="S352" s="8"/>
      <c r="T352" s="7"/>
      <c r="U352" s="8"/>
      <c r="V352" s="8"/>
      <c r="W352" s="7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15"/>
      <c r="AM352" s="16"/>
      <c r="AO352" s="44"/>
      <c r="AP352" s="44"/>
    </row>
    <row r="353" spans="1:42" s="1" customFormat="1" ht="15.5">
      <c r="A353" s="26"/>
      <c r="B353" s="7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7"/>
      <c r="R353" s="8"/>
      <c r="S353" s="8"/>
      <c r="T353" s="7"/>
      <c r="U353" s="8"/>
      <c r="V353" s="8"/>
      <c r="W353" s="7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15"/>
      <c r="AM353" s="16"/>
      <c r="AO353" s="44"/>
      <c r="AP353" s="44"/>
    </row>
    <row r="354" spans="1:42" s="1" customFormat="1" ht="15.5">
      <c r="A354" s="26"/>
      <c r="B354" s="7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7"/>
      <c r="R354" s="8"/>
      <c r="S354" s="8"/>
      <c r="T354" s="7"/>
      <c r="U354" s="8"/>
      <c r="V354" s="8"/>
      <c r="W354" s="7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15"/>
      <c r="AM354" s="16"/>
      <c r="AO354" s="44"/>
      <c r="AP354" s="44"/>
    </row>
    <row r="355" spans="1:42" s="1" customFormat="1" ht="15.5">
      <c r="A355" s="26"/>
      <c r="B355" s="7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7"/>
      <c r="R355" s="8"/>
      <c r="S355" s="8"/>
      <c r="T355" s="7"/>
      <c r="U355" s="8"/>
      <c r="V355" s="8"/>
      <c r="W355" s="7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15"/>
      <c r="AM355" s="16"/>
      <c r="AO355" s="44"/>
      <c r="AP355" s="44"/>
    </row>
    <row r="356" spans="1:42" s="1" customFormat="1" ht="15.5">
      <c r="A356" s="26"/>
      <c r="B356" s="7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7"/>
      <c r="R356" s="8"/>
      <c r="S356" s="8"/>
      <c r="T356" s="7"/>
      <c r="U356" s="8"/>
      <c r="V356" s="8"/>
      <c r="W356" s="7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15"/>
      <c r="AM356" s="16"/>
      <c r="AO356" s="44"/>
      <c r="AP356" s="44"/>
    </row>
    <row r="357" spans="1:42" s="1" customFormat="1" ht="15.5">
      <c r="A357" s="26"/>
      <c r="B357" s="7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7"/>
      <c r="R357" s="8"/>
      <c r="S357" s="8"/>
      <c r="T357" s="7"/>
      <c r="U357" s="8"/>
      <c r="V357" s="8"/>
      <c r="W357" s="7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15"/>
      <c r="AM357" s="16"/>
      <c r="AO357" s="44"/>
      <c r="AP357" s="44"/>
    </row>
    <row r="358" spans="1:42" s="1" customFormat="1" ht="15.5">
      <c r="A358" s="26"/>
      <c r="B358" s="7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7"/>
      <c r="R358" s="8"/>
      <c r="S358" s="8"/>
      <c r="T358" s="7"/>
      <c r="U358" s="8"/>
      <c r="V358" s="8"/>
      <c r="W358" s="7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15"/>
      <c r="AM358" s="16"/>
      <c r="AO358" s="44"/>
      <c r="AP358" s="44"/>
    </row>
    <row r="359" spans="1:42" s="1" customFormat="1" ht="15.5">
      <c r="A359" s="26"/>
      <c r="B359" s="7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7"/>
      <c r="R359" s="8"/>
      <c r="S359" s="8"/>
      <c r="T359" s="7"/>
      <c r="U359" s="8"/>
      <c r="V359" s="8"/>
      <c r="W359" s="7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15"/>
      <c r="AM359" s="16"/>
      <c r="AO359" s="44"/>
      <c r="AP359" s="44"/>
    </row>
    <row r="360" spans="1:42" s="1" customFormat="1" ht="15.5">
      <c r="A360" s="26"/>
      <c r="B360" s="7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7"/>
      <c r="R360" s="8"/>
      <c r="S360" s="8"/>
      <c r="T360" s="7"/>
      <c r="U360" s="8"/>
      <c r="V360" s="8"/>
      <c r="W360" s="7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15"/>
      <c r="AM360" s="16"/>
      <c r="AO360" s="44"/>
      <c r="AP360" s="44"/>
    </row>
    <row r="361" spans="1:42" s="1" customFormat="1" ht="15.5">
      <c r="A361" s="26"/>
      <c r="B361" s="7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7"/>
      <c r="R361" s="8"/>
      <c r="S361" s="8"/>
      <c r="T361" s="7"/>
      <c r="U361" s="8"/>
      <c r="V361" s="8"/>
      <c r="W361" s="7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15"/>
      <c r="AM361" s="16"/>
      <c r="AO361" s="44"/>
      <c r="AP361" s="44"/>
    </row>
    <row r="362" spans="1:42" s="1" customFormat="1" ht="15.5">
      <c r="A362" s="26"/>
      <c r="B362" s="7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7"/>
      <c r="R362" s="8"/>
      <c r="S362" s="8"/>
      <c r="T362" s="7"/>
      <c r="U362" s="8"/>
      <c r="V362" s="8"/>
      <c r="W362" s="7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15"/>
      <c r="AM362" s="16"/>
      <c r="AO362" s="44"/>
      <c r="AP362" s="44"/>
    </row>
  </sheetData>
  <mergeCells count="13">
    <mergeCell ref="AI1:AJ1"/>
    <mergeCell ref="B1:C1"/>
    <mergeCell ref="AL1:AM1"/>
    <mergeCell ref="AF1:AG1"/>
    <mergeCell ref="E1:F1"/>
    <mergeCell ref="H1:I1"/>
    <mergeCell ref="K1:L1"/>
    <mergeCell ref="N1:O1"/>
    <mergeCell ref="Q1:R1"/>
    <mergeCell ref="T1:U1"/>
    <mergeCell ref="W1:X1"/>
    <mergeCell ref="Z1:AA1"/>
    <mergeCell ref="AC1:AD1"/>
  </mergeCells>
  <pageMargins left="0.7" right="0.7" top="0.75" bottom="0.75" header="0.3" footer="0.3"/>
  <pageSetup paperSize="9" orientation="portrait" r:id="rId1"/>
  <customProperties>
    <customPr name="_pios_id" r:id="rId2"/>
    <customPr name="EpmWorksheetKeyString_GUID" r:id="rId3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2F3A7-59BF-4064-A9E8-135E9C82B0FA}">
  <dimension ref="A1:AQ363"/>
  <sheetViews>
    <sheetView showGridLines="0" zoomScale="50" zoomScaleNormal="50" workbookViewId="0">
      <pane xSplit="1" ySplit="4" topLeftCell="P41" activePane="bottomRight" state="frozen"/>
      <selection pane="topRight" activeCell="B1" sqref="B1"/>
      <selection pane="bottomLeft" activeCell="A5" sqref="A5"/>
      <selection pane="bottomRight" activeCell="U141" sqref="U141"/>
    </sheetView>
  </sheetViews>
  <sheetFormatPr defaultColWidth="9.1796875" defaultRowHeight="14.5"/>
  <cols>
    <col min="1" max="1" width="51.54296875" style="4" bestFit="1" customWidth="1"/>
    <col min="2" max="3" width="14.54296875" style="9" customWidth="1"/>
    <col min="4" max="4" width="5.1796875" style="9" customWidth="1"/>
    <col min="5" max="5" width="14.453125" style="9" customWidth="1"/>
    <col min="6" max="6" width="14.54296875" style="9" customWidth="1"/>
    <col min="7" max="7" width="5.81640625" style="9" customWidth="1"/>
    <col min="8" max="8" width="14.453125" style="9" customWidth="1"/>
    <col min="9" max="9" width="14.54296875" style="9" customWidth="1"/>
    <col min="10" max="10" width="2.81640625" style="9" customWidth="1"/>
    <col min="11" max="11" width="14.453125" style="9" customWidth="1"/>
    <col min="12" max="12" width="14.54296875" style="9" customWidth="1"/>
    <col min="13" max="13" width="5.1796875" style="9" customWidth="1"/>
    <col min="14" max="15" width="14.453125" style="9" customWidth="1"/>
    <col min="16" max="16" width="2.81640625" style="9" customWidth="1"/>
    <col min="17" max="18" width="14.453125" style="9" customWidth="1"/>
    <col min="19" max="19" width="2.81640625" style="9" customWidth="1"/>
    <col min="20" max="20" width="15.81640625" style="9" customWidth="1"/>
    <col min="21" max="21" width="15.453125" style="9" customWidth="1"/>
    <col min="22" max="22" width="2.81640625" style="9" customWidth="1"/>
    <col min="23" max="23" width="15.81640625" style="9" customWidth="1"/>
    <col min="24" max="24" width="14.453125" style="9" customWidth="1"/>
    <col min="25" max="25" width="6" style="9" customWidth="1"/>
    <col min="26" max="27" width="15.81640625" style="9" hidden="1" customWidth="1"/>
    <col min="28" max="28" width="2.81640625" style="9" hidden="1" customWidth="1"/>
    <col min="29" max="30" width="15.81640625" style="9" hidden="1" customWidth="1"/>
    <col min="31" max="31" width="2.81640625" style="9" hidden="1" customWidth="1"/>
    <col min="32" max="32" width="15.81640625" style="9" hidden="1" customWidth="1"/>
    <col min="33" max="33" width="15" style="9" hidden="1" customWidth="1"/>
    <col min="34" max="34" width="2.81640625" style="9" hidden="1" customWidth="1"/>
    <col min="35" max="35" width="15.81640625" style="9" hidden="1" customWidth="1"/>
    <col min="36" max="36" width="15" style="9" hidden="1" customWidth="1"/>
    <col min="37" max="37" width="12.453125" style="9" hidden="1" customWidth="1"/>
    <col min="38" max="38" width="14.453125" style="9" bestFit="1" customWidth="1"/>
    <col min="39" max="39" width="10.453125" style="6" customWidth="1"/>
    <col min="41" max="42" width="9.1796875" customWidth="1"/>
    <col min="43" max="43" width="12.54296875" bestFit="1" customWidth="1"/>
  </cols>
  <sheetData>
    <row r="1" spans="1:43" s="42" customFormat="1">
      <c r="A1" s="59" t="str">
        <f>'A-TRY'!A1</f>
        <v>EYLÜL</v>
      </c>
      <c r="B1" s="449" t="s">
        <v>41</v>
      </c>
      <c r="C1" s="450"/>
      <c r="D1" s="39"/>
      <c r="E1" s="449" t="s">
        <v>42</v>
      </c>
      <c r="F1" s="450"/>
      <c r="G1" s="39"/>
      <c r="H1" s="449" t="s">
        <v>43</v>
      </c>
      <c r="I1" s="450"/>
      <c r="J1" s="39"/>
      <c r="K1" s="449" t="s">
        <v>44</v>
      </c>
      <c r="L1" s="450"/>
      <c r="M1" s="39"/>
      <c r="N1" s="449" t="s">
        <v>45</v>
      </c>
      <c r="O1" s="450"/>
      <c r="P1" s="39"/>
      <c r="Q1" s="449" t="s">
        <v>46</v>
      </c>
      <c r="R1" s="450"/>
      <c r="S1" s="39"/>
      <c r="T1" s="449" t="s">
        <v>47</v>
      </c>
      <c r="U1" s="450"/>
      <c r="V1" s="39"/>
      <c r="W1" s="449" t="s">
        <v>48</v>
      </c>
      <c r="X1" s="450"/>
      <c r="Y1" s="39"/>
      <c r="Z1" s="449" t="s">
        <v>49</v>
      </c>
      <c r="AA1" s="450"/>
      <c r="AB1" s="39"/>
      <c r="AC1" s="449" t="s">
        <v>50</v>
      </c>
      <c r="AD1" s="450"/>
      <c r="AE1" s="39"/>
      <c r="AF1" s="449" t="s">
        <v>51</v>
      </c>
      <c r="AG1" s="450"/>
      <c r="AH1" s="39"/>
      <c r="AI1" s="449" t="s">
        <v>52</v>
      </c>
      <c r="AJ1" s="450"/>
      <c r="AK1" s="39"/>
      <c r="AL1" s="448"/>
      <c r="AM1" s="448"/>
    </row>
    <row r="2" spans="1:43" s="1" customFormat="1">
      <c r="A2" s="3"/>
      <c r="B2" s="11" t="s">
        <v>53</v>
      </c>
      <c r="C2" s="11" t="s">
        <v>54</v>
      </c>
      <c r="D2" s="8"/>
      <c r="E2" s="11" t="s">
        <v>53</v>
      </c>
      <c r="F2" s="11" t="s">
        <v>54</v>
      </c>
      <c r="G2" s="8"/>
      <c r="H2" s="11" t="s">
        <v>53</v>
      </c>
      <c r="I2" s="11" t="s">
        <v>54</v>
      </c>
      <c r="J2" s="8"/>
      <c r="K2" s="11" t="s">
        <v>53</v>
      </c>
      <c r="L2" s="11" t="s">
        <v>54</v>
      </c>
      <c r="M2" s="8"/>
      <c r="N2" s="11" t="s">
        <v>53</v>
      </c>
      <c r="O2" s="11" t="s">
        <v>54</v>
      </c>
      <c r="P2" s="8"/>
      <c r="Q2" s="11" t="s">
        <v>53</v>
      </c>
      <c r="R2" s="11" t="s">
        <v>54</v>
      </c>
      <c r="S2" s="8"/>
      <c r="T2" s="11" t="s">
        <v>53</v>
      </c>
      <c r="U2" s="11" t="s">
        <v>54</v>
      </c>
      <c r="V2" s="8"/>
      <c r="W2" s="11" t="s">
        <v>53</v>
      </c>
      <c r="X2" s="11" t="s">
        <v>54</v>
      </c>
      <c r="Y2" s="8"/>
      <c r="Z2" s="11" t="s">
        <v>53</v>
      </c>
      <c r="AA2" s="11" t="s">
        <v>54</v>
      </c>
      <c r="AB2" s="8"/>
      <c r="AC2" s="11" t="s">
        <v>53</v>
      </c>
      <c r="AD2" s="11" t="s">
        <v>54</v>
      </c>
      <c r="AE2" s="8"/>
      <c r="AF2" s="11" t="s">
        <v>53</v>
      </c>
      <c r="AG2" s="11" t="s">
        <v>54</v>
      </c>
      <c r="AH2" s="8"/>
      <c r="AI2" s="11" t="s">
        <v>53</v>
      </c>
      <c r="AJ2" s="11" t="s">
        <v>54</v>
      </c>
      <c r="AK2" s="8"/>
      <c r="AL2" s="11" t="s">
        <v>55</v>
      </c>
      <c r="AM2" s="11" t="s">
        <v>56</v>
      </c>
      <c r="AO2" s="43" t="s">
        <v>53</v>
      </c>
      <c r="AP2" s="43" t="s">
        <v>54</v>
      </c>
    </row>
    <row r="3" spans="1:43" ht="15.5">
      <c r="A3" s="2" t="s">
        <v>57</v>
      </c>
      <c r="B3" s="10">
        <f>'A-TRY'!B3</f>
        <v>37.515625</v>
      </c>
      <c r="C3" s="10">
        <f>'A-TRY'!C3</f>
        <v>37.184399999999997</v>
      </c>
      <c r="D3" s="10"/>
      <c r="E3" s="10">
        <f>('A-TRY'!B3+'A-TRY'!E3)/2</f>
        <v>37.8984375</v>
      </c>
      <c r="F3" s="10">
        <f>('A-TRY'!C3+'A-TRY'!F3)/2</f>
        <v>37.644199999999998</v>
      </c>
      <c r="G3" s="10"/>
      <c r="H3" s="10">
        <f>('A-TRY'!B3+'A-TRY'!E3+'A-TRY'!H3)/3</f>
        <v>38.28125</v>
      </c>
      <c r="I3" s="10">
        <f>('A-TRY'!C3+'A-TRY'!F3+'A-TRY'!I3)/3</f>
        <v>38.66343333333333</v>
      </c>
      <c r="J3" s="10"/>
      <c r="K3" s="10">
        <f>('A-TRY'!B3+'A-TRY'!E3+'A-TRY'!H3+'A-TRY'!K3)/4</f>
        <v>38.6640625</v>
      </c>
      <c r="L3" s="10">
        <f>('A-TRY'!C3+'A-TRY'!F3+'A-TRY'!I3+'A-TRY'!L3)/4</f>
        <v>39.919024999999998</v>
      </c>
      <c r="M3" s="10"/>
      <c r="N3" s="10">
        <f>('A-TRY'!B3+'A-TRY'!E3+'A-TRY'!H3+'A-TRY'!K3+'A-TRY'!N3)/5</f>
        <v>39.046875</v>
      </c>
      <c r="O3" s="10">
        <f>('A-TRY'!C3+'A-TRY'!F3+'A-TRY'!I3+'A-TRY'!L3+'A-TRY'!O3)/5</f>
        <v>40.789339999999996</v>
      </c>
      <c r="P3" s="10"/>
      <c r="Q3" s="10">
        <f>('A-TRY'!B3+'A-TRY'!E3+'A-TRY'!H3+'A-TRY'!K3+'A-TRY'!N3+'A-TRY'!Q3)/6</f>
        <v>39.4296875</v>
      </c>
      <c r="R3" s="10">
        <f>('A-TRY'!C3+'A-TRY'!F3+'A-TRY'!I3+'A-TRY'!L3+'A-TRY'!O3+'A-TRY'!R3)/6</f>
        <v>41.749883333333337</v>
      </c>
      <c r="S3" s="10"/>
      <c r="T3" s="10">
        <f>('A-TRY'!B3+'A-TRY'!E3+'A-TRY'!H3+'A-TRY'!K3+'A-TRY'!N3+'A-TRY'!Q3+'A-TRY'!T3)/7</f>
        <v>39.8125</v>
      </c>
      <c r="U3" s="10">
        <f>('A-TRY'!C3+'A-TRY'!F3+'A-TRY'!I3+'A-TRY'!L3+'A-TRY'!O3+'A-TRY'!R3+'A-TRY'!U3)/7</f>
        <v>42.466814285714285</v>
      </c>
      <c r="V3" s="10"/>
      <c r="W3" s="10">
        <f>('A-TRY'!B3+'A-TRY'!E3+'A-TRY'!H3+'A-TRY'!K3+'A-TRY'!N3+'A-TRY'!Q3+'A-TRY'!T3+'A-TRY'!W3)/8</f>
        <v>40.1953125</v>
      </c>
      <c r="X3" s="10">
        <f>('A-TRY'!C3+'A-TRY'!F3+'A-TRY'!I3+'A-TRY'!L3+'A-TRY'!O3+'A-TRY'!R3+'A-TRY'!U3+'A-TRY'!X3)/8</f>
        <v>43.131475000000002</v>
      </c>
      <c r="Y3" s="10"/>
      <c r="Z3" s="10">
        <f>('A-TRY'!B3+'A-TRY'!E3+'A-TRY'!H3+'A-TRY'!K3+'A-TRY'!N3+'A-TRY'!Q3+'A-TRY'!T3+'A-TRY'!W3+'A-TRY'!Z3)/9</f>
        <v>40.578125</v>
      </c>
      <c r="AA3" s="10">
        <f>('A-TRY'!C3+'A-TRY'!F3+'A-TRY'!I3+'A-TRY'!L3+'A-TRY'!O3+'A-TRY'!R3+'A-TRY'!U3+'A-TRY'!X3+'A-TRY'!AA3)/9</f>
        <v>43.744411111111113</v>
      </c>
      <c r="AB3" s="10"/>
      <c r="AC3" s="10">
        <f>('A-TRY'!B3+'A-TRY'!E3+'A-TRY'!H3+'A-TRY'!K3+'A-TRY'!N3+'A-TRY'!Q3+'A-TRY'!T3+'A-TRY'!W3+'A-TRY'!Z3+'A-TRY'!AC3)/10</f>
        <v>40.9609375</v>
      </c>
      <c r="AD3" s="10" t="e">
        <f>('A-TRY'!C3+'A-TRY'!F3+'A-TRY'!I3+'A-TRY'!L3+'A-TRY'!O3+'A-TRY'!R3+'A-TRY'!U3+'A-TRY'!X3+'A-TRY'!AA3+'A-TRY'!AD3)/10</f>
        <v>#DIV/0!</v>
      </c>
      <c r="AE3" s="10"/>
      <c r="AF3" s="10">
        <f>('A-TRY'!B3+'A-TRY'!E3+'A-TRY'!H3+'A-TRY'!K3+'A-TRY'!N3+'A-TRY'!Q3+'A-TRY'!T3+'A-TRY'!W3+'A-TRY'!Z3+'A-TRY'!AC3+'A-TRY'!AF3)/11</f>
        <v>41.34375</v>
      </c>
      <c r="AG3" s="10" t="e">
        <f>('A-TRY'!C3+'A-TRY'!F3+'A-TRY'!I3+'A-TRY'!L3+'A-TRY'!O3+'A-TRY'!R3+'A-TRY'!U3+'A-TRY'!X3+'A-TRY'!AA3+'A-TRY'!AD3+'A-TRY'!AG3)/11</f>
        <v>#DIV/0!</v>
      </c>
      <c r="AH3" s="10"/>
      <c r="AI3" s="10">
        <f>('A-TRY'!B3+'A-TRY'!E3+'A-TRY'!H3+'A-TRY'!K3+'A-TRY'!N3+'A-TRY'!Q3+'A-TRY'!T3+'A-TRY'!W3+'A-TRY'!Z3+'A-TRY'!AC3+'A-TRY'!AF3+'A-TRY'!AI3)/12</f>
        <v>41.7265625</v>
      </c>
      <c r="AJ3" s="10" t="e">
        <f>('A-TRY'!C3+'A-TRY'!F3+'A-TRY'!I3+'A-TRY'!L3+'A-TRY'!O3+'A-TRY'!R3+'A-TRY'!U3+'A-TRY'!X3+'A-TRY'!AA3+'A-TRY'!AD3+'A-TRY'!AG3+'A-TRY'!AJ3)/12</f>
        <v>#DIV/0!</v>
      </c>
      <c r="AK3" s="10"/>
      <c r="AL3" s="25">
        <f>AP3-AO3</f>
        <v>3.1662861111111127</v>
      </c>
      <c r="AM3" s="22">
        <f>AP3/AO3-1</f>
        <v>7.8029384332349405E-2</v>
      </c>
      <c r="AO3" s="44">
        <f>IF($A$1=$B$1,B3,IF($A$1=$E$1,E3,IF($A$1=$H$1,H3,IF($A$1=$K$1,K3,IF($A$1=$N$1,N3,IF($A$1=$Q$1,Q3,IF($A$1=$T$1,T3,IF($A$1=$W$1,W3,IF($A$1=$Z$1,Z3,IF($A$1=$AC$1,AC3,IF($A$1=$AF$1,AF3,IF($A$1=$AI$1,AI3))))))))))))</f>
        <v>40.578125</v>
      </c>
      <c r="AP3" s="44">
        <f>IF($A$1=$B$1,C3,IF($A$1=$E$1,F3,IF($A$1=$H$1,I3,IF($A$1=$K$1,L3,IF($A$1=$N$1,O3,IF($A$1=$Q$1,R3,IF($A$1=$T$1,U3,IF($A$1=$W$1,X3,IF($A$1=$Z$1,AA3,IF($A$1=$AC$1,AD3,IF($A$1=$AF$1,AG3,IF($A$1=$AI$1,AJ3))))))))))))</f>
        <v>43.744411111111113</v>
      </c>
    </row>
    <row r="4" spans="1:43" ht="15.5">
      <c r="A4" s="2" t="s">
        <v>58</v>
      </c>
      <c r="B4" s="10">
        <f>'A-TRY'!B4</f>
        <v>37.1328125</v>
      </c>
      <c r="C4" s="10">
        <f>'A-TRY'!C4</f>
        <v>36.689261290322584</v>
      </c>
      <c r="D4" s="10"/>
      <c r="E4" s="10">
        <f>('A-TRY'!B4+'A-TRY'!E4)/2</f>
        <v>37.515625</v>
      </c>
      <c r="F4" s="10">
        <f>('A-TRY'!C4+'A-TRY'!F4)/2</f>
        <v>37.133484216589864</v>
      </c>
      <c r="G4" s="10"/>
      <c r="H4" s="10">
        <f>('A-TRY'!B4+'A-TRY'!E4+'A-TRY'!H4)/3</f>
        <v>37.8984375</v>
      </c>
      <c r="I4" s="10">
        <f>('A-TRY'!C4+'A-TRY'!F4+'A-TRY'!I4)/3</f>
        <v>38.03894646697389</v>
      </c>
      <c r="J4" s="10"/>
      <c r="K4" s="10">
        <f>('A-TRY'!B4+'A-TRY'!E4+'A-TRY'!H4+'A-TRY'!K4)/4</f>
        <v>38.28125</v>
      </c>
      <c r="L4" s="10">
        <f>('A-TRY'!C4+'A-TRY'!F4+'A-TRY'!I4+'A-TRY'!L4)/4</f>
        <v>39.197504016897078</v>
      </c>
      <c r="M4" s="10"/>
      <c r="N4" s="10">
        <f>('A-TRY'!B4+'A-TRY'!E4+'A-TRY'!H4+'A-TRY'!K4+'A-TRY'!N4)/5</f>
        <v>38.6640625</v>
      </c>
      <c r="O4" s="10">
        <f>('A-TRY'!C4+'A-TRY'!F4+'A-TRY'!I4+'A-TRY'!L4+'A-TRY'!O4)/5</f>
        <v>40.083874826420882</v>
      </c>
      <c r="P4" s="10"/>
      <c r="Q4" s="10">
        <f>('A-TRY'!B4+'A-TRY'!E4+'A-TRY'!H4+'A-TRY'!K4+'A-TRY'!N4+'A-TRY'!Q4)/6</f>
        <v>39.046875</v>
      </c>
      <c r="R4" s="10">
        <f>('A-TRY'!C4+'A-TRY'!F4+'A-TRY'!I4+'A-TRY'!L4+'A-TRY'!O4+'A-TRY'!R4)/6</f>
        <v>40.941097355350735</v>
      </c>
      <c r="S4" s="10"/>
      <c r="T4" s="10">
        <f>('A-TRY'!B4+'A-TRY'!E4+'A-TRY'!H4+'A-TRY'!K4+'A-TRY'!N4+'A-TRY'!Q4+'A-TRY'!T4)/7</f>
        <v>39.4296875</v>
      </c>
      <c r="U4" s="10">
        <f>('A-TRY'!C4+'A-TRY'!F4+'A-TRY'!I4+'A-TRY'!L4+'A-TRY'!O4+'A-TRY'!R4+'A-TRY'!U4)/7</f>
        <v>41.79439865481676</v>
      </c>
      <c r="V4" s="10"/>
      <c r="W4" s="10">
        <f>('A-TRY'!B4+'A-TRY'!E4+'A-TRY'!H4+'A-TRY'!K4+'A-TRY'!N4+'A-TRY'!Q4+'A-TRY'!T4+'A-TRY'!W4)/8</f>
        <v>39.8125</v>
      </c>
      <c r="X4" s="10">
        <f>('A-TRY'!C4+'A-TRY'!F4+'A-TRY'!I4+'A-TRY'!L4+'A-TRY'!O4+'A-TRY'!R4+'A-TRY'!U4+'A-TRY'!X4)/8</f>
        <v>42.482912129416285</v>
      </c>
      <c r="Y4" s="10"/>
      <c r="Z4" s="10">
        <f>('A-TRY'!B4+'A-TRY'!E4+'A-TRY'!H4+'A-TRY'!K4+'A-TRY'!N4+'A-TRY'!Q4+'A-TRY'!T4+'A-TRY'!W4+'A-TRY'!Z4)/9</f>
        <v>40.1953125</v>
      </c>
      <c r="AA4" s="10">
        <f>('A-TRY'!C4+'A-TRY'!F4+'A-TRY'!I4+'A-TRY'!L4+'A-TRY'!O4+'A-TRY'!R4+'A-TRY'!U4+'A-TRY'!X4+'A-TRY'!AA4)/9</f>
        <v>43.13347189281447</v>
      </c>
      <c r="AB4" s="10"/>
      <c r="AC4" s="10">
        <f>('A-TRY'!B4+'A-TRY'!E4+'A-TRY'!H4+'A-TRY'!K4+'A-TRY'!N4+'A-TRY'!Q4+'A-TRY'!T4+'A-TRY'!W4+'A-TRY'!Z4+'A-TRY'!AC4)/10</f>
        <v>40.578125</v>
      </c>
      <c r="AD4" s="10" t="e">
        <f>('A-TRY'!C4+'A-TRY'!F4+'A-TRY'!I4+'A-TRY'!L4+'A-TRY'!O4+'A-TRY'!R4+'A-TRY'!U4+'A-TRY'!X4+'A-TRY'!AA4+'A-TRY'!AD4)/10</f>
        <v>#DIV/0!</v>
      </c>
      <c r="AE4" s="10"/>
      <c r="AF4" s="10">
        <f>('A-TRY'!B4+'A-TRY'!E4+'A-TRY'!H4+'A-TRY'!K4+'A-TRY'!N4+'A-TRY'!Q4+'A-TRY'!T4+'A-TRY'!W4+'A-TRY'!Z4+'A-TRY'!AC4+'A-TRY'!AF4)/11</f>
        <v>40.9609375</v>
      </c>
      <c r="AG4" s="10" t="e">
        <f>('A-TRY'!C4+'A-TRY'!F4+'A-TRY'!I4+'A-TRY'!L4+'A-TRY'!O4+'A-TRY'!R4+'A-TRY'!U4+'A-TRY'!X4+'A-TRY'!AA4+'A-TRY'!AD4+'A-TRY'!AG4)/11</f>
        <v>#DIV/0!</v>
      </c>
      <c r="AH4" s="10"/>
      <c r="AI4" s="10">
        <f>('A-TRY'!B4+'A-TRY'!E4+'A-TRY'!H4+'A-TRY'!K4+'A-TRY'!N4+'A-TRY'!Q4+'A-TRY'!T4+'A-TRY'!W4+'A-TRY'!Z4+'A-TRY'!AC4+'A-TRY'!AF4+'A-TRY'!AI4)/12</f>
        <v>41.34375</v>
      </c>
      <c r="AJ4" s="10" t="e">
        <f>('A-TRY'!C4+'A-TRY'!F4+'A-TRY'!I4+'A-TRY'!L4+'A-TRY'!O4+'A-TRY'!R4+'A-TRY'!U4+'A-TRY'!X4+'A-TRY'!AA4+'A-TRY'!AD4+'A-TRY'!AG4+'A-TRY'!AJ4)/12</f>
        <v>#DIV/0!</v>
      </c>
      <c r="AK4" s="10"/>
      <c r="AL4" s="25">
        <f>AP4-AO4</f>
        <v>2.9381593928144696</v>
      </c>
      <c r="AM4" s="22">
        <f>AP4/AO4-1</f>
        <v>7.3097065554956764E-2</v>
      </c>
      <c r="AO4" s="44">
        <f>IF($A$1=$B$1,B4,IF($A$1=$E$1,E4,IF($A$1=$H$1,H4,IF($A$1=$K$1,K4,IF($A$1=$N$1,N4,IF($A$1=$Q$1,Q4,IF($A$1=$T$1,T4,IF($A$1=$W$1,W4,IF($A$1=$Z$1,Z4,IF($A$1=$AC$1,AC4,IF($A$1=$AF$1,AF4,IF($A$1=$AI$1,AI4))))))))))))</f>
        <v>40.1953125</v>
      </c>
      <c r="AP4" s="44">
        <f>IF($A$1=$B$1,C4,IF($A$1=$E$1,F4,IF($A$1=$H$1,I4,IF($A$1=$K$1,L4,IF($A$1=$N$1,O4,IF($A$1=$Q$1,R4,IF($A$1=$T$1,U4,IF($A$1=$W$1,X4,IF($A$1=$Z$1,AA4,IF($A$1=$AC$1,AD4,IF($A$1=$AF$1,AG4,IF($A$1=$AI$1,AJ4))))))))))))</f>
        <v>43.13347189281447</v>
      </c>
    </row>
    <row r="5" spans="1:43" ht="15.5">
      <c r="A5" s="2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5"/>
      <c r="AL5" s="25"/>
      <c r="AM5" s="22"/>
      <c r="AO5" s="44"/>
      <c r="AP5" s="44"/>
    </row>
    <row r="6" spans="1:43" s="44" customFormat="1" ht="15.5">
      <c r="A6" s="31" t="s">
        <v>59</v>
      </c>
      <c r="B6" s="32">
        <f>'A-TRY'!B6</f>
        <v>1024903389.2242652</v>
      </c>
      <c r="C6" s="32">
        <f>'A-TRY'!C6</f>
        <v>1108323900.5098851</v>
      </c>
      <c r="D6" s="18"/>
      <c r="E6" s="32">
        <f>B6+'A-TRY'!E6</f>
        <v>2089850828.1181941</v>
      </c>
      <c r="F6" s="32">
        <f>C6+'A-TRY'!F6</f>
        <v>2126360624.8387508</v>
      </c>
      <c r="G6" s="18"/>
      <c r="H6" s="32">
        <f>E6+'A-TRY'!H6</f>
        <v>3292432950.4036522</v>
      </c>
      <c r="I6" s="32">
        <f>F6+'A-TRY'!I6</f>
        <v>3243041250.165904</v>
      </c>
      <c r="J6" s="18"/>
      <c r="K6" s="32">
        <f>H6+'A-TRY'!K6</f>
        <v>4432024525.9976254</v>
      </c>
      <c r="L6" s="32">
        <f>I6+'A-TRY'!L6</f>
        <v>4378257175.5713282</v>
      </c>
      <c r="M6" s="18"/>
      <c r="N6" s="32">
        <f>K6+'A-TRY'!N6</f>
        <v>5637818283.8169498</v>
      </c>
      <c r="O6" s="32">
        <f>L6+'A-TRY'!O6</f>
        <v>5612944138.6418705</v>
      </c>
      <c r="P6" s="18"/>
      <c r="Q6" s="32">
        <f>N6+'A-TRY'!Q6</f>
        <v>6830601625.271246</v>
      </c>
      <c r="R6" s="32">
        <f>O6+'A-TRY'!R6</f>
        <v>6685665789.9583654</v>
      </c>
      <c r="S6" s="18"/>
      <c r="T6" s="32">
        <f>Q6+'A-TRY'!T6</f>
        <v>8076254510.0584745</v>
      </c>
      <c r="U6" s="32">
        <f>R6+'A-TRY'!U6</f>
        <v>7961766599.9469662</v>
      </c>
      <c r="V6" s="18"/>
      <c r="W6" s="32">
        <f>T6+'A-TRY'!W6</f>
        <v>9195054455.7354584</v>
      </c>
      <c r="X6" s="32">
        <f>U6+'A-TRY'!X6</f>
        <v>8998761677.4083691</v>
      </c>
      <c r="Y6" s="18"/>
      <c r="Z6" s="32">
        <f>W6+'A-TRY'!Z6</f>
        <v>10617114029.677097</v>
      </c>
      <c r="AA6" s="32">
        <f>X6+'A-TRY'!AA6</f>
        <v>10263008899.539886</v>
      </c>
      <c r="AB6" s="18"/>
      <c r="AC6" s="32">
        <f>Z6+'A-TRY'!AC6</f>
        <v>12071130455.282272</v>
      </c>
      <c r="AD6" s="32">
        <f>AA6+'A-TRY'!AD6</f>
        <v>10263008899.539886</v>
      </c>
      <c r="AE6" s="18"/>
      <c r="AF6" s="32">
        <f>AC6+'A-TRY'!AF6</f>
        <v>13490579405.239729</v>
      </c>
      <c r="AG6" s="32">
        <f>AD6+'A-TRY'!AG6</f>
        <v>10263008899.539886</v>
      </c>
      <c r="AH6" s="18"/>
      <c r="AI6" s="32">
        <f>AF6+'A-TRY'!AI6</f>
        <v>14799354422.573786</v>
      </c>
      <c r="AJ6" s="32">
        <f>AG6+'A-TRY'!AJ6</f>
        <v>10263008899.539886</v>
      </c>
      <c r="AK6" s="18"/>
      <c r="AL6" s="33">
        <f>AP6-AO6</f>
        <v>-354105130.13721085</v>
      </c>
      <c r="AM6" s="34">
        <f>AP6/AO6-1</f>
        <v>-3.3352296033311024E-2</v>
      </c>
      <c r="AO6" s="44">
        <f>IF($A$1=$B$1,B6,IF($A$1=$E$1,E6,IF($A$1=$H$1,H6,IF($A$1=$K$1,K6,IF($A$1=$N$1,N6,IF($A$1=$Q$1,Q6,IF($A$1=$T$1,T6,IF($A$1=$W$1,W6,IF($A$1=$Z$1,Z6,IF($A$1=$AC$1,AC6,IF($A$1=$AF$1,AF6,IF($A$1=$AI$1,AI6))))))))))))</f>
        <v>10617114029.677097</v>
      </c>
      <c r="AP6" s="44">
        <f>IF($A$1=$B$1,C6,IF($A$1=$E$1,F6,IF($A$1=$H$1,I6,IF($A$1=$K$1,L6,IF($A$1=$N$1,O6,IF($A$1=$Q$1,R6,IF($A$1=$T$1,U6,IF($A$1=$W$1,X6,IF($A$1=$Z$1,AA6,IF($A$1=$AC$1,AD6,IF($A$1=$AF$1,AG6,IF($A$1=$AI$1,AJ6))))))))))))</f>
        <v>10263008899.539886</v>
      </c>
    </row>
    <row r="7" spans="1:43" s="46" customFormat="1" ht="15.5">
      <c r="A7" s="17"/>
      <c r="B7" s="28"/>
      <c r="C7" s="28"/>
      <c r="D7" s="40"/>
      <c r="E7" s="28"/>
      <c r="F7" s="28">
        <f>F6/E6-1</f>
        <v>1.7470049167782831E-2</v>
      </c>
      <c r="G7" s="40"/>
      <c r="H7" s="28"/>
      <c r="I7" s="28"/>
      <c r="J7" s="40"/>
      <c r="K7" s="28"/>
      <c r="L7" s="28"/>
      <c r="M7" s="40"/>
      <c r="N7" s="28"/>
      <c r="O7" s="28"/>
      <c r="P7" s="40"/>
      <c r="Q7" s="28"/>
      <c r="R7" s="28"/>
      <c r="S7" s="40"/>
      <c r="T7" s="28"/>
      <c r="U7" s="28"/>
      <c r="V7" s="40"/>
      <c r="W7" s="28"/>
      <c r="X7" s="28"/>
      <c r="Y7" s="40"/>
      <c r="Z7" s="28"/>
      <c r="AA7" s="28"/>
      <c r="AB7" s="40"/>
      <c r="AC7" s="28"/>
      <c r="AD7" s="28"/>
      <c r="AE7" s="40"/>
      <c r="AF7" s="28"/>
      <c r="AG7" s="28"/>
      <c r="AH7" s="40"/>
      <c r="AI7" s="28"/>
      <c r="AJ7" s="28"/>
      <c r="AK7" s="40"/>
      <c r="AL7" s="21"/>
      <c r="AM7" s="22"/>
      <c r="AO7" s="44"/>
      <c r="AP7" s="44"/>
    </row>
    <row r="8" spans="1:43" s="51" customFormat="1" ht="17">
      <c r="A8" s="47" t="s">
        <v>60</v>
      </c>
      <c r="B8" s="411"/>
      <c r="C8" s="412"/>
      <c r="D8" s="411"/>
      <c r="E8" s="411"/>
      <c r="F8" s="412"/>
      <c r="G8" s="411"/>
      <c r="H8" s="411"/>
      <c r="I8" s="412"/>
      <c r="J8" s="411"/>
      <c r="K8" s="411"/>
      <c r="L8" s="412"/>
      <c r="M8" s="411"/>
      <c r="N8" s="411"/>
      <c r="O8" s="412"/>
      <c r="P8" s="411"/>
      <c r="Q8" s="411"/>
      <c r="R8" s="412"/>
      <c r="S8" s="411"/>
      <c r="T8" s="411"/>
      <c r="U8" s="412"/>
      <c r="V8" s="411"/>
      <c r="W8" s="411"/>
      <c r="X8" s="412"/>
      <c r="Y8" s="411"/>
      <c r="Z8" s="411"/>
      <c r="AA8" s="412"/>
      <c r="AB8" s="411"/>
      <c r="AC8" s="411"/>
      <c r="AD8" s="412"/>
      <c r="AE8" s="411"/>
      <c r="AF8" s="411"/>
      <c r="AG8" s="412"/>
      <c r="AH8" s="411"/>
      <c r="AI8" s="411"/>
      <c r="AJ8" s="412"/>
      <c r="AK8" s="411"/>
      <c r="AL8" s="411"/>
      <c r="AM8" s="50"/>
    </row>
    <row r="9" spans="1:43" ht="15.5">
      <c r="A9" s="26" t="s">
        <v>10</v>
      </c>
      <c r="B9" s="14">
        <f>'A-TRY'!B9</f>
        <v>26545528.129195999</v>
      </c>
      <c r="C9" s="14">
        <f>'A-TRY'!C9</f>
        <v>27685618.760000002</v>
      </c>
      <c r="D9" s="72">
        <f>+(C9/B9)-1</f>
        <v>4.2948500600750172E-2</v>
      </c>
      <c r="E9" s="14">
        <f>B9+'A-TRY'!E9</f>
        <v>53964982.981275998</v>
      </c>
      <c r="F9" s="14">
        <f>C9+'A-TRY'!F9</f>
        <v>54926556.189999998</v>
      </c>
      <c r="G9" s="72">
        <f t="shared" ref="G9:G16" si="0">+(F9/E9)-1</f>
        <v>1.781846589403413E-2</v>
      </c>
      <c r="H9" s="14">
        <f>E9+'A-TRY'!H9</f>
        <v>85294190.715184003</v>
      </c>
      <c r="I9" s="14">
        <f>F9+'A-TRY'!I9</f>
        <v>86461811.979999989</v>
      </c>
      <c r="J9" s="14"/>
      <c r="K9" s="14">
        <f>H9+'A-TRY'!K9</f>
        <v>114575787.97485301</v>
      </c>
      <c r="L9" s="14">
        <f>I9+'A-TRY'!L9</f>
        <v>115864364.99999999</v>
      </c>
      <c r="M9" s="14"/>
      <c r="N9" s="14">
        <f>K9+'A-TRY'!N9</f>
        <v>145918482.97386003</v>
      </c>
      <c r="O9" s="14">
        <f>L9+'A-TRY'!O9</f>
        <v>149824621.89999998</v>
      </c>
      <c r="P9" s="14"/>
      <c r="Q9" s="14">
        <f>N9+'A-TRY'!Q9</f>
        <v>177152458.79029801</v>
      </c>
      <c r="R9" s="14">
        <f>O9+'A-TRY'!R9</f>
        <v>180053018.64999998</v>
      </c>
      <c r="S9" s="14"/>
      <c r="T9" s="14">
        <f>Q9+'A-TRY'!T9</f>
        <v>208725601.80991</v>
      </c>
      <c r="U9" s="14">
        <f>R9+'A-TRY'!U9</f>
        <v>214297122.95999998</v>
      </c>
      <c r="V9" s="14"/>
      <c r="W9" s="14">
        <f>T9+'A-TRY'!W9</f>
        <v>237245954.51986799</v>
      </c>
      <c r="X9" s="14">
        <f>U9+'A-TRY'!X9</f>
        <v>242857796.04999998</v>
      </c>
      <c r="Y9" s="14"/>
      <c r="Z9" s="14">
        <f>W9+'A-TRY'!Z9</f>
        <v>275138018.65237296</v>
      </c>
      <c r="AA9" s="14">
        <f>X9+'A-TRY'!AA9</f>
        <v>281042657.82999998</v>
      </c>
      <c r="AB9" s="14"/>
      <c r="AC9" s="14">
        <f>Z9+'A-TRY'!AC9</f>
        <v>312643362.72080094</v>
      </c>
      <c r="AD9" s="14">
        <f>AA9+'A-TRY'!AD9</f>
        <v>281042657.82999998</v>
      </c>
      <c r="AE9" s="14"/>
      <c r="AF9" s="14">
        <f>AC9+'A-TRY'!AF9</f>
        <v>349220810.06069493</v>
      </c>
      <c r="AG9" s="14">
        <f>AD9+'A-TRY'!AG9</f>
        <v>281042657.82999998</v>
      </c>
      <c r="AH9" s="14"/>
      <c r="AI9" s="14">
        <f>AF9+'A-TRY'!AI9</f>
        <v>382350115.97649193</v>
      </c>
      <c r="AJ9" s="14">
        <f>AG9+'A-TRY'!AJ9</f>
        <v>281042657.82999998</v>
      </c>
      <c r="AK9" s="14"/>
      <c r="AL9" s="21">
        <f t="shared" ref="AL9:AL16" si="1">AP9-AO9</f>
        <v>5904639.177627027</v>
      </c>
      <c r="AM9" s="22">
        <f t="shared" ref="AM9:AM16" si="2">AP9/AO9-1</f>
        <v>2.1460644394213357E-2</v>
      </c>
      <c r="AO9" s="44">
        <f t="shared" ref="AO9:AP18" si="3">IF($A$1=$B$1,B9,IF($A$1=$E$1,E9,IF($A$1=$H$1,H9,IF($A$1=$K$1,K9,IF($A$1=$N$1,N9,IF($A$1=$Q$1,Q9,IF($A$1=$T$1,T9,IF($A$1=$W$1,W9,IF($A$1=$Z$1,Z9,IF($A$1=$AC$1,AC9,IF($A$1=$AF$1,AF9,IF($A$1=$AI$1,AI9))))))))))))</f>
        <v>275138018.65237296</v>
      </c>
      <c r="AP9" s="44">
        <f t="shared" si="3"/>
        <v>281042657.82999998</v>
      </c>
    </row>
    <row r="10" spans="1:43" ht="15.5">
      <c r="A10" s="26" t="s">
        <v>11</v>
      </c>
      <c r="B10" s="7">
        <f>'A-TRY'!B10</f>
        <v>30975828.359198</v>
      </c>
      <c r="C10" s="14">
        <f>'A-TRY'!C10</f>
        <v>32357755.789999999</v>
      </c>
      <c r="D10" s="72">
        <f t="shared" ref="D10:D16" si="4">+(C10/B10)-1</f>
        <v>4.4613090399942434E-2</v>
      </c>
      <c r="E10" s="7">
        <f>B10+'A-TRY'!E10</f>
        <v>67642577.728735</v>
      </c>
      <c r="F10" s="14">
        <f>C10+'A-TRY'!F10</f>
        <v>67551408.129999995</v>
      </c>
      <c r="G10" s="72">
        <f t="shared" si="0"/>
        <v>-1.3478137852850347E-3</v>
      </c>
      <c r="H10" s="7">
        <f>E10+'A-TRY'!H10</f>
        <v>105789194.723922</v>
      </c>
      <c r="I10" s="14">
        <f>F10+'A-TRY'!I10</f>
        <v>95292201.116952002</v>
      </c>
      <c r="J10" s="7"/>
      <c r="K10" s="7">
        <f>H10+'A-TRY'!K10</f>
        <v>147616854.50831601</v>
      </c>
      <c r="L10" s="14">
        <f>I10+'A-TRY'!L10</f>
        <v>115221265.76695201</v>
      </c>
      <c r="M10" s="7"/>
      <c r="N10" s="7">
        <f>K10+'A-TRY'!N10</f>
        <v>187679935.09783402</v>
      </c>
      <c r="O10" s="14">
        <f>L10+'A-TRY'!O10</f>
        <v>145983097.791089</v>
      </c>
      <c r="P10" s="7"/>
      <c r="Q10" s="7">
        <f>N10+'A-TRY'!Q10</f>
        <v>229340283.30375403</v>
      </c>
      <c r="R10" s="14">
        <f>O10+'A-TRY'!R10</f>
        <v>174640796.062644</v>
      </c>
      <c r="S10" s="7"/>
      <c r="T10" s="7">
        <f>Q10+'A-TRY'!T10</f>
        <v>264984098.23927802</v>
      </c>
      <c r="U10" s="14">
        <f>R10+'A-TRY'!U10</f>
        <v>207183124.178507</v>
      </c>
      <c r="V10" s="7"/>
      <c r="W10" s="7">
        <f>T10+'A-TRY'!W10</f>
        <v>290330664.68008</v>
      </c>
      <c r="X10" s="14">
        <f>U10+'A-TRY'!X10</f>
        <v>230856666.972132</v>
      </c>
      <c r="Y10" s="7"/>
      <c r="Z10" s="7">
        <f>W10+'A-TRY'!Z10</f>
        <v>317609210.70320898</v>
      </c>
      <c r="AA10" s="14">
        <f>X10+'A-TRY'!AA10</f>
        <v>252775558.53762498</v>
      </c>
      <c r="AB10" s="7"/>
      <c r="AC10" s="7">
        <f>Z10+'A-TRY'!AC10</f>
        <v>341312638.66401798</v>
      </c>
      <c r="AD10" s="14">
        <f>AA10+'A-TRY'!AD10</f>
        <v>252775558.53762498</v>
      </c>
      <c r="AE10" s="7"/>
      <c r="AF10" s="7">
        <f>AC10+'A-TRY'!AF10</f>
        <v>363020387.36277598</v>
      </c>
      <c r="AG10" s="14">
        <f>AD10+'A-TRY'!AG10</f>
        <v>252775558.53762498</v>
      </c>
      <c r="AH10" s="7"/>
      <c r="AI10" s="7">
        <f>AF10+'A-TRY'!AI10</f>
        <v>382716321.87452096</v>
      </c>
      <c r="AJ10" s="14">
        <f>AG10+'A-TRY'!AJ10</f>
        <v>252775558.53762498</v>
      </c>
      <c r="AK10" s="7"/>
      <c r="AL10" s="21">
        <f t="shared" si="1"/>
        <v>-64833652.165583998</v>
      </c>
      <c r="AM10" s="22">
        <f t="shared" si="2"/>
        <v>-0.20413026442790427</v>
      </c>
      <c r="AO10" s="44">
        <f t="shared" si="3"/>
        <v>317609210.70320898</v>
      </c>
      <c r="AP10" s="44">
        <f t="shared" si="3"/>
        <v>252775558.53762498</v>
      </c>
    </row>
    <row r="11" spans="1:43" ht="15.5">
      <c r="A11" s="26" t="s">
        <v>12</v>
      </c>
      <c r="B11" s="7">
        <f>'A-TRY'!B11</f>
        <v>36913368.130399004</v>
      </c>
      <c r="C11" s="14">
        <f>'A-TRY'!C11</f>
        <v>35513406</v>
      </c>
      <c r="D11" s="72">
        <f t="shared" si="4"/>
        <v>-3.792561343775358E-2</v>
      </c>
      <c r="E11" s="7">
        <f>B11+'A-TRY'!E11</f>
        <v>74334557.732152</v>
      </c>
      <c r="F11" s="14">
        <f>C11+'A-TRY'!F11</f>
        <v>74551811.439999998</v>
      </c>
      <c r="G11" s="72">
        <f t="shared" si="0"/>
        <v>2.9226474802046543E-3</v>
      </c>
      <c r="H11" s="7">
        <f>E11+'A-TRY'!H11</f>
        <v>124303526.47633</v>
      </c>
      <c r="I11" s="14">
        <f>F11+'A-TRY'!I11</f>
        <v>135085575.66</v>
      </c>
      <c r="J11" s="7"/>
      <c r="K11" s="7">
        <f>H11+'A-TRY'!K11</f>
        <v>177174712.19810998</v>
      </c>
      <c r="L11" s="14">
        <f>I11+'A-TRY'!L11</f>
        <v>189077947.75</v>
      </c>
      <c r="M11" s="7"/>
      <c r="N11" s="7">
        <f>K11+'A-TRY'!N11</f>
        <v>235502202.950405</v>
      </c>
      <c r="O11" s="14">
        <f>L11+'A-TRY'!O11</f>
        <v>221691850.38</v>
      </c>
      <c r="P11" s="7"/>
      <c r="Q11" s="7">
        <f>N11+'A-TRY'!Q11</f>
        <v>295032809.514938</v>
      </c>
      <c r="R11" s="14">
        <f>O11+'A-TRY'!R11</f>
        <v>262378970.38</v>
      </c>
      <c r="S11" s="7"/>
      <c r="T11" s="7">
        <f>Q11+'A-TRY'!T11</f>
        <v>369449138.04188502</v>
      </c>
      <c r="U11" s="14">
        <f>R11+'A-TRY'!U11</f>
        <v>305877715.463</v>
      </c>
      <c r="V11" s="7"/>
      <c r="W11" s="7">
        <f>T11+'A-TRY'!W11</f>
        <v>430515575.563793</v>
      </c>
      <c r="X11" s="14">
        <f>U11+'A-TRY'!X11</f>
        <v>345217098.12099999</v>
      </c>
      <c r="Y11" s="7"/>
      <c r="Z11" s="7">
        <f>W11+'A-TRY'!Z11</f>
        <v>491715899.87793201</v>
      </c>
      <c r="AA11" s="14">
        <f>X11+'A-TRY'!AA11</f>
        <v>388270490.12099999</v>
      </c>
      <c r="AB11" s="7"/>
      <c r="AC11" s="7">
        <f>Z11+'A-TRY'!AC11</f>
        <v>555787497.80056405</v>
      </c>
      <c r="AD11" s="14">
        <f>AA11+'A-TRY'!AD11</f>
        <v>388270490.12099999</v>
      </c>
      <c r="AE11" s="7"/>
      <c r="AF11" s="7">
        <f>AC11+'A-TRY'!AF11</f>
        <v>633275966.849491</v>
      </c>
      <c r="AG11" s="14">
        <f>AD11+'A-TRY'!AG11</f>
        <v>388270490.12099999</v>
      </c>
      <c r="AH11" s="7"/>
      <c r="AI11" s="7">
        <f>AF11+'A-TRY'!AI11</f>
        <v>700788183.64928198</v>
      </c>
      <c r="AJ11" s="14">
        <f>AG11+'A-TRY'!AJ11</f>
        <v>388270490.12099999</v>
      </c>
      <c r="AK11" s="7"/>
      <c r="AL11" s="21">
        <f t="shared" si="1"/>
        <v>-103445409.75693202</v>
      </c>
      <c r="AM11" s="22">
        <f t="shared" si="2"/>
        <v>-0.21037637746229532</v>
      </c>
      <c r="AO11" s="44">
        <f t="shared" si="3"/>
        <v>491715899.87793201</v>
      </c>
      <c r="AP11" s="44">
        <f t="shared" si="3"/>
        <v>388270490.12099999</v>
      </c>
    </row>
    <row r="12" spans="1:43" ht="15.5">
      <c r="A12" s="26" t="s">
        <v>13</v>
      </c>
      <c r="B12" s="7">
        <f>'A-TRY'!B12</f>
        <v>709368965.38185596</v>
      </c>
      <c r="C12" s="14">
        <f>'A-TRY'!C12</f>
        <v>782938063.39272201</v>
      </c>
      <c r="D12" s="72">
        <f t="shared" si="4"/>
        <v>0.10371062395049035</v>
      </c>
      <c r="E12" s="7">
        <f>B12+'A-TRY'!E12</f>
        <v>1446284952.8376231</v>
      </c>
      <c r="F12" s="14">
        <f>C12+'A-TRY'!F12</f>
        <v>1351476335.8693199</v>
      </c>
      <c r="G12" s="72">
        <f t="shared" si="0"/>
        <v>-6.5553207051133211E-2</v>
      </c>
      <c r="H12" s="7">
        <f>E12+'A-TRY'!H12</f>
        <v>2233134767.3706942</v>
      </c>
      <c r="I12" s="14">
        <f>F12+'A-TRY'!I12</f>
        <v>1859584048.2297111</v>
      </c>
      <c r="J12" s="7"/>
      <c r="K12" s="7">
        <f>H12+'A-TRY'!K12</f>
        <v>2997852929.290556</v>
      </c>
      <c r="L12" s="14">
        <f>I12+'A-TRY'!L12</f>
        <v>2390225722.6162739</v>
      </c>
      <c r="M12" s="7"/>
      <c r="N12" s="7">
        <f>K12+'A-TRY'!N12</f>
        <v>3747203117.0068359</v>
      </c>
      <c r="O12" s="14">
        <f>L12+'A-TRY'!O12</f>
        <v>3012357543.1208549</v>
      </c>
      <c r="P12" s="7"/>
      <c r="Q12" s="7">
        <f>N12+'A-TRY'!Q12</f>
        <v>4514976970.5105572</v>
      </c>
      <c r="R12" s="14">
        <f>O12+'A-TRY'!R12</f>
        <v>3404895409.0153656</v>
      </c>
      <c r="S12" s="7"/>
      <c r="T12" s="7">
        <f>Q12+'A-TRY'!T12</f>
        <v>5428330789.9132376</v>
      </c>
      <c r="U12" s="14">
        <f>R12+'A-TRY'!U12</f>
        <v>4173388543.6096225</v>
      </c>
      <c r="V12" s="7"/>
      <c r="W12" s="7">
        <f>T12+'A-TRY'!W12</f>
        <v>6324651575.5344601</v>
      </c>
      <c r="X12" s="14">
        <f>U12+'A-TRY'!X12</f>
        <v>4849592647.919693</v>
      </c>
      <c r="Y12" s="7"/>
      <c r="Z12" s="7">
        <f>W12+'A-TRY'!Z12</f>
        <v>7299811543.9038858</v>
      </c>
      <c r="AA12" s="14">
        <f>X12+'A-TRY'!AA12</f>
        <v>5369723987.8954344</v>
      </c>
      <c r="AB12" s="7"/>
      <c r="AC12" s="7">
        <f>Z12+'A-TRY'!AC12</f>
        <v>8431429732.3034258</v>
      </c>
      <c r="AD12" s="14">
        <f>AA12+'A-TRY'!AD12</f>
        <v>5369723987.8954344</v>
      </c>
      <c r="AE12" s="7"/>
      <c r="AF12" s="7">
        <f>AC12+'A-TRY'!AF12</f>
        <v>9575753089.8144951</v>
      </c>
      <c r="AG12" s="14">
        <f>AD12+'A-TRY'!AG12</f>
        <v>5369723987.8954344</v>
      </c>
      <c r="AH12" s="7"/>
      <c r="AI12" s="7">
        <f>AF12+'A-TRY'!AI12</f>
        <v>10761627798.073826</v>
      </c>
      <c r="AJ12" s="14">
        <f>AG12+'A-TRY'!AJ12</f>
        <v>5369723987.8954344</v>
      </c>
      <c r="AK12" s="7"/>
      <c r="AL12" s="21">
        <f t="shared" si="1"/>
        <v>-1930087556.0084515</v>
      </c>
      <c r="AM12" s="22">
        <f t="shared" si="2"/>
        <v>-0.26440238140397998</v>
      </c>
      <c r="AO12" s="44">
        <f t="shared" si="3"/>
        <v>7299811543.9038858</v>
      </c>
      <c r="AP12" s="44">
        <f t="shared" si="3"/>
        <v>5369723987.8954344</v>
      </c>
      <c r="AQ12" s="9"/>
    </row>
    <row r="13" spans="1:43" s="1" customFormat="1" ht="15.5">
      <c r="A13" s="26" t="s">
        <v>14</v>
      </c>
      <c r="B13" s="7">
        <f>'A-TRY'!B13</f>
        <v>245460323</v>
      </c>
      <c r="C13" s="14">
        <f>'A-TRY'!C13</f>
        <v>220670632.91999999</v>
      </c>
      <c r="D13" s="72">
        <f t="shared" si="4"/>
        <v>-0.10099265647914923</v>
      </c>
      <c r="E13" s="7">
        <f>B13+'A-TRY'!E13</f>
        <v>504350056</v>
      </c>
      <c r="F13" s="14">
        <f>C13+'A-TRY'!F13</f>
        <v>434485206.48000002</v>
      </c>
      <c r="G13" s="72">
        <f t="shared" si="0"/>
        <v>-0.13852452019951789</v>
      </c>
      <c r="H13" s="7">
        <f>E13+'A-TRY'!H13</f>
        <v>765879446</v>
      </c>
      <c r="I13" s="14">
        <f>F13+'A-TRY'!I13</f>
        <v>690524754.42408001</v>
      </c>
      <c r="J13" s="8"/>
      <c r="K13" s="7">
        <f>H13+'A-TRY'!K13</f>
        <v>1031054657.065015</v>
      </c>
      <c r="L13" s="14">
        <f>I13+'A-TRY'!L13</f>
        <v>907715365.76408005</v>
      </c>
      <c r="M13" s="76"/>
      <c r="N13" s="7">
        <f>K13+'A-TRY'!N13</f>
        <v>1308399505.3677721</v>
      </c>
      <c r="O13" s="14">
        <f>L13+'A-TRY'!O13</f>
        <v>1153011216.4940801</v>
      </c>
      <c r="P13" s="8"/>
      <c r="Q13" s="7">
        <f>N13+'A-TRY'!Q13</f>
        <v>1539844606.2895951</v>
      </c>
      <c r="R13" s="14">
        <f>O13+'A-TRY'!R13</f>
        <v>1350862053.2340801</v>
      </c>
      <c r="S13" s="8"/>
      <c r="T13" s="7">
        <f>Q13+'A-TRY'!T13</f>
        <v>1827119310.464118</v>
      </c>
      <c r="U13" s="14">
        <f>R13+'A-TRY'!U13</f>
        <v>1599336023.07408</v>
      </c>
      <c r="V13" s="8"/>
      <c r="W13" s="7">
        <f>T13+'A-TRY'!W13</f>
        <v>2084334968.451354</v>
      </c>
      <c r="X13" s="14">
        <f>U13+'A-TRY'!X13</f>
        <v>1815595722.2040801</v>
      </c>
      <c r="Y13" s="8"/>
      <c r="Z13" s="7">
        <f>W13+'A-TRY'!Z13</f>
        <v>2342074742.7967691</v>
      </c>
      <c r="AA13" s="14">
        <f>X13+'A-TRY'!AA13</f>
        <v>2076796872.3840792</v>
      </c>
      <c r="AB13" s="8"/>
      <c r="AC13" s="7">
        <f>Z13+'A-TRY'!AC13</f>
        <v>2677373545.8159523</v>
      </c>
      <c r="AD13" s="14">
        <f>AA13+'A-TRY'!AD13</f>
        <v>2076796872.3840792</v>
      </c>
      <c r="AE13" s="8"/>
      <c r="AF13" s="7">
        <f>AC13+'A-TRY'!AF13</f>
        <v>2963061019.1735225</v>
      </c>
      <c r="AG13" s="14">
        <f>AD13+'A-TRY'!AG13</f>
        <v>2076796872.3840792</v>
      </c>
      <c r="AH13" s="8"/>
      <c r="AI13" s="7">
        <f>AF13+'A-TRY'!AI13</f>
        <v>3249823673.9163437</v>
      </c>
      <c r="AJ13" s="14">
        <f>AG13+'A-TRY'!AJ13</f>
        <v>2076796872.3840792</v>
      </c>
      <c r="AK13" s="8"/>
      <c r="AL13" s="21">
        <f t="shared" si="1"/>
        <v>-265277870.41268992</v>
      </c>
      <c r="AM13" s="22">
        <f t="shared" si="2"/>
        <v>-0.11326618470592043</v>
      </c>
      <c r="AO13" s="44">
        <f t="shared" si="3"/>
        <v>2342074742.7967691</v>
      </c>
      <c r="AP13" s="44">
        <f t="shared" si="3"/>
        <v>2076796872.3840792</v>
      </c>
      <c r="AQ13" s="9"/>
    </row>
    <row r="14" spans="1:43" ht="15.5">
      <c r="A14" s="26" t="s">
        <v>15</v>
      </c>
      <c r="B14" s="7">
        <f>'A-TRY'!B14</f>
        <v>373139832.95033634</v>
      </c>
      <c r="C14" s="14">
        <f>'A-TRY'!C14</f>
        <v>425797958.99209809</v>
      </c>
      <c r="D14" s="72">
        <f t="shared" si="4"/>
        <v>0.14112169592135282</v>
      </c>
      <c r="E14" s="7">
        <f>B14+'A-TRY'!E14</f>
        <v>783476404.2578721</v>
      </c>
      <c r="F14" s="14">
        <f>C14+'A-TRY'!F14</f>
        <v>859562420.23116732</v>
      </c>
      <c r="G14" s="72">
        <f t="shared" si="0"/>
        <v>9.711334707694963E-2</v>
      </c>
      <c r="H14" s="7">
        <f>E14+'A-TRY'!H14</f>
        <v>1270298434.5895767</v>
      </c>
      <c r="I14" s="14">
        <f>F14+'A-TRY'!I14</f>
        <v>1354622112.1875615</v>
      </c>
      <c r="J14" s="7"/>
      <c r="K14" s="7">
        <f>H14+'A-TRY'!K14</f>
        <v>1701361863.2851982</v>
      </c>
      <c r="L14" s="14">
        <f>I14+'A-TRY'!L14</f>
        <v>1870677147.7919855</v>
      </c>
      <c r="M14" s="76"/>
      <c r="N14" s="7">
        <f>K14+'A-TRY'!N14</f>
        <v>2170720968.9011736</v>
      </c>
      <c r="O14" s="14">
        <f>L14+'A-TRY'!O14</f>
        <v>2422941677.2936831</v>
      </c>
      <c r="P14" s="7"/>
      <c r="Q14" s="7">
        <f>N14+'A-TRY'!Q14</f>
        <v>2655620107.1517448</v>
      </c>
      <c r="R14" s="14">
        <f>O14+'A-TRY'!R14</f>
        <v>2987245803.8510017</v>
      </c>
      <c r="S14" s="5"/>
      <c r="T14" s="7">
        <f>Q14+'A-TRY'!T14</f>
        <v>3048363013.3287354</v>
      </c>
      <c r="U14" s="14">
        <f>R14+'A-TRY'!U14</f>
        <v>3492548297.2046509</v>
      </c>
      <c r="V14" s="7"/>
      <c r="W14" s="7">
        <f>T14+'A-TRY'!W14</f>
        <v>3447995689.0629997</v>
      </c>
      <c r="X14" s="14">
        <f>U14+'A-TRY'!X14</f>
        <v>3944977717.4917045</v>
      </c>
      <c r="Y14" s="7"/>
      <c r="Z14" s="7">
        <f>W14+'A-TRY'!Z14</f>
        <v>4047367583.009222</v>
      </c>
      <c r="AA14" s="14">
        <f>X14+'A-TRY'!AA14</f>
        <v>4516075058.0242977</v>
      </c>
      <c r="AB14" s="7"/>
      <c r="AC14" s="7">
        <f>Z14+'A-TRY'!AC14</f>
        <v>4575547078.8171196</v>
      </c>
      <c r="AD14" s="14">
        <f>AA14+'A-TRY'!AD14</f>
        <v>4516075058.0242977</v>
      </c>
      <c r="AE14" s="7"/>
      <c r="AF14" s="7">
        <f>AC14+'A-TRY'!AF14</f>
        <v>5087406091.4829216</v>
      </c>
      <c r="AG14" s="14">
        <f>AD14+'A-TRY'!AG14</f>
        <v>4516075058.0242977</v>
      </c>
      <c r="AH14" s="7"/>
      <c r="AI14" s="7">
        <f>AF14+'A-TRY'!AI14</f>
        <v>5542325864.8741932</v>
      </c>
      <c r="AJ14" s="14">
        <f>AG14+'A-TRY'!AJ14</f>
        <v>4516075058.0242977</v>
      </c>
      <c r="AK14" s="7"/>
      <c r="AL14" s="21">
        <f t="shared" si="1"/>
        <v>468707475.01507568</v>
      </c>
      <c r="AM14" s="22">
        <f t="shared" si="2"/>
        <v>0.11580551195367117</v>
      </c>
      <c r="AO14" s="44">
        <f t="shared" si="3"/>
        <v>4047367583.009222</v>
      </c>
      <c r="AP14" s="44">
        <f t="shared" si="3"/>
        <v>4516075058.0242977</v>
      </c>
    </row>
    <row r="15" spans="1:43" ht="15.5">
      <c r="A15" s="26" t="s">
        <v>16</v>
      </c>
      <c r="B15" s="7">
        <f>'A-TRY'!B15</f>
        <v>281377812.54471111</v>
      </c>
      <c r="C15" s="14">
        <f>'A-TRY'!C15</f>
        <v>287297253.8614369</v>
      </c>
      <c r="D15" s="72">
        <f t="shared" si="4"/>
        <v>2.1037342152857796E-2</v>
      </c>
      <c r="E15" s="7">
        <f>B15+'A-TRY'!E15</f>
        <v>512674284.66061312</v>
      </c>
      <c r="F15" s="14">
        <f>C15+'A-TRY'!F15</f>
        <v>615456947.9340806</v>
      </c>
      <c r="G15" s="72">
        <f t="shared" si="0"/>
        <v>0.20048336019332225</v>
      </c>
      <c r="H15" s="7">
        <f>E15+'A-TRY'!H15</f>
        <v>821332561.08729672</v>
      </c>
      <c r="I15" s="14">
        <f>F15+'A-TRY'!I15</f>
        <v>972090628.48125815</v>
      </c>
      <c r="J15" s="7"/>
      <c r="K15" s="7">
        <f>H15+'A-TRY'!K15</f>
        <v>1136563450.1060343</v>
      </c>
      <c r="L15" s="14">
        <f>I15+'A-TRY'!L15</f>
        <v>1346609221.0283923</v>
      </c>
      <c r="M15" s="76"/>
      <c r="N15" s="7">
        <f>K15+'A-TRY'!N15</f>
        <v>1453122547.2023759</v>
      </c>
      <c r="O15" s="14">
        <f>L15+'A-TRY'!O15</f>
        <v>1699730642.892735</v>
      </c>
      <c r="P15" s="7"/>
      <c r="Q15" s="7">
        <f>N15+'A-TRY'!Q15</f>
        <v>1737386829.987546</v>
      </c>
      <c r="R15" s="14">
        <f>O15+'A-TRY'!R15</f>
        <v>2027319857.0359015</v>
      </c>
      <c r="S15" s="5"/>
      <c r="T15" s="7">
        <f>Q15+'A-TRY'!T15</f>
        <v>2010596422.8287258</v>
      </c>
      <c r="U15" s="14">
        <f>R15+'A-TRY'!U15</f>
        <v>2404861152.8028612</v>
      </c>
      <c r="V15" s="7"/>
      <c r="W15" s="7">
        <f>T15+'A-TRY'!W15</f>
        <v>2260057781.339272</v>
      </c>
      <c r="X15" s="14">
        <f>U15+'A-TRY'!X15</f>
        <v>2711039401.7448936</v>
      </c>
      <c r="Y15" s="7"/>
      <c r="Z15" s="7">
        <f>W15+'A-TRY'!Z15</f>
        <v>2618832318.8412962</v>
      </c>
      <c r="AA15" s="14">
        <f>X15+'A-TRY'!AA15</f>
        <v>3174569711.9361172</v>
      </c>
      <c r="AB15" s="7"/>
      <c r="AC15" s="7">
        <f>Z15+'A-TRY'!AC15</f>
        <v>2964740685.6675482</v>
      </c>
      <c r="AD15" s="14">
        <f>AA15+'A-TRY'!AD15</f>
        <v>3174569711.9361172</v>
      </c>
      <c r="AE15" s="7"/>
      <c r="AF15" s="7">
        <f>AC15+'A-TRY'!AF15</f>
        <v>3291166397.6188903</v>
      </c>
      <c r="AG15" s="14">
        <f>AD15+'A-TRY'!AG15</f>
        <v>3174569711.9361172</v>
      </c>
      <c r="AH15" s="7"/>
      <c r="AI15" s="7">
        <f>AF15+'A-TRY'!AI15</f>
        <v>3542458150.4621978</v>
      </c>
      <c r="AJ15" s="14">
        <f>AG15+'A-TRY'!AJ15</f>
        <v>3174569711.9361172</v>
      </c>
      <c r="AK15" s="7"/>
      <c r="AL15" s="21">
        <f t="shared" si="1"/>
        <v>555737393.09482098</v>
      </c>
      <c r="AM15" s="22">
        <f t="shared" si="2"/>
        <v>0.21220808567869942</v>
      </c>
      <c r="AO15" s="44">
        <f t="shared" si="3"/>
        <v>2618832318.8412962</v>
      </c>
      <c r="AP15" s="44">
        <f t="shared" si="3"/>
        <v>3174569711.9361172</v>
      </c>
    </row>
    <row r="16" spans="1:43" ht="15.5">
      <c r="A16" s="26" t="s">
        <v>17</v>
      </c>
      <c r="B16" s="7">
        <f>'A-TRY'!B16</f>
        <v>716824727.63677692</v>
      </c>
      <c r="C16" s="14">
        <f>'A-TRY'!C16</f>
        <v>815213890.73345566</v>
      </c>
      <c r="D16" s="72">
        <f t="shared" si="4"/>
        <v>0.13725693227833746</v>
      </c>
      <c r="E16" s="7">
        <f>B16+'A-TRY'!E16</f>
        <v>1487986076.4339695</v>
      </c>
      <c r="F16" s="14">
        <f>C16+'A-TRY'!F16</f>
        <v>1562346212.1823084</v>
      </c>
      <c r="G16" s="72">
        <f t="shared" si="0"/>
        <v>4.9973677123744675E-2</v>
      </c>
      <c r="H16" s="7">
        <f>E16+'A-TRY'!H16</f>
        <v>2351969887.1729727</v>
      </c>
      <c r="I16" s="14">
        <f>F16+'A-TRY'!I16</f>
        <v>2438682610.1997681</v>
      </c>
      <c r="J16" s="7"/>
      <c r="K16" s="7">
        <f>H16+'A-TRY'!K16</f>
        <v>3114810028.5440621</v>
      </c>
      <c r="L16" s="14">
        <f>I16+'A-TRY'!L16</f>
        <v>3380006535.4352069</v>
      </c>
      <c r="M16" s="76"/>
      <c r="N16" s="7">
        <f>K16+'A-TRY'!N16</f>
        <v>3992348018.5089688</v>
      </c>
      <c r="O16" s="14">
        <f>L16+'A-TRY'!O16</f>
        <v>4450570341.625598</v>
      </c>
      <c r="P16" s="7"/>
      <c r="Q16" s="7">
        <f>N16+'A-TRY'!Q16</f>
        <v>4874861670.2161961</v>
      </c>
      <c r="R16" s="14">
        <f>O16+'A-TRY'!R16</f>
        <v>5401159389.0279512</v>
      </c>
      <c r="S16" s="5"/>
      <c r="T16" s="7">
        <f>Q16+'A-TRY'!T16</f>
        <v>5768329643.3836861</v>
      </c>
      <c r="U16" s="14">
        <f>R16+'A-TRY'!U16</f>
        <v>6415887576.67243</v>
      </c>
      <c r="V16" s="7"/>
      <c r="W16" s="7">
        <f>T16+'A-TRY'!W16</f>
        <v>6475365638.0412054</v>
      </c>
      <c r="X16" s="14">
        <f>U16+'A-TRY'!X16</f>
        <v>7128369801.3027191</v>
      </c>
      <c r="Y16" s="7"/>
      <c r="Z16" s="7">
        <f>W16+'A-TRY'!Z16</f>
        <v>7523541062.5577812</v>
      </c>
      <c r="AA16" s="14">
        <f>X16+'A-TRY'!AA16</f>
        <v>8215134852.3882256</v>
      </c>
      <c r="AB16" s="7"/>
      <c r="AC16" s="7">
        <f>Z16+'A-TRY'!AC16</f>
        <v>8504376347.6381741</v>
      </c>
      <c r="AD16" s="14">
        <f>AA16+'A-TRY'!AD16</f>
        <v>8215134852.3882256</v>
      </c>
      <c r="AE16" s="7"/>
      <c r="AF16" s="7">
        <f>AC16+'A-TRY'!AF16</f>
        <v>9445269004.3270836</v>
      </c>
      <c r="AG16" s="14">
        <f>AD16+'A-TRY'!AG16</f>
        <v>8215134852.3882256</v>
      </c>
      <c r="AH16" s="7"/>
      <c r="AI16" s="7">
        <f>AF16+'A-TRY'!AI16</f>
        <v>10237514015.357164</v>
      </c>
      <c r="AJ16" s="14">
        <f>AG16+'A-TRY'!AJ16</f>
        <v>8215134852.3882256</v>
      </c>
      <c r="AK16" s="7"/>
      <c r="AL16" s="21">
        <f t="shared" si="1"/>
        <v>691593789.83044434</v>
      </c>
      <c r="AM16" s="22">
        <f t="shared" si="2"/>
        <v>9.1923973575725126E-2</v>
      </c>
      <c r="AO16" s="44">
        <f t="shared" si="3"/>
        <v>7523541062.5577812</v>
      </c>
      <c r="AP16" s="44">
        <f t="shared" si="3"/>
        <v>8215134852.3882256</v>
      </c>
    </row>
    <row r="17" spans="1:42" ht="15.5">
      <c r="A17" s="26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21"/>
      <c r="AM17" s="22"/>
      <c r="AO17" s="44">
        <f t="shared" si="3"/>
        <v>0</v>
      </c>
      <c r="AP17" s="44">
        <f t="shared" si="3"/>
        <v>0</v>
      </c>
    </row>
    <row r="18" spans="1:42" ht="15.5">
      <c r="A18" s="2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21"/>
      <c r="AM18" s="22"/>
      <c r="AO18" s="44">
        <f t="shared" si="3"/>
        <v>0</v>
      </c>
      <c r="AP18" s="44">
        <f t="shared" si="3"/>
        <v>0</v>
      </c>
    </row>
    <row r="19" spans="1:42" s="51" customFormat="1" ht="17">
      <c r="A19" s="47" t="s">
        <v>61</v>
      </c>
      <c r="B19" s="411"/>
      <c r="C19" s="412"/>
      <c r="D19" s="411"/>
      <c r="E19" s="411"/>
      <c r="F19" s="412"/>
      <c r="G19" s="411"/>
      <c r="H19" s="411"/>
      <c r="I19" s="412"/>
      <c r="J19" s="411"/>
      <c r="K19" s="411"/>
      <c r="L19" s="412"/>
      <c r="M19" s="411"/>
      <c r="N19" s="411"/>
      <c r="O19" s="412"/>
      <c r="P19" s="411"/>
      <c r="Q19" s="411"/>
      <c r="R19" s="412"/>
      <c r="S19" s="411"/>
      <c r="T19" s="411"/>
      <c r="U19" s="412"/>
      <c r="V19" s="411"/>
      <c r="W19" s="411"/>
      <c r="X19" s="412"/>
      <c r="Y19" s="411"/>
      <c r="Z19" s="411"/>
      <c r="AA19" s="412"/>
      <c r="AB19" s="411"/>
      <c r="AC19" s="411"/>
      <c r="AD19" s="412"/>
      <c r="AE19" s="411"/>
      <c r="AF19" s="411"/>
      <c r="AG19" s="412"/>
      <c r="AH19" s="411"/>
      <c r="AI19" s="411"/>
      <c r="AJ19" s="412"/>
      <c r="AK19" s="411"/>
      <c r="AL19" s="411"/>
      <c r="AM19" s="50"/>
    </row>
    <row r="20" spans="1:42" ht="15.5">
      <c r="A20" s="26" t="s">
        <v>10</v>
      </c>
      <c r="B20" s="56">
        <f>B9/B6</f>
        <v>2.5900517461736498E-2</v>
      </c>
      <c r="C20" s="56">
        <f>C9/C6</f>
        <v>2.4979718245959702E-2</v>
      </c>
      <c r="D20" s="14"/>
      <c r="E20" s="56">
        <f>E9/E6</f>
        <v>2.5822409071114785E-2</v>
      </c>
      <c r="F20" s="56">
        <f>F9/F6</f>
        <v>2.5831251551775354E-2</v>
      </c>
      <c r="G20" s="56"/>
      <c r="H20" s="56">
        <f>H9/H6</f>
        <v>2.5906128385918062E-2</v>
      </c>
      <c r="I20" s="56">
        <f>I9/I6</f>
        <v>2.666071915538443E-2</v>
      </c>
      <c r="J20" s="56"/>
      <c r="K20" s="56">
        <f>K9/K6</f>
        <v>2.5851794660153107E-2</v>
      </c>
      <c r="L20" s="56">
        <f>L9/L6</f>
        <v>2.6463581364400003E-2</v>
      </c>
      <c r="M20" s="56"/>
      <c r="N20" s="56">
        <f>N9/N6</f>
        <v>2.5882083392561813E-2</v>
      </c>
      <c r="O20" s="56">
        <f>O9/O6</f>
        <v>2.6692697842571458E-2</v>
      </c>
      <c r="P20" s="56"/>
      <c r="Q20" s="56">
        <f>Q9/Q6</f>
        <v>2.5935117945524049E-2</v>
      </c>
      <c r="R20" s="56">
        <f>R9/R6</f>
        <v>2.6931202412246402E-2</v>
      </c>
      <c r="S20" s="56"/>
      <c r="T20" s="56">
        <f>T9/T6</f>
        <v>2.5844356632143673E-2</v>
      </c>
      <c r="U20" s="56">
        <f>U9/U6</f>
        <v>2.6915775571897251E-2</v>
      </c>
      <c r="V20" s="56"/>
      <c r="W20" s="56">
        <f>W9/W6</f>
        <v>2.5801473570598019E-2</v>
      </c>
      <c r="X20" s="56">
        <f>X9/X6</f>
        <v>2.6987912865800295E-2</v>
      </c>
      <c r="Y20" s="56"/>
      <c r="Z20" s="56">
        <f>Z9/Z6</f>
        <v>2.5914576963504729E-2</v>
      </c>
      <c r="AA20" s="56">
        <f>AA9/AA6</f>
        <v>2.7384041130725293E-2</v>
      </c>
      <c r="AB20" s="56"/>
      <c r="AC20" s="56">
        <f>AC9/AC6</f>
        <v>2.5900089795151671E-2</v>
      </c>
      <c r="AD20" s="56">
        <f>AD9/AD6</f>
        <v>2.7384041130725293E-2</v>
      </c>
      <c r="AE20" s="56"/>
      <c r="AF20" s="56">
        <f>AF9/AF6</f>
        <v>2.5886272158559615E-2</v>
      </c>
      <c r="AG20" s="56">
        <f>AG9/AG6</f>
        <v>2.7384041130725293E-2</v>
      </c>
      <c r="AH20" s="56"/>
      <c r="AI20" s="56">
        <f>AI9/AI6</f>
        <v>2.5835594246819627E-2</v>
      </c>
      <c r="AJ20" s="56">
        <f>AJ9/AJ6</f>
        <v>2.7384041130725293E-2</v>
      </c>
      <c r="AK20" s="56"/>
      <c r="AL20" s="56">
        <f t="shared" ref="AL20:AL32" si="5">AP20-AO20</f>
        <v>1.469464167220564E-3</v>
      </c>
      <c r="AM20" s="56"/>
      <c r="AO20" s="44">
        <f t="shared" ref="AO20:AP33" si="6">IF($A$1=$B$1,B20,IF($A$1=$E$1,E20,IF($A$1=$H$1,H20,IF($A$1=$K$1,K20,IF($A$1=$N$1,N20,IF($A$1=$Q$1,Q20,IF($A$1=$T$1,T20,IF($A$1=$W$1,W20,IF($A$1=$Z$1,Z20,IF($A$1=$AC$1,AC20,IF($A$1=$AF$1,AF20,IF($A$1=$AI$1,AI20))))))))))))</f>
        <v>2.5914576963504729E-2</v>
      </c>
      <c r="AP20" s="44">
        <f t="shared" si="6"/>
        <v>2.7384041130725293E-2</v>
      </c>
    </row>
    <row r="21" spans="1:42" ht="15.5">
      <c r="A21" s="26" t="s">
        <v>11</v>
      </c>
      <c r="B21" s="56">
        <f>B10/B6</f>
        <v>3.0223169017562879E-2</v>
      </c>
      <c r="C21" s="56">
        <f>C10/C6</f>
        <v>2.9195216105250273E-2</v>
      </c>
      <c r="D21" s="7"/>
      <c r="E21" s="56">
        <f>E10/E6</f>
        <v>3.2367179905201056E-2</v>
      </c>
      <c r="F21" s="56">
        <f>F10/F6</f>
        <v>3.176855672594231E-2</v>
      </c>
      <c r="G21" s="56"/>
      <c r="H21" s="56">
        <f>H10/H6</f>
        <v>3.2131009596095876E-2</v>
      </c>
      <c r="I21" s="56">
        <f>I10/I6</f>
        <v>2.9383592056399881E-2</v>
      </c>
      <c r="J21" s="56"/>
      <c r="K21" s="56">
        <f>K10/K6</f>
        <v>3.33068676949815E-2</v>
      </c>
      <c r="L21" s="56">
        <f>L10/L6</f>
        <v>2.6316696609288728E-2</v>
      </c>
      <c r="M21" s="56"/>
      <c r="N21" s="56">
        <f>N10/N6</f>
        <v>3.3289461570011759E-2</v>
      </c>
      <c r="O21" s="56">
        <f>O10/O6</f>
        <v>2.6008293363562963E-2</v>
      </c>
      <c r="P21" s="56"/>
      <c r="Q21" s="56">
        <f>Q10/Q6</f>
        <v>3.3575414858811478E-2</v>
      </c>
      <c r="R21" s="56">
        <f>R10/R6</f>
        <v>2.6121676067767004E-2</v>
      </c>
      <c r="S21" s="56"/>
      <c r="T21" s="56">
        <f>T10/T6</f>
        <v>3.281027088847395E-2</v>
      </c>
      <c r="U21" s="56">
        <f>U10/U6</f>
        <v>2.602225543510495E-2</v>
      </c>
      <c r="V21" s="56"/>
      <c r="W21" s="56">
        <f>W10/W6</f>
        <v>3.1574654188043977E-2</v>
      </c>
      <c r="X21" s="56">
        <f>X10/X6</f>
        <v>2.5654270581662787E-2</v>
      </c>
      <c r="Y21" s="56"/>
      <c r="Z21" s="56">
        <f>Z10/Z6</f>
        <v>2.9914834654259485E-2</v>
      </c>
      <c r="AA21" s="56">
        <f>AA10/AA6</f>
        <v>2.4629770958198963E-2</v>
      </c>
      <c r="AB21" s="56"/>
      <c r="AC21" s="56">
        <f>AC10/AC6</f>
        <v>2.8275118053641871E-2</v>
      </c>
      <c r="AD21" s="56">
        <f>AD10/AD6</f>
        <v>2.4629770958198963E-2</v>
      </c>
      <c r="AE21" s="56"/>
      <c r="AF21" s="56">
        <f>AF10/AF6</f>
        <v>2.6909176875070256E-2</v>
      </c>
      <c r="AG21" s="56">
        <f>AG10/AG6</f>
        <v>2.4629770958198963E-2</v>
      </c>
      <c r="AH21" s="56"/>
      <c r="AI21" s="56">
        <f>AI10/AI6</f>
        <v>2.5860338967945467E-2</v>
      </c>
      <c r="AJ21" s="56">
        <f>AJ10/AJ6</f>
        <v>2.4629770958198963E-2</v>
      </c>
      <c r="AK21" s="56"/>
      <c r="AL21" s="56">
        <f t="shared" si="5"/>
        <v>-5.2850636960605213E-3</v>
      </c>
      <c r="AM21" s="56"/>
      <c r="AO21" s="44">
        <f t="shared" si="6"/>
        <v>2.9914834654259485E-2</v>
      </c>
      <c r="AP21" s="44">
        <f t="shared" si="6"/>
        <v>2.4629770958198963E-2</v>
      </c>
    </row>
    <row r="22" spans="1:42" ht="15.5">
      <c r="A22" s="26" t="s">
        <v>12</v>
      </c>
      <c r="B22" s="56">
        <f>B11/B6</f>
        <v>3.6016436786630406E-2</v>
      </c>
      <c r="C22" s="56">
        <f>C11/C6</f>
        <v>3.2042443534477633E-2</v>
      </c>
      <c r="D22" s="7"/>
      <c r="E22" s="56">
        <f>E11/E6</f>
        <v>3.5569312762426468E-2</v>
      </c>
      <c r="F22" s="56">
        <f>F11/F6</f>
        <v>3.5060756190241023E-2</v>
      </c>
      <c r="G22" s="56"/>
      <c r="H22" s="56">
        <f>H11/H6</f>
        <v>3.7754307634750885E-2</v>
      </c>
      <c r="I22" s="56">
        <f>I11/I6</f>
        <v>4.1653980088316618E-2</v>
      </c>
      <c r="J22" s="56"/>
      <c r="K22" s="56">
        <f>K11/K6</f>
        <v>3.997602250592891E-2</v>
      </c>
      <c r="L22" s="56">
        <f>L11/L6</f>
        <v>4.3185665018713022E-2</v>
      </c>
      <c r="M22" s="56"/>
      <c r="N22" s="56">
        <f>N11/N6</f>
        <v>4.1771868317643589E-2</v>
      </c>
      <c r="O22" s="56">
        <f>O11/O6</f>
        <v>3.9496536025324033E-2</v>
      </c>
      <c r="P22" s="56"/>
      <c r="Q22" s="56">
        <f>Q11/Q6</f>
        <v>4.3192799946552604E-2</v>
      </c>
      <c r="R22" s="56">
        <f>R11/R6</f>
        <v>3.924500246094921E-2</v>
      </c>
      <c r="S22" s="56"/>
      <c r="T22" s="56">
        <f>T11/T6</f>
        <v>4.5745108401643239E-2</v>
      </c>
      <c r="U22" s="56">
        <f>U11/U6</f>
        <v>3.8418322318697143E-2</v>
      </c>
      <c r="V22" s="56"/>
      <c r="W22" s="56">
        <f>W11/W6</f>
        <v>4.6820339959515615E-2</v>
      </c>
      <c r="X22" s="56">
        <f>X11/X6</f>
        <v>3.8362733728983703E-2</v>
      </c>
      <c r="Y22" s="56"/>
      <c r="Z22" s="56">
        <f>Z11/Z6</f>
        <v>4.6313517826358577E-2</v>
      </c>
      <c r="AA22" s="56">
        <f>AA11/AA6</f>
        <v>3.7832032878623641E-2</v>
      </c>
      <c r="AB22" s="56"/>
      <c r="AC22" s="56">
        <f>AC11/AC6</f>
        <v>4.6042704936334604E-2</v>
      </c>
      <c r="AD22" s="56">
        <f>AD11/AD6</f>
        <v>3.7832032878623641E-2</v>
      </c>
      <c r="AE22" s="56"/>
      <c r="AF22" s="56">
        <f>AF11/AF6</f>
        <v>4.694208809174847E-2</v>
      </c>
      <c r="AG22" s="56">
        <f>AG11/AG6</f>
        <v>3.7832032878623641E-2</v>
      </c>
      <c r="AH22" s="56"/>
      <c r="AI22" s="56">
        <f>AI11/AI6</f>
        <v>4.7352618475056868E-2</v>
      </c>
      <c r="AJ22" s="56">
        <f>AJ11/AJ6</f>
        <v>3.7832032878623641E-2</v>
      </c>
      <c r="AK22" s="56"/>
      <c r="AL22" s="56">
        <f t="shared" si="5"/>
        <v>-8.4814849477349366E-3</v>
      </c>
      <c r="AM22" s="56"/>
      <c r="AO22" s="44">
        <f t="shared" si="6"/>
        <v>4.6313517826358577E-2</v>
      </c>
      <c r="AP22" s="44">
        <f t="shared" si="6"/>
        <v>3.7832032878623641E-2</v>
      </c>
    </row>
    <row r="23" spans="1:42" ht="15.5">
      <c r="A23" s="26" t="s">
        <v>13</v>
      </c>
      <c r="B23" s="56">
        <f>B12*0.5/B6</f>
        <v>0.34606625992268758</v>
      </c>
      <c r="C23" s="56">
        <f>C12*0.5/C6</f>
        <v>0.35320814747048712</v>
      </c>
      <c r="D23" s="7"/>
      <c r="E23" s="56">
        <f>E12*0.5/E6</f>
        <v>0.34602588217742081</v>
      </c>
      <c r="F23" s="56">
        <f>F12*0.5/F6</f>
        <v>0.317790952315957</v>
      </c>
      <c r="G23" s="56"/>
      <c r="H23" s="56">
        <f>H12*0.5/H6</f>
        <v>0.33913139629721417</v>
      </c>
      <c r="I23" s="56">
        <f>I12*0.5/I6</f>
        <v>0.28670373035412061</v>
      </c>
      <c r="J23" s="56"/>
      <c r="K23" s="56">
        <f>K12*0.5/K6</f>
        <v>0.33820355818267445</v>
      </c>
      <c r="L23" s="56">
        <f>L12*0.5/L6</f>
        <v>0.27296543199342421</v>
      </c>
      <c r="M23" s="56"/>
      <c r="N23" s="56">
        <f>N12*0.5/N6</f>
        <v>0.33232741180777131</v>
      </c>
      <c r="O23" s="56">
        <f>O12*0.5/O6</f>
        <v>0.26834023898282877</v>
      </c>
      <c r="P23" s="56"/>
      <c r="Q23" s="56">
        <f>Q12*0.5/Q6</f>
        <v>0.33049628848258777</v>
      </c>
      <c r="R23" s="56">
        <f>R12*0.5/R6</f>
        <v>0.25464146099924695</v>
      </c>
      <c r="S23" s="56"/>
      <c r="T23" s="56">
        <f>T12*0.5/T6</f>
        <v>0.33606734304575148</v>
      </c>
      <c r="U23" s="56">
        <f>U12*0.5/U6</f>
        <v>0.2620893548698992</v>
      </c>
      <c r="V23" s="56"/>
      <c r="W23" s="56">
        <f>W12*0.5/W6</f>
        <v>0.34391593905077034</v>
      </c>
      <c r="X23" s="56">
        <f>X12*0.5/X6</f>
        <v>0.26945888899884551</v>
      </c>
      <c r="Y23" s="56"/>
      <c r="Z23" s="56">
        <f>Z12*0.5/Z6</f>
        <v>0.34377569664879537</v>
      </c>
      <c r="AA23" s="56">
        <f>AA12*0.5/AA6</f>
        <v>0.2616057357280559</v>
      </c>
      <c r="AB23" s="56"/>
      <c r="AC23" s="56">
        <f>AC12*0.5/AC6</f>
        <v>0.34923944213583868</v>
      </c>
      <c r="AD23" s="56">
        <f>AD12*0.5/AD6</f>
        <v>0.2616057357280559</v>
      </c>
      <c r="AE23" s="56"/>
      <c r="AF23" s="56">
        <f>AF12*0.5/AF6</f>
        <v>0.35490518243031433</v>
      </c>
      <c r="AG23" s="56">
        <f>AG12*0.5/AG6</f>
        <v>0.2616057357280559</v>
      </c>
      <c r="AH23" s="56"/>
      <c r="AI23" s="56">
        <f>AI12*0.5/AI6</f>
        <v>0.36358436627677743</v>
      </c>
      <c r="AJ23" s="56">
        <f>AJ12*0.5/AJ6</f>
        <v>0.2616057357280559</v>
      </c>
      <c r="AK23" s="56"/>
      <c r="AL23" s="56">
        <f t="shared" si="5"/>
        <v>-8.2169960920739471E-2</v>
      </c>
      <c r="AM23" s="56"/>
      <c r="AO23" s="44">
        <f t="shared" si="6"/>
        <v>0.34377569664879537</v>
      </c>
      <c r="AP23" s="44">
        <f t="shared" si="6"/>
        <v>0.2616057357280559</v>
      </c>
    </row>
    <row r="24" spans="1:42" s="1" customFormat="1" ht="15.5">
      <c r="A24" s="26" t="s">
        <v>14</v>
      </c>
      <c r="B24" s="56">
        <f>B13*0.4/B6</f>
        <v>9.5798423765887014E-2</v>
      </c>
      <c r="C24" s="56">
        <f>C13*0.4/C6</f>
        <v>7.9641206985965149E-2</v>
      </c>
      <c r="D24" s="8"/>
      <c r="E24" s="56">
        <f>E13*0.4/E6</f>
        <v>9.6533216479214826E-2</v>
      </c>
      <c r="F24" s="56">
        <f>F13*0.4/F6</f>
        <v>8.1733117403441108E-2</v>
      </c>
      <c r="G24" s="57"/>
      <c r="H24" s="56">
        <f>H13*0.4/H6</f>
        <v>9.3047233767491397E-2</v>
      </c>
      <c r="I24" s="56">
        <f>I13*0.4/I6</f>
        <v>8.5170024203516367E-2</v>
      </c>
      <c r="J24" s="57"/>
      <c r="K24" s="56">
        <f>K13*0.4/K6</f>
        <v>9.3054959512700805E-2</v>
      </c>
      <c r="L24" s="56">
        <f>L13*0.4/L6</f>
        <v>8.2929378459421388E-2</v>
      </c>
      <c r="M24" s="57"/>
      <c r="N24" s="56">
        <f>N13*0.4/N6</f>
        <v>9.2830200584751846E-2</v>
      </c>
      <c r="O24" s="56">
        <f>O13*0.4/O6</f>
        <v>8.2168016500022908E-2</v>
      </c>
      <c r="P24" s="57"/>
      <c r="Q24" s="56">
        <f>Q13*0.4/Q6</f>
        <v>9.017329311623834E-2</v>
      </c>
      <c r="R24" s="56">
        <f>R13*0.4/R6</f>
        <v>8.0821392852931856E-2</v>
      </c>
      <c r="S24" s="57"/>
      <c r="T24" s="56">
        <f>T13*0.4/T6</f>
        <v>9.0493399294861457E-2</v>
      </c>
      <c r="U24" s="56">
        <f>U13*0.4/U6</f>
        <v>8.0350811744957881E-2</v>
      </c>
      <c r="V24" s="57"/>
      <c r="W24" s="56">
        <f>W13*0.4/W6</f>
        <v>9.0672001062538157E-2</v>
      </c>
      <c r="X24" s="56">
        <f>X13*0.4/X6</f>
        <v>8.0704247419383562E-2</v>
      </c>
      <c r="Y24" s="57"/>
      <c r="Z24" s="56">
        <f>Z13*0.4/Z6</f>
        <v>8.823771643594186E-2</v>
      </c>
      <c r="AA24" s="56">
        <f>AA13*0.4/AA6</f>
        <v>8.0943001909593471E-2</v>
      </c>
      <c r="AB24" s="57"/>
      <c r="AC24" s="56">
        <f>AC13*0.4/AC6</f>
        <v>8.8719894320895054E-2</v>
      </c>
      <c r="AD24" s="56">
        <f>AD13*0.4/AD6</f>
        <v>8.0943001909593471E-2</v>
      </c>
      <c r="AE24" s="57"/>
      <c r="AF24" s="56">
        <f>AF13*0.4/AF6</f>
        <v>8.7855708199535809E-2</v>
      </c>
      <c r="AG24" s="56">
        <f>AG13*0.4/AG6</f>
        <v>8.0943001909593471E-2</v>
      </c>
      <c r="AH24" s="57"/>
      <c r="AI24" s="56">
        <f>AI13*0.4/AI6</f>
        <v>8.7836903722214144E-2</v>
      </c>
      <c r="AJ24" s="56">
        <f>AJ13*0.4/AJ6</f>
        <v>8.0943001909593471E-2</v>
      </c>
      <c r="AK24" s="57"/>
      <c r="AL24" s="56">
        <f t="shared" si="5"/>
        <v>-7.2947145263483892E-3</v>
      </c>
      <c r="AM24" s="57"/>
      <c r="AO24" s="44">
        <f t="shared" si="6"/>
        <v>8.823771643594186E-2</v>
      </c>
      <c r="AP24" s="44">
        <f t="shared" si="6"/>
        <v>8.0943001909593471E-2</v>
      </c>
    </row>
    <row r="25" spans="1:42" ht="15.5">
      <c r="A25" s="26" t="s">
        <v>15</v>
      </c>
      <c r="B25" s="56">
        <f>B14*0.4/B6</f>
        <v>0.14562927076775911</v>
      </c>
      <c r="C25" s="56">
        <f>C14*0.4/C6</f>
        <v>0.15367275172761663</v>
      </c>
      <c r="D25" s="7"/>
      <c r="E25" s="56">
        <f>E14*0.4/E6</f>
        <v>0.14995834032103686</v>
      </c>
      <c r="F25" s="56">
        <f>F14*0.4/F6</f>
        <v>0.16169645171008581</v>
      </c>
      <c r="G25" s="56"/>
      <c r="H25" s="56">
        <f>H14*0.4/H6</f>
        <v>0.15432945225916758</v>
      </c>
      <c r="I25" s="56">
        <f>I14*0.4/I6</f>
        <v>0.16708046647488844</v>
      </c>
      <c r="J25" s="56"/>
      <c r="K25" s="56">
        <f>K14*0.4/K6</f>
        <v>0.15355166500593592</v>
      </c>
      <c r="L25" s="56">
        <f>L14*0.4/L6</f>
        <v>0.17090610010115515</v>
      </c>
      <c r="M25" s="56"/>
      <c r="N25" s="56">
        <f>N14*0.4/N6</f>
        <v>0.15401141786581593</v>
      </c>
      <c r="O25" s="56">
        <f>O14*0.4/O6</f>
        <v>0.17266814829765598</v>
      </c>
      <c r="P25" s="56"/>
      <c r="Q25" s="56">
        <f>Q14*0.4/Q6</f>
        <v>0.1555131013541601</v>
      </c>
      <c r="R25" s="56">
        <f>R14*0.4/R6</f>
        <v>0.17872540433222012</v>
      </c>
      <c r="S25" s="56"/>
      <c r="T25" s="56">
        <f>T14*0.4/T6</f>
        <v>0.15097904651381097</v>
      </c>
      <c r="U25" s="56">
        <f>U14*0.4/U6</f>
        <v>0.17546599757033396</v>
      </c>
      <c r="V25" s="56"/>
      <c r="W25" s="56">
        <f>W14*0.4/W6</f>
        <v>0.14999348641866048</v>
      </c>
      <c r="X25" s="56">
        <f>X14*0.4/X6</f>
        <v>0.17535647054174916</v>
      </c>
      <c r="Y25" s="56"/>
      <c r="Z25" s="56">
        <f>Z14*0.4/Z6</f>
        <v>0.15248466096138619</v>
      </c>
      <c r="AA25" s="56">
        <f>AA14*0.4/AA6</f>
        <v>0.17601368574187881</v>
      </c>
      <c r="AB25" s="56"/>
      <c r="AC25" s="56">
        <f>AC14*0.4/AC6</f>
        <v>0.15161950558872075</v>
      </c>
      <c r="AD25" s="56">
        <f>AD14*0.4/AD6</f>
        <v>0.17601368574187881</v>
      </c>
      <c r="AE25" s="56"/>
      <c r="AF25" s="56">
        <f>AF14*0.4/AF6</f>
        <v>0.15084321995857281</v>
      </c>
      <c r="AG25" s="56">
        <f>AG14*0.4/AG6</f>
        <v>0.17601368574187881</v>
      </c>
      <c r="AH25" s="56"/>
      <c r="AI25" s="56">
        <f>AI14*0.4/AI6</f>
        <v>0.1497991251948223</v>
      </c>
      <c r="AJ25" s="56">
        <f>AJ14*0.4/AJ6</f>
        <v>0.17601368574187881</v>
      </c>
      <c r="AK25" s="56"/>
      <c r="AL25" s="56">
        <f t="shared" si="5"/>
        <v>2.3529024780492624E-2</v>
      </c>
      <c r="AM25" s="56"/>
      <c r="AO25" s="44">
        <f t="shared" si="6"/>
        <v>0.15248466096138619</v>
      </c>
      <c r="AP25" s="44">
        <f t="shared" si="6"/>
        <v>0.17601368574187881</v>
      </c>
    </row>
    <row r="26" spans="1:42" ht="15.5">
      <c r="A26" s="26" t="s">
        <v>16</v>
      </c>
      <c r="B26" s="56">
        <f>B15*0.4/B6</f>
        <v>0.10981632630083582</v>
      </c>
      <c r="C26" s="56">
        <f>C15*0.4/C6</f>
        <v>0.10368710941964371</v>
      </c>
      <c r="D26" s="7"/>
      <c r="E26" s="56">
        <f>E15*0.4/E6</f>
        <v>9.8126484007904177E-2</v>
      </c>
      <c r="F26" s="56">
        <f>F15*0.4/F6</f>
        <v>0.11577658855129579</v>
      </c>
      <c r="G26" s="56"/>
      <c r="H26" s="56">
        <f>H15*0.4/H6</f>
        <v>9.9784271808675884E-2</v>
      </c>
      <c r="I26" s="56">
        <f>I15*0.4/I6</f>
        <v>0.11989864494403567</v>
      </c>
      <c r="J26" s="56"/>
      <c r="K26" s="56">
        <f>K15*0.4/K6</f>
        <v>0.10257736106279329</v>
      </c>
      <c r="L26" s="56">
        <f>L15*0.4/L6</f>
        <v>0.12302696411182565</v>
      </c>
      <c r="M26" s="56"/>
      <c r="N26" s="56">
        <f>N15*0.4/N6</f>
        <v>0.10309821807300777</v>
      </c>
      <c r="O26" s="56">
        <f>O15*0.4/O6</f>
        <v>0.12112934680329873</v>
      </c>
      <c r="P26" s="56"/>
      <c r="Q26" s="56">
        <f>Q15*0.4/Q6</f>
        <v>0.10174136483437819</v>
      </c>
      <c r="R26" s="56">
        <f>R15*0.4/R6</f>
        <v>0.12129352083861952</v>
      </c>
      <c r="S26" s="56"/>
      <c r="T26" s="56">
        <f>T15*0.4/T6</f>
        <v>9.9580637055191989E-2</v>
      </c>
      <c r="U26" s="56">
        <f>U15*0.4/U6</f>
        <v>0.12082047985776827</v>
      </c>
      <c r="V26" s="56"/>
      <c r="W26" s="56">
        <f>W15*0.4/W6</f>
        <v>9.8316232588684702E-2</v>
      </c>
      <c r="X26" s="56">
        <f>X15*0.4/X6</f>
        <v>0.12050722083466353</v>
      </c>
      <c r="Y26" s="56"/>
      <c r="Z26" s="56">
        <f>Z15*0.4/Z6</f>
        <v>9.8664564081014927E-2</v>
      </c>
      <c r="AA26" s="56">
        <f>AA15*0.4/AA6</f>
        <v>0.12372861576992067</v>
      </c>
      <c r="AB26" s="56"/>
      <c r="AC26" s="56">
        <f>AC15*0.4/AC6</f>
        <v>9.8242354240159535E-2</v>
      </c>
      <c r="AD26" s="56">
        <f>AD15*0.4/AD6</f>
        <v>0.12372861576992067</v>
      </c>
      <c r="AE26" s="56"/>
      <c r="AF26" s="56">
        <f>AF15*0.4/AF6</f>
        <v>9.7584137752915329E-2</v>
      </c>
      <c r="AG26" s="56">
        <f>AG15*0.4/AG6</f>
        <v>0.12372861576992067</v>
      </c>
      <c r="AH26" s="56"/>
      <c r="AI26" s="56">
        <f>AI15*0.4/AI6</f>
        <v>9.5746288636991028E-2</v>
      </c>
      <c r="AJ26" s="56">
        <f>AJ15*0.4/AJ6</f>
        <v>0.12372861576992067</v>
      </c>
      <c r="AK26" s="56"/>
      <c r="AL26" s="56">
        <f t="shared" si="5"/>
        <v>2.5064051688905742E-2</v>
      </c>
      <c r="AM26" s="56"/>
      <c r="AO26" s="44">
        <f t="shared" si="6"/>
        <v>9.8664564081014927E-2</v>
      </c>
      <c r="AP26" s="44">
        <f t="shared" si="6"/>
        <v>0.12372861576992067</v>
      </c>
    </row>
    <row r="27" spans="1:42" ht="15.5">
      <c r="A27" s="26" t="s">
        <v>17</v>
      </c>
      <c r="B27" s="56">
        <f>B16*0.4/B6</f>
        <v>0.27976284796143819</v>
      </c>
      <c r="C27" s="56">
        <f>C16*0.4/C6</f>
        <v>0.29421503600469723</v>
      </c>
      <c r="D27" s="7"/>
      <c r="E27" s="56">
        <f>E16*0.4/E6</f>
        <v>0.28480235171116519</v>
      </c>
      <c r="F27" s="56">
        <f>F16*0.4/F6</f>
        <v>0.29390051601445288</v>
      </c>
      <c r="G27" s="56"/>
      <c r="H27" s="56">
        <f>H16*0.4/H6</f>
        <v>0.28574247951012899</v>
      </c>
      <c r="I27" s="56">
        <f>I16*0.4/I6</f>
        <v>0.30078958879416201</v>
      </c>
      <c r="J27" s="56"/>
      <c r="K27" s="56">
        <f>K16*0.4/K6</f>
        <v>0.28111848301136694</v>
      </c>
      <c r="L27" s="56">
        <f>L16*0.4/L6</f>
        <v>0.30879926874045655</v>
      </c>
      <c r="M27" s="56"/>
      <c r="N27" s="56">
        <f>N16*0.4/N6</f>
        <v>0.2832548207499902</v>
      </c>
      <c r="O27" s="56">
        <f>O16*0.4/O6</f>
        <v>0.31716476998130078</v>
      </c>
      <c r="P27" s="56"/>
      <c r="Q27" s="56">
        <f>Q16*0.4/Q6</f>
        <v>0.285471877158265</v>
      </c>
      <c r="R27" s="56">
        <f>R16*0.4/R6</f>
        <v>0.32314863223586815</v>
      </c>
      <c r="S27" s="56"/>
      <c r="T27" s="56">
        <f>T16*0.4/T6</f>
        <v>0.2856933067772735</v>
      </c>
      <c r="U27" s="56">
        <f>U16*0.4/U6</f>
        <v>0.32233487360532104</v>
      </c>
      <c r="V27" s="56"/>
      <c r="W27" s="56">
        <f>W16*0.4/W6</f>
        <v>0.28168906097134272</v>
      </c>
      <c r="X27" s="56">
        <f>X16*0.4/X6</f>
        <v>0.31686003282868047</v>
      </c>
      <c r="Y27" s="56"/>
      <c r="Z27" s="56">
        <f>Z16*0.4/Z6</f>
        <v>0.28344957175849789</v>
      </c>
      <c r="AA27" s="56">
        <f>AA16*0.4/AA6</f>
        <v>0.32018426302861447</v>
      </c>
      <c r="AB27" s="56"/>
      <c r="AC27" s="56">
        <f>AC16*0.4/AC6</f>
        <v>0.28180877935642545</v>
      </c>
      <c r="AD27" s="56">
        <f>AD16*0.4/AD6</f>
        <v>0.32018426302861447</v>
      </c>
      <c r="AE27" s="56"/>
      <c r="AF27" s="56">
        <f>AF16*0.4/AF6</f>
        <v>0.28005525101934614</v>
      </c>
      <c r="AG27" s="56">
        <f>AG16*0.4/AG6</f>
        <v>0.32018426302861447</v>
      </c>
      <c r="AH27" s="56"/>
      <c r="AI27" s="56">
        <f>AI16*0.4/AI6</f>
        <v>0.27670163773472867</v>
      </c>
      <c r="AJ27" s="56">
        <f>AJ16*0.4/AJ6</f>
        <v>0.32018426302861447</v>
      </c>
      <c r="AK27" s="56"/>
      <c r="AL27" s="56">
        <f t="shared" si="5"/>
        <v>3.6734691270116582E-2</v>
      </c>
      <c r="AM27" s="56"/>
      <c r="AO27" s="44">
        <f t="shared" si="6"/>
        <v>0.28344957175849789</v>
      </c>
      <c r="AP27" s="44">
        <f t="shared" si="6"/>
        <v>0.32018426302861447</v>
      </c>
    </row>
    <row r="28" spans="1:42" ht="15.5">
      <c r="A28" s="26"/>
      <c r="B28" s="56"/>
      <c r="C28" s="56"/>
      <c r="D28" s="7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>
        <f t="shared" si="5"/>
        <v>0</v>
      </c>
      <c r="AM28" s="56"/>
      <c r="AO28" s="44">
        <f t="shared" si="6"/>
        <v>0</v>
      </c>
      <c r="AP28" s="44">
        <f t="shared" si="6"/>
        <v>0</v>
      </c>
    </row>
    <row r="29" spans="1:42" ht="15.5">
      <c r="A29" s="26"/>
      <c r="B29" s="56"/>
      <c r="C29" s="56"/>
      <c r="D29" s="7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>
        <f t="shared" si="5"/>
        <v>0</v>
      </c>
      <c r="AM29" s="56"/>
      <c r="AO29" s="44">
        <f t="shared" si="6"/>
        <v>0</v>
      </c>
      <c r="AP29" s="44">
        <f t="shared" si="6"/>
        <v>0</v>
      </c>
    </row>
    <row r="30" spans="1:42" s="45" customFormat="1" ht="15.5">
      <c r="A30" s="35" t="s">
        <v>59</v>
      </c>
      <c r="B30" s="36">
        <f>'A-TRY'!B30</f>
        <v>1024903389.2242652</v>
      </c>
      <c r="C30" s="36">
        <f>'A-TRY'!C30</f>
        <v>1108323900.5098851</v>
      </c>
      <c r="D30" s="72">
        <f>+(C30/B30)-1</f>
        <v>8.1393536369081199E-2</v>
      </c>
      <c r="E30" s="36">
        <f>B30+'A-TRY'!E30</f>
        <v>2089850828.1181941</v>
      </c>
      <c r="F30" s="36">
        <f>C30+'A-TRY'!F30</f>
        <v>2126360624.8387508</v>
      </c>
      <c r="G30" s="19"/>
      <c r="H30" s="36">
        <f>E30+'A-TRY'!H30</f>
        <v>3292432950.4036522</v>
      </c>
      <c r="I30" s="36">
        <f>F30+'A-TRY'!I30</f>
        <v>3243041250.165904</v>
      </c>
      <c r="J30" s="19"/>
      <c r="K30" s="36">
        <f>H30+'A-TRY'!K30</f>
        <v>4432024525.9976254</v>
      </c>
      <c r="L30" s="36">
        <f>I30+'A-TRY'!L30</f>
        <v>4378257175.5713282</v>
      </c>
      <c r="M30" s="76"/>
      <c r="N30" s="36">
        <f>K30+'A-TRY'!N30</f>
        <v>5637818283.8169498</v>
      </c>
      <c r="O30" s="36">
        <f>L30+'A-TRY'!O30</f>
        <v>5612944138.6418705</v>
      </c>
      <c r="P30" s="19"/>
      <c r="Q30" s="36">
        <f>N30+'A-TRY'!Q30</f>
        <v>6830601625.271246</v>
      </c>
      <c r="R30" s="36">
        <f>O30+'A-TRY'!R30</f>
        <v>6685665789.9583654</v>
      </c>
      <c r="S30" s="19"/>
      <c r="T30" s="36">
        <f>Q30+'A-TRY'!T30</f>
        <v>8076254510.0584745</v>
      </c>
      <c r="U30" s="36">
        <f>R30+'A-TRY'!U30</f>
        <v>7961766599.9469662</v>
      </c>
      <c r="V30" s="19"/>
      <c r="W30" s="36">
        <f>T30+'A-TRY'!W30</f>
        <v>9195054455.7354584</v>
      </c>
      <c r="X30" s="36">
        <f>U30+'A-TRY'!X30</f>
        <v>8998761677.4083691</v>
      </c>
      <c r="Y30" s="19"/>
      <c r="Z30" s="36">
        <f>W30+'A-TRY'!Z30</f>
        <v>10617114029.677097</v>
      </c>
      <c r="AA30" s="36">
        <f>X30+'A-TRY'!AA30</f>
        <v>10263008899.539886</v>
      </c>
      <c r="AB30" s="19"/>
      <c r="AC30" s="36">
        <f>Z30+'A-TRY'!AC30</f>
        <v>12071130455.282272</v>
      </c>
      <c r="AD30" s="36">
        <f>AA30+'A-TRY'!AD30</f>
        <v>10263008899.539886</v>
      </c>
      <c r="AE30" s="19"/>
      <c r="AF30" s="36">
        <f>AC30+'A-TRY'!AF30</f>
        <v>13490579405.239729</v>
      </c>
      <c r="AG30" s="36">
        <f>AD30+'A-TRY'!AG30</f>
        <v>10263008899.539886</v>
      </c>
      <c r="AH30" s="19"/>
      <c r="AI30" s="36">
        <f>AF30+'A-TRY'!AI30</f>
        <v>14799354422.573786</v>
      </c>
      <c r="AJ30" s="36">
        <f>AG30+'A-TRY'!AJ30</f>
        <v>10263008899.539886</v>
      </c>
      <c r="AK30" s="19"/>
      <c r="AL30" s="37">
        <f t="shared" si="5"/>
        <v>-354105130.13721085</v>
      </c>
      <c r="AM30" s="112">
        <f>AP30/AO30-1</f>
        <v>-3.3352296033311024E-2</v>
      </c>
      <c r="AO30" s="44">
        <f t="shared" si="6"/>
        <v>10617114029.677097</v>
      </c>
      <c r="AP30" s="44">
        <f t="shared" si="6"/>
        <v>10263008899.539886</v>
      </c>
    </row>
    <row r="31" spans="1:42" s="45" customFormat="1" ht="15.5">
      <c r="A31" s="35" t="s">
        <v>62</v>
      </c>
      <c r="B31" s="36">
        <f>'A-TRY'!B31</f>
        <v>-828386094.12528086</v>
      </c>
      <c r="C31" s="36">
        <f>'A-TRY'!C31</f>
        <v>-916411931.44896662</v>
      </c>
      <c r="D31" s="72">
        <f>+(C31/B31)-1</f>
        <v>0.10626184812606621</v>
      </c>
      <c r="E31" s="36">
        <f>B31+'A-TRY'!E31</f>
        <v>-1681430556.5759006</v>
      </c>
      <c r="F31" s="36">
        <f>C31+'A-TRY'!F31</f>
        <v>-1737077520.7081895</v>
      </c>
      <c r="G31" s="19"/>
      <c r="H31" s="36">
        <f>E31+'A-TRY'!H31</f>
        <v>-2636235082.8964071</v>
      </c>
      <c r="I31" s="36">
        <f>F31+'A-TRY'!I31</f>
        <v>-2650561255.2321939</v>
      </c>
      <c r="J31" s="19"/>
      <c r="K31" s="36">
        <f>H31+'A-TRY'!K31</f>
        <v>-3556095091.9773064</v>
      </c>
      <c r="L31" s="36">
        <f>I31+'A-TRY'!L31</f>
        <v>-3583884702.8512349</v>
      </c>
      <c r="M31" s="76"/>
      <c r="N31" s="36">
        <f>K31+'A-TRY'!N31</f>
        <v>-4507693485.9176311</v>
      </c>
      <c r="O31" s="36">
        <f>L31+'A-TRY'!O31</f>
        <v>-4571225843.3546801</v>
      </c>
      <c r="P31" s="19"/>
      <c r="Q31" s="36">
        <f>N31+'A-TRY'!Q31</f>
        <v>-5458826663.9945393</v>
      </c>
      <c r="R31" s="36">
        <f>O31+'A-TRY'!R31</f>
        <v>-5446811616.2889156</v>
      </c>
      <c r="S31" s="19"/>
      <c r="T31" s="36">
        <f>Q31+'A-TRY'!T31</f>
        <v>-6450366063.7982988</v>
      </c>
      <c r="U31" s="36">
        <f>R31+'A-TRY'!U31</f>
        <v>-6489479933.1765528</v>
      </c>
      <c r="V31" s="19"/>
      <c r="W31" s="36">
        <f>T31+'A-TRY'!W31</f>
        <v>-7371009553.944725</v>
      </c>
      <c r="X31" s="36">
        <f>U31+'A-TRY'!X31</f>
        <v>-7329368543.5815802</v>
      </c>
      <c r="Y31" s="19">
        <f>X31-W31</f>
        <v>41641010.363144875</v>
      </c>
      <c r="Z31" s="36">
        <f>W31+'A-TRY'!Z31</f>
        <v>-8452467720.1568003</v>
      </c>
      <c r="AA31" s="36">
        <f>X31+'A-TRY'!AA31</f>
        <v>-8286557396.5015612</v>
      </c>
      <c r="AB31" s="19"/>
      <c r="AC31" s="36">
        <f>Z31+'A-TRY'!AC31</f>
        <v>-9583685830.525671</v>
      </c>
      <c r="AD31" s="36">
        <f>AA31+'A-TRY'!AD31</f>
        <v>-8286557396.5015612</v>
      </c>
      <c r="AE31" s="19"/>
      <c r="AF31" s="36">
        <f>AC31+'A-TRY'!AF31</f>
        <v>-10681938985.112064</v>
      </c>
      <c r="AG31" s="36">
        <f>AD31+'A-TRY'!AG31</f>
        <v>-8286557396.5015612</v>
      </c>
      <c r="AH31" s="19"/>
      <c r="AI31" s="36">
        <f>AF31+'A-TRY'!AI31</f>
        <v>-11697306422.206289</v>
      </c>
      <c r="AJ31" s="36">
        <f>AG31+'A-TRY'!AJ31</f>
        <v>-8286557396.5015612</v>
      </c>
      <c r="AK31" s="19"/>
      <c r="AL31" s="37">
        <f t="shared" si="5"/>
        <v>165910323.65523911</v>
      </c>
      <c r="AM31" s="112">
        <f>AP31/AO31-1</f>
        <v>-1.9628625526671772E-2</v>
      </c>
      <c r="AO31" s="44">
        <f t="shared" si="6"/>
        <v>-8452467720.1568003</v>
      </c>
      <c r="AP31" s="44">
        <f t="shared" si="6"/>
        <v>-8286557396.5015612</v>
      </c>
    </row>
    <row r="32" spans="1:42" s="44" customFormat="1" ht="15.5">
      <c r="A32" s="31" t="s">
        <v>63</v>
      </c>
      <c r="B32" s="32">
        <f>'A-TRY'!B32</f>
        <v>196517295.09898442</v>
      </c>
      <c r="C32" s="32">
        <f>'A-TRY'!C32</f>
        <v>191911969.06091854</v>
      </c>
      <c r="D32" s="72">
        <f>+(C32/B32)-1</f>
        <v>-2.3434711106451012E-2</v>
      </c>
      <c r="E32" s="32">
        <f>B32+'A-TRY'!E32</f>
        <v>408420271.54229367</v>
      </c>
      <c r="F32" s="32">
        <f>C32+'A-TRY'!F32</f>
        <v>389283104.13056099</v>
      </c>
      <c r="G32" s="18"/>
      <c r="H32" s="32">
        <f>E32+'A-TRY'!H32</f>
        <v>656197867.5072453</v>
      </c>
      <c r="I32" s="32">
        <f>F32+'A-TRY'!I32</f>
        <v>592479994.93370974</v>
      </c>
      <c r="J32" s="18"/>
      <c r="K32" s="32">
        <f>H32+'A-TRY'!K32</f>
        <v>875929434.02031946</v>
      </c>
      <c r="L32" s="32">
        <f>I32+'A-TRY'!L32</f>
        <v>794372472.72009301</v>
      </c>
      <c r="M32" s="76"/>
      <c r="N32" s="32">
        <f>K32+'A-TRY'!N32</f>
        <v>1130124797.8993185</v>
      </c>
      <c r="O32" s="32">
        <f>L32+'A-TRY'!O32</f>
        <v>1041718295.2871898</v>
      </c>
      <c r="P32" s="18"/>
      <c r="Q32" s="32">
        <f>N32+'A-TRY'!Q32</f>
        <v>1371774961.2767057</v>
      </c>
      <c r="R32" s="32">
        <f>O32+'A-TRY'!R32</f>
        <v>1238854173.6694491</v>
      </c>
      <c r="S32" s="18"/>
      <c r="T32" s="32">
        <f>Q32+'A-TRY'!T32</f>
        <v>1625888446.2601748</v>
      </c>
      <c r="U32" s="32">
        <f>R32+'A-TRY'!U32</f>
        <v>1472286666.7704129</v>
      </c>
      <c r="V32" s="18"/>
      <c r="W32" s="32">
        <f>T32+'A-TRY'!W32</f>
        <v>1824044901.7907329</v>
      </c>
      <c r="X32" s="32">
        <f>U32+'A-TRY'!X32</f>
        <v>1669393133.8267891</v>
      </c>
      <c r="Y32" s="18"/>
      <c r="Z32" s="32">
        <f>W32+'A-TRY'!Z32</f>
        <v>2164646309.5202956</v>
      </c>
      <c r="AA32" s="32">
        <f>X32+'A-TRY'!AA32</f>
        <v>1976451503.0383267</v>
      </c>
      <c r="AB32" s="18"/>
      <c r="AC32" s="32">
        <f>Z32+'A-TRY'!AC32</f>
        <v>2487444624.7565999</v>
      </c>
      <c r="AD32" s="32">
        <f>AA32+'A-TRY'!AD32</f>
        <v>1976451503.0383267</v>
      </c>
      <c r="AE32" s="18"/>
      <c r="AF32" s="32">
        <f>AC32+'A-TRY'!AF32</f>
        <v>2808640420.1276622</v>
      </c>
      <c r="AG32" s="32">
        <f>AD32+'A-TRY'!AG32</f>
        <v>1976451503.0383267</v>
      </c>
      <c r="AH32" s="18"/>
      <c r="AI32" s="32">
        <f>AF32+'A-TRY'!AI32</f>
        <v>3102048000.3674946</v>
      </c>
      <c r="AJ32" s="32">
        <f>AG32+'A-TRY'!AJ32</f>
        <v>1976451503.0383267</v>
      </c>
      <c r="AK32" s="18"/>
      <c r="AL32" s="33">
        <f t="shared" si="5"/>
        <v>-188194806.48196888</v>
      </c>
      <c r="AM32" s="113">
        <f>AP32/AO32-1</f>
        <v>-8.6940210811471741E-2</v>
      </c>
      <c r="AO32" s="44">
        <f t="shared" si="6"/>
        <v>2164646309.5202956</v>
      </c>
      <c r="AP32" s="44">
        <f t="shared" si="6"/>
        <v>1976451503.0383267</v>
      </c>
    </row>
    <row r="33" spans="1:42" s="46" customFormat="1" ht="15.5">
      <c r="A33" s="29" t="s">
        <v>64</v>
      </c>
      <c r="B33" s="28">
        <f>B32/B30</f>
        <v>0.19174226289535989</v>
      </c>
      <c r="C33" s="28">
        <f>C32/C30</f>
        <v>0.17315512998738847</v>
      </c>
      <c r="D33" s="40"/>
      <c r="E33" s="28">
        <f>E32/E30</f>
        <v>0.19543034653342012</v>
      </c>
      <c r="F33" s="28">
        <f>F32/F30</f>
        <v>0.18307482728151142</v>
      </c>
      <c r="G33" s="40"/>
      <c r="H33" s="73">
        <f>H32/H30</f>
        <v>0.19930485370303302</v>
      </c>
      <c r="I33" s="73">
        <f>I32/I30</f>
        <v>0.18269271009223217</v>
      </c>
      <c r="J33" s="40"/>
      <c r="K33" s="28">
        <f>K32/K30</f>
        <v>0.19763641398693577</v>
      </c>
      <c r="L33" s="28">
        <f>L32/L30</f>
        <v>0.18143577246954062</v>
      </c>
      <c r="M33" s="40"/>
      <c r="N33" s="28">
        <f>N32/N30</f>
        <v>0.20045427876653635</v>
      </c>
      <c r="O33" s="28">
        <f>O32/O30</f>
        <v>0.18559213659647217</v>
      </c>
      <c r="P33" s="40"/>
      <c r="Q33" s="28">
        <f>Q32/Q30</f>
        <v>0.20082783867844614</v>
      </c>
      <c r="R33" s="28">
        <f>R32/R30</f>
        <v>0.18530004528945559</v>
      </c>
      <c r="S33" s="40"/>
      <c r="T33" s="28">
        <f>T32/T30</f>
        <v>0.2013171383139587</v>
      </c>
      <c r="U33" s="28">
        <f>U32/U30</f>
        <v>0.18491959645993891</v>
      </c>
      <c r="V33" s="40"/>
      <c r="W33" s="28">
        <f>W32/W30</f>
        <v>0.19837238708825441</v>
      </c>
      <c r="X33" s="28">
        <f>X32/X30</f>
        <v>0.18551365106355078</v>
      </c>
      <c r="Y33" s="40"/>
      <c r="Z33" s="28">
        <f>Z32/Z30</f>
        <v>0.20388274096610884</v>
      </c>
      <c r="AA33" s="28">
        <f>AA32/AA30</f>
        <v>0.19258012171527353</v>
      </c>
      <c r="AB33" s="40"/>
      <c r="AC33" s="28">
        <f>AC32/AC30</f>
        <v>0.20606559045744596</v>
      </c>
      <c r="AD33" s="28">
        <f>AD32/AD30</f>
        <v>0.19258012171527353</v>
      </c>
      <c r="AE33" s="40"/>
      <c r="AF33" s="28">
        <f>AF32/AF30</f>
        <v>0.2081927199536581</v>
      </c>
      <c r="AG33" s="28">
        <f>AG32/AG30</f>
        <v>0.19258012171527353</v>
      </c>
      <c r="AH33" s="40"/>
      <c r="AI33" s="28">
        <f>AI32/AI30</f>
        <v>0.20960698093937608</v>
      </c>
      <c r="AJ33" s="28">
        <f>AJ32/AJ30</f>
        <v>0.19258012171527353</v>
      </c>
      <c r="AK33" s="40"/>
      <c r="AL33" s="15"/>
      <c r="AM33" s="22">
        <f>AP33-AO33</f>
        <v>-1.1302619250835311E-2</v>
      </c>
      <c r="AO33" s="44">
        <f t="shared" si="6"/>
        <v>0.20388274096610884</v>
      </c>
      <c r="AP33" s="44">
        <f t="shared" si="6"/>
        <v>0.19258012171527353</v>
      </c>
    </row>
    <row r="34" spans="1:42" ht="15.5">
      <c r="A34" s="2"/>
      <c r="B34" s="7"/>
      <c r="C34" s="7"/>
      <c r="D34" s="7"/>
      <c r="E34" s="7"/>
      <c r="F34" s="28">
        <f>F32/E32-1</f>
        <v>-4.6856556212222511E-2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5"/>
    </row>
    <row r="35" spans="1:42" s="49" customFormat="1" ht="17">
      <c r="A35" s="47" t="s">
        <v>65</v>
      </c>
      <c r="B35" s="413"/>
      <c r="C35" s="413"/>
      <c r="D35" s="413"/>
      <c r="E35" s="413"/>
      <c r="F35" s="413"/>
      <c r="G35" s="413"/>
      <c r="H35" s="413"/>
      <c r="I35" s="413"/>
      <c r="J35" s="413"/>
      <c r="K35" s="413"/>
      <c r="L35" s="413"/>
      <c r="M35" s="413"/>
      <c r="N35" s="413"/>
      <c r="O35" s="413"/>
      <c r="P35" s="413"/>
      <c r="Q35" s="413"/>
      <c r="R35" s="413"/>
      <c r="S35" s="413"/>
      <c r="T35" s="413"/>
      <c r="U35" s="413"/>
      <c r="V35" s="413"/>
      <c r="W35" s="413"/>
      <c r="X35" s="413"/>
      <c r="Y35" s="413"/>
      <c r="Z35" s="413"/>
      <c r="AA35" s="413"/>
      <c r="AB35" s="413"/>
      <c r="AC35" s="413"/>
      <c r="AD35" s="413"/>
      <c r="AE35" s="413"/>
      <c r="AF35" s="413"/>
      <c r="AG35" s="413"/>
      <c r="AH35" s="413"/>
      <c r="AI35" s="413"/>
      <c r="AJ35" s="413"/>
      <c r="AK35" s="413"/>
      <c r="AL35" s="413"/>
      <c r="AM35" s="48"/>
    </row>
    <row r="36" spans="1:42" ht="15.5">
      <c r="A36" s="26" t="s">
        <v>10</v>
      </c>
      <c r="B36" s="7">
        <f>'A-TRY'!B36</f>
        <v>26545528.129195999</v>
      </c>
      <c r="C36" s="7">
        <f>'A-TRY'!C36</f>
        <v>27685618.760000002</v>
      </c>
      <c r="D36" s="7"/>
      <c r="E36" s="7">
        <f>B36+'A-TRY'!E36</f>
        <v>53964982.981275998</v>
      </c>
      <c r="F36" s="7">
        <f>C36+'A-TRY'!F36</f>
        <v>54926556.189999998</v>
      </c>
      <c r="G36" s="7"/>
      <c r="H36" s="7">
        <f>E36+'A-TRY'!H36</f>
        <v>85294190.715184003</v>
      </c>
      <c r="I36" s="7">
        <f>F36+'A-TRY'!I36</f>
        <v>86461811.979999989</v>
      </c>
      <c r="J36" s="7"/>
      <c r="K36" s="7">
        <f>H36+'A-TRY'!K36</f>
        <v>114575787.97485301</v>
      </c>
      <c r="L36" s="7">
        <f>I36+'A-TRY'!L36</f>
        <v>115864364.99999999</v>
      </c>
      <c r="M36" s="7"/>
      <c r="N36" s="7">
        <f>K36+'A-TRY'!N36</f>
        <v>145918482.97386003</v>
      </c>
      <c r="O36" s="7">
        <f>L36+'A-TRY'!O36</f>
        <v>149824621.89999998</v>
      </c>
      <c r="P36" s="7"/>
      <c r="Q36" s="7">
        <f>N36+'A-TRY'!Q36</f>
        <v>177152458.79029801</v>
      </c>
      <c r="R36" s="7">
        <f>O36+'A-TRY'!R36</f>
        <v>180053018.64999998</v>
      </c>
      <c r="S36" s="7"/>
      <c r="T36" s="7">
        <f>Q36+'A-TRY'!T36</f>
        <v>208725601.80991</v>
      </c>
      <c r="U36" s="7">
        <f>R36+'A-TRY'!U36</f>
        <v>214297122.95999998</v>
      </c>
      <c r="V36" s="7"/>
      <c r="W36" s="7">
        <f>T36+'A-TRY'!W36</f>
        <v>237245954.51986799</v>
      </c>
      <c r="X36" s="7">
        <f>U36+'A-TRY'!X36</f>
        <v>242857796.04999998</v>
      </c>
      <c r="Y36" s="7"/>
      <c r="Z36" s="7">
        <f>W36+'A-TRY'!Z36</f>
        <v>275138018.65237296</v>
      </c>
      <c r="AA36" s="7">
        <f>X36+'A-TRY'!AA36</f>
        <v>281042657.82999998</v>
      </c>
      <c r="AB36" s="7"/>
      <c r="AC36" s="7">
        <f>Z36+'A-TRY'!AC36</f>
        <v>312643362.72080094</v>
      </c>
      <c r="AD36" s="7">
        <f>AA36+'A-TRY'!AD36</f>
        <v>281042657.82999998</v>
      </c>
      <c r="AE36" s="7"/>
      <c r="AF36" s="7">
        <f>AC36+'A-TRY'!AF36</f>
        <v>349220810.06069493</v>
      </c>
      <c r="AG36" s="7">
        <f>AD36+'A-TRY'!AG36</f>
        <v>281042657.82999998</v>
      </c>
      <c r="AH36" s="7"/>
      <c r="AI36" s="7">
        <f>AF36+'A-TRY'!AI36</f>
        <v>382350115.97649193</v>
      </c>
      <c r="AJ36" s="7">
        <f>AG36+'A-TRY'!AJ36</f>
        <v>281042657.82999998</v>
      </c>
      <c r="AK36" s="7"/>
      <c r="AL36" s="21">
        <f t="shared" ref="AL36:AL70" si="7">AP36-AO36</f>
        <v>5904639.177627027</v>
      </c>
      <c r="AM36" s="22">
        <f t="shared" ref="AM36:AM70" si="8">AP36/AO36-1</f>
        <v>2.1460644394213357E-2</v>
      </c>
      <c r="AO36" s="44">
        <f t="shared" ref="AO36:AP70" si="9">IF($A$1=$B$1,B36,IF($A$1=$E$1,E36,IF($A$1=$H$1,H36,IF($A$1=$K$1,K36,IF($A$1=$N$1,N36,IF($A$1=$Q$1,Q36,IF($A$1=$T$1,T36,IF($A$1=$W$1,W36,IF($A$1=$Z$1,Z36,IF($A$1=$AC$1,AC36,IF($A$1=$AF$1,AF36,IF($A$1=$AI$1,AI36))))))))))))</f>
        <v>275138018.65237296</v>
      </c>
      <c r="AP36" s="44">
        <f t="shared" si="9"/>
        <v>281042657.82999998</v>
      </c>
    </row>
    <row r="37" spans="1:42" ht="15.5">
      <c r="A37" s="26" t="s">
        <v>11</v>
      </c>
      <c r="B37" s="7">
        <f>'A-TRY'!B37</f>
        <v>5302329.4831189997</v>
      </c>
      <c r="C37" s="7">
        <f>'A-TRY'!C37</f>
        <v>4212328.126495</v>
      </c>
      <c r="D37" s="7"/>
      <c r="E37" s="7">
        <f>B37+'A-TRY'!E37</f>
        <v>14699500.567240003</v>
      </c>
      <c r="F37" s="7">
        <f>C37+'A-TRY'!F37</f>
        <v>11768300.510758005</v>
      </c>
      <c r="G37" s="7"/>
      <c r="H37" s="7">
        <f>E37+'A-TRY'!H37</f>
        <v>25177311.562339004</v>
      </c>
      <c r="I37" s="7">
        <f>F37+'A-TRY'!I37</f>
        <v>19103261.253033005</v>
      </c>
      <c r="J37" s="7"/>
      <c r="K37" s="7">
        <f>H37+'A-TRY'!K37</f>
        <v>38712388.761065006</v>
      </c>
      <c r="L37" s="7">
        <f>I37+'A-TRY'!L37</f>
        <v>24172927.438963003</v>
      </c>
      <c r="M37" s="7"/>
      <c r="N37" s="7">
        <f>K37+'A-TRY'!N37</f>
        <v>53608309.749901012</v>
      </c>
      <c r="O37" s="7">
        <f>L37+'A-TRY'!O37</f>
        <v>31886025.140939005</v>
      </c>
      <c r="P37" s="7"/>
      <c r="Q37" s="7">
        <f>N37+'A-TRY'!Q37</f>
        <v>68130364.576832011</v>
      </c>
      <c r="R37" s="7">
        <f>O37+'A-TRY'!R37</f>
        <v>40092420.700510003</v>
      </c>
      <c r="S37" s="7"/>
      <c r="T37" s="7">
        <f>Q37+'A-TRY'!T37</f>
        <v>80407790.695197016</v>
      </c>
      <c r="U37" s="7">
        <f>R37+'A-TRY'!U37</f>
        <v>49138933.876373</v>
      </c>
      <c r="V37" s="7"/>
      <c r="W37" s="7">
        <f>T37+'A-TRY'!W37</f>
        <v>87487384.206870019</v>
      </c>
      <c r="X37" s="7">
        <f>U37+'A-TRY'!X37</f>
        <v>55210773.183964998</v>
      </c>
      <c r="Y37" s="7"/>
      <c r="Z37" s="7">
        <f>W37+'A-TRY'!Z37</f>
        <v>96226725.332904026</v>
      </c>
      <c r="AA37" s="7">
        <f>X37+'A-TRY'!AA37</f>
        <v>60223544.907943994</v>
      </c>
      <c r="AB37" s="7"/>
      <c r="AC37" s="7">
        <f>Z37+'A-TRY'!AC37</f>
        <v>102664276.30074802</v>
      </c>
      <c r="AD37" s="7">
        <f>AA37+'A-TRY'!AD37</f>
        <v>60223544.907943994</v>
      </c>
      <c r="AE37" s="7"/>
      <c r="AF37" s="7">
        <f>AC37+'A-TRY'!AF37</f>
        <v>108077366.93255103</v>
      </c>
      <c r="AG37" s="7">
        <f>AD37+'A-TRY'!AG37</f>
        <v>60223544.907943994</v>
      </c>
      <c r="AH37" s="7"/>
      <c r="AI37" s="7">
        <f>AF37+'A-TRY'!AI37</f>
        <v>111698647.40053102</v>
      </c>
      <c r="AJ37" s="7">
        <f>AG37+'A-TRY'!AJ37</f>
        <v>60223544.907943994</v>
      </c>
      <c r="AK37" s="7"/>
      <c r="AL37" s="21">
        <f t="shared" si="7"/>
        <v>-36003180.424960032</v>
      </c>
      <c r="AM37" s="22">
        <f t="shared" si="8"/>
        <v>-0.37414949225804117</v>
      </c>
      <c r="AO37" s="44">
        <f t="shared" si="9"/>
        <v>96226725.332904026</v>
      </c>
      <c r="AP37" s="44">
        <f t="shared" si="9"/>
        <v>60223544.907943994</v>
      </c>
    </row>
    <row r="38" spans="1:42" ht="15.5">
      <c r="A38" s="26" t="s">
        <v>12</v>
      </c>
      <c r="B38" s="7">
        <f>'A-TRY'!B38</f>
        <v>6166778.4274010025</v>
      </c>
      <c r="C38" s="7">
        <f>'A-TRY'!C38</f>
        <v>5714380.9899999984</v>
      </c>
      <c r="D38" s="7"/>
      <c r="E38" s="7">
        <f>B38+'A-TRY'!E38</f>
        <v>12522757.325505</v>
      </c>
      <c r="F38" s="7">
        <f>C38+'A-TRY'!F38</f>
        <v>11397120.759999994</v>
      </c>
      <c r="G38" s="7"/>
      <c r="H38" s="7">
        <f>E38+'A-TRY'!H38</f>
        <v>21983882.649708997</v>
      </c>
      <c r="I38" s="7">
        <f>F38+'A-TRY'!I38</f>
        <v>18804699.819999997</v>
      </c>
      <c r="J38" s="7"/>
      <c r="K38" s="7">
        <f>H38+'A-TRY'!K38</f>
        <v>32274393.682828996</v>
      </c>
      <c r="L38" s="7">
        <f>I38+'A-TRY'!L38</f>
        <v>25795413.470000003</v>
      </c>
      <c r="M38" s="7"/>
      <c r="N38" s="7">
        <f>K38+'A-TRY'!N38</f>
        <v>43792393.330584005</v>
      </c>
      <c r="O38" s="7">
        <f>L38+'A-TRY'!O38</f>
        <v>32575926.57</v>
      </c>
      <c r="P38" s="7"/>
      <c r="Q38" s="7">
        <f>N38+'A-TRY'!Q38</f>
        <v>55755645.954083011</v>
      </c>
      <c r="R38" s="7">
        <f>O38+'A-TRY'!R38</f>
        <v>39023165.57</v>
      </c>
      <c r="S38" s="7"/>
      <c r="T38" s="7">
        <f>Q38+'A-TRY'!T38</f>
        <v>69281475.660461009</v>
      </c>
      <c r="U38" s="7">
        <f>R38+'A-TRY'!U38</f>
        <v>47115177.442999996</v>
      </c>
      <c r="V38" s="7"/>
      <c r="W38" s="7">
        <f>T38+'A-TRY'!W38</f>
        <v>81651005.590732008</v>
      </c>
      <c r="X38" s="7">
        <f>U38+'A-TRY'!X38</f>
        <v>53282457.700999998</v>
      </c>
      <c r="Y38" s="7"/>
      <c r="Z38" s="7">
        <f>W38+'A-TRY'!Z38</f>
        <v>94114463.908295006</v>
      </c>
      <c r="AA38" s="7">
        <f>X38+'A-TRY'!AA38</f>
        <v>61516142.581</v>
      </c>
      <c r="AB38" s="7"/>
      <c r="AC38" s="7">
        <f>Z38+'A-TRY'!AC38</f>
        <v>106515521.13068901</v>
      </c>
      <c r="AD38" s="7">
        <f>AA38+'A-TRY'!AD38</f>
        <v>61516142.581</v>
      </c>
      <c r="AE38" s="7"/>
      <c r="AF38" s="7">
        <f>AC38+'A-TRY'!AF38</f>
        <v>119754176.317938</v>
      </c>
      <c r="AG38" s="7">
        <f>AD38+'A-TRY'!AG38</f>
        <v>61516142.581</v>
      </c>
      <c r="AH38" s="7"/>
      <c r="AI38" s="7">
        <f>AF38+'A-TRY'!AI38</f>
        <v>132177355.289177</v>
      </c>
      <c r="AJ38" s="7">
        <f>AG38+'A-TRY'!AJ38</f>
        <v>61516142.581</v>
      </c>
      <c r="AK38" s="7"/>
      <c r="AL38" s="21">
        <f t="shared" si="7"/>
        <v>-32598321.327295005</v>
      </c>
      <c r="AM38" s="22">
        <f t="shared" si="8"/>
        <v>-0.34636887863547483</v>
      </c>
      <c r="AO38" s="44">
        <f t="shared" si="9"/>
        <v>94114463.908295006</v>
      </c>
      <c r="AP38" s="44">
        <f t="shared" si="9"/>
        <v>61516142.581</v>
      </c>
    </row>
    <row r="39" spans="1:42" ht="15.5">
      <c r="A39" s="26" t="s">
        <v>13</v>
      </c>
      <c r="B39" s="7">
        <f>'A-TRY'!B39</f>
        <v>129004483.80444393</v>
      </c>
      <c r="C39" s="7">
        <f>'A-TRY'!C39</f>
        <v>116748048.34569</v>
      </c>
      <c r="D39" s="7"/>
      <c r="E39" s="7">
        <f>B39+'A-TRY'!E39</f>
        <v>258801794.69364798</v>
      </c>
      <c r="F39" s="7">
        <f>C39+'A-TRY'!F39</f>
        <v>225568021.21950403</v>
      </c>
      <c r="G39" s="7"/>
      <c r="H39" s="7">
        <f>E39+'A-TRY'!H39</f>
        <v>401106566.20660198</v>
      </c>
      <c r="I39" s="7">
        <f>F39+'A-TRY'!I39</f>
        <v>295505130.88884604</v>
      </c>
      <c r="J39" s="7"/>
      <c r="K39" s="7">
        <f>H39+'A-TRY'!K39</f>
        <v>533883711.78614599</v>
      </c>
      <c r="L39" s="7">
        <f>I39+'A-TRY'!L39</f>
        <v>353603180.13997</v>
      </c>
      <c r="M39" s="7"/>
      <c r="N39" s="7">
        <f>K39+'A-TRY'!N39</f>
        <v>670055375.17587006</v>
      </c>
      <c r="O39" s="7">
        <f>L39+'A-TRY'!O39</f>
        <v>429887039.81053507</v>
      </c>
      <c r="P39" s="7"/>
      <c r="Q39" s="7">
        <f>N39+'A-TRY'!Q39</f>
        <v>821455653.8414371</v>
      </c>
      <c r="R39" s="7">
        <f>O39+'A-TRY'!R39</f>
        <v>469727511.46225399</v>
      </c>
      <c r="S39" s="7"/>
      <c r="T39" s="7">
        <f>Q39+'A-TRY'!T39</f>
        <v>996450857.65522313</v>
      </c>
      <c r="U39" s="7">
        <f>R39+'A-TRY'!U39</f>
        <v>527604236.7724489</v>
      </c>
      <c r="V39" s="7"/>
      <c r="W39" s="7">
        <f>T39+'A-TRY'!W39</f>
        <v>1182516086.4717982</v>
      </c>
      <c r="X39" s="7">
        <f>U39+'A-TRY'!X39</f>
        <v>639748045.21286988</v>
      </c>
      <c r="Y39" s="7"/>
      <c r="Z39" s="7">
        <f>W39+'A-TRY'!Z39</f>
        <v>1393664516.4203343</v>
      </c>
      <c r="AA39" s="7">
        <f>X39+'A-TRY'!AA39</f>
        <v>719380997.24534285</v>
      </c>
      <c r="AB39" s="7"/>
      <c r="AC39" s="7">
        <f>Z39+'A-TRY'!AC39</f>
        <v>1640473864.5241764</v>
      </c>
      <c r="AD39" s="7">
        <f>AA39+'A-TRY'!AD39</f>
        <v>719380997.24534285</v>
      </c>
      <c r="AE39" s="7"/>
      <c r="AF39" s="7">
        <f>AC39+'A-TRY'!AF39</f>
        <v>1894883065.9015744</v>
      </c>
      <c r="AG39" s="7">
        <f>AD39+'A-TRY'!AG39</f>
        <v>719380997.24534285</v>
      </c>
      <c r="AH39" s="7"/>
      <c r="AI39" s="7">
        <f>AF39+'A-TRY'!AI39</f>
        <v>2191075104.1617117</v>
      </c>
      <c r="AJ39" s="7">
        <f>AG39+'A-TRY'!AJ39</f>
        <v>719380997.24534285</v>
      </c>
      <c r="AK39" s="7"/>
      <c r="AL39" s="21">
        <f t="shared" si="7"/>
        <v>-674283519.17499149</v>
      </c>
      <c r="AM39" s="22">
        <f t="shared" si="8"/>
        <v>-0.48382054018775422</v>
      </c>
      <c r="AO39" s="44">
        <f t="shared" si="9"/>
        <v>1393664516.4203343</v>
      </c>
      <c r="AP39" s="44">
        <f t="shared" si="9"/>
        <v>719380997.24534285</v>
      </c>
    </row>
    <row r="40" spans="1:42" s="1" customFormat="1" ht="15.5">
      <c r="A40" s="26" t="s">
        <v>14</v>
      </c>
      <c r="B40" s="7">
        <f>'A-TRY'!B40</f>
        <v>48465518.000000007</v>
      </c>
      <c r="C40" s="7">
        <f>'A-TRY'!C40</f>
        <v>44308044.796276987</v>
      </c>
      <c r="D40" s="8"/>
      <c r="E40" s="7">
        <f>B40+'A-TRY'!E40</f>
        <v>99019696.000000015</v>
      </c>
      <c r="F40" s="7">
        <f>C40+'A-TRY'!F40</f>
        <v>94103876.618969008</v>
      </c>
      <c r="G40" s="8"/>
      <c r="H40" s="7">
        <f>E40+'A-TRY'!H40</f>
        <v>148767110</v>
      </c>
      <c r="I40" s="7">
        <f>F40+'A-TRY'!I40</f>
        <v>141399296.97374398</v>
      </c>
      <c r="J40" s="8"/>
      <c r="K40" s="7">
        <f>H40+'A-TRY'!K40</f>
        <v>194756230.6380128</v>
      </c>
      <c r="L40" s="7">
        <f>I40+'A-TRY'!L40</f>
        <v>182517832.09745702</v>
      </c>
      <c r="M40" s="76"/>
      <c r="N40" s="7">
        <f>K40+'A-TRY'!N40</f>
        <v>244331622.99507445</v>
      </c>
      <c r="O40" s="7">
        <f>L40+'A-TRY'!O40</f>
        <v>236923364.79131901</v>
      </c>
      <c r="P40" s="8"/>
      <c r="Q40" s="7">
        <f>N40+'A-TRY'!Q40</f>
        <v>289515177.59740114</v>
      </c>
      <c r="R40" s="7">
        <f>O40+'A-TRY'!R40</f>
        <v>280114841.45235401</v>
      </c>
      <c r="S40" s="8"/>
      <c r="T40" s="7">
        <f>Q40+'A-TRY'!T40</f>
        <v>341258623.1194334</v>
      </c>
      <c r="U40" s="7">
        <f>R40+'A-TRY'!U40</f>
        <v>331557962.70290703</v>
      </c>
      <c r="V40" s="8"/>
      <c r="W40" s="7">
        <f>T40+'A-TRY'!W40</f>
        <v>395004919.58532959</v>
      </c>
      <c r="X40" s="7">
        <f>U40+'A-TRY'!X40</f>
        <v>384009678.46394503</v>
      </c>
      <c r="Y40" s="8"/>
      <c r="Z40" s="7">
        <f>W40+'A-TRY'!Z40</f>
        <v>448505682.23811722</v>
      </c>
      <c r="AA40" s="7">
        <f>X40+'A-TRY'!AA40</f>
        <v>441194506.21233302</v>
      </c>
      <c r="AB40" s="8"/>
      <c r="AC40" s="7">
        <f>Z40+'A-TRY'!AC40</f>
        <v>510713415.5342319</v>
      </c>
      <c r="AD40" s="7">
        <f>AA40+'A-TRY'!AD40</f>
        <v>441194506.21233302</v>
      </c>
      <c r="AE40" s="8"/>
      <c r="AF40" s="7">
        <f>AC40+'A-TRY'!AF40</f>
        <v>568297083.1990068</v>
      </c>
      <c r="AG40" s="7">
        <f>AD40+'A-TRY'!AG40</f>
        <v>441194506.21233302</v>
      </c>
      <c r="AH40" s="8"/>
      <c r="AI40" s="7">
        <f>AF40+'A-TRY'!AI40</f>
        <v>623027295.63661397</v>
      </c>
      <c r="AJ40" s="7">
        <f>AG40+'A-TRY'!AJ40</f>
        <v>441194506.21233302</v>
      </c>
      <c r="AK40" s="8"/>
      <c r="AL40" s="21">
        <f t="shared" si="7"/>
        <v>-7311176.0257841945</v>
      </c>
      <c r="AM40" s="22">
        <f t="shared" si="8"/>
        <v>-1.630118929441482E-2</v>
      </c>
      <c r="AO40" s="44">
        <f t="shared" si="9"/>
        <v>448505682.23811722</v>
      </c>
      <c r="AP40" s="44">
        <f t="shared" si="9"/>
        <v>441194506.21233302</v>
      </c>
    </row>
    <row r="41" spans="1:42" ht="15.5">
      <c r="A41" s="26" t="s">
        <v>15</v>
      </c>
      <c r="B41" s="7">
        <f>'A-TRY'!B41</f>
        <v>47911594.301837832</v>
      </c>
      <c r="C41" s="7">
        <f>'A-TRY'!C41</f>
        <v>51212436.806704178</v>
      </c>
      <c r="D41" s="7"/>
      <c r="E41" s="7">
        <f>B41+'A-TRY'!E41</f>
        <v>114226306.05964862</v>
      </c>
      <c r="F41" s="7">
        <f>C41+'A-TRY'!F41</f>
        <v>129028170.13047606</v>
      </c>
      <c r="G41" s="7"/>
      <c r="H41" s="7">
        <f>E41+'A-TRY'!H41</f>
        <v>221950448.09034765</v>
      </c>
      <c r="I41" s="7">
        <f>F41+'A-TRY'!I41</f>
        <v>224775889.06976447</v>
      </c>
      <c r="J41" s="7"/>
      <c r="K41" s="7">
        <f>H41+'A-TRY'!K41</f>
        <v>276343938.70203578</v>
      </c>
      <c r="L41" s="7">
        <f>I41+'A-TRY'!L41</f>
        <v>321337957.04141152</v>
      </c>
      <c r="M41" s="7"/>
      <c r="N41" s="7">
        <f>K41+'A-TRY'!N41</f>
        <v>351877655.22323477</v>
      </c>
      <c r="O41" s="7">
        <f>L41+'A-TRY'!O41</f>
        <v>425823294.58045399</v>
      </c>
      <c r="P41" s="7"/>
      <c r="Q41" s="7">
        <f>N41+'A-TRY'!Q41</f>
        <v>439159968.97327048</v>
      </c>
      <c r="R41" s="7">
        <f>O41+'A-TRY'!R41</f>
        <v>527009787.78665805</v>
      </c>
      <c r="S41" s="7"/>
      <c r="T41" s="7">
        <f>Q41+'A-TRY'!T41</f>
        <v>487897811.36172664</v>
      </c>
      <c r="U41" s="7">
        <f>R41+'A-TRY'!U41</f>
        <v>622767196.04279971</v>
      </c>
      <c r="V41" s="7"/>
      <c r="W41" s="7">
        <f>T41+'A-TRY'!W41</f>
        <v>516732079.67458069</v>
      </c>
      <c r="X41" s="7">
        <f>U41+'A-TRY'!X41</f>
        <v>694722656.77506709</v>
      </c>
      <c r="Y41" s="7"/>
      <c r="Z41" s="7">
        <f>W41+'A-TRY'!Z41</f>
        <v>656132696.61593962</v>
      </c>
      <c r="AA41" s="7">
        <f>X41+'A-TRY'!AA41</f>
        <v>841045042.63419819</v>
      </c>
      <c r="AB41" s="7"/>
      <c r="AC41" s="7">
        <f>Z41+'A-TRY'!AC41</f>
        <v>750587285.53836298</v>
      </c>
      <c r="AD41" s="7">
        <f>AA41+'A-TRY'!AD41</f>
        <v>841045042.63419819</v>
      </c>
      <c r="AE41" s="7"/>
      <c r="AF41" s="7">
        <f>AC41+'A-TRY'!AF41</f>
        <v>846281450.84416878</v>
      </c>
      <c r="AG41" s="7">
        <f>AD41+'A-TRY'!AG41</f>
        <v>841045042.63419819</v>
      </c>
      <c r="AH41" s="7"/>
      <c r="AI41" s="7">
        <f>AF41+'A-TRY'!AI41</f>
        <v>922422475.85060823</v>
      </c>
      <c r="AJ41" s="7">
        <f>AG41+'A-TRY'!AJ41</f>
        <v>841045042.63419819</v>
      </c>
      <c r="AK41" s="7"/>
      <c r="AL41" s="21">
        <f t="shared" si="7"/>
        <v>184912346.01825857</v>
      </c>
      <c r="AM41" s="22">
        <f t="shared" si="8"/>
        <v>0.28182156897828703</v>
      </c>
      <c r="AO41" s="44">
        <f t="shared" si="9"/>
        <v>656132696.61593962</v>
      </c>
      <c r="AP41" s="44">
        <f t="shared" si="9"/>
        <v>841045042.63419819</v>
      </c>
    </row>
    <row r="42" spans="1:42" ht="15.5">
      <c r="A42" s="26" t="s">
        <v>16</v>
      </c>
      <c r="B42" s="7">
        <f>'A-TRY'!B42</f>
        <v>62710636.307743415</v>
      </c>
      <c r="C42" s="7">
        <f>'A-TRY'!C42</f>
        <v>64925515.635151044</v>
      </c>
      <c r="D42" s="7"/>
      <c r="E42" s="7">
        <f>B42+'A-TRY'!E42</f>
        <v>119211114.9675912</v>
      </c>
      <c r="F42" s="7">
        <f>C42+'A-TRY'!F42</f>
        <v>156468345.17006201</v>
      </c>
      <c r="G42" s="7"/>
      <c r="H42" s="7">
        <f>E42+'A-TRY'!H42</f>
        <v>200898004.53267327</v>
      </c>
      <c r="I42" s="7">
        <f>F42+'A-TRY'!I42</f>
        <v>247343505.61849621</v>
      </c>
      <c r="J42" s="7"/>
      <c r="K42" s="7">
        <f>H42+'A-TRY'!K42</f>
        <v>283216241.76888663</v>
      </c>
      <c r="L42" s="7">
        <f>I42+'A-TRY'!L42</f>
        <v>363175570.81498337</v>
      </c>
      <c r="M42" s="7"/>
      <c r="N42" s="7">
        <f>K42+'A-TRY'!N42</f>
        <v>369837183.12731302</v>
      </c>
      <c r="O42" s="7">
        <f>L42+'A-TRY'!O42</f>
        <v>456553814.00346583</v>
      </c>
      <c r="P42" s="7"/>
      <c r="Q42" s="7">
        <f>N42+'A-TRY'!Q42</f>
        <v>441821706.45521122</v>
      </c>
      <c r="R42" s="7">
        <f>O42+'A-TRY'!R42</f>
        <v>546318512.26688433</v>
      </c>
      <c r="S42" s="7"/>
      <c r="T42" s="7">
        <f>Q42+'A-TRY'!T42</f>
        <v>505744201.4781788</v>
      </c>
      <c r="U42" s="7">
        <f>R42+'A-TRY'!U42</f>
        <v>668174171.12597978</v>
      </c>
      <c r="V42" s="7"/>
      <c r="W42" s="7">
        <f>T42+'A-TRY'!W42</f>
        <v>548581117.49709988</v>
      </c>
      <c r="X42" s="7">
        <f>U42+'A-TRY'!X42</f>
        <v>753397043.12502098</v>
      </c>
      <c r="Y42" s="7"/>
      <c r="Z42" s="7">
        <f>W42+'A-TRY'!Z42</f>
        <v>652885508.11794043</v>
      </c>
      <c r="AA42" s="7">
        <f>X42+'A-TRY'!AA42</f>
        <v>917743144.32863021</v>
      </c>
      <c r="AB42" s="7"/>
      <c r="AC42" s="7">
        <f>Z42+'A-TRY'!AC42</f>
        <v>749389474.11080861</v>
      </c>
      <c r="AD42" s="7">
        <f>AA42+'A-TRY'!AD42</f>
        <v>917743144.32863021</v>
      </c>
      <c r="AE42" s="7"/>
      <c r="AF42" s="7">
        <f>AC42+'A-TRY'!AF42</f>
        <v>841067490.03417194</v>
      </c>
      <c r="AG42" s="7">
        <f>AD42+'A-TRY'!AG42</f>
        <v>917743144.32863021</v>
      </c>
      <c r="AH42" s="7"/>
      <c r="AI42" s="7">
        <f>AF42+'A-TRY'!AI42</f>
        <v>899360084.26512432</v>
      </c>
      <c r="AJ42" s="7">
        <f>AG42+'A-TRY'!AJ42</f>
        <v>917743144.32863021</v>
      </c>
      <c r="AK42" s="7"/>
      <c r="AL42" s="21">
        <f t="shared" si="7"/>
        <v>264857636.21068978</v>
      </c>
      <c r="AM42" s="22">
        <f t="shared" si="8"/>
        <v>0.4056724079757712</v>
      </c>
      <c r="AO42" s="44">
        <f t="shared" si="9"/>
        <v>652885508.11794043</v>
      </c>
      <c r="AP42" s="44">
        <f t="shared" si="9"/>
        <v>917743144.32863021</v>
      </c>
    </row>
    <row r="43" spans="1:42" ht="15.5">
      <c r="A43" s="26" t="s">
        <v>17</v>
      </c>
      <c r="B43" s="7">
        <f>'A-TRY'!B43</f>
        <v>108164415.23414582</v>
      </c>
      <c r="C43" s="7">
        <f>'A-TRY'!C43</f>
        <v>108555057.37723663</v>
      </c>
      <c r="D43" s="7"/>
      <c r="E43" s="7">
        <f>B43+'A-TRY'!E43</f>
        <v>226823664.94979376</v>
      </c>
      <c r="F43" s="7">
        <f>C43+'A-TRY'!F43</f>
        <v>172809403.53549644</v>
      </c>
      <c r="G43" s="7"/>
      <c r="H43" s="7">
        <f>E43+'A-TRY'!H43</f>
        <v>336634077.62041044</v>
      </c>
      <c r="I43" s="7">
        <f>F43+'A-TRY'!I43</f>
        <v>261251732.15084121</v>
      </c>
      <c r="J43" s="7"/>
      <c r="K43" s="7">
        <f>H43+'A-TRY'!K43</f>
        <v>437717036.10884988</v>
      </c>
      <c r="L43" s="7">
        <f>I43+'A-TRY'!L43</f>
        <v>350714876.93400311</v>
      </c>
      <c r="M43" s="7"/>
      <c r="N43" s="7">
        <f>K43+'A-TRY'!N43</f>
        <v>580912193.09094143</v>
      </c>
      <c r="O43" s="7">
        <f>L43+'A-TRY'!O43</f>
        <v>519391791.00485313</v>
      </c>
      <c r="P43" s="7"/>
      <c r="Q43" s="7">
        <f>N43+'A-TRY'!Q43</f>
        <v>684888723.02141213</v>
      </c>
      <c r="R43" s="7">
        <f>O43+'A-TRY'!R43</f>
        <v>626043268.90419745</v>
      </c>
      <c r="S43" s="7"/>
      <c r="T43" s="7">
        <f>Q43+'A-TRY'!T43</f>
        <v>837332451.62195516</v>
      </c>
      <c r="U43" s="7">
        <f>R43+'A-TRY'!U43</f>
        <v>754235014.5834645</v>
      </c>
      <c r="V43" s="7"/>
      <c r="W43" s="7">
        <f>T43+'A-TRY'!W43</f>
        <v>901317190.45434892</v>
      </c>
      <c r="X43" s="7">
        <f>U43+'A-TRY'!X43</f>
        <v>823227843.65265727</v>
      </c>
      <c r="Y43" s="7"/>
      <c r="Z43" s="7">
        <f>W43+'A-TRY'!Z43</f>
        <v>1096729350.6744776</v>
      </c>
      <c r="AA43" s="7">
        <f>X43+'A-TRY'!AA43</f>
        <v>1014809203.8779523</v>
      </c>
      <c r="AB43" s="7"/>
      <c r="AC43" s="7">
        <f>Z43+'A-TRY'!AC43</f>
        <v>1262889621.8033249</v>
      </c>
      <c r="AD43" s="7">
        <f>AA43+'A-TRY'!AD43</f>
        <v>1014809203.8779523</v>
      </c>
      <c r="AE43" s="7"/>
      <c r="AF43" s="7">
        <f>AC43+'A-TRY'!AF43</f>
        <v>1428441077.0622733</v>
      </c>
      <c r="AG43" s="7">
        <f>AD43+'A-TRY'!AG43</f>
        <v>1014809203.8779523</v>
      </c>
      <c r="AH43" s="7"/>
      <c r="AI43" s="7">
        <f>AF43+'A-TRY'!AI43</f>
        <v>1553669744.3391778</v>
      </c>
      <c r="AJ43" s="7">
        <f>AG43+'A-TRY'!AJ43</f>
        <v>1014809203.8779523</v>
      </c>
      <c r="AK43" s="7"/>
      <c r="AL43" s="21">
        <f t="shared" si="7"/>
        <v>-81920146.79652524</v>
      </c>
      <c r="AM43" s="22">
        <f t="shared" si="8"/>
        <v>-7.469495253878744E-2</v>
      </c>
      <c r="AO43" s="44">
        <f t="shared" si="9"/>
        <v>1096729350.6744776</v>
      </c>
      <c r="AP43" s="44">
        <f t="shared" si="9"/>
        <v>1014809203.8779523</v>
      </c>
    </row>
    <row r="44" spans="1:42" ht="15.5">
      <c r="A44" s="26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21"/>
      <c r="AM44" s="22"/>
      <c r="AO44" s="44">
        <f t="shared" si="9"/>
        <v>0</v>
      </c>
      <c r="AP44" s="44">
        <f t="shared" si="9"/>
        <v>0</v>
      </c>
    </row>
    <row r="45" spans="1:42" ht="15.75" hidden="1" customHeight="1">
      <c r="A45" s="26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21">
        <f t="shared" si="7"/>
        <v>0</v>
      </c>
      <c r="AM45" s="22" t="e">
        <f t="shared" si="8"/>
        <v>#DIV/0!</v>
      </c>
      <c r="AO45" s="44">
        <f t="shared" si="9"/>
        <v>0</v>
      </c>
      <c r="AP45" s="44">
        <f t="shared" si="9"/>
        <v>0</v>
      </c>
    </row>
    <row r="46" spans="1:42" s="1" customFormat="1" ht="15.75" hidden="1" customHeight="1">
      <c r="A46" s="27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15">
        <f t="shared" si="7"/>
        <v>0</v>
      </c>
      <c r="AM46" s="16" t="e">
        <f t="shared" si="8"/>
        <v>#DIV/0!</v>
      </c>
      <c r="AO46" s="44">
        <f t="shared" si="9"/>
        <v>0</v>
      </c>
      <c r="AP46" s="44">
        <f t="shared" si="9"/>
        <v>0</v>
      </c>
    </row>
    <row r="47" spans="1:42" ht="15.75" hidden="1" customHeight="1">
      <c r="A47" s="26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21">
        <f t="shared" si="7"/>
        <v>0</v>
      </c>
      <c r="AM47" s="22" t="e">
        <f t="shared" si="8"/>
        <v>#DIV/0!</v>
      </c>
      <c r="AO47" s="44">
        <f t="shared" si="9"/>
        <v>0</v>
      </c>
      <c r="AP47" s="44">
        <f t="shared" si="9"/>
        <v>0</v>
      </c>
    </row>
    <row r="48" spans="1:42" s="1" customFormat="1" ht="15.75" hidden="1" customHeight="1">
      <c r="A48" s="27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15">
        <f t="shared" si="7"/>
        <v>0</v>
      </c>
      <c r="AM48" s="16" t="e">
        <f t="shared" si="8"/>
        <v>#DIV/0!</v>
      </c>
      <c r="AO48" s="44">
        <f t="shared" si="9"/>
        <v>0</v>
      </c>
      <c r="AP48" s="44">
        <f t="shared" si="9"/>
        <v>0</v>
      </c>
    </row>
    <row r="49" spans="1:42" ht="15.75" hidden="1" customHeight="1">
      <c r="A49" s="26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21"/>
      <c r="AM49" s="22"/>
      <c r="AO49" s="44">
        <f t="shared" si="9"/>
        <v>0</v>
      </c>
      <c r="AP49" s="44">
        <f t="shared" si="9"/>
        <v>0</v>
      </c>
    </row>
    <row r="50" spans="1:42" ht="15.75" hidden="1" customHeight="1">
      <c r="A50" s="26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21">
        <f t="shared" si="7"/>
        <v>0</v>
      </c>
      <c r="AM50" s="22" t="e">
        <f t="shared" si="8"/>
        <v>#DIV/0!</v>
      </c>
      <c r="AO50" s="44">
        <f t="shared" si="9"/>
        <v>0</v>
      </c>
      <c r="AP50" s="44">
        <f t="shared" si="9"/>
        <v>0</v>
      </c>
    </row>
    <row r="51" spans="1:42" ht="15.75" hidden="1" customHeight="1">
      <c r="A51" s="26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21">
        <f t="shared" si="7"/>
        <v>0</v>
      </c>
      <c r="AM51" s="22" t="e">
        <f t="shared" si="8"/>
        <v>#DIV/0!</v>
      </c>
      <c r="AO51" s="44">
        <f t="shared" si="9"/>
        <v>0</v>
      </c>
      <c r="AP51" s="44">
        <f t="shared" si="9"/>
        <v>0</v>
      </c>
    </row>
    <row r="52" spans="1:42" ht="15.75" hidden="1" customHeight="1">
      <c r="A52" s="26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21">
        <f t="shared" si="7"/>
        <v>0</v>
      </c>
      <c r="AM52" s="22" t="e">
        <f t="shared" si="8"/>
        <v>#DIV/0!</v>
      </c>
      <c r="AO52" s="44">
        <f t="shared" si="9"/>
        <v>0</v>
      </c>
      <c r="AP52" s="44">
        <f t="shared" si="9"/>
        <v>0</v>
      </c>
    </row>
    <row r="53" spans="1:42" ht="15.75" hidden="1" customHeight="1">
      <c r="A53" s="26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21">
        <f t="shared" si="7"/>
        <v>0</v>
      </c>
      <c r="AM53" s="22" t="e">
        <f t="shared" si="8"/>
        <v>#DIV/0!</v>
      </c>
      <c r="AO53" s="44">
        <f t="shared" si="9"/>
        <v>0</v>
      </c>
      <c r="AP53" s="44">
        <f t="shared" si="9"/>
        <v>0</v>
      </c>
    </row>
    <row r="54" spans="1:42" s="1" customFormat="1" ht="15.75" hidden="1" customHeight="1">
      <c r="A54" s="27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15">
        <f t="shared" si="7"/>
        <v>0</v>
      </c>
      <c r="AM54" s="16" t="e">
        <f t="shared" si="8"/>
        <v>#DIV/0!</v>
      </c>
      <c r="AO54" s="44">
        <f t="shared" si="9"/>
        <v>0</v>
      </c>
      <c r="AP54" s="44">
        <f t="shared" si="9"/>
        <v>0</v>
      </c>
    </row>
    <row r="55" spans="1:42" ht="15.75" hidden="1" customHeight="1">
      <c r="A55" s="26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21">
        <f t="shared" si="7"/>
        <v>0</v>
      </c>
      <c r="AM55" s="22" t="e">
        <f t="shared" si="8"/>
        <v>#DIV/0!</v>
      </c>
      <c r="AO55" s="44">
        <f t="shared" si="9"/>
        <v>0</v>
      </c>
      <c r="AP55" s="44">
        <f t="shared" si="9"/>
        <v>0</v>
      </c>
    </row>
    <row r="56" spans="1:42" ht="15.75" hidden="1" customHeight="1">
      <c r="A56" s="26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21">
        <f t="shared" si="7"/>
        <v>0</v>
      </c>
      <c r="AM56" s="22" t="e">
        <f t="shared" si="8"/>
        <v>#DIV/0!</v>
      </c>
      <c r="AO56" s="44">
        <f t="shared" si="9"/>
        <v>0</v>
      </c>
      <c r="AP56" s="44">
        <f t="shared" si="9"/>
        <v>0</v>
      </c>
    </row>
    <row r="57" spans="1:42" ht="15.75" hidden="1" customHeight="1">
      <c r="A57" s="26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21">
        <f t="shared" si="7"/>
        <v>0</v>
      </c>
      <c r="AM57" s="22" t="e">
        <f t="shared" si="8"/>
        <v>#DIV/0!</v>
      </c>
      <c r="AO57" s="44">
        <f t="shared" si="9"/>
        <v>0</v>
      </c>
      <c r="AP57" s="44">
        <f t="shared" si="9"/>
        <v>0</v>
      </c>
    </row>
    <row r="58" spans="1:42" ht="15.75" hidden="1" customHeight="1">
      <c r="A58" s="26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21">
        <f t="shared" si="7"/>
        <v>0</v>
      </c>
      <c r="AM58" s="22" t="e">
        <f t="shared" si="8"/>
        <v>#DIV/0!</v>
      </c>
      <c r="AO58" s="44">
        <f t="shared" si="9"/>
        <v>0</v>
      </c>
      <c r="AP58" s="44">
        <f t="shared" si="9"/>
        <v>0</v>
      </c>
    </row>
    <row r="59" spans="1:42" ht="15.75" hidden="1" customHeight="1">
      <c r="A59" s="26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21">
        <f t="shared" si="7"/>
        <v>0</v>
      </c>
      <c r="AM59" s="22" t="e">
        <f t="shared" si="8"/>
        <v>#DIV/0!</v>
      </c>
      <c r="AO59" s="44">
        <f t="shared" si="9"/>
        <v>0</v>
      </c>
      <c r="AP59" s="44">
        <f t="shared" si="9"/>
        <v>0</v>
      </c>
    </row>
    <row r="60" spans="1:42" s="1" customFormat="1" ht="15.75" hidden="1" customHeight="1">
      <c r="A60" s="27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15">
        <f t="shared" si="7"/>
        <v>0</v>
      </c>
      <c r="AM60" s="16" t="e">
        <f t="shared" si="8"/>
        <v>#DIV/0!</v>
      </c>
      <c r="AO60" s="44">
        <f t="shared" si="9"/>
        <v>0</v>
      </c>
      <c r="AP60" s="44">
        <f t="shared" si="9"/>
        <v>0</v>
      </c>
    </row>
    <row r="61" spans="1:42" ht="15.75" hidden="1" customHeight="1">
      <c r="A61" s="26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21">
        <f t="shared" si="7"/>
        <v>0</v>
      </c>
      <c r="AM61" s="22" t="e">
        <f t="shared" si="8"/>
        <v>#DIV/0!</v>
      </c>
      <c r="AO61" s="44">
        <f t="shared" si="9"/>
        <v>0</v>
      </c>
      <c r="AP61" s="44">
        <f t="shared" si="9"/>
        <v>0</v>
      </c>
    </row>
    <row r="62" spans="1:42" s="1" customFormat="1" ht="15.75" hidden="1" customHeight="1">
      <c r="A62" s="27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15">
        <f t="shared" si="7"/>
        <v>0</v>
      </c>
      <c r="AM62" s="16" t="e">
        <f t="shared" si="8"/>
        <v>#DIV/0!</v>
      </c>
      <c r="AO62" s="44">
        <f t="shared" si="9"/>
        <v>0</v>
      </c>
      <c r="AP62" s="44">
        <f t="shared" si="9"/>
        <v>0</v>
      </c>
    </row>
    <row r="63" spans="1:42" ht="15.75" hidden="1" customHeight="1">
      <c r="A63" s="26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21">
        <f t="shared" si="7"/>
        <v>0</v>
      </c>
      <c r="AM63" s="22" t="e">
        <f t="shared" si="8"/>
        <v>#DIV/0!</v>
      </c>
      <c r="AO63" s="44">
        <f t="shared" si="9"/>
        <v>0</v>
      </c>
      <c r="AP63" s="44">
        <f t="shared" si="9"/>
        <v>0</v>
      </c>
    </row>
    <row r="64" spans="1:42" ht="15.75" hidden="1" customHeight="1">
      <c r="A64" s="26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21">
        <f t="shared" si="7"/>
        <v>0</v>
      </c>
      <c r="AM64" s="22" t="e">
        <f t="shared" si="8"/>
        <v>#DIV/0!</v>
      </c>
      <c r="AO64" s="44">
        <f t="shared" si="9"/>
        <v>0</v>
      </c>
      <c r="AP64" s="44">
        <f t="shared" si="9"/>
        <v>0</v>
      </c>
    </row>
    <row r="65" spans="1:43" ht="15.75" hidden="1" customHeight="1">
      <c r="A65" s="26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21">
        <f t="shared" si="7"/>
        <v>0</v>
      </c>
      <c r="AM65" s="22" t="e">
        <f t="shared" si="8"/>
        <v>#DIV/0!</v>
      </c>
      <c r="AO65" s="44">
        <f t="shared" si="9"/>
        <v>0</v>
      </c>
      <c r="AP65" s="44">
        <f t="shared" si="9"/>
        <v>0</v>
      </c>
    </row>
    <row r="66" spans="1:43" ht="15.75" hidden="1" customHeight="1">
      <c r="A66" s="26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21">
        <f t="shared" si="7"/>
        <v>0</v>
      </c>
      <c r="AM66" s="22" t="e">
        <f t="shared" si="8"/>
        <v>#DIV/0!</v>
      </c>
      <c r="AO66" s="44">
        <f t="shared" si="9"/>
        <v>0</v>
      </c>
      <c r="AP66" s="44">
        <f t="shared" si="9"/>
        <v>0</v>
      </c>
    </row>
    <row r="67" spans="1:43" ht="15.75" hidden="1" customHeight="1">
      <c r="A67" s="26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21">
        <f t="shared" si="7"/>
        <v>0</v>
      </c>
      <c r="AM67" s="22" t="e">
        <f t="shared" si="8"/>
        <v>#DIV/0!</v>
      </c>
      <c r="AO67" s="44">
        <f t="shared" si="9"/>
        <v>0</v>
      </c>
      <c r="AP67" s="44">
        <f t="shared" si="9"/>
        <v>0</v>
      </c>
    </row>
    <row r="68" spans="1:43" s="1" customFormat="1" ht="15.75" hidden="1" customHeight="1">
      <c r="A68" s="27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15">
        <f t="shared" si="7"/>
        <v>0</v>
      </c>
      <c r="AM68" s="16" t="e">
        <f t="shared" si="8"/>
        <v>#DIV/0!</v>
      </c>
      <c r="AO68" s="44">
        <f t="shared" si="9"/>
        <v>0</v>
      </c>
      <c r="AP68" s="44">
        <f t="shared" si="9"/>
        <v>0</v>
      </c>
    </row>
    <row r="69" spans="1:43" ht="15.75" hidden="1" customHeight="1">
      <c r="A69" s="26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21">
        <f t="shared" si="7"/>
        <v>0</v>
      </c>
      <c r="AM69" s="22" t="e">
        <f t="shared" si="8"/>
        <v>#DIV/0!</v>
      </c>
      <c r="AO69" s="44">
        <f t="shared" si="9"/>
        <v>0</v>
      </c>
      <c r="AP69" s="44">
        <f t="shared" si="9"/>
        <v>0</v>
      </c>
    </row>
    <row r="70" spans="1:43" ht="15.75" hidden="1" customHeight="1">
      <c r="A70" s="26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21">
        <f t="shared" si="7"/>
        <v>0</v>
      </c>
      <c r="AM70" s="22" t="e">
        <f t="shared" si="8"/>
        <v>#DIV/0!</v>
      </c>
      <c r="AO70" s="44">
        <f t="shared" si="9"/>
        <v>0</v>
      </c>
      <c r="AP70" s="44">
        <f t="shared" si="9"/>
        <v>0</v>
      </c>
    </row>
    <row r="71" spans="1:43" ht="15.75" hidden="1" customHeight="1">
      <c r="A71" s="26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21"/>
      <c r="AM71" s="22"/>
      <c r="AO71" s="44"/>
      <c r="AP71" s="44"/>
    </row>
    <row r="72" spans="1:43" ht="15.75" hidden="1" customHeight="1">
      <c r="A72" s="26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21"/>
      <c r="AM72" s="22"/>
      <c r="AO72" s="44"/>
      <c r="AP72" s="44"/>
    </row>
    <row r="73" spans="1:43" s="1" customFormat="1" ht="15.75" hidden="1" customHeight="1">
      <c r="A73" s="27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21">
        <f>AP73-AO73</f>
        <v>0</v>
      </c>
      <c r="AM73" s="22" t="e">
        <f>AP73/AO73-1</f>
        <v>#DIV/0!</v>
      </c>
      <c r="AN73"/>
      <c r="AO73" s="44">
        <f t="shared" ref="AO73:AP75" si="10">IF($A$1=$B$1,B73,IF($A$1=$E$1,E73,IF($A$1=$H$1,H73,IF($A$1=$K$1,K73,IF($A$1=$N$1,N73,IF($A$1=$Q$1,Q73,IF($A$1=$T$1,T73,IF($A$1=$W$1,W73,IF($A$1=$Z$1,Z73,IF($A$1=$AC$1,AC73,IF($A$1=$AF$1,AF73,IF($A$1=$AI$1,AI73))))))))))))</f>
        <v>0</v>
      </c>
      <c r="AP73" s="44">
        <f t="shared" si="10"/>
        <v>0</v>
      </c>
      <c r="AQ73"/>
    </row>
    <row r="74" spans="1:43" ht="15.75" hidden="1" customHeight="1">
      <c r="A74" s="26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21">
        <f>AP74-AO74</f>
        <v>0</v>
      </c>
      <c r="AM74" s="22" t="e">
        <f>AP74/AO74-1</f>
        <v>#DIV/0!</v>
      </c>
      <c r="AO74" s="44">
        <f t="shared" si="10"/>
        <v>0</v>
      </c>
      <c r="AP74" s="44">
        <f t="shared" si="10"/>
        <v>0</v>
      </c>
    </row>
    <row r="75" spans="1:43" s="1" customFormat="1" ht="15.75" hidden="1" customHeight="1">
      <c r="A75" s="27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21">
        <f>AP75-AO75</f>
        <v>0</v>
      </c>
      <c r="AM75" s="22" t="e">
        <f>AP75/AO75-1</f>
        <v>#DIV/0!</v>
      </c>
      <c r="AN75"/>
      <c r="AO75" s="44">
        <f t="shared" si="10"/>
        <v>0</v>
      </c>
      <c r="AP75" s="44">
        <f t="shared" si="10"/>
        <v>0</v>
      </c>
      <c r="AQ75"/>
    </row>
    <row r="76" spans="1:43" ht="15.75" hidden="1" customHeight="1">
      <c r="A76" s="2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15"/>
      <c r="AM76" s="16"/>
    </row>
    <row r="77" spans="1:43">
      <c r="A77" s="2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5"/>
    </row>
    <row r="78" spans="1:43" s="49" customFormat="1" ht="17">
      <c r="A78" s="47" t="s">
        <v>66</v>
      </c>
      <c r="B78" s="413"/>
      <c r="C78" s="413"/>
      <c r="D78" s="413"/>
      <c r="E78" s="413"/>
      <c r="F78" s="413"/>
      <c r="G78" s="413"/>
      <c r="H78" s="413"/>
      <c r="I78" s="413"/>
      <c r="J78" s="413"/>
      <c r="K78" s="413"/>
      <c r="L78" s="413"/>
      <c r="M78" s="413"/>
      <c r="N78" s="413"/>
      <c r="O78" s="413"/>
      <c r="P78" s="413"/>
      <c r="Q78" s="413"/>
      <c r="R78" s="413"/>
      <c r="S78" s="413"/>
      <c r="T78" s="413"/>
      <c r="U78" s="413"/>
      <c r="V78" s="413"/>
      <c r="W78" s="413"/>
      <c r="X78" s="413"/>
      <c r="Y78" s="413"/>
      <c r="Z78" s="413"/>
      <c r="AA78" s="413"/>
      <c r="AB78" s="413"/>
      <c r="AC78" s="413"/>
      <c r="AD78" s="413"/>
      <c r="AE78" s="413"/>
      <c r="AF78" s="413"/>
      <c r="AG78" s="413"/>
      <c r="AH78" s="413"/>
      <c r="AI78" s="413"/>
      <c r="AJ78" s="413"/>
      <c r="AK78" s="413"/>
      <c r="AL78" s="413"/>
      <c r="AM78" s="48"/>
    </row>
    <row r="79" spans="1:43" s="13" customFormat="1" ht="15.5">
      <c r="A79" s="26" t="s">
        <v>10</v>
      </c>
      <c r="B79" s="12">
        <f t="shared" ref="B79:B86" si="11">B36/B9</f>
        <v>1</v>
      </c>
      <c r="C79" s="12">
        <f t="shared" ref="C79:C87" si="12">IFERROR((C36/C9),"")</f>
        <v>1</v>
      </c>
      <c r="D79" s="41"/>
      <c r="E79" s="12">
        <f t="shared" ref="E79:E86" si="13">E36/E9</f>
        <v>1</v>
      </c>
      <c r="F79" s="12">
        <f t="shared" ref="F79:F87" si="14">IFERROR((F36/F9),"")</f>
        <v>1</v>
      </c>
      <c r="G79" s="41"/>
      <c r="H79" s="12">
        <f t="shared" ref="H79:H86" si="15">H36/H9</f>
        <v>1</v>
      </c>
      <c r="I79" s="12">
        <f t="shared" ref="I79:I87" si="16">IFERROR((I36/I9),"")</f>
        <v>1</v>
      </c>
      <c r="J79" s="41"/>
      <c r="K79" s="12">
        <f t="shared" ref="K79:K86" si="17">K36/K9</f>
        <v>1</v>
      </c>
      <c r="L79" s="12">
        <f t="shared" ref="L79:L87" si="18">IFERROR((L36/L9),"")</f>
        <v>1</v>
      </c>
      <c r="M79" s="41"/>
      <c r="N79" s="12">
        <f t="shared" ref="N79:N86" si="19">N36/N9</f>
        <v>1</v>
      </c>
      <c r="O79" s="12">
        <f t="shared" ref="O79:O87" si="20">IFERROR((O36/O9),"")</f>
        <v>1</v>
      </c>
      <c r="P79" s="41"/>
      <c r="Q79" s="12">
        <f t="shared" ref="Q79:Q86" si="21">Q36/Q9</f>
        <v>1</v>
      </c>
      <c r="R79" s="12">
        <f t="shared" ref="R79:R87" si="22">IFERROR((R36/R9),"")</f>
        <v>1</v>
      </c>
      <c r="S79" s="41"/>
      <c r="T79" s="12">
        <f t="shared" ref="T79:T86" si="23">T36/T9</f>
        <v>1</v>
      </c>
      <c r="U79" s="12">
        <f t="shared" ref="U79:U87" si="24">IFERROR((U36/U9),"")</f>
        <v>1</v>
      </c>
      <c r="V79" s="41"/>
      <c r="W79" s="12">
        <f t="shared" ref="W79:W86" si="25">W36/W9</f>
        <v>1</v>
      </c>
      <c r="X79" s="12">
        <f t="shared" ref="X79:X87" si="26">IFERROR((X36/X9),"")</f>
        <v>1</v>
      </c>
      <c r="Y79" s="41"/>
      <c r="Z79" s="12">
        <f t="shared" ref="Z79:Z86" si="27">Z36/Z9</f>
        <v>1</v>
      </c>
      <c r="AA79" s="12">
        <f t="shared" ref="AA79:AA87" si="28">IFERROR((AA36/AA9),"")</f>
        <v>1</v>
      </c>
      <c r="AB79" s="41"/>
      <c r="AC79" s="12">
        <f t="shared" ref="AC79:AC86" si="29">AC36/AC9</f>
        <v>1</v>
      </c>
      <c r="AD79" s="12">
        <f t="shared" ref="AD79:AD87" si="30">IFERROR((AD36/AD9),"")</f>
        <v>1</v>
      </c>
      <c r="AE79" s="41"/>
      <c r="AF79" s="12">
        <f t="shared" ref="AF79:AF86" si="31">AF36/AF9</f>
        <v>1</v>
      </c>
      <c r="AG79" s="12">
        <f t="shared" ref="AG79:AG87" si="32">IFERROR((AG36/AG9),"")</f>
        <v>1</v>
      </c>
      <c r="AH79" s="41"/>
      <c r="AI79" s="12">
        <f t="shared" ref="AI79:AI86" si="33">AI36/AI9</f>
        <v>1</v>
      </c>
      <c r="AJ79" s="12">
        <f t="shared" ref="AJ79:AJ87" si="34">IFERROR((AJ36/AJ9),"")</f>
        <v>1</v>
      </c>
      <c r="AK79" s="41"/>
      <c r="AL79" s="15"/>
      <c r="AM79" s="22">
        <f>AP79-AO79</f>
        <v>0</v>
      </c>
      <c r="AO79" s="44">
        <f t="shared" ref="AO79:AP89" si="35">IF($A$1=$B$1,B79,IF($A$1=$E$1,E79,IF($A$1=$H$1,H79,IF($A$1=$K$1,K79,IF($A$1=$N$1,N79,IF($A$1=$Q$1,Q79,IF($A$1=$T$1,T79,IF($A$1=$W$1,W79,IF($A$1=$Z$1,Z79,IF($A$1=$AC$1,AC79,IF($A$1=$AF$1,AF79,IF($A$1=$AI$1,AI79))))))))))))</f>
        <v>1</v>
      </c>
      <c r="AP79" s="44">
        <f t="shared" si="35"/>
        <v>1</v>
      </c>
    </row>
    <row r="80" spans="1:43" s="13" customFormat="1" ht="15.5">
      <c r="A80" s="26" t="s">
        <v>11</v>
      </c>
      <c r="B80" s="12">
        <f t="shared" si="11"/>
        <v>0.17117635795345953</v>
      </c>
      <c r="C80" s="12">
        <f t="shared" si="12"/>
        <v>0.13017986024224829</v>
      </c>
      <c r="D80" s="41"/>
      <c r="E80" s="12">
        <f t="shared" si="13"/>
        <v>0.21731136010500618</v>
      </c>
      <c r="F80" s="12">
        <f t="shared" si="14"/>
        <v>0.17421251216718353</v>
      </c>
      <c r="G80" s="41"/>
      <c r="H80" s="12">
        <f t="shared" si="15"/>
        <v>0.23799511498356915</v>
      </c>
      <c r="I80" s="12">
        <f t="shared" si="16"/>
        <v>0.20047035359785209</v>
      </c>
      <c r="J80" s="41"/>
      <c r="K80" s="12">
        <f t="shared" si="17"/>
        <v>0.26224911030660214</v>
      </c>
      <c r="L80" s="12">
        <f t="shared" si="18"/>
        <v>0.20979571156469912</v>
      </c>
      <c r="M80" s="41"/>
      <c r="N80" s="12">
        <f t="shared" si="19"/>
        <v>0.28563687280665356</v>
      </c>
      <c r="O80" s="12">
        <f t="shared" si="20"/>
        <v>0.21842271895455947</v>
      </c>
      <c r="P80" s="41"/>
      <c r="Q80" s="12">
        <f t="shared" si="21"/>
        <v>0.29707107532694321</v>
      </c>
      <c r="R80" s="12">
        <f t="shared" si="22"/>
        <v>0.22957076241297464</v>
      </c>
      <c r="S80" s="41"/>
      <c r="T80" s="12">
        <f t="shared" si="23"/>
        <v>0.30344383391108087</v>
      </c>
      <c r="U80" s="12">
        <f t="shared" si="24"/>
        <v>0.23717633408228445</v>
      </c>
      <c r="V80" s="41"/>
      <c r="W80" s="12">
        <f t="shared" si="25"/>
        <v>0.30133704375758508</v>
      </c>
      <c r="X80" s="12">
        <f t="shared" si="26"/>
        <v>0.23915606990301821</v>
      </c>
      <c r="Y80" s="41"/>
      <c r="Z80" s="12">
        <f t="shared" si="27"/>
        <v>0.30297208673467413</v>
      </c>
      <c r="AA80" s="12">
        <f t="shared" si="28"/>
        <v>0.23824908253137092</v>
      </c>
      <c r="AB80" s="41"/>
      <c r="AC80" s="12">
        <f t="shared" si="29"/>
        <v>0.30079248369647654</v>
      </c>
      <c r="AD80" s="12">
        <f t="shared" si="30"/>
        <v>0.23824908253137092</v>
      </c>
      <c r="AE80" s="41"/>
      <c r="AF80" s="12">
        <f t="shared" si="31"/>
        <v>0.29771707235975819</v>
      </c>
      <c r="AG80" s="12">
        <f t="shared" si="32"/>
        <v>0.23824908253137092</v>
      </c>
      <c r="AH80" s="41"/>
      <c r="AI80" s="12">
        <f t="shared" si="33"/>
        <v>0.29185754831003269</v>
      </c>
      <c r="AJ80" s="12">
        <f t="shared" si="34"/>
        <v>0.23824908253137092</v>
      </c>
      <c r="AK80" s="41"/>
      <c r="AL80" s="15"/>
      <c r="AM80" s="22">
        <f t="shared" ref="AM80:AM86" si="36">AP80-AO80</f>
        <v>-6.4723004203303208E-2</v>
      </c>
      <c r="AO80" s="44">
        <f t="shared" si="35"/>
        <v>0.30297208673467413</v>
      </c>
      <c r="AP80" s="44">
        <f t="shared" si="35"/>
        <v>0.23824908253137092</v>
      </c>
    </row>
    <row r="81" spans="1:42" s="13" customFormat="1" ht="15.5">
      <c r="A81" s="26" t="s">
        <v>12</v>
      </c>
      <c r="B81" s="12">
        <f t="shared" si="11"/>
        <v>0.16706084380098926</v>
      </c>
      <c r="C81" s="12">
        <f t="shared" si="12"/>
        <v>0.160907714399458</v>
      </c>
      <c r="D81" s="41"/>
      <c r="E81" s="12">
        <f t="shared" si="13"/>
        <v>0.1684648124312243</v>
      </c>
      <c r="F81" s="12">
        <f t="shared" si="14"/>
        <v>0.15287516882366439</v>
      </c>
      <c r="G81" s="41"/>
      <c r="H81" s="12">
        <f t="shared" si="15"/>
        <v>0.17685646797715904</v>
      </c>
      <c r="I81" s="12">
        <f t="shared" si="16"/>
        <v>0.13920583103062004</v>
      </c>
      <c r="J81" s="41"/>
      <c r="K81" s="12">
        <f t="shared" si="17"/>
        <v>0.18216140036249082</v>
      </c>
      <c r="L81" s="12">
        <f t="shared" si="18"/>
        <v>0.13642740349660901</v>
      </c>
      <c r="M81" s="41"/>
      <c r="N81" s="12">
        <f t="shared" si="19"/>
        <v>0.18595322159175875</v>
      </c>
      <c r="O81" s="12">
        <f t="shared" si="20"/>
        <v>0.14694237300181265</v>
      </c>
      <c r="P81" s="41"/>
      <c r="Q81" s="12">
        <f t="shared" si="21"/>
        <v>0.18898117143564674</v>
      </c>
      <c r="R81" s="12">
        <f t="shared" si="22"/>
        <v>0.148728251785893</v>
      </c>
      <c r="S81" s="41"/>
      <c r="T81" s="12">
        <f t="shared" si="23"/>
        <v>0.18752642387436416</v>
      </c>
      <c r="U81" s="12">
        <f t="shared" si="24"/>
        <v>0.15403272308243457</v>
      </c>
      <c r="V81" s="41"/>
      <c r="W81" s="12">
        <f t="shared" si="25"/>
        <v>0.18965865633038662</v>
      </c>
      <c r="X81" s="12">
        <f t="shared" si="26"/>
        <v>0.15434478185180817</v>
      </c>
      <c r="Y81" s="41"/>
      <c r="Z81" s="12">
        <f t="shared" si="27"/>
        <v>0.19140008271373538</v>
      </c>
      <c r="AA81" s="12">
        <f t="shared" si="28"/>
        <v>0.1584363070235629</v>
      </c>
      <c r="AB81" s="41"/>
      <c r="AC81" s="12">
        <f t="shared" si="29"/>
        <v>0.19164792578495621</v>
      </c>
      <c r="AD81" s="12">
        <f t="shared" si="30"/>
        <v>0.1584363070235629</v>
      </c>
      <c r="AE81" s="41"/>
      <c r="AF81" s="12">
        <f t="shared" si="31"/>
        <v>0.18910267022086386</v>
      </c>
      <c r="AG81" s="12">
        <f t="shared" si="32"/>
        <v>0.1584363070235629</v>
      </c>
      <c r="AH81" s="41"/>
      <c r="AI81" s="12">
        <f t="shared" si="33"/>
        <v>0.18861242009087126</v>
      </c>
      <c r="AJ81" s="12">
        <f t="shared" si="34"/>
        <v>0.1584363070235629</v>
      </c>
      <c r="AK81" s="41"/>
      <c r="AL81" s="15"/>
      <c r="AM81" s="22">
        <f t="shared" si="36"/>
        <v>-3.2963775690172475E-2</v>
      </c>
      <c r="AO81" s="44">
        <f t="shared" si="35"/>
        <v>0.19140008271373538</v>
      </c>
      <c r="AP81" s="44">
        <f t="shared" si="35"/>
        <v>0.1584363070235629</v>
      </c>
    </row>
    <row r="82" spans="1:42" s="13" customFormat="1" ht="15.5">
      <c r="A82" s="26" t="s">
        <v>13</v>
      </c>
      <c r="B82" s="12">
        <f t="shared" si="11"/>
        <v>0.1818580881036998</v>
      </c>
      <c r="C82" s="12">
        <f t="shared" si="12"/>
        <v>0.14911530528964606</v>
      </c>
      <c r="D82" s="41"/>
      <c r="E82" s="12">
        <f t="shared" si="13"/>
        <v>0.17894246509712813</v>
      </c>
      <c r="F82" s="12">
        <f t="shared" si="14"/>
        <v>0.16690489891146357</v>
      </c>
      <c r="G82" s="41"/>
      <c r="H82" s="12">
        <f t="shared" si="15"/>
        <v>0.17961592469354959</v>
      </c>
      <c r="I82" s="12">
        <f t="shared" si="16"/>
        <v>0.15890926316030801</v>
      </c>
      <c r="J82" s="41"/>
      <c r="K82" s="12">
        <f t="shared" si="17"/>
        <v>0.17808869360128682</v>
      </c>
      <c r="L82" s="12">
        <f t="shared" si="18"/>
        <v>0.14793714953118567</v>
      </c>
      <c r="M82" s="41"/>
      <c r="N82" s="12">
        <f t="shared" si="19"/>
        <v>0.17881479979956147</v>
      </c>
      <c r="O82" s="12">
        <f t="shared" si="20"/>
        <v>0.14270784050593296</v>
      </c>
      <c r="P82" s="41"/>
      <c r="Q82" s="12">
        <f t="shared" si="21"/>
        <v>0.18194016474652056</v>
      </c>
      <c r="R82" s="12">
        <f t="shared" si="22"/>
        <v>0.1379565170250239</v>
      </c>
      <c r="S82" s="41"/>
      <c r="T82" s="12">
        <f t="shared" si="23"/>
        <v>0.18356487403214233</v>
      </c>
      <c r="U82" s="12">
        <f t="shared" si="24"/>
        <v>0.12642106797852007</v>
      </c>
      <c r="V82" s="41"/>
      <c r="W82" s="12">
        <f t="shared" si="25"/>
        <v>0.18696936461229022</v>
      </c>
      <c r="X82" s="12">
        <f t="shared" si="26"/>
        <v>0.13191789324559036</v>
      </c>
      <c r="Y82" s="41"/>
      <c r="Z82" s="12">
        <f t="shared" si="27"/>
        <v>0.19091787617232275</v>
      </c>
      <c r="AA82" s="12">
        <f t="shared" si="28"/>
        <v>0.13396982766097279</v>
      </c>
      <c r="AB82" s="41"/>
      <c r="AC82" s="12">
        <f t="shared" si="29"/>
        <v>0.19456651085390791</v>
      </c>
      <c r="AD82" s="12">
        <f t="shared" si="30"/>
        <v>0.13396982766097279</v>
      </c>
      <c r="AE82" s="41"/>
      <c r="AF82" s="12">
        <f t="shared" si="31"/>
        <v>0.19788345085015999</v>
      </c>
      <c r="AG82" s="12">
        <f t="shared" si="32"/>
        <v>0.13396982766097279</v>
      </c>
      <c r="AH82" s="41"/>
      <c r="AI82" s="12">
        <f t="shared" si="33"/>
        <v>0.20360071406240998</v>
      </c>
      <c r="AJ82" s="12">
        <f t="shared" si="34"/>
        <v>0.13396982766097279</v>
      </c>
      <c r="AK82" s="41"/>
      <c r="AL82" s="15"/>
      <c r="AM82" s="22">
        <f t="shared" si="36"/>
        <v>-5.6948048511349963E-2</v>
      </c>
      <c r="AO82" s="44">
        <f t="shared" si="35"/>
        <v>0.19091787617232275</v>
      </c>
      <c r="AP82" s="44">
        <f t="shared" si="35"/>
        <v>0.13396982766097279</v>
      </c>
    </row>
    <row r="83" spans="1:42" s="13" customFormat="1" ht="15.5">
      <c r="A83" s="26" t="s">
        <v>14</v>
      </c>
      <c r="B83" s="12">
        <f t="shared" si="11"/>
        <v>0.19744746282273901</v>
      </c>
      <c r="C83" s="30">
        <f t="shared" si="12"/>
        <v>0.20078813483233196</v>
      </c>
      <c r="D83" s="41"/>
      <c r="E83" s="12">
        <f t="shared" si="13"/>
        <v>0.19633128780697512</v>
      </c>
      <c r="F83" s="30">
        <f t="shared" si="14"/>
        <v>0.2165870672130715</v>
      </c>
      <c r="G83" s="41"/>
      <c r="H83" s="12">
        <f t="shared" si="15"/>
        <v>0.19424350761333789</v>
      </c>
      <c r="I83" s="30">
        <f t="shared" si="16"/>
        <v>0.20477078637343793</v>
      </c>
      <c r="J83" s="41"/>
      <c r="K83" s="12">
        <f t="shared" si="17"/>
        <v>0.18889030693329395</v>
      </c>
      <c r="L83" s="30">
        <f t="shared" si="18"/>
        <v>0.20107385969369429</v>
      </c>
      <c r="M83" s="41"/>
      <c r="N83" s="12">
        <f t="shared" si="19"/>
        <v>0.18674084023472357</v>
      </c>
      <c r="O83" s="30">
        <f t="shared" si="20"/>
        <v>0.20548227233358873</v>
      </c>
      <c r="P83" s="41"/>
      <c r="Q83" s="12">
        <f t="shared" si="21"/>
        <v>0.18801584030937774</v>
      </c>
      <c r="R83" s="30">
        <f t="shared" si="22"/>
        <v>0.20736006373244031</v>
      </c>
      <c r="S83" s="41"/>
      <c r="T83" s="12">
        <f t="shared" si="23"/>
        <v>0.18677413191629405</v>
      </c>
      <c r="U83" s="30">
        <f t="shared" si="24"/>
        <v>0.207309757248899</v>
      </c>
      <c r="V83" s="41"/>
      <c r="W83" s="12">
        <f t="shared" si="25"/>
        <v>0.18951124726310925</v>
      </c>
      <c r="X83" s="30">
        <f t="shared" si="26"/>
        <v>0.21150615953080595</v>
      </c>
      <c r="Y83" s="41"/>
      <c r="Z83" s="12">
        <f t="shared" si="27"/>
        <v>0.19149930360571579</v>
      </c>
      <c r="AA83" s="30">
        <f t="shared" si="28"/>
        <v>0.21243989341425554</v>
      </c>
      <c r="AB83" s="41"/>
      <c r="AC83" s="12">
        <f t="shared" si="29"/>
        <v>0.19075164776030074</v>
      </c>
      <c r="AD83" s="30">
        <f t="shared" si="30"/>
        <v>0.21243989341425554</v>
      </c>
      <c r="AE83" s="41"/>
      <c r="AF83" s="12">
        <f t="shared" si="31"/>
        <v>0.19179391835728046</v>
      </c>
      <c r="AG83" s="30">
        <f t="shared" si="32"/>
        <v>0.21243989341425554</v>
      </c>
      <c r="AH83" s="41"/>
      <c r="AI83" s="12">
        <f t="shared" si="33"/>
        <v>0.19171110747858125</v>
      </c>
      <c r="AJ83" s="30">
        <f t="shared" si="34"/>
        <v>0.21243989341425554</v>
      </c>
      <c r="AK83" s="41"/>
      <c r="AL83" s="15"/>
      <c r="AM83" s="22">
        <f t="shared" si="36"/>
        <v>2.0940589808539745E-2</v>
      </c>
      <c r="AO83" s="44">
        <f t="shared" si="35"/>
        <v>0.19149930360571579</v>
      </c>
      <c r="AP83" s="44">
        <f t="shared" si="35"/>
        <v>0.21243989341425554</v>
      </c>
    </row>
    <row r="84" spans="1:42" s="13" customFormat="1" ht="15.5">
      <c r="A84" s="26" t="s">
        <v>15</v>
      </c>
      <c r="B84" s="12">
        <f t="shared" si="11"/>
        <v>0.12840117851533342</v>
      </c>
      <c r="C84" s="12">
        <f t="shared" si="12"/>
        <v>0.12027403073497253</v>
      </c>
      <c r="D84" s="41"/>
      <c r="E84" s="12">
        <f t="shared" si="13"/>
        <v>0.14579418785157486</v>
      </c>
      <c r="F84" s="12">
        <f t="shared" si="14"/>
        <v>0.15010913354701538</v>
      </c>
      <c r="G84" s="41"/>
      <c r="H84" s="12">
        <f t="shared" si="15"/>
        <v>0.17472307455220792</v>
      </c>
      <c r="I84" s="12">
        <f t="shared" si="16"/>
        <v>0.16593254092595375</v>
      </c>
      <c r="J84" s="41"/>
      <c r="K84" s="12">
        <f t="shared" si="17"/>
        <v>0.1624251399219899</v>
      </c>
      <c r="L84" s="12">
        <f t="shared" si="18"/>
        <v>0.17177627760123976</v>
      </c>
      <c r="M84" s="41"/>
      <c r="N84" s="12">
        <f t="shared" si="19"/>
        <v>0.16210174419670181</v>
      </c>
      <c r="O84" s="12">
        <f t="shared" si="20"/>
        <v>0.17574640717562773</v>
      </c>
      <c r="P84" s="41"/>
      <c r="Q84" s="12">
        <f t="shared" si="21"/>
        <v>0.16537002705717818</v>
      </c>
      <c r="R84" s="12">
        <f t="shared" si="22"/>
        <v>0.17641996085734374</v>
      </c>
      <c r="S84" s="41"/>
      <c r="T84" s="12">
        <f t="shared" si="23"/>
        <v>0.16005239836214735</v>
      </c>
      <c r="U84" s="12">
        <f t="shared" si="24"/>
        <v>0.17831312355544149</v>
      </c>
      <c r="V84" s="41"/>
      <c r="W84" s="12">
        <f t="shared" si="25"/>
        <v>0.14986447962033378</v>
      </c>
      <c r="X84" s="12">
        <f t="shared" si="26"/>
        <v>0.17610306230494646</v>
      </c>
      <c r="Y84" s="41"/>
      <c r="Z84" s="12">
        <f t="shared" si="27"/>
        <v>0.16211344365418479</v>
      </c>
      <c r="AA84" s="12">
        <f t="shared" si="28"/>
        <v>0.18623362805713428</v>
      </c>
      <c r="AB84" s="41"/>
      <c r="AC84" s="12">
        <f t="shared" si="29"/>
        <v>0.1640431783585552</v>
      </c>
      <c r="AD84" s="12">
        <f t="shared" si="30"/>
        <v>0.18623362805713428</v>
      </c>
      <c r="AE84" s="41"/>
      <c r="AF84" s="12">
        <f t="shared" si="31"/>
        <v>0.16634831889299548</v>
      </c>
      <c r="AG84" s="12">
        <f t="shared" si="32"/>
        <v>0.18623362805713428</v>
      </c>
      <c r="AH84" s="41"/>
      <c r="AI84" s="12">
        <f t="shared" si="33"/>
        <v>0.16643237845264203</v>
      </c>
      <c r="AJ84" s="12">
        <f t="shared" si="34"/>
        <v>0.18623362805713428</v>
      </c>
      <c r="AK84" s="41"/>
      <c r="AL84" s="15"/>
      <c r="AM84" s="22">
        <f t="shared" si="36"/>
        <v>2.4120184402949496E-2</v>
      </c>
      <c r="AO84" s="44">
        <f t="shared" si="35"/>
        <v>0.16211344365418479</v>
      </c>
      <c r="AP84" s="44">
        <f t="shared" si="35"/>
        <v>0.18623362805713428</v>
      </c>
    </row>
    <row r="85" spans="1:42" s="13" customFormat="1" ht="15.5">
      <c r="A85" s="26" t="s">
        <v>16</v>
      </c>
      <c r="B85" s="12">
        <f t="shared" si="11"/>
        <v>0.22286986930705013</v>
      </c>
      <c r="C85" s="12">
        <f t="shared" si="12"/>
        <v>0.22598724757203748</v>
      </c>
      <c r="D85" s="41"/>
      <c r="E85" s="12">
        <f t="shared" si="13"/>
        <v>0.2325279783566834</v>
      </c>
      <c r="F85" s="12">
        <f t="shared" si="14"/>
        <v>0.25423117846875093</v>
      </c>
      <c r="G85" s="41"/>
      <c r="H85" s="12">
        <f t="shared" si="15"/>
        <v>0.24460007316247198</v>
      </c>
      <c r="I85" s="12">
        <f t="shared" si="16"/>
        <v>0.25444490294586247</v>
      </c>
      <c r="J85" s="41"/>
      <c r="K85" s="12">
        <f t="shared" si="17"/>
        <v>0.2491864767800375</v>
      </c>
      <c r="L85" s="12">
        <f t="shared" si="18"/>
        <v>0.26969633442553564</v>
      </c>
      <c r="M85" s="41"/>
      <c r="N85" s="12">
        <f t="shared" si="19"/>
        <v>0.25451203949683532</v>
      </c>
      <c r="O85" s="12">
        <f t="shared" si="20"/>
        <v>0.26860362605834226</v>
      </c>
      <c r="P85" s="41"/>
      <c r="Q85" s="12">
        <f t="shared" si="21"/>
        <v>0.25430243790807272</v>
      </c>
      <c r="R85" s="12">
        <f t="shared" si="22"/>
        <v>0.26947820314138504</v>
      </c>
      <c r="S85" s="41"/>
      <c r="T85" s="12">
        <f t="shared" si="23"/>
        <v>0.25153939186196445</v>
      </c>
      <c r="U85" s="12">
        <f t="shared" si="24"/>
        <v>0.27784313882205797</v>
      </c>
      <c r="V85" s="41"/>
      <c r="W85" s="12">
        <f t="shared" si="25"/>
        <v>0.24272880190347168</v>
      </c>
      <c r="X85" s="12">
        <f t="shared" si="26"/>
        <v>0.27789970246840218</v>
      </c>
      <c r="Y85" s="41"/>
      <c r="Z85" s="12">
        <f t="shared" si="27"/>
        <v>0.24930405181757112</v>
      </c>
      <c r="AA85" s="12">
        <f t="shared" si="28"/>
        <v>0.28909213770861375</v>
      </c>
      <c r="AB85" s="41"/>
      <c r="AC85" s="12">
        <f t="shared" si="29"/>
        <v>0.25276729183553343</v>
      </c>
      <c r="AD85" s="12">
        <f t="shared" si="30"/>
        <v>0.28909213770861375</v>
      </c>
      <c r="AE85" s="41"/>
      <c r="AF85" s="12">
        <f t="shared" si="31"/>
        <v>0.25555301325471469</v>
      </c>
      <c r="AG85" s="12">
        <f t="shared" si="32"/>
        <v>0.28909213770861375</v>
      </c>
      <c r="AH85" s="41"/>
      <c r="AI85" s="12">
        <f t="shared" si="33"/>
        <v>0.25388022837977109</v>
      </c>
      <c r="AJ85" s="12">
        <f t="shared" si="34"/>
        <v>0.28909213770861375</v>
      </c>
      <c r="AK85" s="41"/>
      <c r="AL85" s="15"/>
      <c r="AM85" s="22">
        <f t="shared" si="36"/>
        <v>3.9788085891042629E-2</v>
      </c>
      <c r="AO85" s="44">
        <f t="shared" si="35"/>
        <v>0.24930405181757112</v>
      </c>
      <c r="AP85" s="44">
        <f t="shared" si="35"/>
        <v>0.28909213770861375</v>
      </c>
    </row>
    <row r="86" spans="1:42" s="13" customFormat="1" ht="15.5">
      <c r="A86" s="26" t="s">
        <v>17</v>
      </c>
      <c r="B86" s="12">
        <f t="shared" si="11"/>
        <v>0.15089381136549454</v>
      </c>
      <c r="C86" s="12">
        <f t="shared" si="12"/>
        <v>0.13316144218245426</v>
      </c>
      <c r="D86" s="41"/>
      <c r="E86" s="12">
        <f t="shared" si="13"/>
        <v>0.15243668508873928</v>
      </c>
      <c r="F86" s="12">
        <f t="shared" si="14"/>
        <v>0.11060890485605857</v>
      </c>
      <c r="G86" s="41"/>
      <c r="H86" s="12">
        <f t="shared" si="15"/>
        <v>0.14312856616758762</v>
      </c>
      <c r="I86" s="12">
        <f t="shared" si="16"/>
        <v>0.10712822204011223</v>
      </c>
      <c r="J86" s="41"/>
      <c r="K86" s="12">
        <f t="shared" si="17"/>
        <v>0.14052768293976806</v>
      </c>
      <c r="L86" s="12">
        <f t="shared" si="18"/>
        <v>0.10376159728012045</v>
      </c>
      <c r="M86" s="41"/>
      <c r="N86" s="12">
        <f t="shared" si="19"/>
        <v>0.14550640134521539</v>
      </c>
      <c r="O86" s="12">
        <f t="shared" si="20"/>
        <v>0.1167022990619989</v>
      </c>
      <c r="P86" s="41"/>
      <c r="Q86" s="12">
        <f t="shared" si="21"/>
        <v>0.14049398103044797</v>
      </c>
      <c r="R86" s="12">
        <f t="shared" si="22"/>
        <v>0.11590905281854064</v>
      </c>
      <c r="S86" s="41"/>
      <c r="T86" s="12">
        <f t="shared" si="23"/>
        <v>0.14516029828190927</v>
      </c>
      <c r="U86" s="12">
        <f t="shared" si="24"/>
        <v>0.11755739257741872</v>
      </c>
      <c r="V86" s="41"/>
      <c r="W86" s="12">
        <f t="shared" si="25"/>
        <v>0.13919170604966746</v>
      </c>
      <c r="X86" s="12">
        <f t="shared" si="26"/>
        <v>0.11548613029338227</v>
      </c>
      <c r="Y86" s="41"/>
      <c r="Z86" s="12">
        <f t="shared" si="27"/>
        <v>0.14577302649845869</v>
      </c>
      <c r="AA86" s="12">
        <f t="shared" si="28"/>
        <v>0.12352922040992871</v>
      </c>
      <c r="AB86" s="41"/>
      <c r="AC86" s="12">
        <f t="shared" si="29"/>
        <v>0.1484987928778638</v>
      </c>
      <c r="AD86" s="12">
        <f t="shared" si="30"/>
        <v>0.12352922040992871</v>
      </c>
      <c r="AE86" s="41"/>
      <c r="AF86" s="12">
        <f t="shared" si="31"/>
        <v>0.15123349863385291</v>
      </c>
      <c r="AG86" s="12">
        <f t="shared" si="32"/>
        <v>0.12352922040992871</v>
      </c>
      <c r="AH86" s="41"/>
      <c r="AI86" s="12">
        <f t="shared" si="33"/>
        <v>0.15176240462367502</v>
      </c>
      <c r="AJ86" s="12">
        <f t="shared" si="34"/>
        <v>0.12352922040992871</v>
      </c>
      <c r="AK86" s="41"/>
      <c r="AL86" s="15"/>
      <c r="AM86" s="22">
        <f t="shared" si="36"/>
        <v>-2.224380608852998E-2</v>
      </c>
      <c r="AO86" s="44">
        <f t="shared" si="35"/>
        <v>0.14577302649845869</v>
      </c>
      <c r="AP86" s="44">
        <f t="shared" si="35"/>
        <v>0.12352922040992871</v>
      </c>
    </row>
    <row r="87" spans="1:42" s="13" customFormat="1" ht="15.5">
      <c r="A87" s="26"/>
      <c r="B87" s="12"/>
      <c r="C87" s="12" t="str">
        <f t="shared" si="12"/>
        <v/>
      </c>
      <c r="D87" s="41"/>
      <c r="E87" s="12"/>
      <c r="F87" s="12" t="str">
        <f t="shared" si="14"/>
        <v/>
      </c>
      <c r="G87" s="41"/>
      <c r="H87" s="12"/>
      <c r="I87" s="12" t="str">
        <f t="shared" si="16"/>
        <v/>
      </c>
      <c r="J87" s="41"/>
      <c r="K87" s="12"/>
      <c r="L87" s="12" t="str">
        <f t="shared" si="18"/>
        <v/>
      </c>
      <c r="M87" s="41"/>
      <c r="N87" s="12"/>
      <c r="O87" s="12" t="str">
        <f t="shared" si="20"/>
        <v/>
      </c>
      <c r="P87" s="41"/>
      <c r="Q87" s="12"/>
      <c r="R87" s="12" t="str">
        <f t="shared" si="22"/>
        <v/>
      </c>
      <c r="S87" s="41"/>
      <c r="T87" s="12"/>
      <c r="U87" s="12" t="str">
        <f t="shared" si="24"/>
        <v/>
      </c>
      <c r="V87" s="41"/>
      <c r="W87" s="12"/>
      <c r="X87" s="12" t="str">
        <f t="shared" si="26"/>
        <v/>
      </c>
      <c r="Y87" s="41"/>
      <c r="Z87" s="12"/>
      <c r="AA87" s="12" t="str">
        <f t="shared" si="28"/>
        <v/>
      </c>
      <c r="AB87" s="41"/>
      <c r="AC87" s="12"/>
      <c r="AD87" s="12" t="str">
        <f t="shared" si="30"/>
        <v/>
      </c>
      <c r="AE87" s="41"/>
      <c r="AF87" s="12"/>
      <c r="AG87" s="12" t="str">
        <f t="shared" si="32"/>
        <v/>
      </c>
      <c r="AH87" s="41"/>
      <c r="AI87" s="12"/>
      <c r="AJ87" s="12" t="str">
        <f t="shared" si="34"/>
        <v/>
      </c>
      <c r="AK87" s="41"/>
      <c r="AL87" s="15"/>
      <c r="AM87" s="22"/>
      <c r="AO87" s="44">
        <f t="shared" si="35"/>
        <v>0</v>
      </c>
      <c r="AP87" s="44" t="str">
        <f t="shared" si="35"/>
        <v/>
      </c>
    </row>
    <row r="88" spans="1:42" s="44" customFormat="1" ht="15.5">
      <c r="A88" s="31" t="s">
        <v>67</v>
      </c>
      <c r="B88" s="32">
        <f>'A-TRY'!B88</f>
        <v>-101890248.2176864</v>
      </c>
      <c r="C88" s="32">
        <f>'A-TRY'!C88</f>
        <v>-97547969.33483842</v>
      </c>
      <c r="D88" s="72">
        <f>+(C88/B88)-1</f>
        <v>-4.2617217631767734E-2</v>
      </c>
      <c r="E88" s="32">
        <f>B88+'A-TRY'!E88</f>
        <v>-207160071.96949178</v>
      </c>
      <c r="F88" s="32">
        <f>C88+'A-TRY'!F88</f>
        <v>-205971629.53241873</v>
      </c>
      <c r="G88" s="18"/>
      <c r="H88" s="32">
        <f>E88+'A-TRY'!H88</f>
        <v>-323565110.47489041</v>
      </c>
      <c r="I88" s="32">
        <f>F88+'A-TRY'!I88</f>
        <v>-317455000.48978043</v>
      </c>
      <c r="J88" s="18"/>
      <c r="K88" s="32">
        <f>H88+'A-TRY'!K88</f>
        <v>-446169795.72179997</v>
      </c>
      <c r="L88" s="32">
        <f>I88+'A-TRY'!L88</f>
        <v>-452560231.02768886</v>
      </c>
      <c r="M88" s="18"/>
      <c r="N88" s="32">
        <f>K88+'A-TRY'!N88</f>
        <v>-563425094.65772104</v>
      </c>
      <c r="O88" s="32">
        <f>L88+'A-TRY'!O88</f>
        <v>-577098950.52728713</v>
      </c>
      <c r="P88" s="18"/>
      <c r="Q88" s="32">
        <f>N88+'A-TRY'!Q88</f>
        <v>-681017194.28393126</v>
      </c>
      <c r="R88" s="32">
        <f>O88+'A-TRY'!R88</f>
        <v>-689572440.41192532</v>
      </c>
      <c r="S88" s="18"/>
      <c r="T88" s="32">
        <f>Q88+'A-TRY'!T88</f>
        <v>-798444469.11358559</v>
      </c>
      <c r="U88" s="32">
        <f>R88+'A-TRY'!U88</f>
        <v>-804307714.37567377</v>
      </c>
      <c r="V88" s="18"/>
      <c r="W88" s="32">
        <f>T88+'A-TRY'!W88</f>
        <v>-911137957.26266551</v>
      </c>
      <c r="X88" s="32">
        <f>U88+'A-TRY'!X88</f>
        <v>-909502831.08051395</v>
      </c>
      <c r="Y88" s="18"/>
      <c r="Z88" s="32">
        <f>W88+'A-TRY'!Z88</f>
        <v>-1038021959.4128826</v>
      </c>
      <c r="AA88" s="32">
        <f>X88+'A-TRY'!AA88</f>
        <v>-1023417463.543344</v>
      </c>
      <c r="AB88" s="18"/>
      <c r="AC88" s="32">
        <f>Z88+'A-TRY'!AC88</f>
        <v>-1164779631.8071105</v>
      </c>
      <c r="AD88" s="32">
        <f>AA88+'A-TRY'!AD88</f>
        <v>-1023417463.543344</v>
      </c>
      <c r="AE88" s="18"/>
      <c r="AF88" s="32">
        <f>AC88+'A-TRY'!AF88</f>
        <v>-1291107894.4374998</v>
      </c>
      <c r="AG88" s="32">
        <f>AD88+'A-TRY'!AG88</f>
        <v>-1023417463.543344</v>
      </c>
      <c r="AH88" s="18"/>
      <c r="AI88" s="32">
        <f>AF88+'A-TRY'!AI88</f>
        <v>-1442917917.7768402</v>
      </c>
      <c r="AJ88" s="32">
        <f>AG88+'A-TRY'!AJ88</f>
        <v>-1023417463.543344</v>
      </c>
      <c r="AK88" s="18"/>
      <c r="AL88" s="33">
        <f>AP88-AO88</f>
        <v>14604495.869538546</v>
      </c>
      <c r="AM88" s="34">
        <f>AP88/AO88-1</f>
        <v>-1.406954422987261E-2</v>
      </c>
      <c r="AO88" s="44">
        <f t="shared" si="35"/>
        <v>-1038021959.4128826</v>
      </c>
      <c r="AP88" s="44">
        <f t="shared" si="35"/>
        <v>-1023417463.543344</v>
      </c>
    </row>
    <row r="89" spans="1:42" s="13" customFormat="1" ht="15.5">
      <c r="A89" s="27"/>
      <c r="B89" s="30" t="str">
        <f>IFERROR((B46/#REF!),"")</f>
        <v/>
      </c>
      <c r="C89" s="30" t="str">
        <f>IFERROR((C46/#REF!),"")</f>
        <v/>
      </c>
      <c r="D89" s="41"/>
      <c r="E89" s="30" t="str">
        <f>IFERROR((E46/#REF!),"")</f>
        <v/>
      </c>
      <c r="F89" s="30" t="str">
        <f>IFERROR((F46/#REF!),"")</f>
        <v/>
      </c>
      <c r="G89" s="41"/>
      <c r="H89" s="30" t="str">
        <f>IFERROR((H46/#REF!),"")</f>
        <v/>
      </c>
      <c r="I89" s="30" t="str">
        <f>IFERROR((I46/#REF!),"")</f>
        <v/>
      </c>
      <c r="J89" s="41"/>
      <c r="K89" s="30" t="str">
        <f>IFERROR((K46/#REF!),"")</f>
        <v/>
      </c>
      <c r="L89" s="30" t="str">
        <f>IFERROR((L46/#REF!),"")</f>
        <v/>
      </c>
      <c r="M89" s="41"/>
      <c r="N89" s="30" t="str">
        <f>IFERROR((N46/#REF!),"")</f>
        <v/>
      </c>
      <c r="O89" s="30" t="str">
        <f>IFERROR((O46/#REF!),"")</f>
        <v/>
      </c>
      <c r="P89" s="41"/>
      <c r="Q89" s="30" t="str">
        <f>IFERROR((Q46/#REF!),"")</f>
        <v/>
      </c>
      <c r="R89" s="30" t="str">
        <f>IFERROR((R46/#REF!),"")</f>
        <v/>
      </c>
      <c r="S89" s="41"/>
      <c r="T89" s="30" t="str">
        <f>IFERROR((T46/#REF!),"")</f>
        <v/>
      </c>
      <c r="U89" s="30" t="str">
        <f>IFERROR((U46/#REF!),"")</f>
        <v/>
      </c>
      <c r="V89" s="41"/>
      <c r="W89" s="30" t="str">
        <f>IFERROR((W46/#REF!),"")</f>
        <v/>
      </c>
      <c r="X89" s="30" t="str">
        <f>IFERROR((X46/#REF!),"")</f>
        <v/>
      </c>
      <c r="Y89" s="41"/>
      <c r="Z89" s="30" t="str">
        <f>IFERROR((Z46/#REF!),"")</f>
        <v/>
      </c>
      <c r="AA89" s="30" t="str">
        <f>IFERROR((AA46/#REF!),"")</f>
        <v/>
      </c>
      <c r="AB89" s="41"/>
      <c r="AC89" s="30" t="str">
        <f>IFERROR((AC46/#REF!),"")</f>
        <v/>
      </c>
      <c r="AD89" s="30" t="str">
        <f>IFERROR((AD46/#REF!),"")</f>
        <v/>
      </c>
      <c r="AE89" s="41"/>
      <c r="AF89" s="30" t="str">
        <f>IFERROR((AF46/#REF!),"")</f>
        <v/>
      </c>
      <c r="AG89" s="30" t="str">
        <f>IFERROR((AG46/#REF!),"")</f>
        <v/>
      </c>
      <c r="AH89" s="41"/>
      <c r="AI89" s="30" t="str">
        <f>IFERROR((AI46/#REF!),"")</f>
        <v/>
      </c>
      <c r="AJ89" s="30" t="str">
        <f>IFERROR((AJ46/#REF!),"")</f>
        <v/>
      </c>
      <c r="AK89" s="41"/>
      <c r="AL89" s="15"/>
      <c r="AM89" s="22"/>
      <c r="AO89" s="44" t="str">
        <f t="shared" si="35"/>
        <v/>
      </c>
      <c r="AP89" s="44" t="str">
        <f t="shared" si="35"/>
        <v/>
      </c>
    </row>
    <row r="90" spans="1:42" s="49" customFormat="1" ht="17">
      <c r="A90" s="47" t="s">
        <v>68</v>
      </c>
      <c r="B90" s="413"/>
      <c r="C90" s="413"/>
      <c r="D90" s="413"/>
      <c r="E90" s="413"/>
      <c r="F90" s="413"/>
      <c r="G90" s="413"/>
      <c r="H90" s="413"/>
      <c r="I90" s="413"/>
      <c r="J90" s="413"/>
      <c r="K90" s="413"/>
      <c r="L90" s="413"/>
      <c r="M90" s="413"/>
      <c r="N90" s="413"/>
      <c r="O90" s="413"/>
      <c r="P90" s="413"/>
      <c r="Q90" s="413"/>
      <c r="R90" s="413"/>
      <c r="S90" s="413"/>
      <c r="T90" s="413"/>
      <c r="U90" s="413"/>
      <c r="V90" s="413"/>
      <c r="W90" s="413"/>
      <c r="X90" s="413"/>
      <c r="Y90" s="413"/>
      <c r="Z90" s="413"/>
      <c r="AA90" s="413"/>
      <c r="AB90" s="413"/>
      <c r="AC90" s="413"/>
      <c r="AD90" s="413"/>
      <c r="AE90" s="413"/>
      <c r="AF90" s="413"/>
      <c r="AG90" s="413"/>
      <c r="AH90" s="413"/>
      <c r="AI90" s="413"/>
      <c r="AJ90" s="413"/>
      <c r="AK90" s="413"/>
      <c r="AL90" s="413"/>
      <c r="AM90" s="48"/>
    </row>
    <row r="91" spans="1:42" ht="15.5">
      <c r="A91" s="26" t="s">
        <v>10</v>
      </c>
      <c r="B91" s="7">
        <f>'A-TRY'!B91</f>
        <v>-14059938.516834</v>
      </c>
      <c r="C91" s="7">
        <f>'A-TRY'!C91</f>
        <v>-13908733.560000001</v>
      </c>
      <c r="D91" s="7"/>
      <c r="E91" s="7">
        <f>B91+'A-TRY'!E91</f>
        <v>-27687088.058959998</v>
      </c>
      <c r="F91" s="7">
        <f>C91+'A-TRY'!F91</f>
        <v>-29489057.880000003</v>
      </c>
      <c r="G91" s="7"/>
      <c r="H91" s="7">
        <f>E91+'A-TRY'!H91</f>
        <v>-46016850.050878003</v>
      </c>
      <c r="I91" s="7">
        <f>F91+'A-TRY'!I91</f>
        <v>-47503853.829999998</v>
      </c>
      <c r="J91" s="7"/>
      <c r="K91" s="7">
        <f>H91+'A-TRY'!K91</f>
        <v>-62008581.477524005</v>
      </c>
      <c r="L91" s="7">
        <f>I91+'A-TRY'!L91</f>
        <v>-71188418.370000005</v>
      </c>
      <c r="M91" s="7"/>
      <c r="N91" s="7">
        <f>K91+'A-TRY'!N91</f>
        <v>-79249729.022412002</v>
      </c>
      <c r="O91" s="7">
        <f>L91+'A-TRY'!O91</f>
        <v>-86668873.370000005</v>
      </c>
      <c r="P91" s="7"/>
      <c r="Q91" s="7">
        <f>N91+'A-TRY'!Q91</f>
        <v>-95823484.382952005</v>
      </c>
      <c r="R91" s="7">
        <f>O91+'A-TRY'!R91</f>
        <v>-103437645.89</v>
      </c>
      <c r="S91" s="7"/>
      <c r="T91" s="7">
        <f>Q91+'A-TRY'!T91</f>
        <v>-111099322.40195</v>
      </c>
      <c r="U91" s="7">
        <f>R91+'A-TRY'!U91</f>
        <v>-121356120.41</v>
      </c>
      <c r="V91" s="7"/>
      <c r="W91" s="7">
        <f>T91+'A-TRY'!W91</f>
        <v>-125874709.972662</v>
      </c>
      <c r="X91" s="7">
        <f>U91+'A-TRY'!X91</f>
        <v>-136160238.41</v>
      </c>
      <c r="Y91" s="7"/>
      <c r="Z91" s="7">
        <f>W91+'A-TRY'!Z91</f>
        <v>-142901745.307762</v>
      </c>
      <c r="AA91" s="7">
        <f>X91+'A-TRY'!AA91</f>
        <v>-151212187.63</v>
      </c>
      <c r="AB91" s="7"/>
      <c r="AC91" s="7">
        <f>Z91+'A-TRY'!AC91</f>
        <v>-161173660.64903098</v>
      </c>
      <c r="AD91" s="7">
        <f>AA91+'A-TRY'!AD91</f>
        <v>-151212187.63</v>
      </c>
      <c r="AE91" s="7"/>
      <c r="AF91" s="7">
        <f>AC91+'A-TRY'!AF91</f>
        <v>-180448939.60818198</v>
      </c>
      <c r="AG91" s="7">
        <f>AD91+'A-TRY'!AG91</f>
        <v>-151212187.63</v>
      </c>
      <c r="AH91" s="7"/>
      <c r="AI91" s="7">
        <f>AF91+'A-TRY'!AI91</f>
        <v>-137512442.32015198</v>
      </c>
      <c r="AJ91" s="7">
        <f>AG91+'A-TRY'!AJ91</f>
        <v>-151212187.63</v>
      </c>
      <c r="AK91" s="7"/>
      <c r="AL91" s="21">
        <f t="shared" ref="AL91:AL98" si="37">AP91-AO91</f>
        <v>-8310442.3222379982</v>
      </c>
      <c r="AM91" s="22">
        <f t="shared" ref="AM91:AM98" si="38">AP91/AO91-1</f>
        <v>5.8154939286011675E-2</v>
      </c>
      <c r="AO91" s="44">
        <f t="shared" ref="AO91:AP99" si="39">IF($A$1=$B$1,B91,IF($A$1=$E$1,E91,IF($A$1=$H$1,H91,IF($A$1=$K$1,K91,IF($A$1=$N$1,N91,IF($A$1=$Q$1,Q91,IF($A$1=$T$1,T91,IF($A$1=$W$1,W91,IF($A$1=$Z$1,Z91,IF($A$1=$AC$1,AC91,IF($A$1=$AF$1,AF91,IF($A$1=$AI$1,AI91))))))))))))</f>
        <v>-142901745.307762</v>
      </c>
      <c r="AP91" s="44">
        <f t="shared" si="39"/>
        <v>-151212187.63</v>
      </c>
    </row>
    <row r="92" spans="1:42" ht="15.5">
      <c r="A92" s="26" t="s">
        <v>11</v>
      </c>
      <c r="B92" s="7">
        <f>'A-TRY'!B92</f>
        <v>-6399312.2678500004</v>
      </c>
      <c r="C92" s="7">
        <f>'A-TRY'!C92</f>
        <v>-4636262.4038039995</v>
      </c>
      <c r="D92" s="7"/>
      <c r="E92" s="7">
        <f>B92+'A-TRY'!E92</f>
        <v>-12633569.620616</v>
      </c>
      <c r="F92" s="7">
        <f>C92+'A-TRY'!F92</f>
        <v>-10749140.376784001</v>
      </c>
      <c r="G92" s="7"/>
      <c r="H92" s="7">
        <f>E92+'A-TRY'!H92</f>
        <v>-19126138.202771001</v>
      </c>
      <c r="I92" s="7">
        <f>F92+'A-TRY'!I92</f>
        <v>-17266462.765884999</v>
      </c>
      <c r="J92" s="7"/>
      <c r="K92" s="7">
        <f>H92+'A-TRY'!K92</f>
        <v>-25927334.367595002</v>
      </c>
      <c r="L92" s="7">
        <f>I92+'A-TRY'!L92</f>
        <v>-23168770.762447</v>
      </c>
      <c r="M92" s="7"/>
      <c r="N92" s="7">
        <f>K92+'A-TRY'!N92</f>
        <v>-32278578.838224001</v>
      </c>
      <c r="O92" s="7">
        <f>L92+'A-TRY'!O92</f>
        <v>-29647579.658215001</v>
      </c>
      <c r="P92" s="7"/>
      <c r="Q92" s="7">
        <f>N92+'A-TRY'!Q92</f>
        <v>-38903056.606237002</v>
      </c>
      <c r="R92" s="7">
        <f>O92+'A-TRY'!R92</f>
        <v>-36891761.346238002</v>
      </c>
      <c r="S92" s="7"/>
      <c r="T92" s="7">
        <f>Q92+'A-TRY'!T92</f>
        <v>-45100151.607845001</v>
      </c>
      <c r="U92" s="7">
        <f>R92+'A-TRY'!U92</f>
        <v>-43592122.164238006</v>
      </c>
      <c r="V92" s="7"/>
      <c r="W92" s="7">
        <f>T92+'A-TRY'!W92</f>
        <v>-50721714.065975003</v>
      </c>
      <c r="X92" s="7">
        <f>U92+'A-TRY'!X92</f>
        <v>-48957396.043131009</v>
      </c>
      <c r="Y92" s="7"/>
      <c r="Z92" s="7">
        <f>W92+'A-TRY'!Z92</f>
        <v>-56721801.421435006</v>
      </c>
      <c r="AA92" s="7">
        <f>X92+'A-TRY'!AA92</f>
        <v>-55661573.448281005</v>
      </c>
      <c r="AB92" s="7"/>
      <c r="AC92" s="7">
        <f>Z92+'A-TRY'!AC92</f>
        <v>-62226991.412243009</v>
      </c>
      <c r="AD92" s="7">
        <f>AA92+'A-TRY'!AD92</f>
        <v>-55661573.448281005</v>
      </c>
      <c r="AE92" s="7"/>
      <c r="AF92" s="7">
        <f>AC92+'A-TRY'!AF92</f>
        <v>-67921299.738074005</v>
      </c>
      <c r="AG92" s="7">
        <f>AD92+'A-TRY'!AG92</f>
        <v>-55661573.448281005</v>
      </c>
      <c r="AH92" s="7"/>
      <c r="AI92" s="7">
        <f>AF92+'A-TRY'!AI92</f>
        <v>-62221758.340986006</v>
      </c>
      <c r="AJ92" s="7">
        <f>AG92+'A-TRY'!AJ92</f>
        <v>-55661573.448281005</v>
      </c>
      <c r="AK92" s="7"/>
      <c r="AL92" s="21">
        <f t="shared" si="37"/>
        <v>1060227.9731540009</v>
      </c>
      <c r="AM92" s="22">
        <f t="shared" si="38"/>
        <v>-1.8691718996663331E-2</v>
      </c>
      <c r="AO92" s="44">
        <f t="shared" si="39"/>
        <v>-56721801.421435006</v>
      </c>
      <c r="AP92" s="44">
        <f t="shared" si="39"/>
        <v>-55661573.448281005</v>
      </c>
    </row>
    <row r="93" spans="1:42" ht="15.5">
      <c r="A93" s="26" t="s">
        <v>12</v>
      </c>
      <c r="B93" s="7">
        <f>'A-TRY'!B93</f>
        <v>-7832407.1478249999</v>
      </c>
      <c r="C93" s="7">
        <f>'A-TRY'!C93</f>
        <v>-4472559.76</v>
      </c>
      <c r="D93" s="7"/>
      <c r="E93" s="7">
        <f>B93+'A-TRY'!E93</f>
        <v>-14121766.638511</v>
      </c>
      <c r="F93" s="7">
        <f>C93+'A-TRY'!F93</f>
        <v>-8971553.227744</v>
      </c>
      <c r="G93" s="7"/>
      <c r="H93" s="7">
        <f>E93+'A-TRY'!H93</f>
        <v>-21557726.671606001</v>
      </c>
      <c r="I93" s="7">
        <f>F93+'A-TRY'!I93</f>
        <v>-16034698.907744</v>
      </c>
      <c r="J93" s="7"/>
      <c r="K93" s="7">
        <f>H93+'A-TRY'!K93</f>
        <v>-29918872.813565001</v>
      </c>
      <c r="L93" s="7">
        <f>I93+'A-TRY'!L93</f>
        <v>-22081472.503173001</v>
      </c>
      <c r="M93" s="7"/>
      <c r="N93" s="7">
        <f>K93+'A-TRY'!N93</f>
        <v>-37267201.487248003</v>
      </c>
      <c r="O93" s="7">
        <f>L93+'A-TRY'!O93</f>
        <v>-27431161.132314</v>
      </c>
      <c r="P93" s="7"/>
      <c r="Q93" s="7">
        <f>N93+'A-TRY'!Q93</f>
        <v>-44996269.057471007</v>
      </c>
      <c r="R93" s="7">
        <f>O93+'A-TRY'!R93</f>
        <v>-33165551.132314</v>
      </c>
      <c r="S93" s="7"/>
      <c r="T93" s="7">
        <f>Q93+'A-TRY'!T93</f>
        <v>-53272875.70931901</v>
      </c>
      <c r="U93" s="7">
        <f>R93+'A-TRY'!U93</f>
        <v>-39918892.802777998</v>
      </c>
      <c r="V93" s="7"/>
      <c r="W93" s="7">
        <f>T93+'A-TRY'!W93</f>
        <v>-61486767.449424013</v>
      </c>
      <c r="X93" s="7">
        <f>U93+'A-TRY'!X93</f>
        <v>-45042004.925701</v>
      </c>
      <c r="Y93" s="7"/>
      <c r="Z93" s="7">
        <f>W93+'A-TRY'!Z93</f>
        <v>-70712479.05933401</v>
      </c>
      <c r="AA93" s="7">
        <f>X93+'A-TRY'!AA93</f>
        <v>-50626201.188671999</v>
      </c>
      <c r="AB93" s="7"/>
      <c r="AC93" s="7">
        <f>Z93+'A-TRY'!AC93</f>
        <v>-78964656.868978009</v>
      </c>
      <c r="AD93" s="7">
        <f>AA93+'A-TRY'!AD93</f>
        <v>-50626201.188671999</v>
      </c>
      <c r="AE93" s="7"/>
      <c r="AF93" s="7">
        <f>AC93+'A-TRY'!AF93</f>
        <v>-87157724.730581015</v>
      </c>
      <c r="AG93" s="7">
        <f>AD93+'A-TRY'!AG93</f>
        <v>-50626201.188671999</v>
      </c>
      <c r="AH93" s="7"/>
      <c r="AI93" s="7">
        <f>AF93+'A-TRY'!AI93</f>
        <v>-76881901.309479013</v>
      </c>
      <c r="AJ93" s="7">
        <f>AG93+'A-TRY'!AJ93</f>
        <v>-50626201.188671999</v>
      </c>
      <c r="AK93" s="7"/>
      <c r="AL93" s="21">
        <f t="shared" si="37"/>
        <v>20086277.870662011</v>
      </c>
      <c r="AM93" s="22">
        <f t="shared" si="38"/>
        <v>-0.28405563116812593</v>
      </c>
      <c r="AO93" s="44">
        <f t="shared" si="39"/>
        <v>-70712479.05933401</v>
      </c>
      <c r="AP93" s="44">
        <f t="shared" si="39"/>
        <v>-50626201.188671999</v>
      </c>
    </row>
    <row r="94" spans="1:42" ht="15.5">
      <c r="A94" s="26" t="s">
        <v>13</v>
      </c>
      <c r="B94" s="7">
        <f>'A-TRY'!B94</f>
        <v>-76612367.621172994</v>
      </c>
      <c r="C94" s="7">
        <f>'A-TRY'!C94</f>
        <v>-76373898.645620003</v>
      </c>
      <c r="D94" s="7"/>
      <c r="E94" s="7">
        <f>B94+'A-TRY'!E94</f>
        <v>-162808782.366633</v>
      </c>
      <c r="F94" s="7">
        <f>C94+'A-TRY'!F94</f>
        <v>-161777543.958345</v>
      </c>
      <c r="G94" s="7"/>
      <c r="H94" s="7">
        <f>E94+'A-TRY'!H94</f>
        <v>-255270299.56642902</v>
      </c>
      <c r="I94" s="7">
        <f>F94+'A-TRY'!I94</f>
        <v>-253438001.09467298</v>
      </c>
      <c r="J94" s="7"/>
      <c r="K94" s="7">
        <f>H94+'A-TRY'!K94</f>
        <v>-344191800.79605001</v>
      </c>
      <c r="L94" s="7">
        <f>I94+'A-TRY'!L94</f>
        <v>-341720546.90533996</v>
      </c>
      <c r="M94" s="7"/>
      <c r="N94" s="7">
        <f>K94+'A-TRY'!N94</f>
        <v>-428463882.34774804</v>
      </c>
      <c r="O94" s="7">
        <f>L94+'A-TRY'!O94</f>
        <v>-426468104.06124794</v>
      </c>
      <c r="P94" s="7"/>
      <c r="Q94" s="7">
        <f>N94+'A-TRY'!Q94</f>
        <v>-516172620.04080105</v>
      </c>
      <c r="R94" s="7">
        <f>O94+'A-TRY'!R94</f>
        <v>-506119711.06943196</v>
      </c>
      <c r="S94" s="7"/>
      <c r="T94" s="7">
        <f>Q94+'A-TRY'!T94</f>
        <v>-607652677.808025</v>
      </c>
      <c r="U94" s="7">
        <f>R94+'A-TRY'!U94</f>
        <v>-584836170.92824793</v>
      </c>
      <c r="V94" s="7"/>
      <c r="W94" s="7">
        <f>T94+'A-TRY'!W94</f>
        <v>-700958652.24341798</v>
      </c>
      <c r="X94" s="7">
        <f>U94+'A-TRY'!X94</f>
        <v>-664578458.88501394</v>
      </c>
      <c r="Y94" s="7"/>
      <c r="Z94" s="7">
        <f>W94+'A-TRY'!Z94</f>
        <v>-795750387.29927301</v>
      </c>
      <c r="AA94" s="7">
        <f>X94+'A-TRY'!AA94</f>
        <v>-741527043.7336359</v>
      </c>
      <c r="AB94" s="7"/>
      <c r="AC94" s="7">
        <f>Z94+'A-TRY'!AC94</f>
        <v>-895819227.54279697</v>
      </c>
      <c r="AD94" s="7">
        <f>AA94+'A-TRY'!AD94</f>
        <v>-741527043.7336359</v>
      </c>
      <c r="AE94" s="7"/>
      <c r="AF94" s="7">
        <f>AC94+'A-TRY'!AF94</f>
        <v>-994811818.09842396</v>
      </c>
      <c r="AG94" s="7">
        <f>AD94+'A-TRY'!AG94</f>
        <v>-741527043.7336359</v>
      </c>
      <c r="AH94" s="7"/>
      <c r="AI94" s="7">
        <f>AF94+'A-TRY'!AI94</f>
        <v>-888330004.98186696</v>
      </c>
      <c r="AJ94" s="7">
        <f>AG94+'A-TRY'!AJ94</f>
        <v>-741527043.7336359</v>
      </c>
      <c r="AK94" s="7"/>
      <c r="AL94" s="21">
        <f t="shared" si="37"/>
        <v>54223343.565637112</v>
      </c>
      <c r="AM94" s="22">
        <f t="shared" si="38"/>
        <v>-6.8141146308037248E-2</v>
      </c>
      <c r="AO94" s="44">
        <f t="shared" si="39"/>
        <v>-795750387.29927301</v>
      </c>
      <c r="AP94" s="44">
        <f t="shared" si="39"/>
        <v>-741527043.7336359</v>
      </c>
    </row>
    <row r="95" spans="1:42" s="1" customFormat="1" ht="15.5">
      <c r="A95" s="26" t="s">
        <v>14</v>
      </c>
      <c r="B95" s="7">
        <f>'A-TRY'!B95</f>
        <v>-32344300</v>
      </c>
      <c r="C95" s="7">
        <f>'A-TRY'!C95</f>
        <v>-35177923.950428002</v>
      </c>
      <c r="D95" s="8"/>
      <c r="E95" s="7">
        <f>B95+'A-TRY'!E95</f>
        <v>-64871318</v>
      </c>
      <c r="F95" s="7">
        <f>C95+'A-TRY'!F95</f>
        <v>-68262340.235397011</v>
      </c>
      <c r="G95" s="8"/>
      <c r="H95" s="7">
        <f>E95+'A-TRY'!H95</f>
        <v>-97505174</v>
      </c>
      <c r="I95" s="7">
        <f>F95+'A-TRY'!I95</f>
        <v>-97853891.861244008</v>
      </c>
      <c r="J95" s="8"/>
      <c r="K95" s="7">
        <f>H95+'A-TRY'!K95</f>
        <v>-143480974.95180452</v>
      </c>
      <c r="L95" s="7">
        <f>I95+'A-TRY'!L95</f>
        <v>-143896287.085181</v>
      </c>
      <c r="M95" s="8"/>
      <c r="N95" s="7">
        <f>K95+'A-TRY'!N95</f>
        <v>-185873971.66174656</v>
      </c>
      <c r="O95" s="7">
        <f>L95+'A-TRY'!O95</f>
        <v>-197163730.37060499</v>
      </c>
      <c r="P95" s="8"/>
      <c r="Q95" s="7">
        <f>N95+'A-TRY'!Q95</f>
        <v>-227270059.71540469</v>
      </c>
      <c r="R95" s="7">
        <f>O95+'A-TRY'!R95</f>
        <v>-237385617.109548</v>
      </c>
      <c r="S95" s="8"/>
      <c r="T95" s="7">
        <f>Q95+'A-TRY'!T95</f>
        <v>-268906592.55611616</v>
      </c>
      <c r="U95" s="7">
        <f>R95+'A-TRY'!U95</f>
        <v>-274851669.02367401</v>
      </c>
      <c r="V95" s="8"/>
      <c r="W95" s="7">
        <f>T95+'A-TRY'!W95</f>
        <v>-310605850.95977569</v>
      </c>
      <c r="X95" s="7">
        <f>U95+'A-TRY'!X95</f>
        <v>-312516439.14823198</v>
      </c>
      <c r="Y95" s="8"/>
      <c r="Z95" s="7">
        <f>W95+'A-TRY'!Z95</f>
        <v>-352295572.34684187</v>
      </c>
      <c r="AA95" s="7">
        <f>X95+'A-TRY'!AA95</f>
        <v>-350525944.07701099</v>
      </c>
      <c r="AB95" s="8"/>
      <c r="AC95" s="7">
        <f>Z95+'A-TRY'!AC95</f>
        <v>-394903135.82746106</v>
      </c>
      <c r="AD95" s="7">
        <f>AA95+'A-TRY'!AD95</f>
        <v>-350525944.07701099</v>
      </c>
      <c r="AE95" s="8"/>
      <c r="AF95" s="7">
        <f>AC95+'A-TRY'!AF95</f>
        <v>-437475035.40649146</v>
      </c>
      <c r="AG95" s="7">
        <f>AD95+'A-TRY'!AG95</f>
        <v>-350525944.07701099</v>
      </c>
      <c r="AH95" s="8"/>
      <c r="AI95" s="7">
        <f>AF95+'A-TRY'!AI95</f>
        <v>-393120554.89588392</v>
      </c>
      <c r="AJ95" s="7">
        <f>AG95+'A-TRY'!AJ95</f>
        <v>-350525944.07701099</v>
      </c>
      <c r="AK95" s="8"/>
      <c r="AL95" s="21">
        <f t="shared" si="37"/>
        <v>1769628.2698308825</v>
      </c>
      <c r="AM95" s="22">
        <f t="shared" si="38"/>
        <v>-5.0231351420126913E-3</v>
      </c>
      <c r="AO95" s="44">
        <f t="shared" si="39"/>
        <v>-352295572.34684187</v>
      </c>
      <c r="AP95" s="44">
        <f t="shared" si="39"/>
        <v>-350525944.07701099</v>
      </c>
    </row>
    <row r="96" spans="1:42" ht="15.5">
      <c r="A96" s="26" t="s">
        <v>15</v>
      </c>
      <c r="B96" s="7">
        <f>'A-TRY'!B96</f>
        <v>-26222497.876703769</v>
      </c>
      <c r="C96" s="7">
        <f>'A-TRY'!C96</f>
        <v>-24631367.120022777</v>
      </c>
      <c r="D96" s="7"/>
      <c r="E96" s="7">
        <f>B96+'A-TRY'!E96</f>
        <v>-51846747.811082155</v>
      </c>
      <c r="F96" s="7">
        <f>C96+'A-TRY'!F96</f>
        <v>-55325917.921834707</v>
      </c>
      <c r="G96" s="7"/>
      <c r="H96" s="7">
        <f>E96+'A-TRY'!H96</f>
        <v>-79724958.3285622</v>
      </c>
      <c r="I96" s="7">
        <f>F96+'A-TRY'!I96</f>
        <v>-83208388.462031484</v>
      </c>
      <c r="J96" s="7"/>
      <c r="K96" s="7">
        <f>H96+'A-TRY'!K96</f>
        <v>-116551068.52862698</v>
      </c>
      <c r="L96" s="7">
        <f>I96+'A-TRY'!L96</f>
        <v>-125098299.82444501</v>
      </c>
      <c r="M96" s="7"/>
      <c r="N96" s="7">
        <f>K96+'A-TRY'!N96</f>
        <v>-146257170.38491556</v>
      </c>
      <c r="O96" s="7">
        <f>L96+'A-TRY'!O96</f>
        <v>-161291284.67567322</v>
      </c>
      <c r="P96" s="7"/>
      <c r="Q96" s="7">
        <f>N96+'A-TRY'!Q96</f>
        <v>-175191086.6286853</v>
      </c>
      <c r="R96" s="7">
        <f>O96+'A-TRY'!R96</f>
        <v>-191522707.20342511</v>
      </c>
      <c r="S96" s="7"/>
      <c r="T96" s="7">
        <f>Q96+'A-TRY'!T96</f>
        <v>-203302415.11935753</v>
      </c>
      <c r="U96" s="7">
        <f>R96+'A-TRY'!U96</f>
        <v>-215985638.81786048</v>
      </c>
      <c r="V96" s="7"/>
      <c r="W96" s="7">
        <f>T96+'A-TRY'!W96</f>
        <v>-227590856.48362744</v>
      </c>
      <c r="X96" s="7">
        <f>U96+'A-TRY'!X96</f>
        <v>-237135339.67012894</v>
      </c>
      <c r="Y96" s="7"/>
      <c r="Z96" s="7">
        <f>W96+'A-TRY'!Z96</f>
        <v>-260803865.24632555</v>
      </c>
      <c r="AA96" s="7">
        <f>X96+'A-TRY'!AA96</f>
        <v>-265875777.68196097</v>
      </c>
      <c r="AB96" s="7"/>
      <c r="AC96" s="7">
        <f>Z96+'A-TRY'!AC96</f>
        <v>-291652055.97885519</v>
      </c>
      <c r="AD96" s="7">
        <f>AA96+'A-TRY'!AD96</f>
        <v>-265875777.68196097</v>
      </c>
      <c r="AE96" s="7"/>
      <c r="AF96" s="7">
        <f>AC96+'A-TRY'!AF96</f>
        <v>-321900840.42319787</v>
      </c>
      <c r="AG96" s="7">
        <f>AD96+'A-TRY'!AG96</f>
        <v>-265875777.68196097</v>
      </c>
      <c r="AH96" s="7"/>
      <c r="AI96" s="7">
        <f>AF96+'A-TRY'!AI96</f>
        <v>-295188122.95629442</v>
      </c>
      <c r="AJ96" s="7">
        <f>AG96+'A-TRY'!AJ96</f>
        <v>-265875777.68196097</v>
      </c>
      <c r="AK96" s="7"/>
      <c r="AL96" s="21">
        <f t="shared" si="37"/>
        <v>-5071912.4356354177</v>
      </c>
      <c r="AM96" s="22">
        <f t="shared" si="38"/>
        <v>1.9447228785681725E-2</v>
      </c>
      <c r="AO96" s="44">
        <f t="shared" si="39"/>
        <v>-260803865.24632555</v>
      </c>
      <c r="AP96" s="44">
        <f t="shared" si="39"/>
        <v>-265875777.68196097</v>
      </c>
    </row>
    <row r="97" spans="1:42" ht="15.5">
      <c r="A97" s="26" t="s">
        <v>16</v>
      </c>
      <c r="B97" s="7">
        <f>'A-TRY'!B97</f>
        <v>-14881683.473512666</v>
      </c>
      <c r="C97" s="7">
        <f>'A-TRY'!C97</f>
        <v>-15094553.892623326</v>
      </c>
      <c r="D97" s="7"/>
      <c r="E97" s="7">
        <f>B97+'A-TRY'!E97</f>
        <v>-28757582.146932296</v>
      </c>
      <c r="F97" s="7">
        <f>C97+'A-TRY'!F97</f>
        <v>-33422123.823128045</v>
      </c>
      <c r="G97" s="7"/>
      <c r="H97" s="7">
        <f>E97+'A-TRY'!H97</f>
        <v>-45713255.166428894</v>
      </c>
      <c r="I97" s="7">
        <f>F97+'A-TRY'!I97</f>
        <v>-44555735.4379474</v>
      </c>
      <c r="J97" s="7"/>
      <c r="K97" s="7">
        <f>H97+'A-TRY'!K97</f>
        <v>-63770222.880301535</v>
      </c>
      <c r="L97" s="7">
        <f>I97+'A-TRY'!L97</f>
        <v>-73899402.569973528</v>
      </c>
      <c r="M97" s="7"/>
      <c r="N97" s="7">
        <f>K97+'A-TRY'!N97</f>
        <v>-81073646.117434099</v>
      </c>
      <c r="O97" s="7">
        <f>L97+'A-TRY'!O97</f>
        <v>-95334601.735364467</v>
      </c>
      <c r="P97" s="7"/>
      <c r="Q97" s="7">
        <f>N97+'A-TRY'!Q97</f>
        <v>-97210979.078541309</v>
      </c>
      <c r="R97" s="7">
        <f>O97+'A-TRY'!R97</f>
        <v>-112739902.28849795</v>
      </c>
      <c r="S97" s="7"/>
      <c r="T97" s="7">
        <f>Q97+'A-TRY'!T97</f>
        <v>-112633409.3373832</v>
      </c>
      <c r="U97" s="7">
        <f>R97+'A-TRY'!U97</f>
        <v>-134012013.88018571</v>
      </c>
      <c r="V97" s="7"/>
      <c r="W97" s="7">
        <f>T97+'A-TRY'!W97</f>
        <v>-127562146.97291639</v>
      </c>
      <c r="X97" s="7">
        <f>U97+'A-TRY'!X97</f>
        <v>-150341250.63908863</v>
      </c>
      <c r="Y97" s="7"/>
      <c r="Z97" s="7">
        <f>W97+'A-TRY'!Z97</f>
        <v>-146331898.90500706</v>
      </c>
      <c r="AA97" s="7">
        <f>X97+'A-TRY'!AA97</f>
        <v>-175568410.07095963</v>
      </c>
      <c r="AB97" s="7"/>
      <c r="AC97" s="7">
        <f>Z97+'A-TRY'!AC97</f>
        <v>-164463646.55918685</v>
      </c>
      <c r="AD97" s="7">
        <f>AA97+'A-TRY'!AD97</f>
        <v>-175568410.07095963</v>
      </c>
      <c r="AE97" s="7"/>
      <c r="AF97" s="7">
        <f>AC97+'A-TRY'!AF97</f>
        <v>-181710103.91068858</v>
      </c>
      <c r="AG97" s="7">
        <f>AD97+'A-TRY'!AG97</f>
        <v>-175568410.07095963</v>
      </c>
      <c r="AH97" s="7"/>
      <c r="AI97" s="7">
        <f>AF97+'A-TRY'!AI97</f>
        <v>-166455549.21287978</v>
      </c>
      <c r="AJ97" s="7">
        <f>AG97+'A-TRY'!AJ97</f>
        <v>-175568410.07095963</v>
      </c>
      <c r="AK97" s="7"/>
      <c r="AL97" s="21">
        <f t="shared" si="37"/>
        <v>-29236511.165952563</v>
      </c>
      <c r="AM97" s="22">
        <f t="shared" si="38"/>
        <v>0.19979588445668806</v>
      </c>
      <c r="AO97" s="44">
        <f t="shared" si="39"/>
        <v>-146331898.90500706</v>
      </c>
      <c r="AP97" s="44">
        <f t="shared" si="39"/>
        <v>-175568410.07095963</v>
      </c>
    </row>
    <row r="98" spans="1:42" ht="15.5">
      <c r="A98" s="26" t="s">
        <v>17</v>
      </c>
      <c r="B98" s="7">
        <f>'A-TRY'!B98</f>
        <v>-33935626.741554052</v>
      </c>
      <c r="C98" s="7">
        <f>'A-TRY'!C98</f>
        <v>-35048290.418891974</v>
      </c>
      <c r="D98" s="7"/>
      <c r="E98" s="7">
        <f>B98+'A-TRY'!E98</f>
        <v>-73509688.803864509</v>
      </c>
      <c r="F98" s="7">
        <f>C98+'A-TRY'!F98</f>
        <v>-73116769.181022123</v>
      </c>
      <c r="G98" s="7"/>
      <c r="H98" s="7">
        <f>E98+'A-TRY'!H98</f>
        <v>-113947301.81266844</v>
      </c>
      <c r="I98" s="7">
        <f>F98+'A-TRY'!I98</f>
        <v>-112568945.60948277</v>
      </c>
      <c r="J98" s="7"/>
      <c r="K98" s="7">
        <f>H98+'A-TRY'!K98</f>
        <v>-152793450.50100681</v>
      </c>
      <c r="L98" s="7">
        <f>I98+'A-TRY'!L98</f>
        <v>-155689387.09523278</v>
      </c>
      <c r="M98" s="7"/>
      <c r="N98" s="7">
        <f>K98+'A-TRY'!N98</f>
        <v>-194905292.7627483</v>
      </c>
      <c r="O98" s="7">
        <f>L98+'A-TRY'!O98</f>
        <v>-203120620.07400468</v>
      </c>
      <c r="P98" s="7"/>
      <c r="Q98" s="7">
        <f>N98+'A-TRY'!Q98</f>
        <v>-237391215.12974572</v>
      </c>
      <c r="R98" s="7">
        <f>O98+'A-TRY'!R98</f>
        <v>-242425767.43753007</v>
      </c>
      <c r="S98" s="7"/>
      <c r="T98" s="7">
        <f>Q98+'A-TRY'!T98</f>
        <v>-279935203.66529685</v>
      </c>
      <c r="U98" s="7">
        <f>R98+'A-TRY'!U98</f>
        <v>-288915954.84667617</v>
      </c>
      <c r="V98" s="7"/>
      <c r="W98" s="7">
        <f>T98+'A-TRY'!W98</f>
        <v>-315919407.77677339</v>
      </c>
      <c r="X98" s="7">
        <f>U98+'A-TRY'!X98</f>
        <v>-333786490.91174138</v>
      </c>
      <c r="Y98" s="7"/>
      <c r="Z98" s="7">
        <f>W98+'A-TRY'!Z98</f>
        <v>-364033110.26343119</v>
      </c>
      <c r="AA98" s="7">
        <f>X98+'A-TRY'!AA98</f>
        <v>-381296577.62740988</v>
      </c>
      <c r="AB98" s="7"/>
      <c r="AC98" s="7">
        <f>Z98+'A-TRY'!AC98</f>
        <v>-409197741.28384602</v>
      </c>
      <c r="AD98" s="7">
        <f>AA98+'A-TRY'!AD98</f>
        <v>-381296577.62740988</v>
      </c>
      <c r="AE98" s="7"/>
      <c r="AF98" s="7">
        <f>AC98+'A-TRY'!AF98</f>
        <v>-453052028.06285495</v>
      </c>
      <c r="AG98" s="7">
        <f>AD98+'A-TRY'!AG98</f>
        <v>-381296577.62740988</v>
      </c>
      <c r="AH98" s="7"/>
      <c r="AI98" s="7">
        <f>AF98+'A-TRY'!AI98</f>
        <v>-413610190.77193087</v>
      </c>
      <c r="AJ98" s="7">
        <f>AG98+'A-TRY'!AJ98</f>
        <v>-381296577.62740988</v>
      </c>
      <c r="AK98" s="7"/>
      <c r="AL98" s="21">
        <f t="shared" si="37"/>
        <v>-17263467.363978684</v>
      </c>
      <c r="AM98" s="22">
        <f t="shared" si="38"/>
        <v>4.7422794458136019E-2</v>
      </c>
      <c r="AO98" s="44">
        <f t="shared" si="39"/>
        <v>-364033110.26343119</v>
      </c>
      <c r="AP98" s="44">
        <f t="shared" si="39"/>
        <v>-381296577.62740988</v>
      </c>
    </row>
    <row r="99" spans="1:42" ht="15.5">
      <c r="A99" s="26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21"/>
      <c r="AM99" s="22"/>
      <c r="AO99" s="44">
        <f t="shared" si="39"/>
        <v>0</v>
      </c>
      <c r="AP99" s="44">
        <f t="shared" si="39"/>
        <v>0</v>
      </c>
    </row>
    <row r="100" spans="1:42">
      <c r="A100" s="2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5"/>
    </row>
    <row r="101" spans="1:42" s="49" customFormat="1" ht="17">
      <c r="A101" s="47" t="s">
        <v>69</v>
      </c>
      <c r="B101" s="413"/>
      <c r="C101" s="413"/>
      <c r="D101" s="413"/>
      <c r="E101" s="413"/>
      <c r="F101" s="413"/>
      <c r="G101" s="413"/>
      <c r="H101" s="413"/>
      <c r="I101" s="413"/>
      <c r="J101" s="413"/>
      <c r="K101" s="413"/>
      <c r="L101" s="413"/>
      <c r="M101" s="413"/>
      <c r="N101" s="413"/>
      <c r="O101" s="413"/>
      <c r="P101" s="413"/>
      <c r="Q101" s="413"/>
      <c r="R101" s="413"/>
      <c r="S101" s="413"/>
      <c r="T101" s="413"/>
      <c r="U101" s="413"/>
      <c r="V101" s="413"/>
      <c r="W101" s="413"/>
      <c r="X101" s="413"/>
      <c r="Y101" s="413"/>
      <c r="Z101" s="413"/>
      <c r="AA101" s="413"/>
      <c r="AB101" s="413"/>
      <c r="AC101" s="413"/>
      <c r="AD101" s="413"/>
      <c r="AE101" s="413"/>
      <c r="AF101" s="413"/>
      <c r="AG101" s="413"/>
      <c r="AH101" s="413"/>
      <c r="AI101" s="413"/>
      <c r="AJ101" s="413"/>
      <c r="AK101" s="413"/>
      <c r="AL101" s="413"/>
      <c r="AM101" s="48"/>
    </row>
    <row r="102" spans="1:42" s="13" customFormat="1" ht="15.5">
      <c r="A102" s="26" t="s">
        <v>10</v>
      </c>
      <c r="B102" s="12">
        <f>B91*-1/B9</f>
        <v>0.5296537499048749</v>
      </c>
      <c r="C102" s="12">
        <f>C91*-1/C9</f>
        <v>0.50238117054819975</v>
      </c>
      <c r="D102" s="41"/>
      <c r="E102" s="12">
        <f>E91*-1/E9</f>
        <v>0.5130565512930203</v>
      </c>
      <c r="F102" s="12">
        <f>F91*-1/F9</f>
        <v>0.53688160928918427</v>
      </c>
      <c r="G102" s="41"/>
      <c r="H102" s="12">
        <f>H91*-1/H9</f>
        <v>0.53950743497336595</v>
      </c>
      <c r="I102" s="12">
        <f>I91*-1/I9</f>
        <v>0.54942005889245538</v>
      </c>
      <c r="J102" s="41"/>
      <c r="K102" s="12">
        <f>K91*-1/K9</f>
        <v>0.5412014403176838</v>
      </c>
      <c r="L102" s="12">
        <f>L91*-1/L9</f>
        <v>0.61441167325260027</v>
      </c>
      <c r="M102" s="41"/>
      <c r="N102" s="12">
        <f>N91*-1/N9</f>
        <v>0.54310960069814374</v>
      </c>
      <c r="O102" s="12">
        <f>O91*-1/O9</f>
        <v>0.57846882755924389</v>
      </c>
      <c r="P102" s="41"/>
      <c r="Q102" s="12">
        <f>Q91*-1/Q9</f>
        <v>0.54090970589565368</v>
      </c>
      <c r="R102" s="12">
        <f>R91*-1/R9</f>
        <v>0.57448437502216798</v>
      </c>
      <c r="S102" s="41"/>
      <c r="T102" s="12">
        <f>T91*-1/T9</f>
        <v>0.53227453383092926</v>
      </c>
      <c r="U102" s="12">
        <f>U91*-1/U9</f>
        <v>0.56629841191405983</v>
      </c>
      <c r="V102" s="41"/>
      <c r="W102" s="12">
        <f>W91*-1/W9</f>
        <v>0.5305663071364225</v>
      </c>
      <c r="X102" s="12">
        <f>X91*-1/X9</f>
        <v>0.56065829726119676</v>
      </c>
      <c r="Y102" s="41"/>
      <c r="Z102" s="12">
        <f>Z91*-1/Z9</f>
        <v>0.51938203963121954</v>
      </c>
      <c r="AA102" s="12">
        <f>AA91*-1/AA9</f>
        <v>0.53803998580694745</v>
      </c>
      <c r="AB102" s="41"/>
      <c r="AC102" s="12">
        <f>AC91*-1/AC9</f>
        <v>0.51551921411798363</v>
      </c>
      <c r="AD102" s="12">
        <f>AD91*-1/AD9</f>
        <v>0.53803998580694745</v>
      </c>
      <c r="AE102" s="41"/>
      <c r="AF102" s="12">
        <f>AF91*-1/AF9</f>
        <v>0.51671874759359204</v>
      </c>
      <c r="AG102" s="12">
        <f>AG91*-1/AG9</f>
        <v>0.53803998580694745</v>
      </c>
      <c r="AH102" s="41"/>
      <c r="AI102" s="12">
        <f>AI91*-1/AI9</f>
        <v>0.35965058352069829</v>
      </c>
      <c r="AJ102" s="12">
        <f>AJ91*-1/AJ9</f>
        <v>0.53803998580694745</v>
      </c>
      <c r="AK102" s="41"/>
      <c r="AL102" s="15"/>
      <c r="AM102" s="22">
        <f>AP102-AO102</f>
        <v>1.8657946175727913E-2</v>
      </c>
      <c r="AO102" s="44">
        <f t="shared" ref="AO102:AP109" si="40">IF($A$1=$B$1,B102,IF($A$1=$E$1,E102,IF($A$1=$H$1,H102,IF($A$1=$K$1,K102,IF($A$1=$N$1,N102,IF($A$1=$Q$1,Q102,IF($A$1=$T$1,T102,IF($A$1=$W$1,W102,IF($A$1=$Z$1,Z102,IF($A$1=$AC$1,AC102,IF($A$1=$AF$1,AF102,IF($A$1=$AI$1,AI102))))))))))))</f>
        <v>0.51938203963121954</v>
      </c>
      <c r="AP102" s="44">
        <f t="shared" si="40"/>
        <v>0.53803998580694745</v>
      </c>
    </row>
    <row r="103" spans="1:42" s="13" customFormat="1" ht="15.5">
      <c r="A103" s="26" t="s">
        <v>11</v>
      </c>
      <c r="B103" s="12">
        <f t="shared" ref="B103:C109" si="41">B92*-1/B10</f>
        <v>0.20659051288776206</v>
      </c>
      <c r="C103" s="12">
        <f t="shared" si="41"/>
        <v>0.14328133365901763</v>
      </c>
      <c r="D103" s="41"/>
      <c r="E103" s="12">
        <f t="shared" ref="E103:F109" si="42">E92*-1/E10</f>
        <v>0.18676948816587127</v>
      </c>
      <c r="F103" s="12">
        <f t="shared" si="42"/>
        <v>0.15912533393971162</v>
      </c>
      <c r="G103" s="41"/>
      <c r="H103" s="12">
        <f t="shared" ref="H103:I109" si="43">H92*-1/H10</f>
        <v>0.18079481796495825</v>
      </c>
      <c r="I103" s="12">
        <f t="shared" si="43"/>
        <v>0.18119492008264024</v>
      </c>
      <c r="J103" s="41"/>
      <c r="K103" s="12">
        <f t="shared" ref="K103:L109" si="44">K92*-1/K10</f>
        <v>0.17563939059637923</v>
      </c>
      <c r="L103" s="12">
        <f t="shared" si="44"/>
        <v>0.20108068253050135</v>
      </c>
      <c r="M103" s="41"/>
      <c r="N103" s="12">
        <f t="shared" ref="N103:O109" si="45">N92*-1/N10</f>
        <v>0.1719873721258364</v>
      </c>
      <c r="O103" s="12">
        <f t="shared" si="45"/>
        <v>0.20308912543178495</v>
      </c>
      <c r="P103" s="41"/>
      <c r="Q103" s="12">
        <f t="shared" ref="Q103:R109" si="46">Q92*-1/Q10</f>
        <v>0.16963028058490326</v>
      </c>
      <c r="R103" s="12">
        <f t="shared" si="46"/>
        <v>0.21124366229414607</v>
      </c>
      <c r="S103" s="41"/>
      <c r="T103" s="12">
        <f t="shared" ref="T103:U109" si="47">T92*-1/T10</f>
        <v>0.1701994644490705</v>
      </c>
      <c r="U103" s="12">
        <f t="shared" si="47"/>
        <v>0.21040382674546143</v>
      </c>
      <c r="V103" s="41"/>
      <c r="W103" s="12">
        <f t="shared" ref="W103:X109" si="48">W92*-1/W10</f>
        <v>0.17470326161332655</v>
      </c>
      <c r="X103" s="12">
        <f t="shared" si="48"/>
        <v>0.21206836555879469</v>
      </c>
      <c r="Y103" s="41"/>
      <c r="Z103" s="12">
        <f t="shared" ref="Z103:AA109" si="49">Z92*-1/Z10</f>
        <v>0.178589913358775</v>
      </c>
      <c r="AA103" s="12">
        <f t="shared" si="49"/>
        <v>0.22020156446413677</v>
      </c>
      <c r="AB103" s="41"/>
      <c r="AC103" s="12">
        <f t="shared" ref="AC103:AD109" si="50">AC92*-1/AC10</f>
        <v>0.18231669256613184</v>
      </c>
      <c r="AD103" s="12">
        <f t="shared" si="50"/>
        <v>0.22020156446413677</v>
      </c>
      <c r="AE103" s="41"/>
      <c r="AF103" s="12">
        <f t="shared" ref="AF103:AG109" si="51">AF92*-1/AF10</f>
        <v>0.18710051033634767</v>
      </c>
      <c r="AG103" s="12">
        <f t="shared" si="51"/>
        <v>0.22020156446413677</v>
      </c>
      <c r="AH103" s="41"/>
      <c r="AI103" s="12">
        <f t="shared" ref="AI103:AJ109" si="52">AI92*-1/AI10</f>
        <v>0.16257931732889694</v>
      </c>
      <c r="AJ103" s="12">
        <f t="shared" si="52"/>
        <v>0.22020156446413677</v>
      </c>
      <c r="AK103" s="41"/>
      <c r="AL103" s="15"/>
      <c r="AM103" s="22">
        <f t="shared" ref="AM103:AM109" si="53">AP103-AO103</f>
        <v>4.1611651105361774E-2</v>
      </c>
      <c r="AO103" s="44">
        <f t="shared" si="40"/>
        <v>0.178589913358775</v>
      </c>
      <c r="AP103" s="44">
        <f t="shared" si="40"/>
        <v>0.22020156446413677</v>
      </c>
    </row>
    <row r="104" spans="1:42" s="13" customFormat="1" ht="15.5">
      <c r="A104" s="26" t="s">
        <v>12</v>
      </c>
      <c r="B104" s="12">
        <f t="shared" si="41"/>
        <v>0.21218348648534277</v>
      </c>
      <c r="C104" s="12">
        <f t="shared" si="41"/>
        <v>0.12594003965713679</v>
      </c>
      <c r="D104" s="41"/>
      <c r="E104" s="12">
        <f t="shared" si="42"/>
        <v>0.18997579415748508</v>
      </c>
      <c r="F104" s="12">
        <f t="shared" si="42"/>
        <v>0.12033984224467022</v>
      </c>
      <c r="G104" s="41"/>
      <c r="H104" s="12">
        <f t="shared" si="43"/>
        <v>0.17342811811305325</v>
      </c>
      <c r="I104" s="12">
        <f t="shared" si="43"/>
        <v>0.11870030408059336</v>
      </c>
      <c r="J104" s="41"/>
      <c r="K104" s="12">
        <f t="shared" si="44"/>
        <v>0.16886649591455727</v>
      </c>
      <c r="L104" s="12">
        <f t="shared" si="44"/>
        <v>0.11678502313960619</v>
      </c>
      <c r="M104" s="41"/>
      <c r="N104" s="12">
        <f t="shared" si="45"/>
        <v>0.15824565978729377</v>
      </c>
      <c r="O104" s="12">
        <f t="shared" si="45"/>
        <v>0.12373554140711306</v>
      </c>
      <c r="P104" s="41"/>
      <c r="Q104" s="12">
        <f t="shared" si="46"/>
        <v>0.15251276334808034</v>
      </c>
      <c r="R104" s="12">
        <f t="shared" si="46"/>
        <v>0.12640323683060717</v>
      </c>
      <c r="S104" s="41"/>
      <c r="T104" s="12">
        <f t="shared" si="47"/>
        <v>0.14419542563198343</v>
      </c>
      <c r="U104" s="12">
        <f t="shared" si="47"/>
        <v>0.13050605122492726</v>
      </c>
      <c r="V104" s="41"/>
      <c r="W104" s="12">
        <f t="shared" si="48"/>
        <v>0.14282123792827334</v>
      </c>
      <c r="X104" s="12">
        <f t="shared" si="48"/>
        <v>0.13047443238142739</v>
      </c>
      <c r="Y104" s="41"/>
      <c r="Z104" s="12">
        <f t="shared" si="49"/>
        <v>0.14380759108438088</v>
      </c>
      <c r="AA104" s="12">
        <f t="shared" si="49"/>
        <v>0.13038900064976591</v>
      </c>
      <c r="AB104" s="41"/>
      <c r="AC104" s="12">
        <f t="shared" si="50"/>
        <v>0.14207706575169002</v>
      </c>
      <c r="AD104" s="12">
        <f t="shared" si="50"/>
        <v>0.13038900064976591</v>
      </c>
      <c r="AE104" s="41"/>
      <c r="AF104" s="12">
        <f t="shared" si="51"/>
        <v>0.13762992643505065</v>
      </c>
      <c r="AG104" s="12">
        <f t="shared" si="51"/>
        <v>0.13038900064976591</v>
      </c>
      <c r="AH104" s="41"/>
      <c r="AI104" s="12">
        <f t="shared" si="52"/>
        <v>0.10970775921067114</v>
      </c>
      <c r="AJ104" s="12">
        <f t="shared" si="52"/>
        <v>0.13038900064976591</v>
      </c>
      <c r="AK104" s="41"/>
      <c r="AL104" s="15"/>
      <c r="AM104" s="22">
        <f t="shared" si="53"/>
        <v>-1.3418590434614963E-2</v>
      </c>
      <c r="AO104" s="44">
        <f t="shared" si="40"/>
        <v>0.14380759108438088</v>
      </c>
      <c r="AP104" s="44">
        <f t="shared" si="40"/>
        <v>0.13038900064976591</v>
      </c>
    </row>
    <row r="105" spans="1:42" s="13" customFormat="1" ht="15.5">
      <c r="A105" s="26" t="s">
        <v>13</v>
      </c>
      <c r="B105" s="12">
        <f t="shared" si="41"/>
        <v>0.10800073214357817</v>
      </c>
      <c r="C105" s="12">
        <f t="shared" si="41"/>
        <v>9.7547816636564297E-2</v>
      </c>
      <c r="D105" s="41"/>
      <c r="E105" s="12">
        <f t="shared" si="42"/>
        <v>0.11257033549799492</v>
      </c>
      <c r="F105" s="12">
        <f t="shared" si="42"/>
        <v>0.11970431125180128</v>
      </c>
      <c r="G105" s="41"/>
      <c r="H105" s="12">
        <f t="shared" si="43"/>
        <v>0.11431029747791968</v>
      </c>
      <c r="I105" s="12">
        <f t="shared" si="43"/>
        <v>0.13628746780009282</v>
      </c>
      <c r="J105" s="41"/>
      <c r="K105" s="12">
        <f t="shared" si="44"/>
        <v>0.11481277064432352</v>
      </c>
      <c r="L105" s="12">
        <f t="shared" si="44"/>
        <v>0.14296580597890238</v>
      </c>
      <c r="M105" s="41"/>
      <c r="N105" s="12">
        <f t="shared" si="45"/>
        <v>0.11434231584702388</v>
      </c>
      <c r="O105" s="12">
        <f t="shared" si="45"/>
        <v>0.14157287040349784</v>
      </c>
      <c r="P105" s="41"/>
      <c r="Q105" s="12">
        <f t="shared" si="46"/>
        <v>0.11432452998368933</v>
      </c>
      <c r="R105" s="12">
        <f t="shared" si="46"/>
        <v>0.14864471599607598</v>
      </c>
      <c r="S105" s="41"/>
      <c r="T105" s="12">
        <f t="shared" si="47"/>
        <v>0.1119409817355175</v>
      </c>
      <c r="U105" s="12">
        <f t="shared" si="47"/>
        <v>0.14013460879978717</v>
      </c>
      <c r="V105" s="41"/>
      <c r="W105" s="12">
        <f t="shared" si="48"/>
        <v>0.1108296075873846</v>
      </c>
      <c r="X105" s="12">
        <f t="shared" si="48"/>
        <v>0.13703799620574217</v>
      </c>
      <c r="Y105" s="41"/>
      <c r="Z105" s="12">
        <f t="shared" si="49"/>
        <v>0.10900971655409497</v>
      </c>
      <c r="AA105" s="12">
        <f t="shared" si="49"/>
        <v>0.13809407064594095</v>
      </c>
      <c r="AB105" s="41"/>
      <c r="AC105" s="12">
        <f t="shared" si="50"/>
        <v>0.10624760639475359</v>
      </c>
      <c r="AD105" s="12">
        <f t="shared" si="50"/>
        <v>0.13809407064594095</v>
      </c>
      <c r="AE105" s="41"/>
      <c r="AF105" s="12">
        <f t="shared" si="51"/>
        <v>0.10388862460923121</v>
      </c>
      <c r="AG105" s="12">
        <f t="shared" si="51"/>
        <v>0.13809407064594095</v>
      </c>
      <c r="AH105" s="41"/>
      <c r="AI105" s="12">
        <f t="shared" si="52"/>
        <v>8.2546062886589056E-2</v>
      </c>
      <c r="AJ105" s="12">
        <f t="shared" si="52"/>
        <v>0.13809407064594095</v>
      </c>
      <c r="AK105" s="41"/>
      <c r="AL105" s="15"/>
      <c r="AM105" s="22">
        <f t="shared" si="53"/>
        <v>2.9084354091845982E-2</v>
      </c>
      <c r="AO105" s="44">
        <f t="shared" si="40"/>
        <v>0.10900971655409497</v>
      </c>
      <c r="AP105" s="44">
        <f t="shared" si="40"/>
        <v>0.13809407064594095</v>
      </c>
    </row>
    <row r="106" spans="1:42" s="13" customFormat="1" ht="15.5">
      <c r="A106" s="26" t="s">
        <v>14</v>
      </c>
      <c r="B106" s="12">
        <f t="shared" si="41"/>
        <v>0.131769972452941</v>
      </c>
      <c r="C106" s="12">
        <f t="shared" si="41"/>
        <v>0.15941370849822642</v>
      </c>
      <c r="D106" s="41"/>
      <c r="E106" s="12">
        <f t="shared" si="42"/>
        <v>0.12862359630629247</v>
      </c>
      <c r="F106" s="12">
        <f t="shared" si="42"/>
        <v>0.15711085030587624</v>
      </c>
      <c r="G106" s="41"/>
      <c r="H106" s="12">
        <f t="shared" si="43"/>
        <v>0.12731138628833238</v>
      </c>
      <c r="I106" s="12">
        <f t="shared" si="43"/>
        <v>0.14170946259972581</v>
      </c>
      <c r="J106" s="41"/>
      <c r="K106" s="12">
        <f t="shared" si="44"/>
        <v>0.13915942667892636</v>
      </c>
      <c r="L106" s="12">
        <f t="shared" si="44"/>
        <v>0.15852578078157201</v>
      </c>
      <c r="M106" s="41"/>
      <c r="N106" s="12">
        <f t="shared" si="45"/>
        <v>0.1420620925789024</v>
      </c>
      <c r="O106" s="12">
        <f t="shared" si="45"/>
        <v>0.17099896995808392</v>
      </c>
      <c r="P106" s="41"/>
      <c r="Q106" s="12">
        <f t="shared" si="46"/>
        <v>0.14759285371205991</v>
      </c>
      <c r="R106" s="12">
        <f t="shared" si="46"/>
        <v>0.17572898471848136</v>
      </c>
      <c r="S106" s="41"/>
      <c r="T106" s="12">
        <f t="shared" si="47"/>
        <v>0.14717516859247112</v>
      </c>
      <c r="U106" s="12">
        <f t="shared" si="47"/>
        <v>0.17185360990955625</v>
      </c>
      <c r="V106" s="41"/>
      <c r="W106" s="12">
        <f t="shared" si="48"/>
        <v>0.14901916230410586</v>
      </c>
      <c r="X106" s="12">
        <f t="shared" si="48"/>
        <v>0.17212886950892689</v>
      </c>
      <c r="Y106" s="41"/>
      <c r="Z106" s="12">
        <f t="shared" si="49"/>
        <v>0.15042029441218902</v>
      </c>
      <c r="AA106" s="12">
        <f t="shared" si="49"/>
        <v>0.16878200691559272</v>
      </c>
      <c r="AB106" s="41"/>
      <c r="AC106" s="12">
        <f t="shared" si="50"/>
        <v>0.14749646587215792</v>
      </c>
      <c r="AD106" s="12">
        <f t="shared" si="50"/>
        <v>0.16878200691559272</v>
      </c>
      <c r="AE106" s="41"/>
      <c r="AF106" s="12">
        <f t="shared" si="51"/>
        <v>0.14764293835856104</v>
      </c>
      <c r="AG106" s="12">
        <f t="shared" si="51"/>
        <v>0.16878200691559272</v>
      </c>
      <c r="AH106" s="41"/>
      <c r="AI106" s="12">
        <f t="shared" si="52"/>
        <v>0.12096673368808857</v>
      </c>
      <c r="AJ106" s="12">
        <f t="shared" si="52"/>
        <v>0.16878200691559272</v>
      </c>
      <c r="AK106" s="41"/>
      <c r="AL106" s="15"/>
      <c r="AM106" s="22">
        <f t="shared" si="53"/>
        <v>1.836171250340371E-2</v>
      </c>
      <c r="AO106" s="44">
        <f t="shared" si="40"/>
        <v>0.15042029441218902</v>
      </c>
      <c r="AP106" s="44">
        <f t="shared" si="40"/>
        <v>0.16878200691559272</v>
      </c>
    </row>
    <row r="107" spans="1:42" s="13" customFormat="1" ht="15.5">
      <c r="A107" s="26" t="s">
        <v>15</v>
      </c>
      <c r="B107" s="12">
        <f t="shared" si="41"/>
        <v>7.0275257587398596E-2</v>
      </c>
      <c r="C107" s="12">
        <f t="shared" si="41"/>
        <v>5.7847546236077386E-2</v>
      </c>
      <c r="D107" s="41"/>
      <c r="E107" s="12">
        <f t="shared" si="42"/>
        <v>6.6175251136238941E-2</v>
      </c>
      <c r="F107" s="12">
        <f t="shared" si="42"/>
        <v>6.4365212600797014E-2</v>
      </c>
      <c r="G107" s="41"/>
      <c r="H107" s="12">
        <f t="shared" si="43"/>
        <v>6.2760809710295129E-2</v>
      </c>
      <c r="I107" s="12">
        <f t="shared" si="43"/>
        <v>6.1425535367689625E-2</v>
      </c>
      <c r="J107" s="41"/>
      <c r="K107" s="12">
        <f t="shared" si="44"/>
        <v>6.8504573332551305E-2</v>
      </c>
      <c r="L107" s="12">
        <f t="shared" si="44"/>
        <v>6.6873270982169303E-2</v>
      </c>
      <c r="M107" s="41"/>
      <c r="N107" s="12">
        <f t="shared" si="45"/>
        <v>6.7377232025796222E-2</v>
      </c>
      <c r="O107" s="12">
        <f t="shared" si="45"/>
        <v>6.6568372729395753E-2</v>
      </c>
      <c r="P107" s="41"/>
      <c r="Q107" s="12">
        <f t="shared" si="46"/>
        <v>6.5969935291906076E-2</v>
      </c>
      <c r="R107" s="12">
        <f t="shared" si="46"/>
        <v>6.4113474343666002E-2</v>
      </c>
      <c r="S107" s="41"/>
      <c r="T107" s="12">
        <f t="shared" si="47"/>
        <v>6.6692324447722662E-2</v>
      </c>
      <c r="U107" s="12">
        <f t="shared" si="47"/>
        <v>6.1841847395705321E-2</v>
      </c>
      <c r="V107" s="41"/>
      <c r="W107" s="12">
        <f t="shared" si="48"/>
        <v>6.6006711436891546E-2</v>
      </c>
      <c r="X107" s="12">
        <f t="shared" si="48"/>
        <v>6.0110691783806659E-2</v>
      </c>
      <c r="Y107" s="41"/>
      <c r="Z107" s="12">
        <f t="shared" si="49"/>
        <v>6.4437899424103606E-2</v>
      </c>
      <c r="AA107" s="12">
        <f t="shared" si="49"/>
        <v>5.8873197248913059E-2</v>
      </c>
      <c r="AB107" s="41"/>
      <c r="AC107" s="12">
        <f t="shared" si="50"/>
        <v>6.3741461065734181E-2</v>
      </c>
      <c r="AD107" s="12">
        <f t="shared" si="50"/>
        <v>5.8873197248913059E-2</v>
      </c>
      <c r="AE107" s="41"/>
      <c r="AF107" s="12">
        <f t="shared" si="51"/>
        <v>6.3274060421893194E-2</v>
      </c>
      <c r="AG107" s="12">
        <f t="shared" si="51"/>
        <v>5.8873197248913059E-2</v>
      </c>
      <c r="AH107" s="41"/>
      <c r="AI107" s="12">
        <f t="shared" si="52"/>
        <v>5.3260694183847844E-2</v>
      </c>
      <c r="AJ107" s="12">
        <f t="shared" si="52"/>
        <v>5.8873197248913059E-2</v>
      </c>
      <c r="AK107" s="41"/>
      <c r="AL107" s="15"/>
      <c r="AM107" s="22">
        <f t="shared" si="53"/>
        <v>-5.5647021751905473E-3</v>
      </c>
      <c r="AO107" s="44">
        <f t="shared" si="40"/>
        <v>6.4437899424103606E-2</v>
      </c>
      <c r="AP107" s="44">
        <f t="shared" si="40"/>
        <v>5.8873197248913059E-2</v>
      </c>
    </row>
    <row r="108" spans="1:42" s="13" customFormat="1" ht="15.5">
      <c r="A108" s="26" t="s">
        <v>16</v>
      </c>
      <c r="B108" s="12">
        <f t="shared" si="41"/>
        <v>5.2888617403506033E-2</v>
      </c>
      <c r="C108" s="12">
        <f t="shared" si="41"/>
        <v>5.2539847456750874E-2</v>
      </c>
      <c r="D108" s="41"/>
      <c r="E108" s="12">
        <f t="shared" si="42"/>
        <v>5.609327989986785E-2</v>
      </c>
      <c r="F108" s="12">
        <f t="shared" si="42"/>
        <v>5.4304568232297817E-2</v>
      </c>
      <c r="G108" s="41"/>
      <c r="H108" s="12">
        <f t="shared" si="43"/>
        <v>5.5657424692761186E-2</v>
      </c>
      <c r="I108" s="12">
        <f t="shared" si="43"/>
        <v>4.5834960375617316E-2</v>
      </c>
      <c r="J108" s="41"/>
      <c r="K108" s="12">
        <f t="shared" si="44"/>
        <v>5.6107930335391458E-2</v>
      </c>
      <c r="L108" s="12">
        <f t="shared" si="44"/>
        <v>5.4878134959997729E-2</v>
      </c>
      <c r="M108" s="41"/>
      <c r="N108" s="12">
        <f t="shared" si="45"/>
        <v>5.5792710858090483E-2</v>
      </c>
      <c r="O108" s="12">
        <f t="shared" si="45"/>
        <v>5.6088064384787792E-2</v>
      </c>
      <c r="P108" s="41"/>
      <c r="Q108" s="12">
        <f t="shared" si="46"/>
        <v>5.595240933145449E-2</v>
      </c>
      <c r="R108" s="12">
        <f t="shared" si="46"/>
        <v>5.5610318173143339E-2</v>
      </c>
      <c r="S108" s="41"/>
      <c r="T108" s="12">
        <f t="shared" si="47"/>
        <v>5.6019899398268229E-2</v>
      </c>
      <c r="U108" s="12">
        <f t="shared" si="47"/>
        <v>5.5725468276617535E-2</v>
      </c>
      <c r="V108" s="41"/>
      <c r="W108" s="12">
        <f t="shared" si="48"/>
        <v>5.6441984813912688E-2</v>
      </c>
      <c r="X108" s="12">
        <f t="shared" si="48"/>
        <v>5.5455206789811022E-2</v>
      </c>
      <c r="Y108" s="41"/>
      <c r="Z108" s="12">
        <f t="shared" si="49"/>
        <v>5.58767729618335E-2</v>
      </c>
      <c r="AA108" s="12">
        <f t="shared" si="49"/>
        <v>5.5304632124107106E-2</v>
      </c>
      <c r="AB108" s="41"/>
      <c r="AC108" s="12">
        <f t="shared" si="50"/>
        <v>5.5473197826121451E-2</v>
      </c>
      <c r="AD108" s="12">
        <f t="shared" si="50"/>
        <v>5.5304632124107106E-2</v>
      </c>
      <c r="AE108" s="41"/>
      <c r="AF108" s="12">
        <f t="shared" si="51"/>
        <v>5.5211460606231617E-2</v>
      </c>
      <c r="AG108" s="12">
        <f t="shared" si="51"/>
        <v>5.5304632124107106E-2</v>
      </c>
      <c r="AH108" s="41"/>
      <c r="AI108" s="12">
        <f t="shared" si="52"/>
        <v>4.698871296225806E-2</v>
      </c>
      <c r="AJ108" s="12">
        <f t="shared" si="52"/>
        <v>5.5304632124107106E-2</v>
      </c>
      <c r="AK108" s="41"/>
      <c r="AL108" s="15"/>
      <c r="AM108" s="22">
        <f t="shared" si="53"/>
        <v>-5.7214083772639396E-4</v>
      </c>
      <c r="AO108" s="44">
        <f t="shared" si="40"/>
        <v>5.58767729618335E-2</v>
      </c>
      <c r="AP108" s="44">
        <f t="shared" si="40"/>
        <v>5.5304632124107106E-2</v>
      </c>
    </row>
    <row r="109" spans="1:42" s="13" customFormat="1" ht="15.5">
      <c r="A109" s="26" t="s">
        <v>17</v>
      </c>
      <c r="B109" s="12">
        <f t="shared" si="41"/>
        <v>4.7341596115737808E-2</v>
      </c>
      <c r="C109" s="12">
        <f t="shared" si="41"/>
        <v>4.2992754192839738E-2</v>
      </c>
      <c r="D109" s="41"/>
      <c r="E109" s="12">
        <f t="shared" si="42"/>
        <v>4.9402134850639212E-2</v>
      </c>
      <c r="F109" s="12">
        <f t="shared" si="42"/>
        <v>4.6799338463458448E-2</v>
      </c>
      <c r="G109" s="41"/>
      <c r="H109" s="12">
        <f t="shared" si="43"/>
        <v>4.8447602341385052E-2</v>
      </c>
      <c r="I109" s="12">
        <f t="shared" si="43"/>
        <v>4.6159736055304684E-2</v>
      </c>
      <c r="J109" s="41"/>
      <c r="K109" s="12">
        <f t="shared" si="44"/>
        <v>4.9053858534167549E-2</v>
      </c>
      <c r="L109" s="12">
        <f t="shared" si="44"/>
        <v>4.606185978134103E-2</v>
      </c>
      <c r="M109" s="41"/>
      <c r="N109" s="12">
        <f t="shared" si="45"/>
        <v>4.8819715079733962E-2</v>
      </c>
      <c r="O109" s="12">
        <f t="shared" si="45"/>
        <v>4.5639233734661888E-2</v>
      </c>
      <c r="P109" s="41"/>
      <c r="Q109" s="12">
        <f t="shared" si="46"/>
        <v>4.8697015667157922E-2</v>
      </c>
      <c r="R109" s="12">
        <f t="shared" si="46"/>
        <v>4.4884023961596055E-2</v>
      </c>
      <c r="S109" s="41"/>
      <c r="T109" s="12">
        <f t="shared" si="47"/>
        <v>4.8529682069467797E-2</v>
      </c>
      <c r="U109" s="12">
        <f t="shared" si="47"/>
        <v>4.5031330645061124E-2</v>
      </c>
      <c r="V109" s="41"/>
      <c r="W109" s="12">
        <f t="shared" si="48"/>
        <v>4.87878871149489E-2</v>
      </c>
      <c r="X109" s="12">
        <f t="shared" si="48"/>
        <v>4.6825080658798236E-2</v>
      </c>
      <c r="Y109" s="41"/>
      <c r="Z109" s="12">
        <f t="shared" si="49"/>
        <v>4.8385874050067418E-2</v>
      </c>
      <c r="AA109" s="12">
        <f t="shared" si="49"/>
        <v>4.6413915836885256E-2</v>
      </c>
      <c r="AB109" s="41"/>
      <c r="AC109" s="12">
        <f t="shared" si="50"/>
        <v>4.8116137451688384E-2</v>
      </c>
      <c r="AD109" s="12">
        <f t="shared" si="50"/>
        <v>4.6413915836885256E-2</v>
      </c>
      <c r="AE109" s="41"/>
      <c r="AF109" s="12">
        <f t="shared" si="51"/>
        <v>4.796602699778079E-2</v>
      </c>
      <c r="AG109" s="12">
        <f t="shared" si="51"/>
        <v>4.6413915836885256E-2</v>
      </c>
      <c r="AH109" s="41"/>
      <c r="AI109" s="12">
        <f t="shared" si="52"/>
        <v>4.0401428525663502E-2</v>
      </c>
      <c r="AJ109" s="12">
        <f t="shared" si="52"/>
        <v>4.6413915836885256E-2</v>
      </c>
      <c r="AK109" s="41"/>
      <c r="AL109" s="15"/>
      <c r="AM109" s="22">
        <f t="shared" si="53"/>
        <v>-1.9719582131821622E-3</v>
      </c>
      <c r="AO109" s="44">
        <f t="shared" si="40"/>
        <v>4.8385874050067418E-2</v>
      </c>
      <c r="AP109" s="44">
        <f t="shared" si="40"/>
        <v>4.6413915836885256E-2</v>
      </c>
    </row>
    <row r="110" spans="1:42" s="13" customFormat="1" ht="15.5">
      <c r="A110" s="26"/>
      <c r="B110" s="12"/>
      <c r="C110" s="30"/>
      <c r="D110" s="41"/>
      <c r="E110" s="12"/>
      <c r="F110" s="30"/>
      <c r="G110" s="41"/>
      <c r="H110" s="12"/>
      <c r="I110" s="30"/>
      <c r="J110" s="41"/>
      <c r="K110" s="12"/>
      <c r="L110" s="30"/>
      <c r="M110" s="41"/>
      <c r="N110" s="12"/>
      <c r="O110" s="30"/>
      <c r="P110" s="41"/>
      <c r="Q110" s="12"/>
      <c r="R110" s="30"/>
      <c r="S110" s="41"/>
      <c r="T110" s="12"/>
      <c r="U110" s="30"/>
      <c r="V110" s="41"/>
      <c r="W110" s="12"/>
      <c r="X110" s="30"/>
      <c r="Y110" s="41"/>
      <c r="Z110" s="12"/>
      <c r="AA110" s="30"/>
      <c r="AB110" s="41"/>
      <c r="AC110" s="12"/>
      <c r="AD110" s="30"/>
      <c r="AE110" s="41"/>
      <c r="AF110" s="12"/>
      <c r="AG110" s="30"/>
      <c r="AH110" s="41"/>
      <c r="AI110" s="12"/>
      <c r="AJ110" s="30"/>
      <c r="AK110" s="41"/>
      <c r="AL110" s="15"/>
      <c r="AM110" s="22"/>
      <c r="AO110" s="44"/>
      <c r="AP110" s="44"/>
    </row>
    <row r="111" spans="1:42" s="13" customFormat="1" ht="15.5">
      <c r="A111" s="26"/>
      <c r="B111" s="12"/>
      <c r="C111" s="30"/>
      <c r="D111" s="41"/>
      <c r="E111" s="12"/>
      <c r="F111" s="30"/>
      <c r="G111" s="41"/>
      <c r="H111" s="12"/>
      <c r="I111" s="30"/>
      <c r="J111" s="41"/>
      <c r="K111" s="12"/>
      <c r="L111" s="30"/>
      <c r="M111" s="41"/>
      <c r="N111" s="12"/>
      <c r="O111" s="30"/>
      <c r="P111" s="41"/>
      <c r="Q111" s="12"/>
      <c r="R111" s="30"/>
      <c r="S111" s="41"/>
      <c r="T111" s="12"/>
      <c r="U111" s="30"/>
      <c r="V111" s="41"/>
      <c r="W111" s="12"/>
      <c r="X111" s="30"/>
      <c r="Y111" s="41"/>
      <c r="Z111" s="12"/>
      <c r="AA111" s="30"/>
      <c r="AB111" s="41"/>
      <c r="AC111" s="12"/>
      <c r="AD111" s="30"/>
      <c r="AE111" s="41"/>
      <c r="AF111" s="12"/>
      <c r="AG111" s="30"/>
      <c r="AH111" s="41"/>
      <c r="AI111" s="12"/>
      <c r="AJ111" s="30"/>
      <c r="AK111" s="41"/>
      <c r="AL111" s="15"/>
      <c r="AM111" s="22"/>
      <c r="AO111" s="44"/>
      <c r="AP111" s="44"/>
    </row>
    <row r="112" spans="1:42" s="44" customFormat="1" ht="15.5">
      <c r="A112" s="31" t="s">
        <v>70</v>
      </c>
      <c r="B112" s="32">
        <f>'A-TRY'!B112</f>
        <v>94627046.881298423</v>
      </c>
      <c r="C112" s="32">
        <f>'A-TRY'!C112</f>
        <v>94361163.059154183</v>
      </c>
      <c r="D112" s="18"/>
      <c r="E112" s="32">
        <f>B112+'A-TRY'!E112</f>
        <v>201260199.57280424</v>
      </c>
      <c r="F112" s="32">
        <f>C112+'A-TRY'!F112</f>
        <v>183293873.49976909</v>
      </c>
      <c r="G112" s="18"/>
      <c r="H112" s="32">
        <f>E112+'A-TRY'!H112</f>
        <v>332632757.03235626</v>
      </c>
      <c r="I112" s="32">
        <f>F112+'A-TRY'!I112</f>
        <v>274780340.09814531</v>
      </c>
      <c r="J112" s="18"/>
      <c r="K112" s="32">
        <f>H112+'A-TRY'!K112</f>
        <v>429759638.29852068</v>
      </c>
      <c r="L112" s="32">
        <f>I112+'A-TRY'!L112</f>
        <v>342273351.67572367</v>
      </c>
      <c r="M112" s="18"/>
      <c r="N112" s="32">
        <f>K112+'A-TRY'!N112</f>
        <v>566699703.24159527</v>
      </c>
      <c r="O112" s="32">
        <f>L112+'A-TRY'!O112</f>
        <v>465107230.25478387</v>
      </c>
      <c r="P112" s="18"/>
      <c r="Q112" s="32">
        <f>N112+'A-TRY'!Q112</f>
        <v>690757766.9928062</v>
      </c>
      <c r="R112" s="32">
        <f>O112+'A-TRY'!R112</f>
        <v>549918758.37192154</v>
      </c>
      <c r="S112" s="18"/>
      <c r="T112" s="32">
        <f>Q112+'A-TRY'!T112</f>
        <v>827443977.14655328</v>
      </c>
      <c r="U112" s="32">
        <f>R112+'A-TRY'!U112</f>
        <v>667004544.51352</v>
      </c>
      <c r="V112" s="18"/>
      <c r="W112" s="32">
        <f>T112+'A-TRY'!W112</f>
        <v>912906944.52805066</v>
      </c>
      <c r="X112" s="32">
        <f>U112+'A-TRY'!X112</f>
        <v>758855724.18474925</v>
      </c>
      <c r="Y112" s="18"/>
      <c r="Z112" s="32">
        <f>W112+'A-TRY'!Z112</f>
        <v>1126624350.1074138</v>
      </c>
      <c r="AA112" s="32">
        <f>X112+'A-TRY'!AA112</f>
        <v>951863699.93384588</v>
      </c>
      <c r="AB112" s="18"/>
      <c r="AC112" s="32">
        <f>Z112+'A-TRY'!AC112</f>
        <v>1322664992.9495254</v>
      </c>
      <c r="AD112" s="32">
        <f>AA112+'A-TRY'!AD112</f>
        <v>951863699.93384588</v>
      </c>
      <c r="AE112" s="18"/>
      <c r="AF112" s="32">
        <f>AC112+'A-TRY'!AF112</f>
        <v>1517532525.6901965</v>
      </c>
      <c r="AG112" s="32">
        <f>AD112+'A-TRY'!AG112</f>
        <v>951863699.93384588</v>
      </c>
      <c r="AH112" s="18"/>
      <c r="AI112" s="32">
        <f>AF112+'A-TRY'!AI112</f>
        <v>1659130082.590651</v>
      </c>
      <c r="AJ112" s="32">
        <f>AG112+'A-TRY'!AJ112</f>
        <v>951863699.93384588</v>
      </c>
      <c r="AK112" s="18"/>
      <c r="AL112" s="33">
        <f>AP112-AO112</f>
        <v>-174760650.17356789</v>
      </c>
      <c r="AM112" s="34">
        <f>AP112/AO112-1</f>
        <v>-0.1551188292325707</v>
      </c>
      <c r="AO112" s="44">
        <f>IF($A$1=$B$1,B112,IF($A$1=$E$1,E112,IF($A$1=$H$1,H112,IF($A$1=$K$1,K112,IF($A$1=$N$1,N112,IF($A$1=$Q$1,Q112,IF($A$1=$T$1,T112,IF($A$1=$W$1,W112,IF($A$1=$Z$1,Z112,IF($A$1=$AC$1,AC112,IF($A$1=$AF$1,AF112,IF($A$1=$AI$1,AI112))))))))))))</f>
        <v>1126624350.1074138</v>
      </c>
      <c r="AP112" s="44">
        <f>IF($A$1=$B$1,C112,IF($A$1=$E$1,F112,IF($A$1=$H$1,I112,IF($A$1=$K$1,L112,IF($A$1=$N$1,O112,IF($A$1=$Q$1,R112,IF($A$1=$T$1,U112,IF($A$1=$W$1,X112,IF($A$1=$Z$1,AA112,IF($A$1=$AC$1,AD112,IF($A$1=$AF$1,AG112,IF($A$1=$AI$1,AJ112))))))))))))</f>
        <v>951863699.93384588</v>
      </c>
    </row>
    <row r="113" spans="1:42" s="13" customFormat="1" ht="15.5">
      <c r="A113" s="27"/>
      <c r="B113" s="30" t="str">
        <f>IFERROR((B70/#REF!),"")</f>
        <v/>
      </c>
      <c r="C113" s="30" t="str">
        <f>IFERROR((C70/#REF!),"")</f>
        <v/>
      </c>
      <c r="D113" s="41"/>
      <c r="E113" s="30" t="str">
        <f>IFERROR((E70/#REF!),"")</f>
        <v/>
      </c>
      <c r="F113" s="30" t="str">
        <f>IFERROR((F70/#REF!),"")</f>
        <v/>
      </c>
      <c r="G113" s="41"/>
      <c r="H113" s="30" t="str">
        <f>IFERROR((H70/#REF!),"")</f>
        <v/>
      </c>
      <c r="I113" s="30" t="str">
        <f>IFERROR((I70/#REF!),"")</f>
        <v/>
      </c>
      <c r="J113" s="41"/>
      <c r="K113" s="30" t="str">
        <f>IFERROR((K70/#REF!),"")</f>
        <v/>
      </c>
      <c r="L113" s="30" t="str">
        <f>IFERROR((L70/#REF!),"")</f>
        <v/>
      </c>
      <c r="M113" s="41"/>
      <c r="N113" s="30" t="str">
        <f>IFERROR((N70/#REF!),"")</f>
        <v/>
      </c>
      <c r="O113" s="30" t="str">
        <f>IFERROR((O70/#REF!),"")</f>
        <v/>
      </c>
      <c r="P113" s="41"/>
      <c r="Q113" s="30" t="str">
        <f>IFERROR((Q70/#REF!),"")</f>
        <v/>
      </c>
      <c r="R113" s="30" t="str">
        <f>IFERROR((R70/#REF!),"")</f>
        <v/>
      </c>
      <c r="S113" s="41"/>
      <c r="T113" s="30" t="str">
        <f>IFERROR((T70/#REF!),"")</f>
        <v/>
      </c>
      <c r="U113" s="30" t="str">
        <f>IFERROR((U70/#REF!),"")</f>
        <v/>
      </c>
      <c r="V113" s="41"/>
      <c r="W113" s="30" t="str">
        <f>IFERROR((W70/#REF!),"")</f>
        <v/>
      </c>
      <c r="X113" s="30" t="str">
        <f>IFERROR((X70/#REF!),"")</f>
        <v/>
      </c>
      <c r="Y113" s="41"/>
      <c r="Z113" s="30" t="str">
        <f>IFERROR((Z70/#REF!),"")</f>
        <v/>
      </c>
      <c r="AA113" s="30" t="str">
        <f>IFERROR((AA70/#REF!),"")</f>
        <v/>
      </c>
      <c r="AB113" s="41"/>
      <c r="AC113" s="30" t="str">
        <f>IFERROR((AC70/#REF!),"")</f>
        <v/>
      </c>
      <c r="AD113" s="30" t="str">
        <f>IFERROR((AD70/#REF!),"")</f>
        <v/>
      </c>
      <c r="AE113" s="41"/>
      <c r="AF113" s="30" t="str">
        <f>IFERROR((AF70/#REF!),"")</f>
        <v/>
      </c>
      <c r="AG113" s="30" t="str">
        <f>IFERROR((AG70/#REF!),"")</f>
        <v/>
      </c>
      <c r="AH113" s="41"/>
      <c r="AI113" s="30" t="str">
        <f>IFERROR((AI70/#REF!),"")</f>
        <v/>
      </c>
      <c r="AJ113" s="30" t="str">
        <f>IFERROR((AJ70/#REF!),"")</f>
        <v/>
      </c>
      <c r="AK113" s="41"/>
      <c r="AL113" s="15"/>
      <c r="AM113" s="22"/>
      <c r="AO113" s="44" t="str">
        <f>IF($A$1=$B$1,B113,IF($A$1=$E$1,E113,IF($A$1=$H$1,H113,IF($A$1=$K$1,K113,IF($A$1=$N$1,N113,IF($A$1=$Q$1,Q113,IF($A$1=$T$1,T113,IF($A$1=$W$1,W113,IF($A$1=$Z$1,Z113,IF($A$1=$AC$1,AC113,IF($A$1=$AF$1,AF113,IF($A$1=$AI$1,AI113))))))))))))</f>
        <v/>
      </c>
      <c r="AP113" s="44" t="str">
        <f>IF($A$1=$B$1,C113,IF($A$1=$E$1,F113,IF($A$1=$H$1,I113,IF($A$1=$K$1,L113,IF($A$1=$N$1,O113,IF($A$1=$Q$1,R113,IF($A$1=$T$1,U113,IF($A$1=$W$1,X113,IF($A$1=$Z$1,AA113,IF($A$1=$AC$1,AD113,IF($A$1=$AF$1,AG113,IF($A$1=$AI$1,AJ113))))))))))))</f>
        <v/>
      </c>
    </row>
    <row r="114" spans="1:42" s="49" customFormat="1" ht="17">
      <c r="A114" s="47" t="s">
        <v>71</v>
      </c>
      <c r="B114" s="413"/>
      <c r="C114" s="413"/>
      <c r="D114" s="413"/>
      <c r="E114" s="413"/>
      <c r="F114" s="413"/>
      <c r="G114" s="413"/>
      <c r="H114" s="413"/>
      <c r="I114" s="413"/>
      <c r="J114" s="413"/>
      <c r="K114" s="413"/>
      <c r="L114" s="413"/>
      <c r="M114" s="413"/>
      <c r="N114" s="413"/>
      <c r="O114" s="413"/>
      <c r="P114" s="413"/>
      <c r="Q114" s="413"/>
      <c r="R114" s="413"/>
      <c r="S114" s="413"/>
      <c r="T114" s="413"/>
      <c r="U114" s="413"/>
      <c r="V114" s="413"/>
      <c r="W114" s="413"/>
      <c r="X114" s="413"/>
      <c r="Y114" s="413"/>
      <c r="Z114" s="413"/>
      <c r="AA114" s="413"/>
      <c r="AB114" s="413"/>
      <c r="AC114" s="413"/>
      <c r="AD114" s="413"/>
      <c r="AE114" s="413"/>
      <c r="AF114" s="413"/>
      <c r="AG114" s="413"/>
      <c r="AH114" s="413"/>
      <c r="AI114" s="413"/>
      <c r="AJ114" s="413"/>
      <c r="AK114" s="413"/>
      <c r="AL114" s="413"/>
      <c r="AM114" s="48"/>
    </row>
    <row r="115" spans="1:42" ht="15.5">
      <c r="A115" s="26" t="s">
        <v>10</v>
      </c>
      <c r="B115" s="7">
        <f>'A-TRY'!B115</f>
        <v>12485589.612361999</v>
      </c>
      <c r="C115" s="7">
        <f>'A-TRY'!C115</f>
        <v>13776885.200000001</v>
      </c>
      <c r="D115" s="7"/>
      <c r="E115" s="7">
        <f>B115+'A-TRY'!E115</f>
        <v>26277894.922316</v>
      </c>
      <c r="F115" s="7">
        <f>C115+'A-TRY'!F115</f>
        <v>25437498.310000002</v>
      </c>
      <c r="G115" s="7"/>
      <c r="H115" s="7">
        <f>E115+'A-TRY'!H115</f>
        <v>39277340.664306</v>
      </c>
      <c r="I115" s="7">
        <f>F115+'A-TRY'!I115</f>
        <v>38957958.150000006</v>
      </c>
      <c r="J115" s="7"/>
      <c r="K115" s="7">
        <f>H115+'A-TRY'!K115</f>
        <v>52567206.497328997</v>
      </c>
      <c r="L115" s="7">
        <f>I115+'A-TRY'!L115</f>
        <v>44675946.63000001</v>
      </c>
      <c r="M115" s="7"/>
      <c r="N115" s="7">
        <f>K115+'A-TRY'!N115</f>
        <v>66668753.951446995</v>
      </c>
      <c r="O115" s="7">
        <f>L115+'A-TRY'!O115</f>
        <v>63155748.530000009</v>
      </c>
      <c r="P115" s="7"/>
      <c r="Q115" s="7">
        <f>N115+'A-TRY'!Q115</f>
        <v>81328974.407344997</v>
      </c>
      <c r="R115" s="7">
        <f>O115+'A-TRY'!R115</f>
        <v>76615372.760000005</v>
      </c>
      <c r="S115" s="7"/>
      <c r="T115" s="7">
        <f>Q115+'A-TRY'!T115</f>
        <v>97626279.407958999</v>
      </c>
      <c r="U115" s="7">
        <f>R115+'A-TRY'!U115</f>
        <v>92941002.550000012</v>
      </c>
      <c r="V115" s="7"/>
      <c r="W115" s="7">
        <f>T115+'A-TRY'!W115</f>
        <v>111371244.547206</v>
      </c>
      <c r="X115" s="7">
        <f>U115+'A-TRY'!X115</f>
        <v>106697557.64000002</v>
      </c>
      <c r="Y115" s="7"/>
      <c r="Z115" s="7">
        <f>W115+'A-TRY'!Z115</f>
        <v>132236273.344611</v>
      </c>
      <c r="AA115" s="7">
        <f>X115+'A-TRY'!AA115</f>
        <v>129830470.20000002</v>
      </c>
      <c r="AB115" s="7"/>
      <c r="AC115" s="7">
        <f>Z115+'A-TRY'!AC115</f>
        <v>151469702.07177001</v>
      </c>
      <c r="AD115" s="7">
        <f>AA115+'A-TRY'!AD115</f>
        <v>129830470.20000002</v>
      </c>
      <c r="AE115" s="7"/>
      <c r="AF115" s="7">
        <f>AC115+'A-TRY'!AF115</f>
        <v>168771870.45251301</v>
      </c>
      <c r="AG115" s="7">
        <f>AD115+'A-TRY'!AG115</f>
        <v>129830470.20000002</v>
      </c>
      <c r="AH115" s="7"/>
      <c r="AI115" s="7">
        <f>AF115+'A-TRY'!AI115</f>
        <v>158964679.08028001</v>
      </c>
      <c r="AJ115" s="7">
        <f>AG115+'A-TRY'!AJ115</f>
        <v>129830470.20000002</v>
      </c>
      <c r="AK115" s="7"/>
      <c r="AL115" s="21">
        <f t="shared" ref="AL115:AL122" si="54">AP115-AO115</f>
        <v>-2405803.1446109861</v>
      </c>
      <c r="AM115" s="22">
        <f t="shared" ref="AM115:AM122" si="55">AP115/AO115-1</f>
        <v>-1.8193216458402439E-2</v>
      </c>
      <c r="AO115" s="44">
        <f t="shared" ref="AO115:AP123" si="56">IF($A$1=$B$1,B115,IF($A$1=$E$1,E115,IF($A$1=$H$1,H115,IF($A$1=$K$1,K115,IF($A$1=$N$1,N115,IF($A$1=$Q$1,Q115,IF($A$1=$T$1,T115,IF($A$1=$W$1,W115,IF($A$1=$Z$1,Z115,IF($A$1=$AC$1,AC115,IF($A$1=$AF$1,AF115,IF($A$1=$AI$1,AI115))))))))))))</f>
        <v>132236273.344611</v>
      </c>
      <c r="AP115" s="44">
        <f t="shared" si="56"/>
        <v>129830470.20000002</v>
      </c>
    </row>
    <row r="116" spans="1:42" ht="15.5">
      <c r="A116" s="26" t="s">
        <v>11</v>
      </c>
      <c r="B116" s="7">
        <f>'A-TRY'!B116</f>
        <v>-1096982.784731</v>
      </c>
      <c r="C116" s="7">
        <f>'A-TRY'!C116</f>
        <v>-423934.27730899956</v>
      </c>
      <c r="D116" s="7"/>
      <c r="E116" s="7">
        <f>B116+'A-TRY'!E116</f>
        <v>2065930.9466250001</v>
      </c>
      <c r="F116" s="7">
        <f>C116+'A-TRY'!F116</f>
        <v>1019160.1339740055</v>
      </c>
      <c r="G116" s="7"/>
      <c r="H116" s="7">
        <f>E116+'A-TRY'!H116</f>
        <v>6051173.3595679998</v>
      </c>
      <c r="I116" s="7">
        <f>F116+'A-TRY'!I116</f>
        <v>1836798.4871480055</v>
      </c>
      <c r="J116" s="7"/>
      <c r="K116" s="7">
        <f>H116+'A-TRY'!K116</f>
        <v>12785054.39347</v>
      </c>
      <c r="L116" s="7">
        <f>I116+'A-TRY'!L116</f>
        <v>1004156.6765160039</v>
      </c>
      <c r="M116" s="7"/>
      <c r="N116" s="7">
        <f>K116+'A-TRY'!N116</f>
        <v>21329730.911676001</v>
      </c>
      <c r="O116" s="7">
        <f>L116+'A-TRY'!O116</f>
        <v>2238445.4827240054</v>
      </c>
      <c r="P116" s="7"/>
      <c r="Q116" s="7">
        <f>N116+'A-TRY'!Q116</f>
        <v>29227307.970594</v>
      </c>
      <c r="R116" s="7">
        <f>O116+'A-TRY'!R116</f>
        <v>3200659.3542720033</v>
      </c>
      <c r="S116" s="7"/>
      <c r="T116" s="7">
        <f>Q116+'A-TRY'!T116</f>
        <v>35307639.087349996</v>
      </c>
      <c r="U116" s="7">
        <f>R116+'A-TRY'!U116</f>
        <v>5546811.7121350011</v>
      </c>
      <c r="V116" s="7"/>
      <c r="W116" s="7">
        <f>T116+'A-TRY'!W116</f>
        <v>36765670.140893996</v>
      </c>
      <c r="X116" s="7">
        <f>U116+'A-TRY'!X116</f>
        <v>6253377.1408340018</v>
      </c>
      <c r="Y116" s="7"/>
      <c r="Z116" s="7">
        <f>W116+'A-TRY'!Z116</f>
        <v>39504923.911467999</v>
      </c>
      <c r="AA116" s="7">
        <f>X116+'A-TRY'!AA116</f>
        <v>4561971.4596630018</v>
      </c>
      <c r="AB116" s="7"/>
      <c r="AC116" s="7">
        <f>Z116+'A-TRY'!AC116</f>
        <v>40437284.888504997</v>
      </c>
      <c r="AD116" s="7">
        <f>AA116+'A-TRY'!AD116</f>
        <v>4561971.4596630018</v>
      </c>
      <c r="AE116" s="7"/>
      <c r="AF116" s="7">
        <f>AC116+'A-TRY'!AF116</f>
        <v>40156067.194476999</v>
      </c>
      <c r="AG116" s="7">
        <f>AD116+'A-TRY'!AG116</f>
        <v>4561971.4596630018</v>
      </c>
      <c r="AH116" s="7"/>
      <c r="AI116" s="7">
        <f>AF116+'A-TRY'!AI116</f>
        <v>38077806.265368998</v>
      </c>
      <c r="AJ116" s="7">
        <f>AG116+'A-TRY'!AJ116</f>
        <v>4561971.4596630018</v>
      </c>
      <c r="AK116" s="7"/>
      <c r="AL116" s="21">
        <f t="shared" si="54"/>
        <v>-34942952.451804996</v>
      </c>
      <c r="AM116" s="22">
        <f t="shared" si="55"/>
        <v>-0.88452144674708022</v>
      </c>
      <c r="AO116" s="44">
        <f t="shared" si="56"/>
        <v>39504923.911467999</v>
      </c>
      <c r="AP116" s="44">
        <f t="shared" si="56"/>
        <v>4561971.4596630018</v>
      </c>
    </row>
    <row r="117" spans="1:42" ht="15.5">
      <c r="A117" s="26" t="s">
        <v>12</v>
      </c>
      <c r="B117" s="7">
        <f>'A-TRY'!B117</f>
        <v>-1665628.7204239999</v>
      </c>
      <c r="C117" s="7">
        <f>'A-TRY'!C117</f>
        <v>1241821.2299999986</v>
      </c>
      <c r="D117" s="7"/>
      <c r="E117" s="7">
        <f>B117+'A-TRY'!E117</f>
        <v>-1599009.3130049999</v>
      </c>
      <c r="F117" s="7">
        <f>C117+'A-TRY'!F117</f>
        <v>2425567.5322559942</v>
      </c>
      <c r="G117" s="7"/>
      <c r="H117" s="7">
        <f>E117+'A-TRY'!H117</f>
        <v>426155.97810400021</v>
      </c>
      <c r="I117" s="7">
        <f>F117+'A-TRY'!I117</f>
        <v>2770000.9122559968</v>
      </c>
      <c r="J117" s="7"/>
      <c r="K117" s="7">
        <f>H117+'A-TRY'!K117</f>
        <v>2355520.8692650003</v>
      </c>
      <c r="L117" s="7">
        <f>I117+'A-TRY'!L117</f>
        <v>3713940.9668270024</v>
      </c>
      <c r="M117" s="7"/>
      <c r="N117" s="7">
        <f>K117+'A-TRY'!N117</f>
        <v>6525191.8433360001</v>
      </c>
      <c r="O117" s="7">
        <f>L117+'A-TRY'!O117</f>
        <v>5144765.437686</v>
      </c>
      <c r="P117" s="7"/>
      <c r="Q117" s="7">
        <f>N117+'A-TRY'!Q117</f>
        <v>10759376.896613</v>
      </c>
      <c r="R117" s="7">
        <f>O117+'A-TRY'!R117</f>
        <v>5857614.437686</v>
      </c>
      <c r="S117" s="7"/>
      <c r="T117" s="7">
        <f>Q117+'A-TRY'!T117</f>
        <v>16008599.951143</v>
      </c>
      <c r="U117" s="7">
        <f>R117+'A-TRY'!U117</f>
        <v>7196284.6402219962</v>
      </c>
      <c r="V117" s="7"/>
      <c r="W117" s="7">
        <f>T117+'A-TRY'!W117</f>
        <v>20164238.141309001</v>
      </c>
      <c r="X117" s="7">
        <f>U117+'A-TRY'!X117</f>
        <v>8240452.7752989978</v>
      </c>
      <c r="Y117" s="7"/>
      <c r="Z117" s="7">
        <f>W117+'A-TRY'!Z117</f>
        <v>23401984.848962002</v>
      </c>
      <c r="AA117" s="7">
        <f>X117+'A-TRY'!AA117</f>
        <v>10889941.392328002</v>
      </c>
      <c r="AB117" s="7"/>
      <c r="AC117" s="7">
        <f>Z117+'A-TRY'!AC117</f>
        <v>27550864.261711001</v>
      </c>
      <c r="AD117" s="7">
        <f>AA117+'A-TRY'!AD117</f>
        <v>10889941.392328002</v>
      </c>
      <c r="AE117" s="7"/>
      <c r="AF117" s="7">
        <f>AC117+'A-TRY'!AF117</f>
        <v>32596451.587356001</v>
      </c>
      <c r="AG117" s="7">
        <f>AD117+'A-TRY'!AG117</f>
        <v>10889941.392328002</v>
      </c>
      <c r="AH117" s="7"/>
      <c r="AI117" s="7">
        <f>AF117+'A-TRY'!AI117</f>
        <v>34743807.137492999</v>
      </c>
      <c r="AJ117" s="7">
        <f>AG117+'A-TRY'!AJ117</f>
        <v>10889941.392328002</v>
      </c>
      <c r="AK117" s="7"/>
      <c r="AL117" s="21">
        <f t="shared" si="54"/>
        <v>-12512043.456634</v>
      </c>
      <c r="AM117" s="22">
        <f t="shared" si="55"/>
        <v>-0.53465736079172677</v>
      </c>
      <c r="AO117" s="44">
        <f t="shared" si="56"/>
        <v>23401984.848962002</v>
      </c>
      <c r="AP117" s="44">
        <f t="shared" si="56"/>
        <v>10889941.392328002</v>
      </c>
    </row>
    <row r="118" spans="1:42" ht="15.5">
      <c r="A118" s="26" t="s">
        <v>13</v>
      </c>
      <c r="B118" s="7">
        <f>'A-TRY'!B118</f>
        <v>52392116.183272004</v>
      </c>
      <c r="C118" s="7">
        <f>'A-TRY'!C118</f>
        <v>40374149.700069986</v>
      </c>
      <c r="D118" s="7"/>
      <c r="E118" s="7">
        <f>B118+'A-TRY'!E118</f>
        <v>95993012.327015996</v>
      </c>
      <c r="F118" s="7">
        <f>C118+'A-TRY'!F118</f>
        <v>63790477.261159033</v>
      </c>
      <c r="G118" s="7"/>
      <c r="H118" s="7">
        <f>E118+'A-TRY'!H118</f>
        <v>145836266.640174</v>
      </c>
      <c r="I118" s="7">
        <f>F118+'A-TRY'!I118</f>
        <v>42067129.794173077</v>
      </c>
      <c r="J118" s="7"/>
      <c r="K118" s="7">
        <f>H118+'A-TRY'!K118</f>
        <v>189691910.990096</v>
      </c>
      <c r="L118" s="7">
        <f>I118+'A-TRY'!L118</f>
        <v>11882633.234630045</v>
      </c>
      <c r="M118" s="7"/>
      <c r="N118" s="7">
        <f>K118+'A-TRY'!N118</f>
        <v>241591492.82812202</v>
      </c>
      <c r="O118" s="7">
        <f>L118+'A-TRY'!O118</f>
        <v>3418935.7492870875</v>
      </c>
      <c r="P118" s="7"/>
      <c r="Q118" s="7">
        <f>N118+'A-TRY'!Q118</f>
        <v>305283033.80063605</v>
      </c>
      <c r="R118" s="7">
        <f>O118+'A-TRY'!R118</f>
        <v>-36392199.607178003</v>
      </c>
      <c r="S118" s="7"/>
      <c r="T118" s="7">
        <f>Q118+'A-TRY'!T118</f>
        <v>388798179.84719807</v>
      </c>
      <c r="U118" s="7">
        <f>R118+'A-TRY'!U118</f>
        <v>-57231934.155799069</v>
      </c>
      <c r="V118" s="7"/>
      <c r="W118" s="7">
        <f>T118+'A-TRY'!W118</f>
        <v>481557434.22838104</v>
      </c>
      <c r="X118" s="7">
        <f>U118+'A-TRY'!X118</f>
        <v>-24830413.67214407</v>
      </c>
      <c r="Y118" s="7"/>
      <c r="Z118" s="7">
        <f>W118+'A-TRY'!Z118</f>
        <v>597914129.12106204</v>
      </c>
      <c r="AA118" s="7">
        <f>X118+'A-TRY'!AA118</f>
        <v>-22146046.488293059</v>
      </c>
      <c r="AB118" s="7"/>
      <c r="AC118" s="7">
        <f>Z118+'A-TRY'!AC118</f>
        <v>744654636.98137999</v>
      </c>
      <c r="AD118" s="7">
        <f>AA118+'A-TRY'!AD118</f>
        <v>-22146046.488293059</v>
      </c>
      <c r="AE118" s="7"/>
      <c r="AF118" s="7">
        <f>AC118+'A-TRY'!AF118</f>
        <v>900071247.80314803</v>
      </c>
      <c r="AG118" s="7">
        <f>AD118+'A-TRY'!AG118</f>
        <v>-22146046.488293059</v>
      </c>
      <c r="AH118" s="7"/>
      <c r="AI118" s="7">
        <f>AF118+'A-TRY'!AI118</f>
        <v>1089781472.9467261</v>
      </c>
      <c r="AJ118" s="7">
        <f>AG118+'A-TRY'!AJ118</f>
        <v>-22146046.488293059</v>
      </c>
      <c r="AK118" s="7"/>
      <c r="AL118" s="21">
        <f t="shared" si="54"/>
        <v>-620060175.60935509</v>
      </c>
      <c r="AM118" s="22">
        <f t="shared" si="55"/>
        <v>-1.0370388412142859</v>
      </c>
      <c r="AO118" s="44">
        <f t="shared" si="56"/>
        <v>597914129.12106204</v>
      </c>
      <c r="AP118" s="44">
        <f t="shared" si="56"/>
        <v>-22146046.488293059</v>
      </c>
    </row>
    <row r="119" spans="1:42" s="1" customFormat="1" ht="15.5">
      <c r="A119" s="26" t="s">
        <v>14</v>
      </c>
      <c r="B119" s="7">
        <f>'A-TRY'!B119</f>
        <v>16121218</v>
      </c>
      <c r="C119" s="7">
        <f>'A-TRY'!C119</f>
        <v>9130120.8458489832</v>
      </c>
      <c r="D119" s="8"/>
      <c r="E119" s="7">
        <f>B119+'A-TRY'!E119</f>
        <v>34148378</v>
      </c>
      <c r="F119" s="7">
        <f>C119+'A-TRY'!F119</f>
        <v>25841536.383572005</v>
      </c>
      <c r="G119" s="8"/>
      <c r="H119" s="7">
        <f>E119+'A-TRY'!H119</f>
        <v>51261936</v>
      </c>
      <c r="I119" s="7">
        <f>F119+'A-TRY'!I119</f>
        <v>43545405.112499967</v>
      </c>
      <c r="J119" s="8"/>
      <c r="K119" s="7">
        <f>H119+'A-TRY'!K119</f>
        <v>51275255.686208293</v>
      </c>
      <c r="L119" s="7">
        <f>I119+'A-TRY'!L119</f>
        <v>38621545.012276024</v>
      </c>
      <c r="M119" s="8"/>
      <c r="N119" s="7">
        <f>K119+'A-TRY'!N119</f>
        <v>58457651.333327889</v>
      </c>
      <c r="O119" s="7">
        <f>L119+'A-TRY'!O119</f>
        <v>39759634.420714006</v>
      </c>
      <c r="P119" s="8"/>
      <c r="Q119" s="7">
        <f>N119+'A-TRY'!Q119</f>
        <v>62245117.881996468</v>
      </c>
      <c r="R119" s="7">
        <f>O119+'A-TRY'!R119</f>
        <v>42729224.342806011</v>
      </c>
      <c r="S119" s="8"/>
      <c r="T119" s="7">
        <f>Q119+'A-TRY'!T119</f>
        <v>72352030.563317284</v>
      </c>
      <c r="U119" s="7">
        <f>R119+'A-TRY'!U119</f>
        <v>56706293.679233029</v>
      </c>
      <c r="V119" s="8"/>
      <c r="W119" s="7">
        <f>T119+'A-TRY'!W119</f>
        <v>84399068.625553921</v>
      </c>
      <c r="X119" s="7">
        <f>U119+'A-TRY'!X119</f>
        <v>71493239.315713048</v>
      </c>
      <c r="Y119" s="8"/>
      <c r="Z119" s="7">
        <f>W119+'A-TRY'!Z119</f>
        <v>96210109.891275376</v>
      </c>
      <c r="AA119" s="7">
        <f>X119+'A-TRY'!AA119</f>
        <v>90668562.135322064</v>
      </c>
      <c r="AB119" s="8"/>
      <c r="AC119" s="7">
        <f>Z119+'A-TRY'!AC119</f>
        <v>115810279.70677085</v>
      </c>
      <c r="AD119" s="7">
        <f>AA119+'A-TRY'!AD119</f>
        <v>90668562.135322064</v>
      </c>
      <c r="AE119" s="8"/>
      <c r="AF119" s="7">
        <f>AC119+'A-TRY'!AF119</f>
        <v>130822047.7925154</v>
      </c>
      <c r="AG119" s="7">
        <f>AD119+'A-TRY'!AG119</f>
        <v>90668562.135322064</v>
      </c>
      <c r="AH119" s="8"/>
      <c r="AI119" s="7">
        <f>AF119+'A-TRY'!AI119</f>
        <v>141197779.719515</v>
      </c>
      <c r="AJ119" s="7">
        <f>AG119+'A-TRY'!AJ119</f>
        <v>90668562.135322064</v>
      </c>
      <c r="AK119" s="8"/>
      <c r="AL119" s="21">
        <f t="shared" si="54"/>
        <v>-5541547.7559533119</v>
      </c>
      <c r="AM119" s="22">
        <f t="shared" si="55"/>
        <v>-5.75983933727513E-2</v>
      </c>
      <c r="AO119" s="44">
        <f t="shared" si="56"/>
        <v>96210109.891275376</v>
      </c>
      <c r="AP119" s="44">
        <f t="shared" si="56"/>
        <v>90668562.135322064</v>
      </c>
    </row>
    <row r="120" spans="1:42" ht="15.5">
      <c r="A120" s="26" t="s">
        <v>15</v>
      </c>
      <c r="B120" s="7">
        <f>'A-TRY'!B120</f>
        <v>21689096.425134066</v>
      </c>
      <c r="C120" s="7">
        <f>'A-TRY'!C120</f>
        <v>26573978.019366592</v>
      </c>
      <c r="D120" s="7"/>
      <c r="E120" s="7">
        <f>B120+'A-TRY'!E120</f>
        <v>62379558.248566449</v>
      </c>
      <c r="F120" s="7">
        <f>C120+'A-TRY'!F120</f>
        <v>73658249.462708384</v>
      </c>
      <c r="G120" s="7"/>
      <c r="H120" s="7">
        <f>E120+'A-TRY'!H120</f>
        <v>142225489.76178524</v>
      </c>
      <c r="I120" s="7">
        <f>F120+'A-TRY'!I120</f>
        <v>141196053.46455163</v>
      </c>
      <c r="J120" s="7"/>
      <c r="K120" s="7">
        <f>H120+'A-TRY'!K120</f>
        <v>159792870.17340881</v>
      </c>
      <c r="L120" s="7">
        <f>I120+'A-TRY'!L120</f>
        <v>197118209.40724409</v>
      </c>
      <c r="M120" s="7"/>
      <c r="N120" s="7">
        <f>K120+'A-TRY'!N120</f>
        <v>205620484.838359</v>
      </c>
      <c r="O120" s="7">
        <f>L120+'A-TRY'!O120</f>
        <v>265477812.38757896</v>
      </c>
      <c r="P120" s="7"/>
      <c r="Q120" s="7">
        <f>N120+'A-TRY'!Q120</f>
        <v>263968882.3445839</v>
      </c>
      <c r="R120" s="7">
        <f>O120+'A-TRY'!R120</f>
        <v>337350931.658665</v>
      </c>
      <c r="S120" s="7"/>
      <c r="T120" s="7">
        <f>Q120+'A-TRY'!T120</f>
        <v>284595396.24232656</v>
      </c>
      <c r="U120" s="7">
        <f>R120+'A-TRY'!U120</f>
        <v>404616155.87646103</v>
      </c>
      <c r="V120" s="7"/>
      <c r="W120" s="7">
        <f>T120+'A-TRY'!W120</f>
        <v>289141223.19095278</v>
      </c>
      <c r="X120" s="7">
        <f>U120+'A-TRY'!X120</f>
        <v>455271489.05569321</v>
      </c>
      <c r="Y120" s="7"/>
      <c r="Z120" s="7">
        <f>W120+'A-TRY'!Z120</f>
        <v>395328831.36961401</v>
      </c>
      <c r="AA120" s="7">
        <f>X120+'A-TRY'!AA120</f>
        <v>572833260.64266229</v>
      </c>
      <c r="AB120" s="7"/>
      <c r="AC120" s="7">
        <f>Z120+'A-TRY'!AC120</f>
        <v>458935229.55955124</v>
      </c>
      <c r="AD120" s="7">
        <f>AA120+'A-TRY'!AD120</f>
        <v>572833260.64266229</v>
      </c>
      <c r="AE120" s="7"/>
      <c r="AF120" s="7">
        <f>AC120+'A-TRY'!AF120</f>
        <v>524380610.42101502</v>
      </c>
      <c r="AG120" s="7">
        <f>AD120+'A-TRY'!AG120</f>
        <v>572833260.64266229</v>
      </c>
      <c r="AH120" s="7"/>
      <c r="AI120" s="7">
        <f>AF120+'A-TRY'!AI120</f>
        <v>573808917.96055079</v>
      </c>
      <c r="AJ120" s="7">
        <f>AG120+'A-TRY'!AJ120</f>
        <v>572833260.64266229</v>
      </c>
      <c r="AK120" s="7"/>
      <c r="AL120" s="21">
        <f t="shared" si="54"/>
        <v>177504429.27304828</v>
      </c>
      <c r="AM120" s="22">
        <f t="shared" si="55"/>
        <v>0.44900451266882158</v>
      </c>
      <c r="AO120" s="44">
        <f t="shared" si="56"/>
        <v>395328831.36961401</v>
      </c>
      <c r="AP120" s="44">
        <f t="shared" si="56"/>
        <v>572833260.64266229</v>
      </c>
    </row>
    <row r="121" spans="1:42" ht="15.5">
      <c r="A121" s="26" t="s">
        <v>16</v>
      </c>
      <c r="B121" s="7">
        <f>'A-TRY'!B121</f>
        <v>47828952.834230751</v>
      </c>
      <c r="C121" s="7">
        <f>'A-TRY'!C121</f>
        <v>49830961.742527716</v>
      </c>
      <c r="D121" s="7"/>
      <c r="E121" s="7">
        <f>B121+'A-TRY'!E121</f>
        <v>90453532.820658952</v>
      </c>
      <c r="F121" s="7">
        <f>C121+'A-TRY'!F121</f>
        <v>123046221.34693396</v>
      </c>
      <c r="G121" s="7"/>
      <c r="H121" s="7">
        <f>E121+'A-TRY'!H121</f>
        <v>155184749.36624444</v>
      </c>
      <c r="I121" s="7">
        <f>F121+'A-TRY'!I121</f>
        <v>202787770.18054879</v>
      </c>
      <c r="J121" s="7"/>
      <c r="K121" s="7">
        <f>H121+'A-TRY'!K121</f>
        <v>219446018.88858512</v>
      </c>
      <c r="L121" s="7">
        <f>I121+'A-TRY'!L121</f>
        <v>289276168.24500978</v>
      </c>
      <c r="M121" s="7"/>
      <c r="N121" s="7">
        <f>K121+'A-TRY'!N121</f>
        <v>288763537.00987905</v>
      </c>
      <c r="O121" s="7">
        <f>L121+'A-TRY'!O121</f>
        <v>361218900.75448471</v>
      </c>
      <c r="P121" s="7"/>
      <c r="Q121" s="7">
        <f>N121+'A-TRY'!Q121</f>
        <v>344610727.37671095</v>
      </c>
      <c r="R121" s="7">
        <f>O121+'A-TRY'!R121</f>
        <v>433578298.46476978</v>
      </c>
      <c r="S121" s="7"/>
      <c r="T121" s="7">
        <f>Q121+'A-TRY'!T121</f>
        <v>393110792.14079499</v>
      </c>
      <c r="U121" s="7">
        <f>R121+'A-TRY'!U121</f>
        <v>534162515.66704559</v>
      </c>
      <c r="V121" s="7"/>
      <c r="W121" s="7">
        <f>T121+'A-TRY'!W121</f>
        <v>421018970.52414042</v>
      </c>
      <c r="X121" s="7">
        <f>U121+'A-TRY'!X121</f>
        <v>603056150.90718377</v>
      </c>
      <c r="Y121" s="7"/>
      <c r="Z121" s="7">
        <f>W121+'A-TRY'!Z121</f>
        <v>506553609.21289039</v>
      </c>
      <c r="AA121" s="7">
        <f>X121+'A-TRY'!AA121</f>
        <v>742174402.41299605</v>
      </c>
      <c r="AB121" s="7"/>
      <c r="AC121" s="7">
        <f>Z121+'A-TRY'!AC121</f>
        <v>584925827.55162251</v>
      </c>
      <c r="AD121" s="7">
        <f>AA121+'A-TRY'!AD121</f>
        <v>742174402.41299605</v>
      </c>
      <c r="AE121" s="7"/>
      <c r="AF121" s="7">
        <f>AC121+'A-TRY'!AF121</f>
        <v>659357386.12352943</v>
      </c>
      <c r="AG121" s="7">
        <f>AD121+'A-TRY'!AG121</f>
        <v>742174402.41299605</v>
      </c>
      <c r="AH121" s="7"/>
      <c r="AI121" s="7">
        <f>AF121+'A-TRY'!AI121</f>
        <v>702395425.65658164</v>
      </c>
      <c r="AJ121" s="7">
        <f>AG121+'A-TRY'!AJ121</f>
        <v>742174402.41299605</v>
      </c>
      <c r="AK121" s="7"/>
      <c r="AL121" s="21">
        <f t="shared" si="54"/>
        <v>235620793.20010567</v>
      </c>
      <c r="AM121" s="22">
        <f t="shared" si="55"/>
        <v>0.46514483149419394</v>
      </c>
      <c r="AO121" s="44">
        <f t="shared" si="56"/>
        <v>506553609.21289039</v>
      </c>
      <c r="AP121" s="44">
        <f t="shared" si="56"/>
        <v>742174402.41299605</v>
      </c>
    </row>
    <row r="122" spans="1:42" ht="15.5">
      <c r="A122" s="26" t="s">
        <v>17</v>
      </c>
      <c r="B122" s="7">
        <f>'A-TRY'!B122</f>
        <v>74228788.492591724</v>
      </c>
      <c r="C122" s="7">
        <f>'A-TRY'!C122</f>
        <v>73506766.958344653</v>
      </c>
      <c r="D122" s="7"/>
      <c r="E122" s="7">
        <f>B122+'A-TRY'!E122</f>
        <v>153313976.14592916</v>
      </c>
      <c r="F122" s="7">
        <f>C122+'A-TRY'!F122</f>
        <v>99692634.354474306</v>
      </c>
      <c r="G122" s="7"/>
      <c r="H122" s="7">
        <f>E122+'A-TRY'!H122</f>
        <v>222686775.80774197</v>
      </c>
      <c r="I122" s="7">
        <f>F122+'A-TRY'!I122</f>
        <v>148442597.82007971</v>
      </c>
      <c r="J122" s="7"/>
      <c r="K122" s="7">
        <f>H122+'A-TRY'!K122</f>
        <v>284923585.60784346</v>
      </c>
      <c r="L122" s="7">
        <f>I122+'A-TRY'!L122</f>
        <v>195299712.60679168</v>
      </c>
      <c r="M122" s="7"/>
      <c r="N122" s="7">
        <f>K122+'A-TRY'!N122</f>
        <v>386006900.32815266</v>
      </c>
      <c r="O122" s="7">
        <f>L122+'A-TRY'!O122</f>
        <v>316545393.69886982</v>
      </c>
      <c r="P122" s="7"/>
      <c r="Q122" s="7">
        <f>N122+'A-TRY'!Q122</f>
        <v>447497507.89170796</v>
      </c>
      <c r="R122" s="7">
        <f>O122+'A-TRY'!R122</f>
        <v>383346524.69084591</v>
      </c>
      <c r="S122" s="7"/>
      <c r="T122" s="7">
        <f>Q122+'A-TRY'!T122</f>
        <v>557397247.95661604</v>
      </c>
      <c r="U122" s="7">
        <f>R122+'A-TRY'!U122</f>
        <v>465048082.96096689</v>
      </c>
      <c r="V122" s="7"/>
      <c r="W122" s="7">
        <f>T122+'A-TRY'!W122</f>
        <v>585397782.67757571</v>
      </c>
      <c r="X122" s="7">
        <f>U122+'A-TRY'!X122</f>
        <v>489170375.96509445</v>
      </c>
      <c r="Y122" s="7"/>
      <c r="Z122" s="7">
        <f>W122+'A-TRY'!Z122</f>
        <v>732696240.41108942</v>
      </c>
      <c r="AA122" s="7">
        <f>X122+'A-TRY'!AA122</f>
        <v>632923113.50194955</v>
      </c>
      <c r="AB122" s="7"/>
      <c r="AC122" s="7">
        <f>Z122+'A-TRY'!AC122</f>
        <v>853691880.51952279</v>
      </c>
      <c r="AD122" s="7">
        <f>AA122+'A-TRY'!AD122</f>
        <v>632923113.50194955</v>
      </c>
      <c r="AE122" s="7"/>
      <c r="AF122" s="7">
        <f>AC122+'A-TRY'!AF122</f>
        <v>975389048.99941719</v>
      </c>
      <c r="AG122" s="7">
        <f>AD122+'A-TRY'!AG122</f>
        <v>632923113.50194955</v>
      </c>
      <c r="AH122" s="7"/>
      <c r="AI122" s="7">
        <f>AF122+'A-TRY'!AI122</f>
        <v>1061175878.9853981</v>
      </c>
      <c r="AJ122" s="7">
        <f>AG122+'A-TRY'!AJ122</f>
        <v>632923113.50194955</v>
      </c>
      <c r="AK122" s="7"/>
      <c r="AL122" s="21">
        <f t="shared" si="54"/>
        <v>-99773126.909139872</v>
      </c>
      <c r="AM122" s="22">
        <f t="shared" si="55"/>
        <v>-0.13617256566399294</v>
      </c>
      <c r="AO122" s="44">
        <f t="shared" si="56"/>
        <v>732696240.41108942</v>
      </c>
      <c r="AP122" s="44">
        <f t="shared" si="56"/>
        <v>632923113.50194955</v>
      </c>
    </row>
    <row r="123" spans="1:42" ht="15.5">
      <c r="A123" s="26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21"/>
      <c r="AM123" s="22"/>
      <c r="AO123" s="44">
        <f t="shared" si="56"/>
        <v>0</v>
      </c>
      <c r="AP123" s="44">
        <f t="shared" si="56"/>
        <v>0</v>
      </c>
    </row>
    <row r="124" spans="1:42">
      <c r="A124" s="2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5"/>
    </row>
    <row r="125" spans="1:42" s="49" customFormat="1" ht="17">
      <c r="A125" s="47" t="s">
        <v>72</v>
      </c>
      <c r="B125" s="413"/>
      <c r="C125" s="413"/>
      <c r="D125" s="413"/>
      <c r="E125" s="413"/>
      <c r="F125" s="413"/>
      <c r="G125" s="413"/>
      <c r="H125" s="413"/>
      <c r="I125" s="413"/>
      <c r="J125" s="413"/>
      <c r="K125" s="413"/>
      <c r="L125" s="413"/>
      <c r="M125" s="413"/>
      <c r="N125" s="413"/>
      <c r="O125" s="413"/>
      <c r="P125" s="413"/>
      <c r="Q125" s="413"/>
      <c r="R125" s="413"/>
      <c r="S125" s="413"/>
      <c r="T125" s="413"/>
      <c r="U125" s="413"/>
      <c r="V125" s="413"/>
      <c r="W125" s="413"/>
      <c r="X125" s="413"/>
      <c r="Y125" s="413"/>
      <c r="Z125" s="413"/>
      <c r="AA125" s="413"/>
      <c r="AB125" s="413"/>
      <c r="AC125" s="413"/>
      <c r="AD125" s="413"/>
      <c r="AE125" s="413"/>
      <c r="AF125" s="413"/>
      <c r="AG125" s="413"/>
      <c r="AH125" s="413"/>
      <c r="AI125" s="413"/>
      <c r="AJ125" s="413"/>
      <c r="AK125" s="413"/>
      <c r="AL125" s="413"/>
      <c r="AM125" s="48"/>
    </row>
    <row r="126" spans="1:42" s="13" customFormat="1" ht="15.5">
      <c r="A126" s="26" t="s">
        <v>10</v>
      </c>
      <c r="B126" s="12">
        <f>B115/B9</f>
        <v>0.4703462500951251</v>
      </c>
      <c r="C126" s="12">
        <f>C115/C9</f>
        <v>0.49761882945180019</v>
      </c>
      <c r="D126" s="41"/>
      <c r="E126" s="12">
        <f>E115/E9</f>
        <v>0.4869434487069797</v>
      </c>
      <c r="F126" s="12">
        <f>F115/F9</f>
        <v>0.4631183907108159</v>
      </c>
      <c r="G126" s="41"/>
      <c r="H126" s="12">
        <f>H115/H9</f>
        <v>0.4604925650266341</v>
      </c>
      <c r="I126" s="12">
        <f>I115/I9</f>
        <v>0.45057994110754479</v>
      </c>
      <c r="J126" s="41"/>
      <c r="K126" s="12">
        <f>K115/K9</f>
        <v>0.45879855968231614</v>
      </c>
      <c r="L126" s="12">
        <f>L115/L9</f>
        <v>0.38558832674740001</v>
      </c>
      <c r="M126" s="41"/>
      <c r="N126" s="12">
        <f>N115/N9</f>
        <v>0.45689039930184921</v>
      </c>
      <c r="O126" s="12">
        <f>O115/O9</f>
        <v>0.42153117244075633</v>
      </c>
      <c r="P126" s="41"/>
      <c r="Q126" s="12">
        <f>Q115/Q9</f>
        <v>0.4590902941043406</v>
      </c>
      <c r="R126" s="12">
        <f>R115/R9</f>
        <v>0.42551562497783213</v>
      </c>
      <c r="S126" s="41"/>
      <c r="T126" s="12">
        <f>T115/T9</f>
        <v>0.46772546616906602</v>
      </c>
      <c r="U126" s="12">
        <f>U115/U9</f>
        <v>0.43370158808594028</v>
      </c>
      <c r="V126" s="41"/>
      <c r="W126" s="12">
        <f>W115/W9</f>
        <v>0.46943369286357756</v>
      </c>
      <c r="X126" s="12">
        <f>X115/X9</f>
        <v>0.4393417027388033</v>
      </c>
      <c r="Y126" s="41"/>
      <c r="Z126" s="12">
        <f>Z115/Z9</f>
        <v>0.48061796036878063</v>
      </c>
      <c r="AA126" s="12">
        <f>AA115/AA9</f>
        <v>0.4619600141930526</v>
      </c>
      <c r="AB126" s="41"/>
      <c r="AC126" s="12">
        <f>AC115/AC9</f>
        <v>0.4844807858820166</v>
      </c>
      <c r="AD126" s="12">
        <f>AD115/AD9</f>
        <v>0.4619600141930526</v>
      </c>
      <c r="AE126" s="41"/>
      <c r="AF126" s="12">
        <f>AF115/AF9</f>
        <v>0.48328125240640812</v>
      </c>
      <c r="AG126" s="12">
        <f>AG115/AG9</f>
        <v>0.4619600141930526</v>
      </c>
      <c r="AH126" s="41"/>
      <c r="AI126" s="12">
        <f>AI115/AI9</f>
        <v>0.41575684807704794</v>
      </c>
      <c r="AJ126" s="12">
        <f>AJ115/AJ9</f>
        <v>0.4619600141930526</v>
      </c>
      <c r="AK126" s="41"/>
      <c r="AL126" s="15"/>
      <c r="AM126" s="22">
        <f>AP126-AO126</f>
        <v>-1.8657946175728024E-2</v>
      </c>
      <c r="AO126" s="44">
        <f t="shared" ref="AO126:AP133" si="57">IF($A$1=$B$1,B126,IF($A$1=$E$1,E126,IF($A$1=$H$1,H126,IF($A$1=$K$1,K126,IF($A$1=$N$1,N126,IF($A$1=$Q$1,Q126,IF($A$1=$T$1,T126,IF($A$1=$W$1,W126,IF($A$1=$Z$1,Z126,IF($A$1=$AC$1,AC126,IF($A$1=$AF$1,AF126,IF($A$1=$AI$1,AI126))))))))))))</f>
        <v>0.48061796036878063</v>
      </c>
      <c r="AP126" s="44">
        <f t="shared" si="57"/>
        <v>0.4619600141930526</v>
      </c>
    </row>
    <row r="127" spans="1:42" s="13" customFormat="1" ht="15.5">
      <c r="A127" s="26" t="s">
        <v>11</v>
      </c>
      <c r="B127" s="12">
        <f t="shared" ref="B127:C133" si="58">B116/B10</f>
        <v>-3.5414154934302527E-2</v>
      </c>
      <c r="C127" s="12">
        <f t="shared" si="58"/>
        <v>-1.3101473416769352E-2</v>
      </c>
      <c r="D127" s="41"/>
      <c r="E127" s="12">
        <f t="shared" ref="E127:F133" si="59">E116/E10</f>
        <v>3.0541871939149642E-2</v>
      </c>
      <c r="F127" s="12">
        <f t="shared" si="59"/>
        <v>1.5087178227471918E-2</v>
      </c>
      <c r="G127" s="41"/>
      <c r="H127" s="12">
        <f t="shared" ref="H127:I133" si="60">H116/H10</f>
        <v>5.7200297018610867E-2</v>
      </c>
      <c r="I127" s="12">
        <f t="shared" si="60"/>
        <v>1.9275433515211857E-2</v>
      </c>
      <c r="J127" s="41"/>
      <c r="K127" s="12">
        <f t="shared" ref="K127:L133" si="61">K116/K10</f>
        <v>8.6609719710222882E-2</v>
      </c>
      <c r="L127" s="12">
        <f t="shared" si="61"/>
        <v>8.715029034197767E-3</v>
      </c>
      <c r="M127" s="41"/>
      <c r="N127" s="12">
        <f t="shared" ref="N127:O133" si="62">N116/N10</f>
        <v>0.1136495006808118</v>
      </c>
      <c r="O127" s="12">
        <f t="shared" si="62"/>
        <v>1.5333593522774545E-2</v>
      </c>
      <c r="P127" s="41"/>
      <c r="Q127" s="12">
        <f t="shared" ref="Q127:R133" si="63">Q116/Q10</f>
        <v>0.12744079474203554</v>
      </c>
      <c r="R127" s="12">
        <f t="shared" si="63"/>
        <v>1.8327100118828595E-2</v>
      </c>
      <c r="S127" s="41"/>
      <c r="T127" s="12">
        <f t="shared" ref="T127:U133" si="64">T116/T10</f>
        <v>0.13324436946200277</v>
      </c>
      <c r="U127" s="12">
        <f t="shared" si="64"/>
        <v>2.6772507336823057E-2</v>
      </c>
      <c r="V127" s="41"/>
      <c r="W127" s="12">
        <f t="shared" ref="W127:X133" si="65">W116/W10</f>
        <v>0.126633782144255</v>
      </c>
      <c r="X127" s="12">
        <f t="shared" si="65"/>
        <v>2.7087704344223605E-2</v>
      </c>
      <c r="Y127" s="41"/>
      <c r="Z127" s="12">
        <f t="shared" ref="Z127:AA133" si="66">Z116/Z10</f>
        <v>0.12438217337589592</v>
      </c>
      <c r="AA127" s="12">
        <f t="shared" si="66"/>
        <v>1.8047518067234196E-2</v>
      </c>
      <c r="AB127" s="41"/>
      <c r="AC127" s="12">
        <f t="shared" ref="AC127:AD133" si="67">AC116/AC10</f>
        <v>0.11847579113034468</v>
      </c>
      <c r="AD127" s="12">
        <f t="shared" si="67"/>
        <v>1.8047518067234196E-2</v>
      </c>
      <c r="AE127" s="41"/>
      <c r="AF127" s="12">
        <f t="shared" ref="AF127:AG133" si="68">AF116/AF10</f>
        <v>0.11061656202341046</v>
      </c>
      <c r="AG127" s="12">
        <f t="shared" si="68"/>
        <v>1.8047518067234196E-2</v>
      </c>
      <c r="AH127" s="41"/>
      <c r="AI127" s="12">
        <f t="shared" ref="AI127:AJ133" si="69">AI116/AI10</f>
        <v>9.9493551983532477E-2</v>
      </c>
      <c r="AJ127" s="12">
        <f t="shared" si="69"/>
        <v>1.8047518067234196E-2</v>
      </c>
      <c r="AK127" s="41"/>
      <c r="AL127" s="15"/>
      <c r="AM127" s="22">
        <f t="shared" ref="AM127:AM133" si="70">AP127-AO127</f>
        <v>-0.10633465530866174</v>
      </c>
      <c r="AO127" s="44">
        <f t="shared" si="57"/>
        <v>0.12438217337589592</v>
      </c>
      <c r="AP127" s="44">
        <f t="shared" si="57"/>
        <v>1.8047518067234196E-2</v>
      </c>
    </row>
    <row r="128" spans="1:42" s="13" customFormat="1" ht="15.5">
      <c r="A128" s="26" t="s">
        <v>12</v>
      </c>
      <c r="B128" s="12">
        <f t="shared" si="58"/>
        <v>-4.5122642684353599E-2</v>
      </c>
      <c r="C128" s="12">
        <f t="shared" si="58"/>
        <v>3.4967674742321209E-2</v>
      </c>
      <c r="D128" s="41"/>
      <c r="E128" s="12">
        <f t="shared" si="59"/>
        <v>-2.1510981726247345E-2</v>
      </c>
      <c r="F128" s="12">
        <f t="shared" si="59"/>
        <v>3.2535326578994175E-2</v>
      </c>
      <c r="G128" s="41"/>
      <c r="H128" s="12">
        <f t="shared" si="60"/>
        <v>3.4283498641138653E-3</v>
      </c>
      <c r="I128" s="12">
        <f t="shared" si="60"/>
        <v>2.0505526950026672E-2</v>
      </c>
      <c r="J128" s="41"/>
      <c r="K128" s="12">
        <f t="shared" si="61"/>
        <v>1.3294904447939201E-2</v>
      </c>
      <c r="L128" s="12">
        <f t="shared" si="61"/>
        <v>1.9642380357002803E-2</v>
      </c>
      <c r="M128" s="41"/>
      <c r="N128" s="12">
        <f t="shared" si="62"/>
        <v>2.7707561804464972E-2</v>
      </c>
      <c r="O128" s="12">
        <f t="shared" si="62"/>
        <v>2.3206831594699599E-2</v>
      </c>
      <c r="P128" s="41"/>
      <c r="Q128" s="12">
        <f t="shared" si="63"/>
        <v>3.6468408087569786E-2</v>
      </c>
      <c r="R128" s="12">
        <f t="shared" si="63"/>
        <v>2.2325014955285837E-2</v>
      </c>
      <c r="S128" s="41"/>
      <c r="T128" s="12">
        <f t="shared" si="64"/>
        <v>4.3330998242383449E-2</v>
      </c>
      <c r="U128" s="12">
        <f t="shared" si="64"/>
        <v>2.3526671857507328E-2</v>
      </c>
      <c r="V128" s="41"/>
      <c r="W128" s="12">
        <f t="shared" si="65"/>
        <v>4.6837418402115631E-2</v>
      </c>
      <c r="X128" s="12">
        <f t="shared" si="65"/>
        <v>2.3870349470380768E-2</v>
      </c>
      <c r="Y128" s="41"/>
      <c r="Z128" s="12">
        <f t="shared" si="66"/>
        <v>4.7592491629356547E-2</v>
      </c>
      <c r="AA128" s="12">
        <f t="shared" si="66"/>
        <v>2.8047306373796984E-2</v>
      </c>
      <c r="AB128" s="41"/>
      <c r="AC128" s="12">
        <f t="shared" si="67"/>
        <v>4.957086003326619E-2</v>
      </c>
      <c r="AD128" s="12">
        <f t="shared" si="67"/>
        <v>2.8047306373796984E-2</v>
      </c>
      <c r="AE128" s="41"/>
      <c r="AF128" s="12">
        <f t="shared" si="68"/>
        <v>5.1472743785811646E-2</v>
      </c>
      <c r="AG128" s="12">
        <f t="shared" si="68"/>
        <v>2.8047306373796984E-2</v>
      </c>
      <c r="AH128" s="41"/>
      <c r="AI128" s="12">
        <f t="shared" si="69"/>
        <v>4.9578186316681622E-2</v>
      </c>
      <c r="AJ128" s="12">
        <f t="shared" si="69"/>
        <v>2.8047306373796984E-2</v>
      </c>
      <c r="AK128" s="41"/>
      <c r="AL128" s="15"/>
      <c r="AM128" s="22">
        <f t="shared" si="70"/>
        <v>-1.9545185255559563E-2</v>
      </c>
      <c r="AO128" s="44">
        <f t="shared" si="57"/>
        <v>4.7592491629356547E-2</v>
      </c>
      <c r="AP128" s="44">
        <f t="shared" si="57"/>
        <v>2.8047306373796984E-2</v>
      </c>
    </row>
    <row r="129" spans="1:42" s="13" customFormat="1" ht="15.5">
      <c r="A129" s="26" t="s">
        <v>13</v>
      </c>
      <c r="B129" s="12">
        <f t="shared" si="58"/>
        <v>7.3857355960123133E-2</v>
      </c>
      <c r="C129" s="12">
        <f t="shared" si="58"/>
        <v>5.1567488653081743E-2</v>
      </c>
      <c r="D129" s="41"/>
      <c r="E129" s="12">
        <f t="shared" si="59"/>
        <v>6.6372129599133911E-2</v>
      </c>
      <c r="F129" s="12">
        <f t="shared" si="59"/>
        <v>4.7200587659662292E-2</v>
      </c>
      <c r="G129" s="41"/>
      <c r="H129" s="12">
        <f t="shared" si="60"/>
        <v>6.5305627215630366E-2</v>
      </c>
      <c r="I129" s="12">
        <f t="shared" si="60"/>
        <v>2.2621795360215202E-2</v>
      </c>
      <c r="J129" s="41"/>
      <c r="K129" s="12">
        <f t="shared" si="61"/>
        <v>6.3275922956963312E-2</v>
      </c>
      <c r="L129" s="12">
        <f t="shared" si="61"/>
        <v>4.9713435522832751E-3</v>
      </c>
      <c r="M129" s="41"/>
      <c r="N129" s="12">
        <f t="shared" si="62"/>
        <v>6.4472483952537574E-2</v>
      </c>
      <c r="O129" s="12">
        <f t="shared" si="62"/>
        <v>1.1349701024351215E-3</v>
      </c>
      <c r="P129" s="41"/>
      <c r="Q129" s="12">
        <f t="shared" si="63"/>
        <v>6.7615634762831223E-2</v>
      </c>
      <c r="R129" s="12">
        <f t="shared" si="63"/>
        <v>-1.0688198971052085E-2</v>
      </c>
      <c r="S129" s="41"/>
      <c r="T129" s="12">
        <f t="shared" si="64"/>
        <v>7.1623892296624816E-2</v>
      </c>
      <c r="U129" s="12">
        <f t="shared" si="64"/>
        <v>-1.3713540821267115E-2</v>
      </c>
      <c r="V129" s="41"/>
      <c r="W129" s="12">
        <f t="shared" si="65"/>
        <v>7.6139757024905733E-2</v>
      </c>
      <c r="X129" s="12">
        <f t="shared" si="65"/>
        <v>-5.1201029601518093E-3</v>
      </c>
      <c r="Y129" s="41"/>
      <c r="Z129" s="12">
        <f t="shared" si="66"/>
        <v>8.1908159618227894E-2</v>
      </c>
      <c r="AA129" s="12">
        <f t="shared" si="66"/>
        <v>-4.1242429849681714E-3</v>
      </c>
      <c r="AB129" s="41"/>
      <c r="AC129" s="12">
        <f t="shared" si="67"/>
        <v>8.8318904459154399E-2</v>
      </c>
      <c r="AD129" s="12">
        <f t="shared" si="67"/>
        <v>-4.1242429849681714E-3</v>
      </c>
      <c r="AE129" s="41"/>
      <c r="AF129" s="12">
        <f t="shared" si="68"/>
        <v>9.3994826240928545E-2</v>
      </c>
      <c r="AG129" s="12">
        <f t="shared" si="68"/>
        <v>-4.1242429849681714E-3</v>
      </c>
      <c r="AH129" s="41"/>
      <c r="AI129" s="12">
        <f t="shared" si="69"/>
        <v>0.10126548635530594</v>
      </c>
      <c r="AJ129" s="12">
        <f t="shared" si="69"/>
        <v>-4.1242429849681714E-3</v>
      </c>
      <c r="AK129" s="41"/>
      <c r="AL129" s="15"/>
      <c r="AM129" s="22">
        <f t="shared" si="70"/>
        <v>-8.603240260319607E-2</v>
      </c>
      <c r="AO129" s="44">
        <f t="shared" si="57"/>
        <v>8.1908159618227894E-2</v>
      </c>
      <c r="AP129" s="44">
        <f t="shared" si="57"/>
        <v>-4.1242429849681714E-3</v>
      </c>
    </row>
    <row r="130" spans="1:42" s="13" customFormat="1" ht="15.5">
      <c r="A130" s="26" t="s">
        <v>14</v>
      </c>
      <c r="B130" s="12">
        <f t="shared" si="58"/>
        <v>6.5677490369797975E-2</v>
      </c>
      <c r="C130" s="12">
        <f t="shared" si="58"/>
        <v>4.1374426334105534E-2</v>
      </c>
      <c r="D130" s="41"/>
      <c r="E130" s="12">
        <f t="shared" si="59"/>
        <v>6.7707691500682607E-2</v>
      </c>
      <c r="F130" s="12">
        <f t="shared" si="59"/>
        <v>5.9476216907195269E-2</v>
      </c>
      <c r="G130" s="41"/>
      <c r="H130" s="12">
        <f t="shared" si="60"/>
        <v>6.6932121325005506E-2</v>
      </c>
      <c r="I130" s="12">
        <f t="shared" si="60"/>
        <v>6.3061323773712125E-2</v>
      </c>
      <c r="J130" s="41"/>
      <c r="K130" s="12">
        <f t="shared" si="61"/>
        <v>4.9730880254367581E-2</v>
      </c>
      <c r="L130" s="12">
        <f t="shared" si="61"/>
        <v>4.254807891212229E-2</v>
      </c>
      <c r="M130" s="41"/>
      <c r="N130" s="12">
        <f t="shared" si="62"/>
        <v>4.4678747655821145E-2</v>
      </c>
      <c r="O130" s="12">
        <f t="shared" si="62"/>
        <v>3.4483302375504815E-2</v>
      </c>
      <c r="P130" s="41"/>
      <c r="Q130" s="12">
        <f t="shared" si="63"/>
        <v>4.0422986597317835E-2</v>
      </c>
      <c r="R130" s="12">
        <f t="shared" si="63"/>
        <v>3.1631079013958951E-2</v>
      </c>
      <c r="S130" s="41"/>
      <c r="T130" s="12">
        <f t="shared" si="64"/>
        <v>3.9598963323822949E-2</v>
      </c>
      <c r="U130" s="12">
        <f t="shared" si="64"/>
        <v>3.5456147339342735E-2</v>
      </c>
      <c r="V130" s="41"/>
      <c r="W130" s="12">
        <f t="shared" si="65"/>
        <v>4.0492084959003409E-2</v>
      </c>
      <c r="X130" s="12">
        <f t="shared" si="65"/>
        <v>3.937729002187907E-2</v>
      </c>
      <c r="Y130" s="41"/>
      <c r="Z130" s="12">
        <f t="shared" si="66"/>
        <v>4.1079009193526791E-2</v>
      </c>
      <c r="AA130" s="12">
        <f t="shared" si="66"/>
        <v>4.3657886498662819E-2</v>
      </c>
      <c r="AB130" s="41"/>
      <c r="AC130" s="12">
        <f t="shared" si="67"/>
        <v>4.3255181888142799E-2</v>
      </c>
      <c r="AD130" s="12">
        <f t="shared" si="67"/>
        <v>4.3657886498662819E-2</v>
      </c>
      <c r="AE130" s="41"/>
      <c r="AF130" s="12">
        <f t="shared" si="68"/>
        <v>4.4150979998719427E-2</v>
      </c>
      <c r="AG130" s="12">
        <f t="shared" si="68"/>
        <v>4.3657886498662819E-2</v>
      </c>
      <c r="AH130" s="41"/>
      <c r="AI130" s="12">
        <f t="shared" si="69"/>
        <v>4.3447827909185721E-2</v>
      </c>
      <c r="AJ130" s="12">
        <f t="shared" si="69"/>
        <v>4.3657886498662819E-2</v>
      </c>
      <c r="AK130" s="41"/>
      <c r="AL130" s="15"/>
      <c r="AM130" s="22">
        <f t="shared" si="70"/>
        <v>2.5788773051360278E-3</v>
      </c>
      <c r="AO130" s="44">
        <f t="shared" si="57"/>
        <v>4.1079009193526791E-2</v>
      </c>
      <c r="AP130" s="44">
        <f t="shared" si="57"/>
        <v>4.3657886498662819E-2</v>
      </c>
    </row>
    <row r="131" spans="1:42" s="13" customFormat="1" ht="15.5">
      <c r="A131" s="26" t="s">
        <v>15</v>
      </c>
      <c r="B131" s="12">
        <f t="shared" si="58"/>
        <v>5.8125920927934845E-2</v>
      </c>
      <c r="C131" s="12">
        <f t="shared" si="58"/>
        <v>6.2409829493475212E-2</v>
      </c>
      <c r="D131" s="41"/>
      <c r="E131" s="12">
        <f t="shared" si="59"/>
        <v>7.9618936715335903E-2</v>
      </c>
      <c r="F131" s="12">
        <f t="shared" si="59"/>
        <v>8.5692728915369554E-2</v>
      </c>
      <c r="G131" s="41"/>
      <c r="H131" s="12">
        <f t="shared" si="60"/>
        <v>0.11196226484191264</v>
      </c>
      <c r="I131" s="12">
        <f t="shared" si="60"/>
        <v>0.10423279835328833</v>
      </c>
      <c r="J131" s="41"/>
      <c r="K131" s="12">
        <f t="shared" si="61"/>
        <v>9.3920566589438606E-2</v>
      </c>
      <c r="L131" s="12">
        <f t="shared" si="61"/>
        <v>0.10537265056127319</v>
      </c>
      <c r="M131" s="41"/>
      <c r="N131" s="12">
        <f t="shared" si="62"/>
        <v>9.4724512170923925E-2</v>
      </c>
      <c r="O131" s="12">
        <f t="shared" si="62"/>
        <v>0.10956838741744115</v>
      </c>
      <c r="P131" s="41"/>
      <c r="Q131" s="12">
        <f t="shared" si="63"/>
        <v>9.940009176527162E-2</v>
      </c>
      <c r="R131" s="12">
        <f t="shared" si="63"/>
        <v>0.11293042280744683</v>
      </c>
      <c r="S131" s="41"/>
      <c r="T131" s="12">
        <f t="shared" si="64"/>
        <v>9.3360073914410729E-2</v>
      </c>
      <c r="U131" s="12">
        <f t="shared" si="64"/>
        <v>0.11585127003119922</v>
      </c>
      <c r="V131" s="41"/>
      <c r="W131" s="12">
        <f t="shared" si="65"/>
        <v>8.3857768183442108E-2</v>
      </c>
      <c r="X131" s="12">
        <f t="shared" si="65"/>
        <v>0.1154053385490765</v>
      </c>
      <c r="Y131" s="41"/>
      <c r="Z131" s="12">
        <f t="shared" si="66"/>
        <v>9.7675544230081179E-2</v>
      </c>
      <c r="AA131" s="12">
        <f t="shared" si="66"/>
        <v>0.12684316652904937</v>
      </c>
      <c r="AB131" s="41"/>
      <c r="AC131" s="12">
        <f t="shared" si="67"/>
        <v>0.10030171729283052</v>
      </c>
      <c r="AD131" s="12">
        <f t="shared" si="67"/>
        <v>0.12684316652904937</v>
      </c>
      <c r="AE131" s="41"/>
      <c r="AF131" s="12">
        <f t="shared" si="68"/>
        <v>0.10307425847111096</v>
      </c>
      <c r="AG131" s="12">
        <f t="shared" si="68"/>
        <v>0.12684316652904937</v>
      </c>
      <c r="AH131" s="41"/>
      <c r="AI131" s="12">
        <f t="shared" si="69"/>
        <v>0.10353215093273406</v>
      </c>
      <c r="AJ131" s="12">
        <f t="shared" si="69"/>
        <v>0.12684316652904937</v>
      </c>
      <c r="AK131" s="41"/>
      <c r="AL131" s="15"/>
      <c r="AM131" s="22">
        <f t="shared" si="70"/>
        <v>2.9167622298968188E-2</v>
      </c>
      <c r="AO131" s="44">
        <f t="shared" si="57"/>
        <v>9.7675544230081179E-2</v>
      </c>
      <c r="AP131" s="44">
        <f t="shared" si="57"/>
        <v>0.12684316652904937</v>
      </c>
    </row>
    <row r="132" spans="1:42" s="13" customFormat="1" ht="15.5">
      <c r="A132" s="26" t="s">
        <v>16</v>
      </c>
      <c r="B132" s="12">
        <f t="shared" si="58"/>
        <v>0.1699812519035441</v>
      </c>
      <c r="C132" s="12">
        <f t="shared" si="58"/>
        <v>0.17344740011528662</v>
      </c>
      <c r="D132" s="41"/>
      <c r="E132" s="12">
        <f t="shared" si="59"/>
        <v>0.17643469845681567</v>
      </c>
      <c r="F132" s="12">
        <f t="shared" si="59"/>
        <v>0.19992661023645314</v>
      </c>
      <c r="G132" s="41"/>
      <c r="H132" s="12">
        <f t="shared" si="60"/>
        <v>0.18894264846971087</v>
      </c>
      <c r="I132" s="12">
        <f t="shared" si="60"/>
        <v>0.20860994257024515</v>
      </c>
      <c r="J132" s="41"/>
      <c r="K132" s="12">
        <f t="shared" si="61"/>
        <v>0.19307854644464609</v>
      </c>
      <c r="L132" s="12">
        <f t="shared" si="61"/>
        <v>0.2148181994655379</v>
      </c>
      <c r="M132" s="41"/>
      <c r="N132" s="12">
        <f t="shared" si="62"/>
        <v>0.19871932863874492</v>
      </c>
      <c r="O132" s="12">
        <f t="shared" si="62"/>
        <v>0.21251537840121187</v>
      </c>
      <c r="P132" s="41"/>
      <c r="Q132" s="12">
        <f t="shared" si="63"/>
        <v>0.19835002857664186</v>
      </c>
      <c r="R132" s="12">
        <f t="shared" si="63"/>
        <v>0.21386773131038869</v>
      </c>
      <c r="S132" s="41"/>
      <c r="T132" s="12">
        <f t="shared" si="64"/>
        <v>0.1955194924636959</v>
      </c>
      <c r="U132" s="12">
        <f t="shared" si="64"/>
        <v>0.22211781958575039</v>
      </c>
      <c r="V132" s="41"/>
      <c r="W132" s="12">
        <f t="shared" si="65"/>
        <v>0.18628681708953995</v>
      </c>
      <c r="X132" s="12">
        <f t="shared" si="65"/>
        <v>0.22244462788664804</v>
      </c>
      <c r="Y132" s="41"/>
      <c r="Z132" s="12">
        <f t="shared" si="66"/>
        <v>0.1934272788557212</v>
      </c>
      <c r="AA132" s="12">
        <f t="shared" si="66"/>
        <v>0.23378740105233231</v>
      </c>
      <c r="AB132" s="41"/>
      <c r="AC132" s="12">
        <f t="shared" si="67"/>
        <v>0.19729409400941222</v>
      </c>
      <c r="AD132" s="12">
        <f t="shared" si="67"/>
        <v>0.23378740105233231</v>
      </c>
      <c r="AE132" s="41"/>
      <c r="AF132" s="12">
        <f t="shared" si="68"/>
        <v>0.2003415526484971</v>
      </c>
      <c r="AG132" s="12">
        <f t="shared" si="68"/>
        <v>0.23378740105233231</v>
      </c>
      <c r="AH132" s="41"/>
      <c r="AI132" s="12">
        <f t="shared" si="69"/>
        <v>0.19827910332968576</v>
      </c>
      <c r="AJ132" s="12">
        <f t="shared" si="69"/>
        <v>0.23378740105233231</v>
      </c>
      <c r="AK132" s="41"/>
      <c r="AL132" s="15"/>
      <c r="AM132" s="22">
        <f t="shared" si="70"/>
        <v>4.0360122196611115E-2</v>
      </c>
      <c r="AO132" s="44">
        <f t="shared" si="57"/>
        <v>0.1934272788557212</v>
      </c>
      <c r="AP132" s="44">
        <f t="shared" si="57"/>
        <v>0.23378740105233231</v>
      </c>
    </row>
    <row r="133" spans="1:42" s="13" customFormat="1" ht="15.5">
      <c r="A133" s="26" t="s">
        <v>17</v>
      </c>
      <c r="B133" s="12">
        <f t="shared" si="58"/>
        <v>0.10355221524975668</v>
      </c>
      <c r="C133" s="12">
        <f t="shared" si="58"/>
        <v>9.0168687989614499E-2</v>
      </c>
      <c r="D133" s="41"/>
      <c r="E133" s="12">
        <f t="shared" si="59"/>
        <v>0.10303455023810001</v>
      </c>
      <c r="F133" s="12">
        <f t="shared" si="59"/>
        <v>6.3809566392600103E-2</v>
      </c>
      <c r="G133" s="41"/>
      <c r="H133" s="12">
        <f t="shared" si="60"/>
        <v>9.4680963826202572E-2</v>
      </c>
      <c r="I133" s="12">
        <f t="shared" si="60"/>
        <v>6.086999480753251E-2</v>
      </c>
      <c r="J133" s="41"/>
      <c r="K133" s="12">
        <f t="shared" si="61"/>
        <v>9.1473824405600646E-2</v>
      </c>
      <c r="L133" s="12">
        <f t="shared" si="61"/>
        <v>5.7780868338364037E-2</v>
      </c>
      <c r="M133" s="41"/>
      <c r="N133" s="12">
        <f t="shared" si="62"/>
        <v>9.6686686265471292E-2</v>
      </c>
      <c r="O133" s="12">
        <f t="shared" si="62"/>
        <v>7.1124680524260561E-2</v>
      </c>
      <c r="P133" s="41"/>
      <c r="Q133" s="12">
        <f t="shared" si="63"/>
        <v>9.1796965363298566E-2</v>
      </c>
      <c r="R133" s="12">
        <f t="shared" si="63"/>
        <v>7.0974858744140293E-2</v>
      </c>
      <c r="S133" s="41"/>
      <c r="T133" s="12">
        <f t="shared" si="64"/>
        <v>9.6630616212434142E-2</v>
      </c>
      <c r="U133" s="12">
        <f t="shared" si="64"/>
        <v>7.248382665741189E-2</v>
      </c>
      <c r="V133" s="41"/>
      <c r="W133" s="12">
        <f t="shared" si="65"/>
        <v>9.0403818934718605E-2</v>
      </c>
      <c r="X133" s="12">
        <f t="shared" si="65"/>
        <v>6.8623035785222303E-2</v>
      </c>
      <c r="Y133" s="41"/>
      <c r="Z133" s="12">
        <f t="shared" si="66"/>
        <v>9.7387152448397005E-2</v>
      </c>
      <c r="AA133" s="12">
        <f t="shared" si="66"/>
        <v>7.7043545221652951E-2</v>
      </c>
      <c r="AB133" s="41"/>
      <c r="AC133" s="12">
        <f t="shared" si="67"/>
        <v>0.10038265542618056</v>
      </c>
      <c r="AD133" s="12">
        <f t="shared" si="67"/>
        <v>7.7043545221652951E-2</v>
      </c>
      <c r="AE133" s="41"/>
      <c r="AF133" s="12">
        <f t="shared" si="68"/>
        <v>0.103267471636072</v>
      </c>
      <c r="AG133" s="12">
        <f t="shared" si="68"/>
        <v>7.7043545221652951E-2</v>
      </c>
      <c r="AH133" s="41"/>
      <c r="AI133" s="12">
        <f t="shared" si="69"/>
        <v>0.10365562160828709</v>
      </c>
      <c r="AJ133" s="12">
        <f t="shared" si="69"/>
        <v>7.7043545221652951E-2</v>
      </c>
      <c r="AK133" s="41"/>
      <c r="AL133" s="15"/>
      <c r="AM133" s="22">
        <f t="shared" si="70"/>
        <v>-2.0343607226744054E-2</v>
      </c>
      <c r="AO133" s="44">
        <f t="shared" si="57"/>
        <v>9.7387152448397005E-2</v>
      </c>
      <c r="AP133" s="44">
        <f t="shared" si="57"/>
        <v>7.7043545221652951E-2</v>
      </c>
    </row>
    <row r="134" spans="1:42" s="13" customFormat="1" ht="15.5">
      <c r="A134" s="26"/>
      <c r="B134" s="12"/>
      <c r="C134" s="30"/>
      <c r="D134" s="41"/>
      <c r="E134" s="12"/>
      <c r="F134" s="30"/>
      <c r="G134" s="41"/>
      <c r="H134" s="12"/>
      <c r="I134" s="30"/>
      <c r="J134" s="41"/>
      <c r="K134" s="12"/>
      <c r="L134" s="30"/>
      <c r="M134" s="41"/>
      <c r="N134" s="12"/>
      <c r="O134" s="30"/>
      <c r="P134" s="41"/>
      <c r="Q134" s="12"/>
      <c r="R134" s="30"/>
      <c r="S134" s="41"/>
      <c r="T134" s="12"/>
      <c r="U134" s="30"/>
      <c r="V134" s="41"/>
      <c r="W134" s="12"/>
      <c r="X134" s="30"/>
      <c r="Y134" s="41"/>
      <c r="Z134" s="12"/>
      <c r="AA134" s="30"/>
      <c r="AB134" s="41"/>
      <c r="AC134" s="12"/>
      <c r="AD134" s="30"/>
      <c r="AE134" s="41"/>
      <c r="AF134" s="12"/>
      <c r="AG134" s="30"/>
      <c r="AH134" s="41"/>
      <c r="AI134" s="12"/>
      <c r="AJ134" s="30"/>
      <c r="AK134" s="41"/>
      <c r="AL134" s="15"/>
      <c r="AM134" s="22"/>
      <c r="AO134" s="44"/>
      <c r="AP134" s="44"/>
    </row>
    <row r="135" spans="1:42" s="13" customFormat="1" ht="15.5">
      <c r="A135" s="26"/>
      <c r="B135" s="12"/>
      <c r="C135" s="30"/>
      <c r="D135" s="41"/>
      <c r="E135" s="12"/>
      <c r="F135" s="30"/>
      <c r="G135" s="41"/>
      <c r="H135" s="12"/>
      <c r="I135" s="30"/>
      <c r="J135" s="41"/>
      <c r="K135" s="12"/>
      <c r="L135" s="30"/>
      <c r="M135" s="41"/>
      <c r="N135" s="12"/>
      <c r="O135" s="30"/>
      <c r="P135" s="41"/>
      <c r="Q135" s="12"/>
      <c r="R135" s="30"/>
      <c r="S135" s="41"/>
      <c r="T135" s="12"/>
      <c r="U135" s="30"/>
      <c r="V135" s="41"/>
      <c r="W135" s="12"/>
      <c r="X135" s="30"/>
      <c r="Y135" s="41"/>
      <c r="Z135" s="12"/>
      <c r="AA135" s="30"/>
      <c r="AB135" s="41"/>
      <c r="AC135" s="12"/>
      <c r="AD135" s="30"/>
      <c r="AE135" s="41"/>
      <c r="AF135" s="12"/>
      <c r="AG135" s="30"/>
      <c r="AH135" s="41"/>
      <c r="AI135" s="12"/>
      <c r="AJ135" s="30"/>
      <c r="AK135" s="41"/>
      <c r="AL135" s="15"/>
      <c r="AM135" s="22"/>
      <c r="AO135" s="44"/>
      <c r="AP135" s="44"/>
    </row>
    <row r="136" spans="1:42" s="44" customFormat="1" ht="15.5">
      <c r="A136" s="31" t="s">
        <v>73</v>
      </c>
      <c r="B136" s="32">
        <f>'A-TRY'!B136</f>
        <v>119043324.75306191</v>
      </c>
      <c r="C136" s="32">
        <f>'A-TRY'!C136</f>
        <v>121411731.27519275</v>
      </c>
      <c r="D136" s="18"/>
      <c r="E136" s="32">
        <f>B136+'A-TRY'!E136</f>
        <v>249770363.86763835</v>
      </c>
      <c r="F136" s="32">
        <f>C136+'A-TRY'!F136</f>
        <v>236480441.52213606</v>
      </c>
      <c r="G136" s="18"/>
      <c r="H136" s="32">
        <f>E136+'A-TRY'!H136</f>
        <v>414731428.79316437</v>
      </c>
      <c r="I136" s="32">
        <f>F136+'A-TRY'!I136</f>
        <v>354916414.64301425</v>
      </c>
      <c r="J136" s="18"/>
      <c r="K136" s="32">
        <f>H136+'A-TRY'!K136</f>
        <v>539528174.20046699</v>
      </c>
      <c r="L136" s="32">
        <f>I136+'A-TRY'!L136</f>
        <v>458037749.67648804</v>
      </c>
      <c r="M136" s="18"/>
      <c r="N136" s="32">
        <f>K136+'A-TRY'!N136</f>
        <v>704270999.83124566</v>
      </c>
      <c r="O136" s="32">
        <f>L136+'A-TRY'!O136</f>
        <v>612006876.18219924</v>
      </c>
      <c r="P136" s="18"/>
      <c r="Q136" s="32">
        <f>N136+'A-TRY'!Q136</f>
        <v>864681182.19868875</v>
      </c>
      <c r="R136" s="32">
        <f>O136+'A-TRY'!R136</f>
        <v>729889692.59829068</v>
      </c>
      <c r="S136" s="18"/>
      <c r="T136" s="32">
        <f>Q136+'A-TRY'!T136</f>
        <v>1030116447.3553677</v>
      </c>
      <c r="U136" s="32">
        <f>R136+'A-TRY'!U136</f>
        <v>881952519.4646244</v>
      </c>
      <c r="V136" s="18"/>
      <c r="W136" s="32">
        <f>T136+'A-TRY'!W136</f>
        <v>1144265856.0104899</v>
      </c>
      <c r="X136" s="32">
        <f>U136+'A-TRY'!X136</f>
        <v>1009558054.3438962</v>
      </c>
      <c r="Y136" s="18"/>
      <c r="Z136" s="32">
        <f>W136+'A-TRY'!Z136</f>
        <v>1395832325.2851393</v>
      </c>
      <c r="AA136" s="32">
        <f>X136+'A-TRY'!AA136</f>
        <v>1237783878.8204377</v>
      </c>
      <c r="AB136" s="18"/>
      <c r="AC136" s="32">
        <f>Z136+'A-TRY'!AC136</f>
        <v>1621738797.6344678</v>
      </c>
      <c r="AD136" s="32">
        <f>AA136+'A-TRY'!AD136</f>
        <v>1237783878.8204377</v>
      </c>
      <c r="AE136" s="18"/>
      <c r="AF136" s="32">
        <f>AC136+'A-TRY'!AF136</f>
        <v>1846115917.4280159</v>
      </c>
      <c r="AG136" s="32">
        <f>AD136+'A-TRY'!AG136</f>
        <v>1237783878.8204377</v>
      </c>
      <c r="AH136" s="18"/>
      <c r="AI136" s="32">
        <f>AF136+'A-TRY'!AI136</f>
        <v>2027916270.9298811</v>
      </c>
      <c r="AJ136" s="32">
        <f>AG136+'A-TRY'!AJ136</f>
        <v>1237783878.8204377</v>
      </c>
      <c r="AK136" s="18"/>
      <c r="AL136" s="33">
        <f>AP136-AO136</f>
        <v>-158048446.46470165</v>
      </c>
      <c r="AM136" s="34">
        <f>AP136/AO136-1</f>
        <v>-0.11322881953777342</v>
      </c>
      <c r="AO136" s="44">
        <f>IF($A$1=$B$1,B136,IF($A$1=$E$1,E136,IF($A$1=$H$1,H136,IF($A$1=$K$1,K136,IF($A$1=$N$1,N136,IF($A$1=$Q$1,Q136,IF($A$1=$T$1,T136,IF($A$1=$W$1,W136,IF($A$1=$Z$1,Z136,IF($A$1=$AC$1,AC136,IF($A$1=$AF$1,AF136,IF($A$1=$AI$1,AI136))))))))))))</f>
        <v>1395832325.2851393</v>
      </c>
      <c r="AP136" s="44">
        <f>IF($A$1=$B$1,C136,IF($A$1=$E$1,F136,IF($A$1=$H$1,I136,IF($A$1=$K$1,L136,IF($A$1=$N$1,O136,IF($A$1=$Q$1,R136,IF($A$1=$T$1,U136,IF($A$1=$W$1,X136,IF($A$1=$Z$1,AA136,IF($A$1=$AC$1,AD136,IF($A$1=$AF$1,AG136,IF($A$1=$AI$1,AJ136))))))))))))</f>
        <v>1237783878.8204377</v>
      </c>
    </row>
    <row r="137" spans="1:42" s="13" customFormat="1" ht="15.5">
      <c r="A137" s="27"/>
      <c r="B137" s="30"/>
      <c r="C137" s="30" t="str">
        <f>IFERROR((C94/#REF!),"")</f>
        <v/>
      </c>
      <c r="D137" s="41"/>
      <c r="E137" s="30"/>
      <c r="F137" s="30" t="str">
        <f>IFERROR((F94/#REF!),"")</f>
        <v/>
      </c>
      <c r="G137" s="41"/>
      <c r="H137" s="30"/>
      <c r="I137" s="30" t="str">
        <f>IFERROR((I94/#REF!),"")</f>
        <v/>
      </c>
      <c r="J137" s="41"/>
      <c r="K137" s="30"/>
      <c r="L137" s="30" t="str">
        <f>IFERROR((L94/#REF!),"")</f>
        <v/>
      </c>
      <c r="M137" s="41"/>
      <c r="N137" s="30"/>
      <c r="O137" s="30" t="str">
        <f>IFERROR((O94/#REF!),"")</f>
        <v/>
      </c>
      <c r="P137" s="41"/>
      <c r="Q137" s="30"/>
      <c r="R137" s="30" t="str">
        <f>IFERROR((R94/#REF!),"")</f>
        <v/>
      </c>
      <c r="S137" s="41"/>
      <c r="T137" s="30"/>
      <c r="U137" s="30" t="str">
        <f>IFERROR((U94/#REF!),"")</f>
        <v/>
      </c>
      <c r="V137" s="41"/>
      <c r="W137" s="30"/>
      <c r="X137" s="30" t="str">
        <f>IFERROR((X94/#REF!),"")</f>
        <v/>
      </c>
      <c r="Y137" s="41"/>
      <c r="Z137" s="30"/>
      <c r="AA137" s="30" t="str">
        <f>IFERROR((AA94/#REF!),"")</f>
        <v/>
      </c>
      <c r="AB137" s="41"/>
      <c r="AC137" s="30"/>
      <c r="AD137" s="30" t="str">
        <f>IFERROR((AD94/#REF!),"")</f>
        <v/>
      </c>
      <c r="AE137" s="41"/>
      <c r="AF137" s="30"/>
      <c r="AG137" s="30" t="str">
        <f>IFERROR((AG94/#REF!),"")</f>
        <v/>
      </c>
      <c r="AH137" s="41"/>
      <c r="AI137" s="30"/>
      <c r="AJ137" s="30" t="str">
        <f>IFERROR((AJ94/#REF!),"")</f>
        <v/>
      </c>
      <c r="AK137" s="41"/>
      <c r="AL137" s="15"/>
      <c r="AM137" s="22"/>
      <c r="AO137" s="44">
        <f>IF($A$1=$B$1,B137,IF($A$1=$E$1,E137,IF($A$1=$H$1,H137,IF($A$1=$K$1,K137,IF($A$1=$N$1,N137,IF($A$1=$Q$1,Q137,IF($A$1=$T$1,T137,IF($A$1=$W$1,W137,IF($A$1=$Z$1,Z137,IF($A$1=$AC$1,AC137,IF($A$1=$AF$1,AF137,IF($A$1=$AI$1,AI137))))))))))))</f>
        <v>0</v>
      </c>
      <c r="AP137" s="44" t="str">
        <f>IF($A$1=$B$1,C137,IF($A$1=$E$1,F137,IF($A$1=$H$1,I137,IF($A$1=$K$1,L137,IF($A$1=$N$1,O137,IF($A$1=$Q$1,R137,IF($A$1=$T$1,U137,IF($A$1=$W$1,X137,IF($A$1=$Z$1,AA137,IF($A$1=$AC$1,AD137,IF($A$1=$AF$1,AG137,IF($A$1=$AI$1,AJ137))))))))))))</f>
        <v/>
      </c>
    </row>
    <row r="138" spans="1:42" s="49" customFormat="1" ht="17">
      <c r="A138" s="47" t="s">
        <v>74</v>
      </c>
      <c r="B138" s="413"/>
      <c r="C138" s="413"/>
      <c r="D138" s="413"/>
      <c r="E138" s="413"/>
      <c r="F138" s="413"/>
      <c r="G138" s="413"/>
      <c r="H138" s="413"/>
      <c r="I138" s="413"/>
      <c r="J138" s="413"/>
      <c r="K138" s="413"/>
      <c r="L138" s="413"/>
      <c r="M138" s="413"/>
      <c r="N138" s="413"/>
      <c r="O138" s="413"/>
      <c r="P138" s="413"/>
      <c r="Q138" s="413"/>
      <c r="R138" s="413"/>
      <c r="S138" s="413"/>
      <c r="T138" s="413"/>
      <c r="U138" s="413"/>
      <c r="V138" s="413"/>
      <c r="W138" s="413"/>
      <c r="X138" s="413"/>
      <c r="Y138" s="413"/>
      <c r="Z138" s="413"/>
      <c r="AA138" s="413"/>
      <c r="AB138" s="413"/>
      <c r="AC138" s="413"/>
      <c r="AD138" s="413"/>
      <c r="AE138" s="413"/>
      <c r="AF138" s="413"/>
      <c r="AG138" s="413"/>
      <c r="AH138" s="413"/>
      <c r="AI138" s="413"/>
      <c r="AJ138" s="413"/>
      <c r="AK138" s="413"/>
      <c r="AL138" s="413"/>
      <c r="AM138" s="48"/>
    </row>
    <row r="139" spans="1:42" ht="15.5">
      <c r="A139" s="26" t="s">
        <v>10</v>
      </c>
      <c r="B139" s="7">
        <f>'A-TRY'!B139</f>
        <v>12668425.172622999</v>
      </c>
      <c r="C139" s="7">
        <f>'A-TRY'!C139</f>
        <v>13956851.84</v>
      </c>
      <c r="D139" s="7"/>
      <c r="E139" s="7">
        <f>B139+'A-TRY'!E139</f>
        <v>26643566.042838</v>
      </c>
      <c r="F139" s="7">
        <f>C139+'A-TRY'!F139</f>
        <v>25797431.399999999</v>
      </c>
      <c r="G139" s="7"/>
      <c r="H139" s="7">
        <f>E139+'A-TRY'!H139</f>
        <v>39825847.345089003</v>
      </c>
      <c r="I139" s="7">
        <f>F139+'A-TRY'!I139</f>
        <v>39498628.879999995</v>
      </c>
      <c r="J139" s="7"/>
      <c r="K139" s="7">
        <f>H139+'A-TRY'!K139</f>
        <v>53298548.738373004</v>
      </c>
      <c r="L139" s="7">
        <f>I139+'A-TRY'!L139</f>
        <v>45396102.939999998</v>
      </c>
      <c r="M139" s="7"/>
      <c r="N139" s="7">
        <f>K139+'A-TRY'!N139</f>
        <v>67582931.752753004</v>
      </c>
      <c r="O139" s="7">
        <f>L139+'A-TRY'!O139</f>
        <v>64055509.839999996</v>
      </c>
      <c r="P139" s="7"/>
      <c r="Q139" s="7">
        <f>N139+'A-TRY'!Q139</f>
        <v>82425987.768912002</v>
      </c>
      <c r="R139" s="7">
        <f>O139+'A-TRY'!R139</f>
        <v>77792505.069999993</v>
      </c>
      <c r="S139" s="7"/>
      <c r="T139" s="7">
        <f>Q139+'A-TRY'!T139</f>
        <v>98906128.329787001</v>
      </c>
      <c r="U139" s="7">
        <f>R139+'A-TRY'!U139</f>
        <v>94295419.859999985</v>
      </c>
      <c r="V139" s="7"/>
      <c r="W139" s="7">
        <f>T139+'A-TRY'!W139</f>
        <v>112833929.029295</v>
      </c>
      <c r="X139" s="7">
        <f>U139+'A-TRY'!X139</f>
        <v>108288314.63999999</v>
      </c>
      <c r="Y139" s="7"/>
      <c r="Z139" s="7">
        <f>W139+'A-TRY'!Z139</f>
        <v>133881793.386961</v>
      </c>
      <c r="AA139" s="7">
        <f>X139+'A-TRY'!AA139</f>
        <v>131614587.19999999</v>
      </c>
      <c r="AB139" s="7"/>
      <c r="AC139" s="7">
        <f>Z139+'A-TRY'!AC139</f>
        <v>153298057.67438099</v>
      </c>
      <c r="AD139" s="7">
        <f>AA139+'A-TRY'!AD139</f>
        <v>131614587.19999999</v>
      </c>
      <c r="AE139" s="7"/>
      <c r="AF139" s="7">
        <f>AC139+'A-TRY'!AF139</f>
        <v>170783061.615385</v>
      </c>
      <c r="AG139" s="7">
        <f>AD139+'A-TRY'!AG139</f>
        <v>131614587.19999999</v>
      </c>
      <c r="AH139" s="7"/>
      <c r="AI139" s="7">
        <f>AF139+'A-TRY'!AI139</f>
        <v>161158705.80341399</v>
      </c>
      <c r="AJ139" s="7">
        <f>AG139+'A-TRY'!AJ139</f>
        <v>131614587.19999999</v>
      </c>
      <c r="AK139" s="7"/>
      <c r="AL139" s="21">
        <f t="shared" ref="AL139:AL146" si="71">AP139-AO139</f>
        <v>-2267206.1869610101</v>
      </c>
      <c r="AM139" s="22">
        <f t="shared" ref="AM139:AM146" si="72">AP139/AO139-1</f>
        <v>-1.6934387638564585E-2</v>
      </c>
      <c r="AO139" s="44">
        <f t="shared" ref="AO139:AP147" si="73">IF($A$1=$B$1,B139,IF($A$1=$E$1,E139,IF($A$1=$H$1,H139,IF($A$1=$K$1,K139,IF($A$1=$N$1,N139,IF($A$1=$Q$1,Q139,IF($A$1=$T$1,T139,IF($A$1=$W$1,W139,IF($A$1=$Z$1,Z139,IF($A$1=$AC$1,AC139,IF($A$1=$AF$1,AF139,IF($A$1=$AI$1,AI139))))))))))))</f>
        <v>133881793.386961</v>
      </c>
      <c r="AP139" s="44">
        <f t="shared" si="73"/>
        <v>131614587.19999999</v>
      </c>
    </row>
    <row r="140" spans="1:42" ht="15.5">
      <c r="A140" s="26" t="s">
        <v>11</v>
      </c>
      <c r="B140" s="7">
        <f>'A-TRY'!B140</f>
        <v>-691307.67016500002</v>
      </c>
      <c r="C140" s="7">
        <f>'A-TRY'!C140</f>
        <v>-86887.384082000004</v>
      </c>
      <c r="D140" s="7"/>
      <c r="E140" s="7">
        <f>B140+'A-TRY'!E140</f>
        <v>3021403.4102119999</v>
      </c>
      <c r="F140" s="7">
        <f>C140+'A-TRY'!F140</f>
        <v>1861810.540794</v>
      </c>
      <c r="G140" s="7"/>
      <c r="H140" s="7">
        <f>E140+'A-TRY'!H140</f>
        <v>7511005.9299489995</v>
      </c>
      <c r="I140" s="7">
        <f>F140+'A-TRY'!I140</f>
        <v>3087396.493334</v>
      </c>
      <c r="J140" s="7"/>
      <c r="K140" s="7">
        <f>H140+'A-TRY'!K140</f>
        <v>15250427.409201998</v>
      </c>
      <c r="L140" s="7">
        <f>I140+'A-TRY'!L140</f>
        <v>3139227.0900849998</v>
      </c>
      <c r="M140" s="7"/>
      <c r="N140" s="7">
        <f>K140+'A-TRY'!N140</f>
        <v>24561643.343369998</v>
      </c>
      <c r="O140" s="7">
        <f>L140+'A-TRY'!O140</f>
        <v>4933419.5052649993</v>
      </c>
      <c r="P140" s="7"/>
      <c r="Q140" s="7">
        <f>N140+'A-TRY'!Q140</f>
        <v>33144295.051583</v>
      </c>
      <c r="R140" s="7">
        <f>O140+'A-TRY'!R140</f>
        <v>6450542.9987969995</v>
      </c>
      <c r="S140" s="7"/>
      <c r="T140" s="7">
        <f>Q140+'A-TRY'!T140</f>
        <v>40080696.034300998</v>
      </c>
      <c r="U140" s="7">
        <f>R140+'A-TRY'!U140</f>
        <v>9349872.6566599999</v>
      </c>
      <c r="V140" s="7"/>
      <c r="W140" s="7">
        <f>T140+'A-TRY'!W140</f>
        <v>42260807.053805999</v>
      </c>
      <c r="X140" s="7">
        <f>U140+'A-TRY'!X140</f>
        <v>10634969.635359</v>
      </c>
      <c r="Y140" s="7"/>
      <c r="Z140" s="7">
        <f>W140+'A-TRY'!Z140</f>
        <v>45861272.090341002</v>
      </c>
      <c r="AA140" s="7">
        <f>X140+'A-TRY'!AA140</f>
        <v>9503421.9857919998</v>
      </c>
      <c r="AB140" s="7"/>
      <c r="AC140" s="7">
        <f>Z140+'A-TRY'!AC140</f>
        <v>47503862.733339004</v>
      </c>
      <c r="AD140" s="7">
        <f>AA140+'A-TRY'!AD140</f>
        <v>9503421.9857919998</v>
      </c>
      <c r="AE140" s="7"/>
      <c r="AF140" s="7">
        <f>AC140+'A-TRY'!AF140</f>
        <v>47932874.705273002</v>
      </c>
      <c r="AG140" s="7">
        <f>AD140+'A-TRY'!AG140</f>
        <v>9503421.9857919998</v>
      </c>
      <c r="AH140" s="7"/>
      <c r="AI140" s="7">
        <f>AF140+'A-TRY'!AI140</f>
        <v>46587443.192728005</v>
      </c>
      <c r="AJ140" s="7">
        <f>AG140+'A-TRY'!AJ140</f>
        <v>9503421.9857919998</v>
      </c>
      <c r="AK140" s="7"/>
      <c r="AL140" s="21">
        <f t="shared" si="71"/>
        <v>-36357850.104549006</v>
      </c>
      <c r="AM140" s="22">
        <f t="shared" si="72"/>
        <v>-0.7927789275650392</v>
      </c>
      <c r="AO140" s="44">
        <f t="shared" si="73"/>
        <v>45861272.090341002</v>
      </c>
      <c r="AP140" s="44">
        <f t="shared" si="73"/>
        <v>9503421.9857919998</v>
      </c>
    </row>
    <row r="141" spans="1:42" ht="15.5">
      <c r="A141" s="26" t="s">
        <v>12</v>
      </c>
      <c r="B141" s="7">
        <f>'A-TRY'!B141</f>
        <v>-1617374.493914</v>
      </c>
      <c r="C141" s="7">
        <f>'A-TRY'!C141</f>
        <v>1251616.4786</v>
      </c>
      <c r="D141" s="7"/>
      <c r="E141" s="7">
        <f>B141+'A-TRY'!E141</f>
        <v>-1502500.859985</v>
      </c>
      <c r="F141" s="7">
        <f>C141+'A-TRY'!F141</f>
        <v>2445157.4001559997</v>
      </c>
      <c r="G141" s="7"/>
      <c r="H141" s="7">
        <f>E141+'A-TRY'!H141</f>
        <v>570918.65763500007</v>
      </c>
      <c r="I141" s="7">
        <f>F141+'A-TRY'!I141</f>
        <v>2852959.6201559994</v>
      </c>
      <c r="J141" s="7"/>
      <c r="K141" s="7">
        <f>H141+'A-TRY'!K141</f>
        <v>2548537.7753060004</v>
      </c>
      <c r="L141" s="7">
        <f>I141+'A-TRY'!L141</f>
        <v>3824572.6747269994</v>
      </c>
      <c r="M141" s="7"/>
      <c r="N141" s="7">
        <f>K141+'A-TRY'!N141</f>
        <v>6766462.9758880008</v>
      </c>
      <c r="O141" s="7">
        <f>L141+'A-TRY'!O141</f>
        <v>5288780.4166859994</v>
      </c>
      <c r="P141" s="7"/>
      <c r="Q141" s="7">
        <f>N141+'A-TRY'!Q141</f>
        <v>11048902.255675001</v>
      </c>
      <c r="R141" s="7">
        <f>O141+'A-TRY'!R141</f>
        <v>6031366.4166859994</v>
      </c>
      <c r="S141" s="7"/>
      <c r="T141" s="7">
        <f>Q141+'A-TRY'!T141</f>
        <v>16346379.536715001</v>
      </c>
      <c r="U141" s="7">
        <f>R141+'A-TRY'!U141</f>
        <v>7390334.3828219995</v>
      </c>
      <c r="V141" s="7"/>
      <c r="W141" s="7">
        <f>T141+'A-TRY'!W141</f>
        <v>20550271.953391001</v>
      </c>
      <c r="X141" s="7">
        <f>U141+'A-TRY'!X141</f>
        <v>8454800.8201989997</v>
      </c>
      <c r="Y141" s="7"/>
      <c r="Z141" s="7">
        <f>W141+'A-TRY'!Z141</f>
        <v>23836272.887554999</v>
      </c>
      <c r="AA141" s="7">
        <f>X141+'A-TRY'!AA141</f>
        <v>11124589.295928</v>
      </c>
      <c r="AB141" s="7"/>
      <c r="AC141" s="7">
        <f>Z141+'A-TRY'!AC141</f>
        <v>28033406.526814997</v>
      </c>
      <c r="AD141" s="7">
        <f>AA141+'A-TRY'!AD141</f>
        <v>11124589.295928</v>
      </c>
      <c r="AE141" s="7"/>
      <c r="AF141" s="7">
        <f>AC141+'A-TRY'!AF141</f>
        <v>33127248.078970999</v>
      </c>
      <c r="AG141" s="7">
        <f>AD141+'A-TRY'!AG141</f>
        <v>11124589.295928</v>
      </c>
      <c r="AH141" s="7"/>
      <c r="AI141" s="7">
        <f>AF141+'A-TRY'!AI141</f>
        <v>35322857.855618</v>
      </c>
      <c r="AJ141" s="7">
        <f>AG141+'A-TRY'!AJ141</f>
        <v>11124589.295928</v>
      </c>
      <c r="AK141" s="7"/>
      <c r="AL141" s="21">
        <f t="shared" si="71"/>
        <v>-12711683.591627</v>
      </c>
      <c r="AM141" s="22">
        <f t="shared" si="72"/>
        <v>-0.53329157841047437</v>
      </c>
      <c r="AO141" s="44">
        <f t="shared" si="73"/>
        <v>23836272.887554999</v>
      </c>
      <c r="AP141" s="44">
        <f t="shared" si="73"/>
        <v>11124589.295928</v>
      </c>
    </row>
    <row r="142" spans="1:42" ht="15.5">
      <c r="A142" s="26" t="s">
        <v>13</v>
      </c>
      <c r="B142" s="7">
        <f>'A-TRY'!B142</f>
        <v>61137469.857529998</v>
      </c>
      <c r="C142" s="7">
        <f>'A-TRY'!C142</f>
        <v>47654214.874415003</v>
      </c>
      <c r="D142" s="7"/>
      <c r="E142" s="7">
        <f>B142+'A-TRY'!E142</f>
        <v>113707967.87477</v>
      </c>
      <c r="F142" s="7">
        <f>C142+'A-TRY'!F142</f>
        <v>79361293.679521009</v>
      </c>
      <c r="G142" s="7"/>
      <c r="H142" s="7">
        <f>E142+'A-TRY'!H142</f>
        <v>173023899.23178801</v>
      </c>
      <c r="I142" s="7">
        <f>F142+'A-TRY'!I142</f>
        <v>65947363.688351005</v>
      </c>
      <c r="J142" s="7"/>
      <c r="K142" s="7">
        <f>H142+'A-TRY'!K142</f>
        <v>226300832.88067201</v>
      </c>
      <c r="L142" s="7">
        <f>I142+'A-TRY'!L142</f>
        <v>46528058.34077701</v>
      </c>
      <c r="M142" s="7"/>
      <c r="N142" s="7">
        <f>K142+'A-TRY'!N142</f>
        <v>286700670.22984201</v>
      </c>
      <c r="O142" s="7">
        <f>L142+'A-TRY'!O142</f>
        <v>43068398.583408013</v>
      </c>
      <c r="P142" s="7"/>
      <c r="Q142" s="7">
        <f>N142+'A-TRY'!Q142</f>
        <v>359493667.48089302</v>
      </c>
      <c r="R142" s="7">
        <f>O142+'A-TRY'!R142</f>
        <v>11622897.710771013</v>
      </c>
      <c r="S142" s="5">
        <f>R142/Q142</f>
        <v>3.2331300276349839E-2</v>
      </c>
      <c r="T142" s="7">
        <f>Q142+'A-TRY'!T142</f>
        <v>452973203.966272</v>
      </c>
      <c r="U142" s="7">
        <f>R142+'A-TRY'!U142</f>
        <v>453151.92583001219</v>
      </c>
      <c r="V142" s="7"/>
      <c r="W142" s="7">
        <f>T142+'A-TRY'!W142</f>
        <v>554618502.96283197</v>
      </c>
      <c r="X142" s="7">
        <f>U142+'A-TRY'!X142</f>
        <v>41944287.640455015</v>
      </c>
      <c r="Y142" s="7"/>
      <c r="Z142" s="7">
        <f>W142+'A-TRY'!Z142</f>
        <v>680115394.04418993</v>
      </c>
      <c r="AA142" s="7">
        <f>X142+'A-TRY'!AA142</f>
        <v>55205778.104961015</v>
      </c>
      <c r="AB142" s="7"/>
      <c r="AC142" s="7">
        <f>Z142+'A-TRY'!AC142</f>
        <v>837123221.45483792</v>
      </c>
      <c r="AD142" s="7">
        <f>AA142+'A-TRY'!AD142</f>
        <v>55205778.104961015</v>
      </c>
      <c r="AE142" s="7"/>
      <c r="AF142" s="7">
        <f>AC142+'A-TRY'!AF142</f>
        <v>1002552466.4296809</v>
      </c>
      <c r="AG142" s="7">
        <f>AD142+'A-TRY'!AG142</f>
        <v>55205778.104961015</v>
      </c>
      <c r="AH142" s="7"/>
      <c r="AI142" s="7">
        <f>AF142+'A-TRY'!AI142</f>
        <v>1202163621.9870999</v>
      </c>
      <c r="AJ142" s="7">
        <f>AG142+'A-TRY'!AJ142</f>
        <v>55205778.104961015</v>
      </c>
      <c r="AK142" s="7"/>
      <c r="AL142" s="21">
        <f t="shared" si="71"/>
        <v>-624909615.93922889</v>
      </c>
      <c r="AM142" s="22">
        <f t="shared" si="72"/>
        <v>-0.91882880671662304</v>
      </c>
      <c r="AO142" s="44">
        <f t="shared" si="73"/>
        <v>680115394.04418993</v>
      </c>
      <c r="AP142" s="44">
        <f t="shared" si="73"/>
        <v>55205778.104961015</v>
      </c>
    </row>
    <row r="143" spans="1:42" s="1" customFormat="1" ht="15.5">
      <c r="A143" s="26" t="s">
        <v>14</v>
      </c>
      <c r="B143" s="7">
        <f>'A-TRY'!B143</f>
        <v>19835632</v>
      </c>
      <c r="C143" s="7">
        <f>'A-TRY'!C143</f>
        <v>15253695.772640999</v>
      </c>
      <c r="D143" s="8"/>
      <c r="E143" s="7">
        <f>B143+'A-TRY'!E143</f>
        <v>41579707.380410001</v>
      </c>
      <c r="F143" s="7">
        <f>C143+'A-TRY'!F143</f>
        <v>38022287.840732992</v>
      </c>
      <c r="G143" s="8"/>
      <c r="H143" s="7">
        <f>E143+'A-TRY'!H143</f>
        <v>62412666.380410001</v>
      </c>
      <c r="I143" s="7">
        <f>F143+'A-TRY'!I143</f>
        <v>62656857.795999989</v>
      </c>
      <c r="J143" s="8"/>
      <c r="K143" s="7">
        <f>H143+'A-TRY'!K143</f>
        <v>69859812.630639121</v>
      </c>
      <c r="L143" s="7">
        <f>I143+'A-TRY'!L143</f>
        <v>65209708.695999987</v>
      </c>
      <c r="M143" s="8"/>
      <c r="N143" s="7">
        <f>K143+'A-TRY'!N143</f>
        <v>84528605.801616758</v>
      </c>
      <c r="O143" s="7">
        <f>L143+'A-TRY'!O143</f>
        <v>74632457.234899983</v>
      </c>
      <c r="P143" s="8"/>
      <c r="Q143" s="7">
        <f>N143+'A-TRY'!Q143</f>
        <v>95750812.183417529</v>
      </c>
      <c r="R143" s="7">
        <f>O143+'A-TRY'!R143</f>
        <v>86861490.614899978</v>
      </c>
      <c r="S143" s="8"/>
      <c r="T143" s="7">
        <f>Q143+'A-TRY'!T143</f>
        <v>113292464.62805456</v>
      </c>
      <c r="U143" s="7">
        <f>R143+'A-TRY'!U143</f>
        <v>110330534.66489998</v>
      </c>
      <c r="V143" s="8"/>
      <c r="W143" s="7">
        <f>T143+'A-TRY'!W143</f>
        <v>132884241.87017882</v>
      </c>
      <c r="X143" s="7">
        <f>U143+'A-TRY'!X143</f>
        <v>135575199.93489999</v>
      </c>
      <c r="Y143" s="8"/>
      <c r="Z143" s="7">
        <f>W143+'A-TRY'!Z143</f>
        <v>152462776.82908455</v>
      </c>
      <c r="AA143" s="7">
        <f>X143+'A-TRY'!AA143</f>
        <v>164887367.369048</v>
      </c>
      <c r="AB143" s="8"/>
      <c r="AC143" s="7">
        <f>Z143+'A-TRY'!AC143</f>
        <v>179830440.33776426</v>
      </c>
      <c r="AD143" s="7">
        <f>AA143+'A-TRY'!AD143</f>
        <v>164887367.369048</v>
      </c>
      <c r="AE143" s="8"/>
      <c r="AF143" s="7">
        <f>AC143+'A-TRY'!AF143</f>
        <v>202609702.11669308</v>
      </c>
      <c r="AG143" s="7">
        <f>AD143+'A-TRY'!AG143</f>
        <v>164887367.369048</v>
      </c>
      <c r="AH143" s="8"/>
      <c r="AI143" s="7">
        <f>AF143+'A-TRY'!AI143</f>
        <v>220752927.73687693</v>
      </c>
      <c r="AJ143" s="7">
        <f>AG143+'A-TRY'!AJ143</f>
        <v>164887367.369048</v>
      </c>
      <c r="AK143" s="8"/>
      <c r="AL143" s="21">
        <f t="shared" si="71"/>
        <v>12424590.539963454</v>
      </c>
      <c r="AM143" s="22">
        <f t="shared" si="72"/>
        <v>8.1492616088790104E-2</v>
      </c>
      <c r="AO143" s="44">
        <f t="shared" si="73"/>
        <v>152462776.82908455</v>
      </c>
      <c r="AP143" s="44">
        <f t="shared" si="73"/>
        <v>164887367.369048</v>
      </c>
    </row>
    <row r="144" spans="1:42" ht="15.5">
      <c r="A144" s="26" t="s">
        <v>15</v>
      </c>
      <c r="B144" s="7">
        <f>'A-TRY'!B144</f>
        <v>37595744.946942374</v>
      </c>
      <c r="C144" s="7">
        <f>'A-TRY'!C144</f>
        <v>42835132.281600773</v>
      </c>
      <c r="D144" s="7"/>
      <c r="E144" s="7">
        <f>B144+'A-TRY'!E144</f>
        <v>93217280.689670131</v>
      </c>
      <c r="F144" s="7">
        <f>C144+'A-TRY'!F144</f>
        <v>104851127.74240607</v>
      </c>
      <c r="G144" s="7"/>
      <c r="H144" s="7">
        <f>E144+'A-TRY'!H144</f>
        <v>210172374.51870385</v>
      </c>
      <c r="I144" s="7">
        <f>F144+'A-TRY'!I144</f>
        <v>190281747.36654156</v>
      </c>
      <c r="J144" s="7"/>
      <c r="K144" s="7">
        <f>H144+'A-TRY'!K144</f>
        <v>245069418.87653917</v>
      </c>
      <c r="L144" s="7">
        <f>I144+'A-TRY'!L144</f>
        <v>264880907.67013744</v>
      </c>
      <c r="M144" s="7"/>
      <c r="N144" s="7">
        <f>K144+'A-TRY'!N144</f>
        <v>309128427.65334439</v>
      </c>
      <c r="O144" s="7">
        <f>L144+'A-TRY'!O144</f>
        <v>352476785.8064757</v>
      </c>
      <c r="P144" s="7"/>
      <c r="Q144" s="7">
        <f>N144+'A-TRY'!Q144</f>
        <v>406930275.36765873</v>
      </c>
      <c r="R144" s="7">
        <f>O144+'A-TRY'!R144</f>
        <v>444412807.14477038</v>
      </c>
      <c r="S144" s="7"/>
      <c r="T144" s="7">
        <f>Q144+'A-TRY'!T144</f>
        <v>446099232.67706072</v>
      </c>
      <c r="U144" s="7">
        <f>R144+'A-TRY'!U144</f>
        <v>532440849.83528882</v>
      </c>
      <c r="V144" s="7"/>
      <c r="W144" s="7">
        <f>T144+'A-TRY'!W144</f>
        <v>469844054.93600184</v>
      </c>
      <c r="X144" s="7">
        <f>U144+'A-TRY'!X144</f>
        <v>604141789.02504134</v>
      </c>
      <c r="Y144" s="7"/>
      <c r="Z144" s="7">
        <f>W144+'A-TRY'!Z144</f>
        <v>617878937.52229977</v>
      </c>
      <c r="AA144" s="7">
        <f>X144+'A-TRY'!AA144</f>
        <v>742679931.47572935</v>
      </c>
      <c r="AB144" s="7"/>
      <c r="AC144" s="7">
        <f>Z144+'A-TRY'!AC144</f>
        <v>701860100.56437612</v>
      </c>
      <c r="AD144" s="7">
        <f>AA144+'A-TRY'!AD144</f>
        <v>742679931.47572935</v>
      </c>
      <c r="AE144" s="7"/>
      <c r="AF144" s="7">
        <f>AC144+'A-TRY'!AF144</f>
        <v>786864980.62255263</v>
      </c>
      <c r="AG144" s="7">
        <f>AD144+'A-TRY'!AG144</f>
        <v>742679931.47572935</v>
      </c>
      <c r="AH144" s="7"/>
      <c r="AI144" s="7">
        <f>AF144+'A-TRY'!AI144</f>
        <v>880970513.88332725</v>
      </c>
      <c r="AJ144" s="7">
        <f>AG144+'A-TRY'!AJ144</f>
        <v>742679931.47572935</v>
      </c>
      <c r="AK144" s="7"/>
      <c r="AL144" s="21">
        <f t="shared" si="71"/>
        <v>124800993.95342958</v>
      </c>
      <c r="AM144" s="22">
        <f t="shared" si="72"/>
        <v>0.20198292314977229</v>
      </c>
      <c r="AO144" s="44">
        <f t="shared" si="73"/>
        <v>617878937.52229977</v>
      </c>
      <c r="AP144" s="44">
        <f t="shared" si="73"/>
        <v>742679931.47572935</v>
      </c>
    </row>
    <row r="145" spans="1:42" ht="15.5">
      <c r="A145" s="26" t="s">
        <v>16</v>
      </c>
      <c r="B145" s="7">
        <f>'A-TRY'!B145</f>
        <v>57463052.793556578</v>
      </c>
      <c r="C145" s="7">
        <f>'A-TRY'!C145</f>
        <v>59049518.375575617</v>
      </c>
      <c r="D145" s="7"/>
      <c r="E145" s="7">
        <f>B145+'A-TRY'!E145</f>
        <v>109135493.65492749</v>
      </c>
      <c r="F145" s="7">
        <f>C145+'A-TRY'!F145</f>
        <v>140791873.3313548</v>
      </c>
      <c r="G145" s="7"/>
      <c r="H145" s="7">
        <f>E145+'A-TRY'!H145</f>
        <v>184137971.0092091</v>
      </c>
      <c r="I145" s="7">
        <f>F145+'A-TRY'!I145</f>
        <v>222729796.81869805</v>
      </c>
      <c r="J145" s="7"/>
      <c r="K145" s="7">
        <f>H145+'A-TRY'!K145</f>
        <v>258590693.37356079</v>
      </c>
      <c r="L145" s="7">
        <f>I145+'A-TRY'!L145</f>
        <v>328094683.11629426</v>
      </c>
      <c r="M145" s="7"/>
      <c r="N145" s="7">
        <f>K145+'A-TRY'!N145</f>
        <v>338553084.48633933</v>
      </c>
      <c r="O145" s="7">
        <f>L145+'A-TRY'!O145</f>
        <v>411054547.11258721</v>
      </c>
      <c r="P145" s="7"/>
      <c r="Q145" s="7">
        <f>N145+'A-TRY'!Q145</f>
        <v>405132285.73848677</v>
      </c>
      <c r="R145" s="7">
        <f>O145+'A-TRY'!R145</f>
        <v>494330714.64791369</v>
      </c>
      <c r="S145" s="7"/>
      <c r="T145" s="7">
        <f>Q145+'A-TRY'!T145</f>
        <v>464854423.3754245</v>
      </c>
      <c r="U145" s="7">
        <f>R145+'A-TRY'!U145</f>
        <v>606698250.63856232</v>
      </c>
      <c r="V145" s="7"/>
      <c r="W145" s="7">
        <f>T145+'A-TRY'!W145</f>
        <v>504178855.80992949</v>
      </c>
      <c r="X145" s="7">
        <f>U145+'A-TRY'!X145</f>
        <v>687470715.51270998</v>
      </c>
      <c r="Y145" s="7"/>
      <c r="Z145" s="7">
        <f>W145+'A-TRY'!Z145</f>
        <v>601123560.51042736</v>
      </c>
      <c r="AA145" s="7">
        <f>X145+'A-TRY'!AA145</f>
        <v>838140326.08376193</v>
      </c>
      <c r="AB145" s="7"/>
      <c r="AC145" s="7">
        <f>Z145+'A-TRY'!AC145</f>
        <v>691273449.91035044</v>
      </c>
      <c r="AD145" s="7">
        <f>AA145+'A-TRY'!AD145</f>
        <v>838140326.08376193</v>
      </c>
      <c r="AE145" s="7"/>
      <c r="AF145" s="7">
        <f>AC145+'A-TRY'!AF145</f>
        <v>777397053.84427249</v>
      </c>
      <c r="AG145" s="7">
        <f>AD145+'A-TRY'!AG145</f>
        <v>838140326.08376193</v>
      </c>
      <c r="AH145" s="7"/>
      <c r="AI145" s="7">
        <f>AF145+'A-TRY'!AI145</f>
        <v>832881731.84844697</v>
      </c>
      <c r="AJ145" s="7">
        <f>AG145+'A-TRY'!AJ145</f>
        <v>838140326.08376193</v>
      </c>
      <c r="AK145" s="7"/>
      <c r="AL145" s="21">
        <f t="shared" si="71"/>
        <v>237016765.57333457</v>
      </c>
      <c r="AM145" s="22">
        <f t="shared" si="72"/>
        <v>0.39428959559009535</v>
      </c>
      <c r="AO145" s="44">
        <f t="shared" si="73"/>
        <v>601123560.51042736</v>
      </c>
      <c r="AP145" s="44">
        <f t="shared" si="73"/>
        <v>838140326.08376193</v>
      </c>
    </row>
    <row r="146" spans="1:42" ht="15.5">
      <c r="A146" s="26" t="s">
        <v>17</v>
      </c>
      <c r="B146" s="7">
        <f>'A-TRY'!B146</f>
        <v>95677054.763265803</v>
      </c>
      <c r="C146" s="7">
        <f>'A-TRY'!C146</f>
        <v>100932814.54745452</v>
      </c>
      <c r="D146" s="7"/>
      <c r="E146" s="7">
        <f>B146+'A-TRY'!E146</f>
        <v>196379288.58665574</v>
      </c>
      <c r="F146" s="7">
        <f>C146+'A-TRY'!F146</f>
        <v>152913522.85895032</v>
      </c>
      <c r="G146" s="7"/>
      <c r="H146" s="7">
        <f>E146+'A-TRY'!H146</f>
        <v>287312231.01111746</v>
      </c>
      <c r="I146" s="7">
        <f>F146+'A-TRY'!I146</f>
        <v>232077808.45422</v>
      </c>
      <c r="J146" s="7"/>
      <c r="K146" s="7">
        <f>H146+'A-TRY'!K146</f>
        <v>371255892.93255383</v>
      </c>
      <c r="L146" s="7">
        <f>I146+'A-TRY'!L146</f>
        <v>309481259.60598129</v>
      </c>
      <c r="M146" s="7"/>
      <c r="N146" s="7">
        <f>K146+'A-TRY'!N146</f>
        <v>494489116.22694421</v>
      </c>
      <c r="O146" s="7">
        <f>L146+'A-TRY'!O146</f>
        <v>463090727.31324959</v>
      </c>
      <c r="P146" s="7"/>
      <c r="Q146" s="7">
        <f>N146+'A-TRY'!Q146</f>
        <v>577847952.03584099</v>
      </c>
      <c r="R146" s="7">
        <f>O146+'A-TRY'!R146</f>
        <v>561810285.16366386</v>
      </c>
      <c r="S146" s="7"/>
      <c r="T146" s="7">
        <f>Q146+'A-TRY'!T146</f>
        <v>709738783.98959994</v>
      </c>
      <c r="U146" s="7">
        <f>R146+'A-TRY'!U146</f>
        <v>677369444.34827447</v>
      </c>
      <c r="V146" s="7"/>
      <c r="W146" s="7">
        <f>T146+'A-TRY'!W146</f>
        <v>760026464.35605264</v>
      </c>
      <c r="X146" s="7">
        <f>U146+'A-TRY'!X146</f>
        <v>736317931.00773859</v>
      </c>
      <c r="Y146" s="7"/>
      <c r="Z146" s="7">
        <f>W146+'A-TRY'!Z146</f>
        <v>929051798.39470363</v>
      </c>
      <c r="AA146" s="7">
        <f>X146+'A-TRY'!AA146</f>
        <v>912939797.81329322</v>
      </c>
      <c r="AB146" s="7"/>
      <c r="AC146" s="7">
        <f>Z146+'A-TRY'!AC146</f>
        <v>1072171464.4825026</v>
      </c>
      <c r="AD146" s="7">
        <f>AA146+'A-TRY'!AD146</f>
        <v>912939797.81329322</v>
      </c>
      <c r="AE146" s="7"/>
      <c r="AF146" s="7">
        <f>AC146+'A-TRY'!AF146</f>
        <v>1216257629.5577676</v>
      </c>
      <c r="AG146" s="7">
        <f>AD146+'A-TRY'!AG146</f>
        <v>912939797.81329322</v>
      </c>
      <c r="AH146" s="7"/>
      <c r="AI146" s="7">
        <f>AF146+'A-TRY'!AI146</f>
        <v>1325349364.7395506</v>
      </c>
      <c r="AJ146" s="7">
        <f>AG146+'A-TRY'!AJ146</f>
        <v>912939797.81329322</v>
      </c>
      <c r="AK146" s="7"/>
      <c r="AL146" s="21">
        <f t="shared" si="71"/>
        <v>-16112000.581410408</v>
      </c>
      <c r="AM146" s="22">
        <f t="shared" si="72"/>
        <v>-1.7342413640714205E-2</v>
      </c>
      <c r="AO146" s="44">
        <f t="shared" si="73"/>
        <v>929051798.39470363</v>
      </c>
      <c r="AP146" s="44">
        <f t="shared" si="73"/>
        <v>912939797.81329322</v>
      </c>
    </row>
    <row r="147" spans="1:42" ht="15.5">
      <c r="A147" s="26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21"/>
      <c r="AM147" s="22"/>
      <c r="AO147" s="44">
        <f t="shared" si="73"/>
        <v>0</v>
      </c>
      <c r="AP147" s="44">
        <f t="shared" si="73"/>
        <v>0</v>
      </c>
    </row>
    <row r="148" spans="1:42">
      <c r="A148" s="2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5"/>
    </row>
    <row r="149" spans="1:42" s="49" customFormat="1" ht="17">
      <c r="A149" s="47" t="s">
        <v>75</v>
      </c>
      <c r="B149" s="413"/>
      <c r="C149" s="413"/>
      <c r="D149" s="413"/>
      <c r="E149" s="413"/>
      <c r="F149" s="413"/>
      <c r="G149" s="413"/>
      <c r="H149" s="413"/>
      <c r="I149" s="413"/>
      <c r="J149" s="413"/>
      <c r="K149" s="413"/>
      <c r="L149" s="413"/>
      <c r="M149" s="413"/>
      <c r="N149" s="413"/>
      <c r="O149" s="413"/>
      <c r="P149" s="413"/>
      <c r="Q149" s="413"/>
      <c r="R149" s="413"/>
      <c r="S149" s="413"/>
      <c r="T149" s="413"/>
      <c r="U149" s="413"/>
      <c r="V149" s="413"/>
      <c r="W149" s="413"/>
      <c r="X149" s="413"/>
      <c r="Y149" s="413"/>
      <c r="Z149" s="413"/>
      <c r="AA149" s="413"/>
      <c r="AB149" s="413"/>
      <c r="AC149" s="413"/>
      <c r="AD149" s="413"/>
      <c r="AE149" s="413"/>
      <c r="AF149" s="413"/>
      <c r="AG149" s="413"/>
      <c r="AH149" s="413"/>
      <c r="AI149" s="413"/>
      <c r="AJ149" s="413"/>
      <c r="AK149" s="413"/>
      <c r="AL149" s="413"/>
      <c r="AM149" s="48"/>
    </row>
    <row r="150" spans="1:42" s="13" customFormat="1" ht="15.5">
      <c r="A150" s="26" t="s">
        <v>10</v>
      </c>
      <c r="B150" s="12">
        <f>B139/B9</f>
        <v>0.47723387197144063</v>
      </c>
      <c r="C150" s="12">
        <f>C139/C9</f>
        <v>0.50411919491446466</v>
      </c>
      <c r="D150" s="41"/>
      <c r="E150" s="12">
        <f>E139/E9</f>
        <v>0.49371953016426234</v>
      </c>
      <c r="F150" s="12">
        <f>F139/F9</f>
        <v>0.46967137919155966</v>
      </c>
      <c r="G150" s="41"/>
      <c r="H150" s="12">
        <f>H139/H9</f>
        <v>0.46692332749924598</v>
      </c>
      <c r="I150" s="12">
        <f>I139/I9</f>
        <v>0.45683323048025715</v>
      </c>
      <c r="J150" s="41"/>
      <c r="K150" s="12">
        <f>K139/K9</f>
        <v>0.46518160320285923</v>
      </c>
      <c r="L150" s="12">
        <f>L139/L9</f>
        <v>0.39180383839327998</v>
      </c>
      <c r="M150" s="41"/>
      <c r="N150" s="12">
        <f>N139/N9</f>
        <v>0.46315538905965653</v>
      </c>
      <c r="O150" s="12">
        <f>O139/O9</f>
        <v>0.42753660264701798</v>
      </c>
      <c r="P150" s="41"/>
      <c r="Q150" s="12">
        <f>Q139/Q9</f>
        <v>0.46528277581787741</v>
      </c>
      <c r="R150" s="12">
        <f>R139/R9</f>
        <v>0.43205332325596091</v>
      </c>
      <c r="S150" s="41"/>
      <c r="T150" s="12">
        <f>T139/T9</f>
        <v>0.47385719562980355</v>
      </c>
      <c r="U150" s="12">
        <f>U139/U9</f>
        <v>0.44002186570465934</v>
      </c>
      <c r="V150" s="41"/>
      <c r="W150" s="12">
        <f>W139/W9</f>
        <v>0.47559895913776606</v>
      </c>
      <c r="X150" s="12">
        <f>X139/X9</f>
        <v>0.4458918610037349</v>
      </c>
      <c r="Y150" s="41"/>
      <c r="Z150" s="12">
        <f>Z139/Z9</f>
        <v>0.48659866798021778</v>
      </c>
      <c r="AA150" s="12">
        <f>AA139/AA9</f>
        <v>0.4683082213078571</v>
      </c>
      <c r="AB150" s="41"/>
      <c r="AC150" s="12">
        <f>AC139/AC9</f>
        <v>0.49032884095249557</v>
      </c>
      <c r="AD150" s="12">
        <f>AD139/AD9</f>
        <v>0.4683082213078571</v>
      </c>
      <c r="AE150" s="41"/>
      <c r="AF150" s="12">
        <f>AF139/AF9</f>
        <v>0.48904033406744213</v>
      </c>
      <c r="AG150" s="12">
        <f>AG139/AG9</f>
        <v>0.4683082213078571</v>
      </c>
      <c r="AH150" s="41"/>
      <c r="AI150" s="12">
        <f>AI139/AI9</f>
        <v>0.42149511421443514</v>
      </c>
      <c r="AJ150" s="12">
        <f>AJ139/AJ9</f>
        <v>0.4683082213078571</v>
      </c>
      <c r="AK150" s="41"/>
      <c r="AL150" s="15"/>
      <c r="AM150" s="22">
        <f>AP150-AO150</f>
        <v>-1.8290446672360683E-2</v>
      </c>
      <c r="AO150" s="44">
        <f t="shared" ref="AO150:AP157" si="74">IF($A$1=$B$1,B150,IF($A$1=$E$1,E150,IF($A$1=$H$1,H150,IF($A$1=$K$1,K150,IF($A$1=$N$1,N150,IF($A$1=$Q$1,Q150,IF($A$1=$T$1,T150,IF($A$1=$W$1,W150,IF($A$1=$Z$1,Z150,IF($A$1=$AC$1,AC150,IF($A$1=$AF$1,AF150,IF($A$1=$AI$1,AI150))))))))))))</f>
        <v>0.48659866798021778</v>
      </c>
      <c r="AP150" s="44">
        <f t="shared" si="74"/>
        <v>0.4683082213078571</v>
      </c>
    </row>
    <row r="151" spans="1:42" s="13" customFormat="1" ht="15.5">
      <c r="A151" s="26" t="s">
        <v>11</v>
      </c>
      <c r="B151" s="12">
        <f t="shared" ref="B151:C157" si="75">B140/B10</f>
        <v>-2.2317649173043737E-2</v>
      </c>
      <c r="C151" s="12">
        <f t="shared" si="75"/>
        <v>-2.6852104529712815E-3</v>
      </c>
      <c r="D151" s="41"/>
      <c r="E151" s="12">
        <f t="shared" ref="E151:F157" si="76">E140/E10</f>
        <v>4.4667183180520459E-2</v>
      </c>
      <c r="F151" s="12">
        <f t="shared" si="76"/>
        <v>2.7561387576274056E-2</v>
      </c>
      <c r="G151" s="41"/>
      <c r="H151" s="12">
        <f t="shared" ref="H151:I157" si="77">H140/H10</f>
        <v>7.0999745763737659E-2</v>
      </c>
      <c r="I151" s="12">
        <f t="shared" si="77"/>
        <v>3.2399256782250647E-2</v>
      </c>
      <c r="J151" s="41"/>
      <c r="K151" s="12">
        <f t="shared" ref="K151:L157" si="78">K140/K10</f>
        <v>0.10331088180952172</v>
      </c>
      <c r="L151" s="12">
        <f t="shared" si="78"/>
        <v>2.7245205728206809E-2</v>
      </c>
      <c r="M151" s="41"/>
      <c r="N151" s="12">
        <f t="shared" ref="N151:O157" si="79">N140/N10</f>
        <v>0.1308698414168061</v>
      </c>
      <c r="O151" s="12">
        <f t="shared" si="79"/>
        <v>3.3794456892023442E-2</v>
      </c>
      <c r="P151" s="41"/>
      <c r="Q151" s="12">
        <f t="shared" ref="Q151:R157" si="80">Q140/Q10</f>
        <v>0.14452016267758952</v>
      </c>
      <c r="R151" s="12">
        <f t="shared" si="80"/>
        <v>3.6936060440787136E-2</v>
      </c>
      <c r="S151" s="41"/>
      <c r="T151" s="12">
        <f t="shared" ref="T151:U157" si="81">T140/T10</f>
        <v>0.15125698598754603</v>
      </c>
      <c r="U151" s="12">
        <f t="shared" si="81"/>
        <v>4.5128543619239174E-2</v>
      </c>
      <c r="V151" s="41"/>
      <c r="W151" s="12">
        <f t="shared" ref="W151:X157" si="82">W140/W10</f>
        <v>0.14556094892826377</v>
      </c>
      <c r="X151" s="12">
        <f t="shared" si="82"/>
        <v>4.6067413927633319E-2</v>
      </c>
      <c r="Y151" s="41"/>
      <c r="Z151" s="12">
        <f t="shared" ref="Z151:AA157" si="83">Z140/Z10</f>
        <v>0.14439528371611435</v>
      </c>
      <c r="AA151" s="12">
        <f t="shared" si="83"/>
        <v>3.7596285181889691E-2</v>
      </c>
      <c r="AB151" s="41"/>
      <c r="AC151" s="12">
        <f t="shared" ref="AC151:AD157" si="84">AC140/AC10</f>
        <v>0.13917991117844586</v>
      </c>
      <c r="AD151" s="12">
        <f t="shared" si="84"/>
        <v>3.7596285181889691E-2</v>
      </c>
      <c r="AE151" s="41"/>
      <c r="AF151" s="12">
        <f t="shared" ref="AF151:AG157" si="85">AF140/AF10</f>
        <v>0.13203907101055568</v>
      </c>
      <c r="AG151" s="12">
        <f t="shared" si="85"/>
        <v>3.7596285181889691E-2</v>
      </c>
      <c r="AH151" s="41"/>
      <c r="AI151" s="12">
        <f t="shared" ref="AI151:AJ157" si="86">AI140/AI10</f>
        <v>0.12172839393038055</v>
      </c>
      <c r="AJ151" s="12">
        <f t="shared" si="86"/>
        <v>3.7596285181889691E-2</v>
      </c>
      <c r="AK151" s="41"/>
      <c r="AL151" s="15"/>
      <c r="AM151" s="22">
        <f t="shared" ref="AM151:AM157" si="87">AP151-AO151</f>
        <v>-0.10679899853422466</v>
      </c>
      <c r="AO151" s="44">
        <f t="shared" si="74"/>
        <v>0.14439528371611435</v>
      </c>
      <c r="AP151" s="44">
        <f t="shared" si="74"/>
        <v>3.7596285181889691E-2</v>
      </c>
    </row>
    <row r="152" spans="1:42" s="13" customFormat="1" ht="15.5">
      <c r="A152" s="26" t="s">
        <v>12</v>
      </c>
      <c r="B152" s="12">
        <f t="shared" si="75"/>
        <v>-4.3815413651783652E-2</v>
      </c>
      <c r="C152" s="12">
        <f t="shared" si="75"/>
        <v>3.5243493079768241E-2</v>
      </c>
      <c r="D152" s="41"/>
      <c r="E152" s="12">
        <f t="shared" si="76"/>
        <v>-2.0212683115690643E-2</v>
      </c>
      <c r="F152" s="12">
        <f t="shared" si="76"/>
        <v>3.2798095082154852E-2</v>
      </c>
      <c r="G152" s="41"/>
      <c r="H152" s="12">
        <f t="shared" si="77"/>
        <v>4.5929401507664785E-3</v>
      </c>
      <c r="I152" s="12">
        <f t="shared" si="77"/>
        <v>2.1119646610802321E-2</v>
      </c>
      <c r="J152" s="41"/>
      <c r="K152" s="12">
        <f t="shared" si="78"/>
        <v>1.4384320108031687E-2</v>
      </c>
      <c r="L152" s="12">
        <f t="shared" si="78"/>
        <v>2.0227491995967042E-2</v>
      </c>
      <c r="M152" s="41"/>
      <c r="N152" s="12">
        <f t="shared" si="79"/>
        <v>2.8732058091673E-2</v>
      </c>
      <c r="O152" s="12">
        <f t="shared" si="79"/>
        <v>2.3856449425725613E-2</v>
      </c>
      <c r="P152" s="41"/>
      <c r="Q152" s="12">
        <f t="shared" si="80"/>
        <v>3.7449740840147398E-2</v>
      </c>
      <c r="R152" s="12">
        <f t="shared" si="80"/>
        <v>2.2987232581753222E-2</v>
      </c>
      <c r="S152" s="41"/>
      <c r="T152" s="12">
        <f t="shared" si="81"/>
        <v>4.4245277234512825E-2</v>
      </c>
      <c r="U152" s="12">
        <f t="shared" si="81"/>
        <v>2.4161074864951903E-2</v>
      </c>
      <c r="V152" s="41"/>
      <c r="W152" s="12">
        <f t="shared" si="82"/>
        <v>4.7734096325037369E-2</v>
      </c>
      <c r="X152" s="12">
        <f t="shared" si="82"/>
        <v>2.4491257432549176E-2</v>
      </c>
      <c r="Y152" s="41"/>
      <c r="Z152" s="12">
        <f t="shared" si="83"/>
        <v>4.8475700894505001E-2</v>
      </c>
      <c r="AA152" s="12">
        <f t="shared" si="83"/>
        <v>2.8651647701737906E-2</v>
      </c>
      <c r="AB152" s="41"/>
      <c r="AC152" s="12">
        <f t="shared" si="84"/>
        <v>5.0439073634712027E-2</v>
      </c>
      <c r="AD152" s="12">
        <f t="shared" si="84"/>
        <v>2.8651647701737906E-2</v>
      </c>
      <c r="AE152" s="41"/>
      <c r="AF152" s="12">
        <f t="shared" si="85"/>
        <v>5.2310919430239904E-2</v>
      </c>
      <c r="AG152" s="12">
        <f t="shared" si="85"/>
        <v>2.8651647701737906E-2</v>
      </c>
      <c r="AH152" s="41"/>
      <c r="AI152" s="12">
        <f t="shared" si="86"/>
        <v>5.0404471250753501E-2</v>
      </c>
      <c r="AJ152" s="12">
        <f t="shared" si="86"/>
        <v>2.8651647701737906E-2</v>
      </c>
      <c r="AK152" s="41"/>
      <c r="AL152" s="15"/>
      <c r="AM152" s="22">
        <f t="shared" si="87"/>
        <v>-1.9824053192767095E-2</v>
      </c>
      <c r="AO152" s="44">
        <f t="shared" si="74"/>
        <v>4.8475700894505001E-2</v>
      </c>
      <c r="AP152" s="44">
        <f t="shared" si="74"/>
        <v>2.8651647701737906E-2</v>
      </c>
    </row>
    <row r="153" spans="1:42" s="13" customFormat="1" ht="15.5">
      <c r="A153" s="26" t="s">
        <v>13</v>
      </c>
      <c r="B153" s="12">
        <f t="shared" si="75"/>
        <v>8.6185712712452067E-2</v>
      </c>
      <c r="C153" s="12">
        <f t="shared" si="75"/>
        <v>6.0865880843644249E-2</v>
      </c>
      <c r="D153" s="41"/>
      <c r="E153" s="12">
        <f t="shared" si="76"/>
        <v>7.8620722459757333E-2</v>
      </c>
      <c r="F153" s="12">
        <f t="shared" si="76"/>
        <v>5.8721926217430116E-2</v>
      </c>
      <c r="G153" s="41"/>
      <c r="H153" s="12">
        <f t="shared" si="77"/>
        <v>7.7480276497377432E-2</v>
      </c>
      <c r="I153" s="12">
        <f t="shared" si="77"/>
        <v>3.546350257797256E-2</v>
      </c>
      <c r="J153" s="41"/>
      <c r="K153" s="12">
        <f t="shared" si="78"/>
        <v>7.5487636724802992E-2</v>
      </c>
      <c r="L153" s="12">
        <f t="shared" si="78"/>
        <v>1.9465968381366387E-2</v>
      </c>
      <c r="M153" s="41"/>
      <c r="N153" s="12">
        <f t="shared" si="79"/>
        <v>7.6510576362578048E-2</v>
      </c>
      <c r="O153" s="12">
        <f t="shared" si="79"/>
        <v>1.4297239941440817E-2</v>
      </c>
      <c r="P153" s="41"/>
      <c r="Q153" s="12">
        <f t="shared" si="80"/>
        <v>7.9622480873970253E-2</v>
      </c>
      <c r="R153" s="12">
        <f t="shared" si="80"/>
        <v>3.4135843585668744E-3</v>
      </c>
      <c r="S153" s="41"/>
      <c r="T153" s="12">
        <f t="shared" si="81"/>
        <v>8.344613132419515E-2</v>
      </c>
      <c r="U153" s="12">
        <f t="shared" si="81"/>
        <v>1.0858129337702995E-4</v>
      </c>
      <c r="V153" s="41"/>
      <c r="W153" s="12">
        <f t="shared" si="82"/>
        <v>8.7691550489240086E-2</v>
      </c>
      <c r="X153" s="12">
        <f t="shared" si="82"/>
        <v>8.6490331633209769E-3</v>
      </c>
      <c r="Y153" s="41"/>
      <c r="Z153" s="12">
        <f t="shared" si="83"/>
        <v>9.3168897574096715E-2</v>
      </c>
      <c r="AA153" s="12">
        <f t="shared" si="83"/>
        <v>1.0280934034860498E-2</v>
      </c>
      <c r="AB153" s="41"/>
      <c r="AC153" s="12">
        <f t="shared" si="84"/>
        <v>9.9286034282840413E-2</v>
      </c>
      <c r="AD153" s="12">
        <f t="shared" si="84"/>
        <v>1.0280934034860498E-2</v>
      </c>
      <c r="AE153" s="41"/>
      <c r="AF153" s="12">
        <f t="shared" si="85"/>
        <v>0.10469698383264212</v>
      </c>
      <c r="AG153" s="12">
        <f t="shared" si="85"/>
        <v>1.0280934034860498E-2</v>
      </c>
      <c r="AH153" s="41"/>
      <c r="AI153" s="12">
        <f t="shared" si="86"/>
        <v>0.11170834417840297</v>
      </c>
      <c r="AJ153" s="12">
        <f t="shared" si="86"/>
        <v>1.0280934034860498E-2</v>
      </c>
      <c r="AK153" s="41"/>
      <c r="AL153" s="15"/>
      <c r="AM153" s="22">
        <f t="shared" si="87"/>
        <v>-8.288796353923622E-2</v>
      </c>
      <c r="AO153" s="44">
        <f t="shared" si="74"/>
        <v>9.3168897574096715E-2</v>
      </c>
      <c r="AP153" s="44">
        <f t="shared" si="74"/>
        <v>1.0280934034860498E-2</v>
      </c>
    </row>
    <row r="154" spans="1:42" s="13" customFormat="1" ht="15.5">
      <c r="A154" s="26" t="s">
        <v>14</v>
      </c>
      <c r="B154" s="12">
        <f t="shared" si="75"/>
        <v>8.0809931957923811E-2</v>
      </c>
      <c r="C154" s="12">
        <f t="shared" si="75"/>
        <v>6.9124267107037035E-2</v>
      </c>
      <c r="D154" s="41"/>
      <c r="E154" s="12">
        <f t="shared" si="76"/>
        <v>8.2442158746206223E-2</v>
      </c>
      <c r="F154" s="12">
        <f t="shared" si="76"/>
        <v>8.7511121837201639E-2</v>
      </c>
      <c r="G154" s="41"/>
      <c r="H154" s="12">
        <f t="shared" si="77"/>
        <v>8.1491501967282193E-2</v>
      </c>
      <c r="I154" s="12">
        <f t="shared" si="77"/>
        <v>9.0738032770827801E-2</v>
      </c>
      <c r="J154" s="41"/>
      <c r="K154" s="12">
        <f t="shared" si="78"/>
        <v>6.7755683126926591E-2</v>
      </c>
      <c r="L154" s="12">
        <f t="shared" si="78"/>
        <v>7.1839379562677066E-2</v>
      </c>
      <c r="M154" s="41"/>
      <c r="N154" s="12">
        <f t="shared" si="79"/>
        <v>6.4604584039380991E-2</v>
      </c>
      <c r="O154" s="12">
        <f t="shared" si="79"/>
        <v>6.4728301136421057E-2</v>
      </c>
      <c r="P154" s="41"/>
      <c r="Q154" s="12">
        <f t="shared" si="80"/>
        <v>6.2182126555054403E-2</v>
      </c>
      <c r="R154" s="12">
        <f t="shared" si="80"/>
        <v>6.4300785122319556E-2</v>
      </c>
      <c r="S154" s="41"/>
      <c r="T154" s="12">
        <f t="shared" si="81"/>
        <v>6.2006057283296091E-2</v>
      </c>
      <c r="U154" s="12">
        <f t="shared" si="81"/>
        <v>6.8985212033700033E-2</v>
      </c>
      <c r="V154" s="41"/>
      <c r="W154" s="12">
        <f t="shared" si="82"/>
        <v>6.3753784243667344E-2</v>
      </c>
      <c r="X154" s="12">
        <f t="shared" si="82"/>
        <v>7.4672570703303742E-2</v>
      </c>
      <c r="Y154" s="41"/>
      <c r="Z154" s="12">
        <f t="shared" si="83"/>
        <v>6.5097314805172432E-2</v>
      </c>
      <c r="AA154" s="12">
        <f t="shared" si="83"/>
        <v>7.9395038369719784E-2</v>
      </c>
      <c r="AB154" s="41"/>
      <c r="AC154" s="12">
        <f t="shared" si="84"/>
        <v>6.716673533239062E-2</v>
      </c>
      <c r="AD154" s="12">
        <f t="shared" si="84"/>
        <v>7.9395038369719784E-2</v>
      </c>
      <c r="AE154" s="41"/>
      <c r="AF154" s="12">
        <f t="shared" si="85"/>
        <v>6.8378511547901366E-2</v>
      </c>
      <c r="AG154" s="12">
        <f t="shared" si="85"/>
        <v>7.9395038369719784E-2</v>
      </c>
      <c r="AH154" s="41"/>
      <c r="AI154" s="12">
        <f t="shared" si="86"/>
        <v>6.7927663124826967E-2</v>
      </c>
      <c r="AJ154" s="12">
        <f t="shared" si="86"/>
        <v>7.9395038369719784E-2</v>
      </c>
      <c r="AK154" s="41"/>
      <c r="AL154" s="15"/>
      <c r="AM154" s="22">
        <f t="shared" si="87"/>
        <v>1.4297723564547352E-2</v>
      </c>
      <c r="AO154" s="44">
        <f t="shared" si="74"/>
        <v>6.5097314805172432E-2</v>
      </c>
      <c r="AP154" s="44">
        <f t="shared" si="74"/>
        <v>7.9395038369719784E-2</v>
      </c>
    </row>
    <row r="155" spans="1:42" s="13" customFormat="1" ht="15.5">
      <c r="A155" s="26" t="s">
        <v>15</v>
      </c>
      <c r="B155" s="12">
        <f t="shared" si="75"/>
        <v>0.10075511008749967</v>
      </c>
      <c r="C155" s="12">
        <f t="shared" si="75"/>
        <v>0.10059966558551706</v>
      </c>
      <c r="D155" s="41"/>
      <c r="E155" s="12">
        <f t="shared" si="76"/>
        <v>0.11897905308069591</v>
      </c>
      <c r="F155" s="12">
        <f t="shared" si="76"/>
        <v>0.12198198208131042</v>
      </c>
      <c r="G155" s="41"/>
      <c r="H155" s="12">
        <f t="shared" si="77"/>
        <v>0.16545117965654177</v>
      </c>
      <c r="I155" s="12">
        <f t="shared" si="77"/>
        <v>0.14046850826852225</v>
      </c>
      <c r="J155" s="41"/>
      <c r="K155" s="12">
        <f t="shared" si="78"/>
        <v>0.14404308934216326</v>
      </c>
      <c r="L155" s="12">
        <f t="shared" si="78"/>
        <v>0.14159627062466876</v>
      </c>
      <c r="M155" s="41"/>
      <c r="N155" s="12">
        <f t="shared" si="79"/>
        <v>0.14240818238828101</v>
      </c>
      <c r="O155" s="12">
        <f t="shared" si="79"/>
        <v>0.14547472979216586</v>
      </c>
      <c r="P155" s="41"/>
      <c r="Q155" s="12">
        <f t="shared" si="80"/>
        <v>0.15323361736559044</v>
      </c>
      <c r="R155" s="12">
        <f t="shared" si="80"/>
        <v>0.14877008332285765</v>
      </c>
      <c r="S155" s="41"/>
      <c r="T155" s="12">
        <f t="shared" si="81"/>
        <v>0.14634058697291819</v>
      </c>
      <c r="U155" s="12">
        <f t="shared" si="81"/>
        <v>0.15245053311401344</v>
      </c>
      <c r="V155" s="41"/>
      <c r="W155" s="12">
        <f t="shared" si="82"/>
        <v>0.13626584755495533</v>
      </c>
      <c r="X155" s="12">
        <f t="shared" si="82"/>
        <v>0.15314200289302693</v>
      </c>
      <c r="Y155" s="41"/>
      <c r="Z155" s="12">
        <f t="shared" si="83"/>
        <v>0.15266192774685075</v>
      </c>
      <c r="AA155" s="12">
        <f t="shared" si="83"/>
        <v>0.16445252169937108</v>
      </c>
      <c r="AB155" s="41"/>
      <c r="AC155" s="12">
        <f t="shared" si="84"/>
        <v>0.15339370100980854</v>
      </c>
      <c r="AD155" s="12">
        <f t="shared" si="84"/>
        <v>0.16445252169937108</v>
      </c>
      <c r="AE155" s="41"/>
      <c r="AF155" s="12">
        <f t="shared" si="85"/>
        <v>0.15466919024606315</v>
      </c>
      <c r="AG155" s="12">
        <f t="shared" si="85"/>
        <v>0.16445252169937108</v>
      </c>
      <c r="AH155" s="41"/>
      <c r="AI155" s="12">
        <f t="shared" si="86"/>
        <v>0.15895321483471175</v>
      </c>
      <c r="AJ155" s="12">
        <f t="shared" si="86"/>
        <v>0.16445252169937108</v>
      </c>
      <c r="AK155" s="41"/>
      <c r="AL155" s="15"/>
      <c r="AM155" s="22">
        <f t="shared" si="87"/>
        <v>1.1790593952520328E-2</v>
      </c>
      <c r="AO155" s="44">
        <f t="shared" si="74"/>
        <v>0.15266192774685075</v>
      </c>
      <c r="AP155" s="44">
        <f t="shared" si="74"/>
        <v>0.16445252169937108</v>
      </c>
    </row>
    <row r="156" spans="1:42" s="13" customFormat="1" ht="15.5">
      <c r="A156" s="26" t="s">
        <v>16</v>
      </c>
      <c r="B156" s="12">
        <f t="shared" si="75"/>
        <v>0.20422026979979335</v>
      </c>
      <c r="C156" s="12">
        <f t="shared" si="75"/>
        <v>0.20553457292722724</v>
      </c>
      <c r="D156" s="41"/>
      <c r="E156" s="12">
        <f t="shared" si="76"/>
        <v>0.21287491282535156</v>
      </c>
      <c r="F156" s="12">
        <f t="shared" si="76"/>
        <v>0.22875990563426787</v>
      </c>
      <c r="G156" s="41"/>
      <c r="H156" s="12">
        <f t="shared" si="77"/>
        <v>0.22419416900438419</v>
      </c>
      <c r="I156" s="12">
        <f t="shared" si="77"/>
        <v>0.22912451811893203</v>
      </c>
      <c r="J156" s="41"/>
      <c r="K156" s="12">
        <f t="shared" si="78"/>
        <v>0.22751980397525179</v>
      </c>
      <c r="L156" s="12">
        <f t="shared" si="78"/>
        <v>0.24364505900659997</v>
      </c>
      <c r="M156" s="41"/>
      <c r="N156" s="12">
        <f t="shared" si="79"/>
        <v>0.23298316108172615</v>
      </c>
      <c r="O156" s="12">
        <f t="shared" si="79"/>
        <v>0.24183511006957098</v>
      </c>
      <c r="P156" s="41"/>
      <c r="Q156" s="12">
        <f t="shared" si="80"/>
        <v>0.2331848490766969</v>
      </c>
      <c r="R156" s="12">
        <f t="shared" si="80"/>
        <v>0.243834594197022</v>
      </c>
      <c r="S156" s="41"/>
      <c r="T156" s="12">
        <f t="shared" si="81"/>
        <v>0.23120225327040855</v>
      </c>
      <c r="U156" s="12">
        <f t="shared" si="81"/>
        <v>0.25227994968917711</v>
      </c>
      <c r="V156" s="41"/>
      <c r="W156" s="12">
        <f t="shared" si="82"/>
        <v>0.22308228575959754</v>
      </c>
      <c r="X156" s="12">
        <f t="shared" si="82"/>
        <v>0.25358197120640757</v>
      </c>
      <c r="Y156" s="41"/>
      <c r="Z156" s="12">
        <f t="shared" si="83"/>
        <v>0.22953877427952118</v>
      </c>
      <c r="AA156" s="12">
        <f t="shared" si="83"/>
        <v>0.26401698565081883</v>
      </c>
      <c r="AB156" s="41"/>
      <c r="AC156" s="12">
        <f t="shared" si="84"/>
        <v>0.23316489474178131</v>
      </c>
      <c r="AD156" s="12">
        <f t="shared" si="84"/>
        <v>0.26401698565081883</v>
      </c>
      <c r="AE156" s="41"/>
      <c r="AF156" s="12">
        <f t="shared" si="85"/>
        <v>0.23620715573867904</v>
      </c>
      <c r="AG156" s="12">
        <f t="shared" si="85"/>
        <v>0.26401698565081883</v>
      </c>
      <c r="AH156" s="41"/>
      <c r="AI156" s="12">
        <f t="shared" si="86"/>
        <v>0.23511406387109407</v>
      </c>
      <c r="AJ156" s="12">
        <f t="shared" si="86"/>
        <v>0.26401698565081883</v>
      </c>
      <c r="AK156" s="41"/>
      <c r="AL156" s="15"/>
      <c r="AM156" s="22">
        <f t="shared" si="87"/>
        <v>3.447821137129764E-2</v>
      </c>
      <c r="AO156" s="44">
        <f t="shared" si="74"/>
        <v>0.22953877427952118</v>
      </c>
      <c r="AP156" s="44">
        <f t="shared" si="74"/>
        <v>0.26401698565081883</v>
      </c>
    </row>
    <row r="157" spans="1:42" s="13" customFormat="1" ht="15.5">
      <c r="A157" s="26" t="s">
        <v>17</v>
      </c>
      <c r="B157" s="12">
        <f t="shared" si="75"/>
        <v>0.13347342952117919</v>
      </c>
      <c r="C157" s="12">
        <f t="shared" si="75"/>
        <v>0.12381145082874423</v>
      </c>
      <c r="D157" s="41"/>
      <c r="E157" s="12">
        <f t="shared" si="76"/>
        <v>0.13197656328699539</v>
      </c>
      <c r="F157" s="12">
        <f t="shared" si="76"/>
        <v>9.7874287828533496E-2</v>
      </c>
      <c r="G157" s="41"/>
      <c r="H157" s="12">
        <f t="shared" si="77"/>
        <v>0.12215812480340121</v>
      </c>
      <c r="I157" s="12">
        <f t="shared" si="77"/>
        <v>9.5165236953573484E-2</v>
      </c>
      <c r="J157" s="41"/>
      <c r="K157" s="12">
        <f t="shared" si="78"/>
        <v>0.11919054116635416</v>
      </c>
      <c r="L157" s="12">
        <f t="shared" si="78"/>
        <v>9.1562325800690417E-2</v>
      </c>
      <c r="M157" s="41"/>
      <c r="N157" s="12">
        <f t="shared" si="79"/>
        <v>0.12385922117371476</v>
      </c>
      <c r="O157" s="12">
        <f t="shared" si="79"/>
        <v>0.10405199598398053</v>
      </c>
      <c r="P157" s="41"/>
      <c r="Q157" s="12">
        <f t="shared" si="80"/>
        <v>0.11853627674530792</v>
      </c>
      <c r="R157" s="12">
        <f t="shared" si="80"/>
        <v>0.10401660915708934</v>
      </c>
      <c r="S157" s="41"/>
      <c r="T157" s="12">
        <f t="shared" si="81"/>
        <v>0.12304060757062926</v>
      </c>
      <c r="U157" s="12">
        <f t="shared" si="81"/>
        <v>0.10557688803823913</v>
      </c>
      <c r="V157" s="41"/>
      <c r="W157" s="12">
        <f t="shared" si="82"/>
        <v>0.11737197663265239</v>
      </c>
      <c r="X157" s="12">
        <f t="shared" si="82"/>
        <v>0.10329401413394343</v>
      </c>
      <c r="Y157" s="41"/>
      <c r="Z157" s="12">
        <f t="shared" si="83"/>
        <v>0.12348597431311865</v>
      </c>
      <c r="AA157" s="12">
        <f t="shared" si="83"/>
        <v>0.11112900934887174</v>
      </c>
      <c r="AB157" s="41"/>
      <c r="AC157" s="12">
        <f t="shared" si="84"/>
        <v>0.12607290889475567</v>
      </c>
      <c r="AD157" s="12">
        <f t="shared" si="84"/>
        <v>0.11112900934887174</v>
      </c>
      <c r="AE157" s="41"/>
      <c r="AF157" s="12">
        <f t="shared" si="85"/>
        <v>0.12876897725205852</v>
      </c>
      <c r="AG157" s="12">
        <f t="shared" si="85"/>
        <v>0.11112900934887174</v>
      </c>
      <c r="AH157" s="41"/>
      <c r="AI157" s="12">
        <f t="shared" si="86"/>
        <v>0.1294600781743899</v>
      </c>
      <c r="AJ157" s="12">
        <f t="shared" si="86"/>
        <v>0.11112900934887174</v>
      </c>
      <c r="AK157" s="41"/>
      <c r="AL157" s="15"/>
      <c r="AM157" s="22">
        <f t="shared" si="87"/>
        <v>-1.2356964964246916E-2</v>
      </c>
      <c r="AO157" s="44">
        <f t="shared" si="74"/>
        <v>0.12348597431311865</v>
      </c>
      <c r="AP157" s="44">
        <f t="shared" si="74"/>
        <v>0.11112900934887174</v>
      </c>
    </row>
    <row r="158" spans="1:42" s="13" customFormat="1" ht="15.5">
      <c r="A158" s="26"/>
      <c r="B158" s="12"/>
      <c r="C158" s="30"/>
      <c r="D158" s="41"/>
      <c r="E158" s="12"/>
      <c r="F158" s="30"/>
      <c r="G158" s="41"/>
      <c r="H158" s="12"/>
      <c r="I158" s="30"/>
      <c r="J158" s="41"/>
      <c r="K158" s="12"/>
      <c r="L158" s="30"/>
      <c r="M158" s="41"/>
      <c r="N158" s="12"/>
      <c r="O158" s="30"/>
      <c r="P158" s="41"/>
      <c r="Q158" s="12"/>
      <c r="R158" s="30"/>
      <c r="S158" s="41"/>
      <c r="T158" s="12"/>
      <c r="U158" s="30"/>
      <c r="V158" s="41"/>
      <c r="W158" s="12"/>
      <c r="X158" s="30"/>
      <c r="Y158" s="41"/>
      <c r="Z158" s="12"/>
      <c r="AA158" s="30"/>
      <c r="AB158" s="41"/>
      <c r="AC158" s="12"/>
      <c r="AD158" s="30"/>
      <c r="AE158" s="41"/>
      <c r="AF158" s="12"/>
      <c r="AG158" s="30"/>
      <c r="AH158" s="41"/>
      <c r="AI158" s="12"/>
      <c r="AJ158" s="30"/>
      <c r="AK158" s="41"/>
      <c r="AL158" s="15"/>
      <c r="AM158" s="22"/>
      <c r="AO158" s="44"/>
      <c r="AP158" s="44"/>
    </row>
    <row r="159" spans="1:42" s="13" customFormat="1" ht="15.5">
      <c r="A159" s="26"/>
      <c r="B159" s="12"/>
      <c r="C159" s="30"/>
      <c r="D159" s="41"/>
      <c r="E159" s="12"/>
      <c r="F159" s="30"/>
      <c r="G159" s="41"/>
      <c r="H159" s="12"/>
      <c r="I159" s="30"/>
      <c r="J159" s="41"/>
      <c r="K159" s="12"/>
      <c r="L159" s="30"/>
      <c r="M159" s="41"/>
      <c r="N159" s="12"/>
      <c r="O159" s="30"/>
      <c r="P159" s="41"/>
      <c r="Q159" s="12"/>
      <c r="R159" s="30"/>
      <c r="S159" s="41"/>
      <c r="T159" s="12"/>
      <c r="U159" s="30"/>
      <c r="V159" s="41"/>
      <c r="W159" s="12"/>
      <c r="X159" s="30"/>
      <c r="Y159" s="41"/>
      <c r="Z159" s="12"/>
      <c r="AA159" s="30"/>
      <c r="AB159" s="41"/>
      <c r="AC159" s="12"/>
      <c r="AD159" s="30"/>
      <c r="AE159" s="41"/>
      <c r="AF159" s="12"/>
      <c r="AG159" s="30"/>
      <c r="AH159" s="41"/>
      <c r="AI159" s="12"/>
      <c r="AJ159" s="30"/>
      <c r="AK159" s="41"/>
      <c r="AL159" s="15"/>
      <c r="AM159" s="22"/>
      <c r="AO159" s="44"/>
      <c r="AP159" s="44"/>
    </row>
    <row r="160" spans="1:42" s="44" customFormat="1" ht="15.5">
      <c r="A160" s="31" t="s">
        <v>76</v>
      </c>
      <c r="B160" s="32">
        <f>'A-TRY'!B160</f>
        <v>-43656415.120368853</v>
      </c>
      <c r="C160" s="32">
        <f>'A-TRY'!C160</f>
        <v>-39896443.037756674</v>
      </c>
      <c r="D160" s="18"/>
      <c r="E160" s="32">
        <f>B160+'A-TRY'!E160</f>
        <v>-88002373.106354415</v>
      </c>
      <c r="F160" s="32">
        <f>C160+'A-TRY'!F160</f>
        <v>-77486248.376907766</v>
      </c>
      <c r="G160" s="18"/>
      <c r="H160" s="32">
        <f>E160+'A-TRY'!H160</f>
        <v>-128825422.69758832</v>
      </c>
      <c r="I160" s="32">
        <f>F160+'A-TRY'!I160</f>
        <v>-116268304.36178201</v>
      </c>
      <c r="J160" s="18"/>
      <c r="K160" s="32">
        <f>H160+'A-TRY'!K160</f>
        <v>-169964144.08062044</v>
      </c>
      <c r="L160" s="32">
        <f>I160+'A-TRY'!L160</f>
        <v>-154317213.75573409</v>
      </c>
      <c r="M160" s="18"/>
      <c r="N160" s="32">
        <f>K160+'A-TRY'!N160</f>
        <v>-205485918.09977281</v>
      </c>
      <c r="O160" s="32">
        <f>L160+'A-TRY'!O160</f>
        <v>-194766635.03138342</v>
      </c>
      <c r="P160" s="18"/>
      <c r="Q160" s="32">
        <f>N160+'A-TRY'!Q160</f>
        <v>-241502236.73669833</v>
      </c>
      <c r="R160" s="32">
        <f>O160+'A-TRY'!R160</f>
        <v>-249538781.62177485</v>
      </c>
      <c r="S160" s="18"/>
      <c r="T160" s="32">
        <f>Q160+'A-TRY'!T160</f>
        <v>-283611714.58024943</v>
      </c>
      <c r="U160" s="32">
        <f>R160+'A-TRY'!U160</f>
        <v>-301330030.5302667</v>
      </c>
      <c r="V160" s="18"/>
      <c r="W160" s="32">
        <f>T160+'A-TRY'!W160</f>
        <v>-327446079.10877746</v>
      </c>
      <c r="X160" s="32">
        <f>U160+'A-TRY'!X160</f>
        <v>-355200070.63953638</v>
      </c>
      <c r="Y160" s="18"/>
      <c r="Z160" s="32">
        <f>W160+'A-TRY'!Z160</f>
        <v>-372870451.66585273</v>
      </c>
      <c r="AA160" s="32">
        <f>X160+'A-TRY'!AA160</f>
        <v>-402062236.82744157</v>
      </c>
      <c r="AB160" s="18"/>
      <c r="AC160" s="32">
        <f>Z160+'A-TRY'!AC160</f>
        <v>-415818667.46390808</v>
      </c>
      <c r="AD160" s="32">
        <f>AA160+'A-TRY'!AD160</f>
        <v>-402062236.82744157</v>
      </c>
      <c r="AE160" s="18"/>
      <c r="AF160" s="32">
        <f>AC160+'A-TRY'!AF160</f>
        <v>-458143651.30831438</v>
      </c>
      <c r="AG160" s="32">
        <f>AD160+'A-TRY'!AG160</f>
        <v>-402062236.82744157</v>
      </c>
      <c r="AH160" s="18"/>
      <c r="AI160" s="32">
        <f>AF160+'A-TRY'!AI160</f>
        <v>-499376007.82080162</v>
      </c>
      <c r="AJ160" s="32">
        <f>AG160+'A-TRY'!AJ160</f>
        <v>-402062236.82744157</v>
      </c>
      <c r="AK160" s="18"/>
      <c r="AL160" s="33">
        <f>AP160-AO160</f>
        <v>-29191785.161588848</v>
      </c>
      <c r="AM160" s="34">
        <f>AP160/AO160-1</f>
        <v>7.8289349641867068E-2</v>
      </c>
      <c r="AO160" s="44">
        <f>IF($A$1=$B$1,B160,IF($A$1=$E$1,E160,IF($A$1=$H$1,H160,IF($A$1=$K$1,K160,IF($A$1=$N$1,N160,IF($A$1=$Q$1,Q160,IF($A$1=$T$1,T160,IF($A$1=$W$1,W160,IF($A$1=$Z$1,Z160,IF($A$1=$AC$1,AC160,IF($A$1=$AF$1,AF160,IF($A$1=$AI$1,AI160))))))))))))</f>
        <v>-372870451.66585273</v>
      </c>
      <c r="AP160" s="44">
        <f>IF($A$1=$B$1,C160,IF($A$1=$E$1,F160,IF($A$1=$H$1,I160,IF($A$1=$K$1,L160,IF($A$1=$N$1,O160,IF($A$1=$Q$1,R160,IF($A$1=$T$1,U160,IF($A$1=$W$1,X160,IF($A$1=$Z$1,AA160,IF($A$1=$AC$1,AD160,IF($A$1=$AF$1,AG160,IF($A$1=$AI$1,AJ160))))))))))))</f>
        <v>-402062236.82744157</v>
      </c>
    </row>
    <row r="161" spans="1:42" s="13" customFormat="1" ht="15.5">
      <c r="A161" s="27"/>
      <c r="B161" s="30"/>
      <c r="C161" s="30" t="str">
        <f>IFERROR((C118/#REF!),"")</f>
        <v/>
      </c>
      <c r="D161" s="41"/>
      <c r="E161" s="30"/>
      <c r="F161" s="30" t="str">
        <f>IFERROR((F118/#REF!),"")</f>
        <v/>
      </c>
      <c r="G161" s="41"/>
      <c r="H161" s="30"/>
      <c r="I161" s="30" t="str">
        <f>IFERROR((I118/#REF!),"")</f>
        <v/>
      </c>
      <c r="J161" s="41"/>
      <c r="K161" s="30"/>
      <c r="L161" s="30" t="str">
        <f>IFERROR((L118/#REF!),"")</f>
        <v/>
      </c>
      <c r="M161" s="41"/>
      <c r="N161" s="30"/>
      <c r="O161" s="30" t="str">
        <f>IFERROR((O118/#REF!),"")</f>
        <v/>
      </c>
      <c r="P161" s="41"/>
      <c r="Q161" s="30"/>
      <c r="R161" s="30" t="str">
        <f>IFERROR((R118/#REF!),"")</f>
        <v/>
      </c>
      <c r="S161" s="41"/>
      <c r="T161" s="30"/>
      <c r="U161" s="30" t="str">
        <f>IFERROR((U118/#REF!),"")</f>
        <v/>
      </c>
      <c r="V161" s="41"/>
      <c r="W161" s="30"/>
      <c r="X161" s="30" t="str">
        <f>IFERROR((X118/#REF!),"")</f>
        <v/>
      </c>
      <c r="Y161" s="41"/>
      <c r="Z161" s="30"/>
      <c r="AA161" s="30" t="str">
        <f>IFERROR((AA118/#REF!),"")</f>
        <v/>
      </c>
      <c r="AB161" s="41"/>
      <c r="AC161" s="30"/>
      <c r="AD161" s="30" t="str">
        <f>IFERROR((AD118/#REF!),"")</f>
        <v/>
      </c>
      <c r="AE161" s="41"/>
      <c r="AF161" s="30"/>
      <c r="AG161" s="30" t="str">
        <f>IFERROR((AG118/#REF!),"")</f>
        <v/>
      </c>
      <c r="AH161" s="41"/>
      <c r="AI161" s="30"/>
      <c r="AJ161" s="30" t="str">
        <f>IFERROR((AJ118/#REF!),"")</f>
        <v/>
      </c>
      <c r="AK161" s="41"/>
      <c r="AL161" s="15"/>
      <c r="AM161" s="22"/>
      <c r="AO161" s="44">
        <f>IF($A$1=$B$1,B161,IF($A$1=$E$1,E161,IF($A$1=$H$1,H161,IF($A$1=$K$1,K161,IF($A$1=$N$1,N161,IF($A$1=$Q$1,Q161,IF($A$1=$T$1,T161,IF($A$1=$W$1,W161,IF($A$1=$Z$1,Z161,IF($A$1=$AC$1,AC161,IF($A$1=$AF$1,AF161,IF($A$1=$AI$1,AI161))))))))))))</f>
        <v>0</v>
      </c>
      <c r="AP161" s="44" t="str">
        <f>IF($A$1=$B$1,C161,IF($A$1=$E$1,F161,IF($A$1=$H$1,I161,IF($A$1=$K$1,L161,IF($A$1=$N$1,O161,IF($A$1=$Q$1,R161,IF($A$1=$T$1,U161,IF($A$1=$W$1,X161,IF($A$1=$Z$1,AA161,IF($A$1=$AC$1,AD161,IF($A$1=$AF$1,AG161,IF($A$1=$AI$1,AJ161))))))))))))</f>
        <v/>
      </c>
    </row>
    <row r="162" spans="1:42" s="49" customFormat="1" ht="17">
      <c r="A162" s="47" t="s">
        <v>77</v>
      </c>
      <c r="B162" s="413"/>
      <c r="C162" s="413"/>
      <c r="D162" s="413"/>
      <c r="E162" s="413"/>
      <c r="F162" s="413"/>
      <c r="G162" s="413"/>
      <c r="H162" s="413"/>
      <c r="I162" s="413"/>
      <c r="J162" s="413"/>
      <c r="K162" s="413"/>
      <c r="L162" s="413"/>
      <c r="M162" s="413"/>
      <c r="N162" s="413"/>
      <c r="O162" s="413"/>
      <c r="P162" s="413"/>
      <c r="Q162" s="413"/>
      <c r="R162" s="413"/>
      <c r="S162" s="413"/>
      <c r="T162" s="413"/>
      <c r="U162" s="413"/>
      <c r="V162" s="413"/>
      <c r="W162" s="413"/>
      <c r="X162" s="413"/>
      <c r="Y162" s="413"/>
      <c r="Z162" s="413"/>
      <c r="AA162" s="413"/>
      <c r="AB162" s="413"/>
      <c r="AC162" s="413"/>
      <c r="AD162" s="413"/>
      <c r="AE162" s="413"/>
      <c r="AF162" s="413"/>
      <c r="AG162" s="413"/>
      <c r="AH162" s="413"/>
      <c r="AI162" s="413"/>
      <c r="AJ162" s="413"/>
      <c r="AK162" s="413"/>
      <c r="AL162" s="413"/>
      <c r="AM162" s="48"/>
    </row>
    <row r="163" spans="1:42" ht="15.5">
      <c r="A163" s="26" t="s">
        <v>10</v>
      </c>
      <c r="B163" s="7">
        <f>'A-TRY'!B163</f>
        <v>-7142795.1450059991</v>
      </c>
      <c r="C163" s="7">
        <f>'A-TRY'!C163</f>
        <v>-8901072.0800000001</v>
      </c>
      <c r="D163" s="7">
        <f>+C163-B163+C176-B176</f>
        <v>-7439108.1805530004</v>
      </c>
      <c r="E163" s="7">
        <f>B163+'A-TRY'!E163</f>
        <v>-14176182.736872999</v>
      </c>
      <c r="F163" s="7">
        <f>C163+'A-TRY'!F163</f>
        <v>-16788330.02</v>
      </c>
      <c r="G163" s="7"/>
      <c r="H163" s="7">
        <f>E163+'A-TRY'!H163</f>
        <v>-17315210.356024999</v>
      </c>
      <c r="I163" s="7">
        <f>F163+'A-TRY'!I163</f>
        <v>-20619031.100000001</v>
      </c>
      <c r="J163" s="7"/>
      <c r="K163" s="7">
        <f>H163+'A-TRY'!K163</f>
        <v>-20590875.519017998</v>
      </c>
      <c r="L163" s="7">
        <f>I163+'A-TRY'!L163</f>
        <v>-25363454</v>
      </c>
      <c r="M163" s="7"/>
      <c r="N163" s="7">
        <f>K163+'A-TRY'!N163</f>
        <v>-23549321.659852996</v>
      </c>
      <c r="O163" s="7">
        <f>L163+'A-TRY'!O163</f>
        <v>-30111781.490000002</v>
      </c>
      <c r="P163" s="7"/>
      <c r="Q163" s="7">
        <f>N163+'A-TRY'!Q163</f>
        <v>-26411934.251674995</v>
      </c>
      <c r="R163" s="7">
        <f>O163+'A-TRY'!R163</f>
        <v>-34328406.880000003</v>
      </c>
      <c r="S163" s="7"/>
      <c r="T163" s="7">
        <f>Q163+'A-TRY'!T163</f>
        <v>-29460621.776441995</v>
      </c>
      <c r="U163" s="7">
        <f>R163+'A-TRY'!U163</f>
        <v>-38619420.969999999</v>
      </c>
      <c r="V163" s="7"/>
      <c r="W163" s="7">
        <f>T163+'A-TRY'!W163</f>
        <v>-32436599.287639994</v>
      </c>
      <c r="X163" s="7">
        <f>U163+'A-TRY'!X163</f>
        <v>-42820008.759999998</v>
      </c>
      <c r="Y163" s="7"/>
      <c r="Z163" s="7">
        <f>W163+'A-TRY'!Z163</f>
        <v>-35152197.551733993</v>
      </c>
      <c r="AA163" s="7">
        <f>X163+'A-TRY'!AA163</f>
        <v>-43141093.489999995</v>
      </c>
      <c r="AB163" s="7"/>
      <c r="AC163" s="7">
        <f>Z163+'A-TRY'!AC163</f>
        <v>-37981742.41202499</v>
      </c>
      <c r="AD163" s="7">
        <f>AA163+'A-TRY'!AD163</f>
        <v>-43141093.489999995</v>
      </c>
      <c r="AE163" s="7"/>
      <c r="AF163" s="7">
        <f>AC163+'A-TRY'!AF163</f>
        <v>-40633225.100962989</v>
      </c>
      <c r="AG163" s="7">
        <f>AD163+'A-TRY'!AG163</f>
        <v>-43141093.489999995</v>
      </c>
      <c r="AH163" s="7"/>
      <c r="AI163" s="7">
        <f>AF163+'A-TRY'!AI163</f>
        <v>-40443036.90464399</v>
      </c>
      <c r="AJ163" s="7">
        <f>AG163+'A-TRY'!AJ163</f>
        <v>-43141093.489999995</v>
      </c>
      <c r="AK163" s="7"/>
      <c r="AL163" s="21">
        <f t="shared" ref="AL163:AL170" si="88">AP163-AO163</f>
        <v>-7988895.9382660016</v>
      </c>
      <c r="AM163" s="22">
        <f t="shared" ref="AM163:AM170" si="89">AP163/AO163-1</f>
        <v>0.22726590354724285</v>
      </c>
      <c r="AO163" s="44">
        <f t="shared" ref="AO163:AP170" si="90">IF($A$1=$B$1,B163,IF($A$1=$E$1,E163,IF($A$1=$H$1,H163,IF($A$1=$K$1,K163,IF($A$1=$N$1,N163,IF($A$1=$Q$1,Q163,IF($A$1=$T$1,T163,IF($A$1=$W$1,W163,IF($A$1=$Z$1,Z163,IF($A$1=$AC$1,AC163,IF($A$1=$AF$1,AF163,IF($A$1=$AI$1,AI163))))))))))))</f>
        <v>-35152197.551733993</v>
      </c>
      <c r="AP163" s="44">
        <f t="shared" si="90"/>
        <v>-43141093.489999995</v>
      </c>
    </row>
    <row r="164" spans="1:42" ht="15.5">
      <c r="A164" s="26" t="s">
        <v>11</v>
      </c>
      <c r="B164" s="7">
        <f>'A-TRY'!B164</f>
        <v>-324652</v>
      </c>
      <c r="C164" s="7">
        <f>'A-TRY'!C164</f>
        <v>-2114037.3384500002</v>
      </c>
      <c r="D164" s="7">
        <f t="shared" ref="D164:D170" si="91">+C164-B164+C177-B177</f>
        <v>-2021046.3384500002</v>
      </c>
      <c r="E164" s="7">
        <f>B164+'A-TRY'!E164</f>
        <v>-581751</v>
      </c>
      <c r="F164" s="7">
        <f>C164+'A-TRY'!F164</f>
        <v>-4233030.722019</v>
      </c>
      <c r="G164" s="7"/>
      <c r="H164" s="7">
        <f>E164+'A-TRY'!H164</f>
        <v>-842094</v>
      </c>
      <c r="I164" s="7">
        <f>F164+'A-TRY'!I164</f>
        <v>-7739744.2299969997</v>
      </c>
      <c r="J164" s="7"/>
      <c r="K164" s="7">
        <f>H164+'A-TRY'!K164</f>
        <v>-1105476</v>
      </c>
      <c r="L164" s="7">
        <f>I164+'A-TRY'!L164</f>
        <v>-11578032.409527</v>
      </c>
      <c r="M164" s="7"/>
      <c r="N164" s="7">
        <f>K164+'A-TRY'!N164</f>
        <v>-1383281</v>
      </c>
      <c r="O164" s="7">
        <f>L164+'A-TRY'!O164</f>
        <v>-14704109.972594</v>
      </c>
      <c r="P164" s="7"/>
      <c r="Q164" s="7">
        <f>N164+'A-TRY'!Q164</f>
        <v>-1645540</v>
      </c>
      <c r="R164" s="7">
        <f>O164+'A-TRY'!R164</f>
        <v>-19408173.247578003</v>
      </c>
      <c r="S164" s="7"/>
      <c r="T164" s="7">
        <f>Q164+'A-TRY'!T164</f>
        <v>-1862188</v>
      </c>
      <c r="U164" s="7">
        <f>R164+'A-TRY'!U164</f>
        <v>-22499968.304658003</v>
      </c>
      <c r="V164" s="7"/>
      <c r="W164" s="7">
        <f>T164+'A-TRY'!W164</f>
        <v>-2142171</v>
      </c>
      <c r="X164" s="7">
        <f>U164+'A-TRY'!X164</f>
        <v>-25513683.014658004</v>
      </c>
      <c r="Y164" s="7"/>
      <c r="Z164" s="7">
        <f>W164+'A-TRY'!Z164</f>
        <v>-2430332</v>
      </c>
      <c r="AA164" s="7">
        <f>X164+'A-TRY'!AA164</f>
        <v>-30998915.314157005</v>
      </c>
      <c r="AB164" s="7"/>
      <c r="AC164" s="7">
        <f>Z164+'A-TRY'!AC164</f>
        <v>-2729917</v>
      </c>
      <c r="AD164" s="7">
        <f>AA164+'A-TRY'!AD164</f>
        <v>-30998915.314157005</v>
      </c>
      <c r="AE164" s="7"/>
      <c r="AF164" s="7">
        <f>AC164+'A-TRY'!AF164</f>
        <v>-3030246</v>
      </c>
      <c r="AG164" s="7">
        <f>AD164+'A-TRY'!AG164</f>
        <v>-30998915.314157005</v>
      </c>
      <c r="AH164" s="7"/>
      <c r="AI164" s="7">
        <f>AF164+'A-TRY'!AI164</f>
        <v>-3293628</v>
      </c>
      <c r="AJ164" s="7">
        <f>AG164+'A-TRY'!AJ164</f>
        <v>-30998915.314157005</v>
      </c>
      <c r="AK164" s="7"/>
      <c r="AL164" s="21">
        <f t="shared" si="88"/>
        <v>-28568583.314157005</v>
      </c>
      <c r="AM164" s="22">
        <f t="shared" si="89"/>
        <v>11.755012613156147</v>
      </c>
      <c r="AO164" s="44">
        <f t="shared" si="90"/>
        <v>-2430332</v>
      </c>
      <c r="AP164" s="44">
        <f t="shared" si="90"/>
        <v>-30998915.314157005</v>
      </c>
    </row>
    <row r="165" spans="1:42" ht="15.5">
      <c r="A165" s="26" t="s">
        <v>12</v>
      </c>
      <c r="B165" s="7">
        <f>'A-TRY'!B165</f>
        <v>-2039397.5089710001</v>
      </c>
      <c r="C165" s="7">
        <f>'A-TRY'!C165</f>
        <v>-1486096</v>
      </c>
      <c r="D165" s="7">
        <f t="shared" si="91"/>
        <v>613402.38748800009</v>
      </c>
      <c r="E165" s="7">
        <f>B165+'A-TRY'!E165</f>
        <v>-4351335.9269399997</v>
      </c>
      <c r="F165" s="7">
        <f>C165+'A-TRY'!F165</f>
        <v>-2721513</v>
      </c>
      <c r="G165" s="7"/>
      <c r="H165" s="7">
        <f>E165+'A-TRY'!H165</f>
        <v>-6513089.2907839995</v>
      </c>
      <c r="I165" s="7">
        <f>F165+'A-TRY'!I165</f>
        <v>-4695038</v>
      </c>
      <c r="J165" s="7"/>
      <c r="K165" s="7">
        <f>H165+'A-TRY'!K165</f>
        <v>-8784326.1960809994</v>
      </c>
      <c r="L165" s="7">
        <f>I165+'A-TRY'!L165</f>
        <v>-6573925</v>
      </c>
      <c r="M165" s="7"/>
      <c r="N165" s="7">
        <f>K165+'A-TRY'!N165</f>
        <v>-10884034.374811999</v>
      </c>
      <c r="O165" s="7">
        <f>L165+'A-TRY'!O165</f>
        <v>-7994147</v>
      </c>
      <c r="P165" s="7"/>
      <c r="Q165" s="7">
        <f>N165+'A-TRY'!Q165</f>
        <v>-13024764.416476</v>
      </c>
      <c r="R165" s="7">
        <f>O165+'A-TRY'!R165</f>
        <v>-10351597</v>
      </c>
      <c r="S165" s="7"/>
      <c r="T165" s="7">
        <f>Q165+'A-TRY'!T165</f>
        <v>-15126150.435624</v>
      </c>
      <c r="U165" s="7">
        <f>R165+'A-TRY'!U165</f>
        <v>-13280487</v>
      </c>
      <c r="V165" s="7"/>
      <c r="W165" s="7">
        <f>T165+'A-TRY'!W165</f>
        <v>-17455877.117153</v>
      </c>
      <c r="X165" s="7">
        <f>U165+'A-TRY'!X165</f>
        <v>-16048048</v>
      </c>
      <c r="Y165" s="7"/>
      <c r="Z165" s="7">
        <f>W165+'A-TRY'!Z165</f>
        <v>-19632259.467939999</v>
      </c>
      <c r="AA165" s="7">
        <f>X165+'A-TRY'!AA165</f>
        <v>-17771737</v>
      </c>
      <c r="AB165" s="7"/>
      <c r="AC165" s="7">
        <f>Z165+'A-TRY'!AC165</f>
        <v>-21800087.417182997</v>
      </c>
      <c r="AD165" s="7">
        <f>AA165+'A-TRY'!AD165</f>
        <v>-17771737</v>
      </c>
      <c r="AE165" s="7"/>
      <c r="AF165" s="7">
        <f>AC165+'A-TRY'!AF165</f>
        <v>-23983554.570446998</v>
      </c>
      <c r="AG165" s="7">
        <f>AD165+'A-TRY'!AG165</f>
        <v>-17771737</v>
      </c>
      <c r="AH165" s="7"/>
      <c r="AI165" s="7">
        <f>AF165+'A-TRY'!AI165</f>
        <v>-26343696.038059998</v>
      </c>
      <c r="AJ165" s="7">
        <f>AG165+'A-TRY'!AJ165</f>
        <v>-17771737</v>
      </c>
      <c r="AK165" s="7"/>
      <c r="AL165" s="21">
        <f t="shared" si="88"/>
        <v>1860522.467939999</v>
      </c>
      <c r="AM165" s="22">
        <f t="shared" si="89"/>
        <v>-9.4768636843776566E-2</v>
      </c>
      <c r="AO165" s="44">
        <f t="shared" si="90"/>
        <v>-19632259.467939999</v>
      </c>
      <c r="AP165" s="44">
        <f t="shared" si="90"/>
        <v>-17771737</v>
      </c>
    </row>
    <row r="166" spans="1:42" ht="15.5">
      <c r="A166" s="26" t="s">
        <v>13</v>
      </c>
      <c r="B166" s="7">
        <f>'A-TRY'!B166</f>
        <v>-76280968.634272993</v>
      </c>
      <c r="C166" s="7">
        <f>'A-TRY'!C166</f>
        <v>-62771359.850000001</v>
      </c>
      <c r="D166" s="7">
        <f t="shared" si="91"/>
        <v>-27883766.63935101</v>
      </c>
      <c r="E166" s="7">
        <f>B166+'A-TRY'!E166</f>
        <v>-154082927.372325</v>
      </c>
      <c r="F166" s="7">
        <f>C166+'A-TRY'!F166</f>
        <v>-120076552.13</v>
      </c>
      <c r="G166" s="7"/>
      <c r="H166" s="7">
        <f>E166+'A-TRY'!H166</f>
        <v>-233220008.78048402</v>
      </c>
      <c r="I166" s="7">
        <f>F166+'A-TRY'!I166</f>
        <v>-183116734.53999999</v>
      </c>
      <c r="J166" s="7"/>
      <c r="K166" s="7">
        <f>H166+'A-TRY'!K166</f>
        <v>-310208986.55674303</v>
      </c>
      <c r="L166" s="7">
        <f>I166+'A-TRY'!L166</f>
        <v>-248839684.13</v>
      </c>
      <c r="M166" s="7"/>
      <c r="N166" s="7">
        <f>K166+'A-TRY'!N166</f>
        <v>-374486580.04471099</v>
      </c>
      <c r="O166" s="7">
        <f>L166+'A-TRY'!O166</f>
        <v>-325530455.67000002</v>
      </c>
      <c r="P166" s="7"/>
      <c r="Q166" s="7">
        <f>N166+'A-TRY'!Q166</f>
        <v>-440322576.70029801</v>
      </c>
      <c r="R166" s="7">
        <f>O166+'A-TRY'!R166</f>
        <v>-421905819.55000001</v>
      </c>
      <c r="S166" s="7"/>
      <c r="T166" s="7">
        <f>Q166+'A-TRY'!T166</f>
        <v>-521340241.93974102</v>
      </c>
      <c r="U166" s="7">
        <f>R166+'A-TRY'!U166</f>
        <v>-518017803.06</v>
      </c>
      <c r="V166" s="7"/>
      <c r="W166" s="7">
        <f>T166+'A-TRY'!W166</f>
        <v>-606331747.77049208</v>
      </c>
      <c r="X166" s="7">
        <f>U166+'A-TRY'!X166</f>
        <v>-621556094.62</v>
      </c>
      <c r="Y166" s="7"/>
      <c r="Z166" s="7">
        <f>W166+'A-TRY'!Z166</f>
        <v>-696048362.58255911</v>
      </c>
      <c r="AA166" s="7">
        <f>X166+'A-TRY'!AA166</f>
        <v>-712741616.99000001</v>
      </c>
      <c r="AB166" s="7"/>
      <c r="AC166" s="7">
        <f>Z166+'A-TRY'!AC166</f>
        <v>-779482460.18748307</v>
      </c>
      <c r="AD166" s="7">
        <f>AA166+'A-TRY'!AD166</f>
        <v>-712741616.99000001</v>
      </c>
      <c r="AE166" s="7"/>
      <c r="AF166" s="7">
        <f>AC166+'A-TRY'!AF166</f>
        <v>-861911426.87964308</v>
      </c>
      <c r="AG166" s="7">
        <f>AD166+'A-TRY'!AG166</f>
        <v>-712741616.99000001</v>
      </c>
      <c r="AH166" s="7"/>
      <c r="AI166" s="7">
        <f>AF166+'A-TRY'!AI166</f>
        <v>-948576003.08891809</v>
      </c>
      <c r="AJ166" s="7">
        <f>AG166+'A-TRY'!AJ166</f>
        <v>-712741616.99000001</v>
      </c>
      <c r="AK166" s="7"/>
      <c r="AL166" s="21">
        <f t="shared" si="88"/>
        <v>-16693254.407440901</v>
      </c>
      <c r="AM166" s="22">
        <f t="shared" si="89"/>
        <v>2.3982894443575153E-2</v>
      </c>
      <c r="AO166" s="44">
        <f t="shared" si="90"/>
        <v>-696048362.58255911</v>
      </c>
      <c r="AP166" s="44">
        <f t="shared" si="90"/>
        <v>-712741616.99000001</v>
      </c>
    </row>
    <row r="167" spans="1:42" s="1" customFormat="1" ht="15.5">
      <c r="A167" s="26" t="s">
        <v>14</v>
      </c>
      <c r="B167" s="7">
        <f>'A-TRY'!B167</f>
        <v>-4757231</v>
      </c>
      <c r="C167" s="7">
        <f>'A-TRY'!C167</f>
        <v>-4838843.8271049997</v>
      </c>
      <c r="D167" s="7">
        <f t="shared" si="91"/>
        <v>1609614.342894</v>
      </c>
      <c r="E167" s="7">
        <f>B167+'A-TRY'!E167</f>
        <v>-9468424.599555999</v>
      </c>
      <c r="F167" s="7">
        <f>C167+'A-TRY'!F167</f>
        <v>-9706684.0236820001</v>
      </c>
      <c r="G167" s="8"/>
      <c r="H167" s="7">
        <f>E167+'A-TRY'!H167</f>
        <v>-14131903.599555999</v>
      </c>
      <c r="I167" s="7">
        <f>F167+'A-TRY'!I167</f>
        <v>-14568349.495191</v>
      </c>
      <c r="J167" s="8"/>
      <c r="K167" s="7">
        <f>H167+'A-TRY'!K167</f>
        <v>-21257258.752247866</v>
      </c>
      <c r="L167" s="7">
        <f>I167+'A-TRY'!L167</f>
        <v>-19281391.378008999</v>
      </c>
      <c r="M167" s="8"/>
      <c r="N167" s="7">
        <f>K167+'A-TRY'!N167</f>
        <v>-28304685.502625175</v>
      </c>
      <c r="O167" s="7">
        <f>L167+'A-TRY'!O167</f>
        <v>-23971775.535099</v>
      </c>
      <c r="P167" s="8"/>
      <c r="Q167" s="7">
        <f>N167+'A-TRY'!Q167</f>
        <v>-35197103.494418509</v>
      </c>
      <c r="R167" s="7">
        <f>O167+'A-TRY'!R167</f>
        <v>-32802512.376640998</v>
      </c>
      <c r="S167" s="8"/>
      <c r="T167" s="7">
        <f>Q167+'A-TRY'!T167</f>
        <v>-41929156.34838853</v>
      </c>
      <c r="U167" s="7">
        <f>R167+'A-TRY'!U167</f>
        <v>-41294478.239882</v>
      </c>
      <c r="V167" s="8"/>
      <c r="W167" s="7">
        <f>T167+'A-TRY'!W167</f>
        <v>-48494961.443417087</v>
      </c>
      <c r="X167" s="7">
        <f>U167+'A-TRY'!X167</f>
        <v>-50917606.462623</v>
      </c>
      <c r="Y167" s="8"/>
      <c r="Z167" s="7">
        <f>W167+'A-TRY'!Z167</f>
        <v>-55322550.337064594</v>
      </c>
      <c r="AA167" s="7">
        <f>X167+'A-TRY'!AA167</f>
        <v>-60304744.225980997</v>
      </c>
      <c r="AB167" s="8"/>
      <c r="AC167" s="7">
        <f>Z167+'A-TRY'!AC167</f>
        <v>-61971539.304542936</v>
      </c>
      <c r="AD167" s="7">
        <f>AA167+'A-TRY'!AD167</f>
        <v>-60304744.225980997</v>
      </c>
      <c r="AE167" s="8"/>
      <c r="AF167" s="7">
        <f>AC167+'A-TRY'!AF167</f>
        <v>-68435566.452065855</v>
      </c>
      <c r="AG167" s="7">
        <f>AD167+'A-TRY'!AG167</f>
        <v>-60304744.225980997</v>
      </c>
      <c r="AH167" s="8"/>
      <c r="AI167" s="7">
        <f>AF167+'A-TRY'!AI167</f>
        <v>-74708041.029615968</v>
      </c>
      <c r="AJ167" s="7">
        <f>AG167+'A-TRY'!AJ167</f>
        <v>-60304744.225980997</v>
      </c>
      <c r="AK167" s="8"/>
      <c r="AL167" s="21">
        <f t="shared" si="88"/>
        <v>-4982193.8889164031</v>
      </c>
      <c r="AM167" s="22">
        <f t="shared" si="89"/>
        <v>9.005719834970205E-2</v>
      </c>
      <c r="AO167" s="44">
        <f t="shared" si="90"/>
        <v>-55322550.337064594</v>
      </c>
      <c r="AP167" s="44">
        <f t="shared" si="90"/>
        <v>-60304744.225980997</v>
      </c>
    </row>
    <row r="168" spans="1:42" ht="15.5">
      <c r="A168" s="26" t="s">
        <v>15</v>
      </c>
      <c r="B168" s="7">
        <f>'A-TRY'!B168</f>
        <v>-1449557.2881436413</v>
      </c>
      <c r="C168" s="7">
        <f>'A-TRY'!C168</f>
        <v>-1604847.3585493874</v>
      </c>
      <c r="D168" s="7">
        <f t="shared" si="91"/>
        <v>-3888732.5041879024</v>
      </c>
      <c r="E168" s="7">
        <f>B168+'A-TRY'!E168</f>
        <v>-2885273.9777114103</v>
      </c>
      <c r="F168" s="7">
        <f>C168+'A-TRY'!F168</f>
        <v>-2763924.9713835302</v>
      </c>
      <c r="G168" s="7"/>
      <c r="H168" s="7">
        <f>E168+'A-TRY'!H168</f>
        <v>-4306375.9446248244</v>
      </c>
      <c r="I168" s="7">
        <f>F168+'A-TRY'!I168</f>
        <v>-4502437.3596512731</v>
      </c>
      <c r="J168" s="7"/>
      <c r="K168" s="7">
        <f>H168+'A-TRY'!K168</f>
        <v>-5626373.8476577858</v>
      </c>
      <c r="L168" s="7">
        <f>I168+'A-TRY'!L168</f>
        <v>-6024125.7139209053</v>
      </c>
      <c r="M168" s="7"/>
      <c r="N168" s="7">
        <f>K168+'A-TRY'!N168</f>
        <v>-6889739.5950003378</v>
      </c>
      <c r="O168" s="7">
        <f>L168+'A-TRY'!O168</f>
        <v>-5750245.0364323901</v>
      </c>
      <c r="P168" s="7"/>
      <c r="Q168" s="7">
        <f>N168+'A-TRY'!Q168</f>
        <v>-8138631.4394474607</v>
      </c>
      <c r="R168" s="7">
        <f>O168+'A-TRY'!R168</f>
        <v>-11300721.367819089</v>
      </c>
      <c r="S168" s="7"/>
      <c r="T168" s="7">
        <f>Q168+'A-TRY'!T168</f>
        <v>-9344376.0934618581</v>
      </c>
      <c r="U168" s="7">
        <f>R168+'A-TRY'!U168</f>
        <v>-15087397.788424509</v>
      </c>
      <c r="V168" s="7"/>
      <c r="W168" s="7">
        <f>T168+'A-TRY'!W168</f>
        <v>-10507062.836815264</v>
      </c>
      <c r="X168" s="7">
        <f>U168+'A-TRY'!X168</f>
        <v>-14528360.21130209</v>
      </c>
      <c r="Y168" s="7"/>
      <c r="Z168" s="7">
        <f>W168+'A-TRY'!Z168</f>
        <v>-11651464.574884776</v>
      </c>
      <c r="AA168" s="7">
        <f>X168+'A-TRY'!AA168</f>
        <v>-15930609.82085759</v>
      </c>
      <c r="AB168" s="7"/>
      <c r="AC168" s="7">
        <f>Z168+'A-TRY'!AC168</f>
        <v>-12764668.880557746</v>
      </c>
      <c r="AD168" s="7">
        <f>AA168+'A-TRY'!AD168</f>
        <v>-15930609.82085759</v>
      </c>
      <c r="AE168" s="7"/>
      <c r="AF168" s="7">
        <f>AC168+'A-TRY'!AF168</f>
        <v>-13878508.741434786</v>
      </c>
      <c r="AG168" s="7">
        <f>AD168+'A-TRY'!AG168</f>
        <v>-15930609.82085759</v>
      </c>
      <c r="AH168" s="7"/>
      <c r="AI168" s="7">
        <f>AF168+'A-TRY'!AI168</f>
        <v>-14961407.996676577</v>
      </c>
      <c r="AJ168" s="7">
        <f>AG168+'A-TRY'!AJ168</f>
        <v>-15930609.82085759</v>
      </c>
      <c r="AK168" s="7"/>
      <c r="AL168" s="21">
        <f t="shared" si="88"/>
        <v>-4279145.245972814</v>
      </c>
      <c r="AM168" s="22">
        <f t="shared" si="89"/>
        <v>0.3672624345609472</v>
      </c>
      <c r="AO168" s="44">
        <f t="shared" si="90"/>
        <v>-11651464.574884776</v>
      </c>
      <c r="AP168" s="44">
        <f t="shared" si="90"/>
        <v>-15930609.82085759</v>
      </c>
    </row>
    <row r="169" spans="1:42" ht="15.5">
      <c r="A169" s="26" t="s">
        <v>16</v>
      </c>
      <c r="B169" s="7">
        <f>'A-TRY'!B169</f>
        <v>-1207344.4836269952</v>
      </c>
      <c r="C169" s="7">
        <f>'A-TRY'!C169</f>
        <v>3170402.3527199035</v>
      </c>
      <c r="D169" s="7">
        <f t="shared" si="91"/>
        <v>-8238057.3773765089</v>
      </c>
      <c r="E169" s="7">
        <f>B169+'A-TRY'!E169</f>
        <v>-2403869.3120171186</v>
      </c>
      <c r="F169" s="7">
        <f>C169+'A-TRY'!F169</f>
        <v>3959717.5819307603</v>
      </c>
      <c r="G169" s="7"/>
      <c r="H169" s="7">
        <f>E169+'A-TRY'!H169</f>
        <v>-3588964.0267224703</v>
      </c>
      <c r="I169" s="7">
        <f>F169+'A-TRY'!I169</f>
        <v>4924206.3999552764</v>
      </c>
      <c r="J169" s="7"/>
      <c r="K169" s="7">
        <f>H169+'A-TRY'!K169</f>
        <v>-4693055.7259049369</v>
      </c>
      <c r="L169" s="7">
        <f>I169+'A-TRY'!L169</f>
        <v>8455445.0541997422</v>
      </c>
      <c r="M169" s="7"/>
      <c r="N169" s="7">
        <f>K169+'A-TRY'!N169</f>
        <v>-5751921.9086220432</v>
      </c>
      <c r="O169" s="7">
        <f>L169+'A-TRY'!O169</f>
        <v>13796321.141740803</v>
      </c>
      <c r="P169" s="7"/>
      <c r="Q169" s="7">
        <f>N169+'A-TRY'!Q169</f>
        <v>-6799509.5199603569</v>
      </c>
      <c r="R169" s="7">
        <f>O169+'A-TRY'!R169</f>
        <v>18514840.231544904</v>
      </c>
      <c r="S169" s="7"/>
      <c r="T169" s="7">
        <f>Q169+'A-TRY'!T169</f>
        <v>-7814420.7701812331</v>
      </c>
      <c r="U169" s="7">
        <f>R169+'A-TRY'!U169</f>
        <v>24370283.031205811</v>
      </c>
      <c r="V169" s="7"/>
      <c r="W169" s="7">
        <f>T169+'A-TRY'!W169</f>
        <v>-8794985.8642368428</v>
      </c>
      <c r="X169" s="7">
        <f>U169+'A-TRY'!X169</f>
        <v>24823665.256892841</v>
      </c>
      <c r="Y169" s="7"/>
      <c r="Z169" s="7">
        <f>W169+'A-TRY'!Z169</f>
        <v>-9761213.374752434</v>
      </c>
      <c r="AA169" s="7">
        <f>X169+'A-TRY'!AA169</f>
        <v>27782944.042042341</v>
      </c>
      <c r="AB169" s="7"/>
      <c r="AC169" s="7">
        <f>Z169+'A-TRY'!AC169</f>
        <v>-10702709.24192242</v>
      </c>
      <c r="AD169" s="7">
        <f>AA169+'A-TRY'!AD169</f>
        <v>27782944.042042341</v>
      </c>
      <c r="AE169" s="7"/>
      <c r="AF169" s="7">
        <f>AC169+'A-TRY'!AF169</f>
        <v>-11645161.474806286</v>
      </c>
      <c r="AG169" s="7">
        <f>AD169+'A-TRY'!AG169</f>
        <v>27782944.042042341</v>
      </c>
      <c r="AH169" s="7"/>
      <c r="AI169" s="7">
        <f>AF169+'A-TRY'!AI169</f>
        <v>-12563174.138783518</v>
      </c>
      <c r="AJ169" s="7">
        <f>AG169+'A-TRY'!AJ169</f>
        <v>27782944.042042341</v>
      </c>
      <c r="AK169" s="7"/>
      <c r="AL169" s="21">
        <f t="shared" si="88"/>
        <v>37544157.416794777</v>
      </c>
      <c r="AM169" s="22">
        <f t="shared" si="89"/>
        <v>-3.846259268740448</v>
      </c>
      <c r="AO169" s="44">
        <f t="shared" si="90"/>
        <v>-9761213.374752434</v>
      </c>
      <c r="AP169" s="44">
        <f t="shared" si="90"/>
        <v>27782944.042042341</v>
      </c>
    </row>
    <row r="170" spans="1:42" ht="15.5">
      <c r="A170" s="26" t="s">
        <v>17</v>
      </c>
      <c r="B170" s="7">
        <f>'A-TRY'!B170</f>
        <v>-1678824.7599360002</v>
      </c>
      <c r="C170" s="7">
        <f>'A-TRY'!C170</f>
        <v>-2443445.3653321941</v>
      </c>
      <c r="D170" s="7">
        <f t="shared" si="91"/>
        <v>-4930692.0951941293</v>
      </c>
      <c r="E170" s="7">
        <f>B170+'A-TRY'!E170</f>
        <v>-3392263.3447440006</v>
      </c>
      <c r="F170" s="7">
        <f>C170+'A-TRY'!F170</f>
        <v>-5770993.0440871231</v>
      </c>
      <c r="G170" s="7"/>
      <c r="H170" s="7">
        <f>E170+'A-TRY'!H170</f>
        <v>-5140320.2755609993</v>
      </c>
      <c r="I170" s="7">
        <f>F170+'A-TRY'!I170</f>
        <v>-10772912.584575512</v>
      </c>
      <c r="J170" s="7"/>
      <c r="K170" s="7">
        <f>H170+'A-TRY'!K170</f>
        <v>-6922991.03125</v>
      </c>
      <c r="L170" s="7">
        <f>I170+'A-TRY'!L170</f>
        <v>-11314749.697787544</v>
      </c>
      <c r="M170" s="7"/>
      <c r="N170" s="7">
        <f>K170+'A-TRY'!N170</f>
        <v>-8740275.6118110009</v>
      </c>
      <c r="O170" s="7">
        <f>L170+'A-TRY'!O170</f>
        <v>-13435336.322182963</v>
      </c>
      <c r="P170" s="7"/>
      <c r="Q170" s="7">
        <f>N170+'A-TRY'!Q170</f>
        <v>-10592174.017244</v>
      </c>
      <c r="R170" s="7">
        <f>O170+'A-TRY'!R170</f>
        <v>-16132298.17257696</v>
      </c>
      <c r="S170" s="7"/>
      <c r="T170" s="7">
        <f>Q170+'A-TRY'!T170</f>
        <v>-12478690.768686002</v>
      </c>
      <c r="U170" s="7">
        <f>R170+'A-TRY'!U170</f>
        <v>-17295989.581921089</v>
      </c>
      <c r="V170" s="7"/>
      <c r="W170" s="7">
        <f>T170+'A-TRY'!W170</f>
        <v>-14399821.345000003</v>
      </c>
      <c r="X170" s="7">
        <f>U170+'A-TRY'!X170</f>
        <v>-14867431.125163767</v>
      </c>
      <c r="Y170" s="7"/>
      <c r="Z170" s="7">
        <f>W170+'A-TRY'!Z170</f>
        <v>-16355565.746186003</v>
      </c>
      <c r="AA170" s="7">
        <f>X170+'A-TRY'!AA170</f>
        <v>-14182200.563415267</v>
      </c>
      <c r="AB170" s="7"/>
      <c r="AC170" s="7">
        <f>Z170+'A-TRY'!AC170</f>
        <v>-18345923.972244002</v>
      </c>
      <c r="AD170" s="7">
        <f>AA170+'A-TRY'!AD170</f>
        <v>-14182200.563415267</v>
      </c>
      <c r="AE170" s="7"/>
      <c r="AF170" s="7">
        <f>AC170+'A-TRY'!AF170</f>
        <v>-20370900.544311002</v>
      </c>
      <c r="AG170" s="7">
        <f>AD170+'A-TRY'!AG170</f>
        <v>-14182200.563415267</v>
      </c>
      <c r="AH170" s="7"/>
      <c r="AI170" s="7">
        <f>AF170+'A-TRY'!AI170</f>
        <v>-22430490.94125</v>
      </c>
      <c r="AJ170" s="7">
        <f>AG170+'A-TRY'!AJ170</f>
        <v>-14182200.563415267</v>
      </c>
      <c r="AK170" s="7"/>
      <c r="AL170" s="21">
        <f t="shared" si="88"/>
        <v>2173365.1827707365</v>
      </c>
      <c r="AM170" s="22">
        <f t="shared" si="89"/>
        <v>-0.13288229930398765</v>
      </c>
      <c r="AO170" s="44">
        <f t="shared" si="90"/>
        <v>-16355565.746186003</v>
      </c>
      <c r="AP170" s="44">
        <f t="shared" si="90"/>
        <v>-14182200.563415267</v>
      </c>
    </row>
    <row r="171" spans="1:42" s="13" customFormat="1" ht="15.5">
      <c r="A171" s="26"/>
      <c r="B171" s="12"/>
      <c r="C171" s="30"/>
      <c r="D171" s="41"/>
      <c r="E171" s="12"/>
      <c r="F171" s="30"/>
      <c r="G171" s="41"/>
      <c r="H171" s="12"/>
      <c r="I171" s="30"/>
      <c r="J171" s="41"/>
      <c r="K171" s="12"/>
      <c r="L171" s="30"/>
      <c r="M171" s="41"/>
      <c r="N171" s="12"/>
      <c r="O171" s="30"/>
      <c r="P171" s="41"/>
      <c r="Q171" s="12"/>
      <c r="R171" s="30"/>
      <c r="S171" s="41"/>
      <c r="T171" s="12"/>
      <c r="U171" s="30"/>
      <c r="V171" s="41"/>
      <c r="W171" s="12"/>
      <c r="X171" s="30"/>
      <c r="Y171" s="41"/>
      <c r="Z171" s="12"/>
      <c r="AA171" s="30"/>
      <c r="AB171" s="41"/>
      <c r="AC171" s="12"/>
      <c r="AD171" s="30"/>
      <c r="AE171" s="41"/>
      <c r="AF171" s="12"/>
      <c r="AG171" s="30"/>
      <c r="AH171" s="41"/>
      <c r="AI171" s="12"/>
      <c r="AJ171" s="30"/>
      <c r="AK171" s="41"/>
      <c r="AL171" s="15"/>
      <c r="AM171" s="22"/>
      <c r="AO171" s="44"/>
      <c r="AP171" s="44"/>
    </row>
    <row r="172" spans="1:42" s="13" customFormat="1" ht="15.5">
      <c r="A172" s="26"/>
      <c r="B172" s="12"/>
      <c r="C172" s="30"/>
      <c r="D172" s="41"/>
      <c r="E172" s="12"/>
      <c r="F172" s="30"/>
      <c r="G172" s="41"/>
      <c r="H172" s="12"/>
      <c r="I172" s="30"/>
      <c r="J172" s="41"/>
      <c r="K172" s="12"/>
      <c r="L172" s="30"/>
      <c r="M172" s="41"/>
      <c r="N172" s="12"/>
      <c r="O172" s="30"/>
      <c r="P172" s="41"/>
      <c r="Q172" s="12"/>
      <c r="R172" s="30"/>
      <c r="S172" s="41"/>
      <c r="T172" s="12"/>
      <c r="U172" s="30"/>
      <c r="V172" s="41"/>
      <c r="W172" s="12"/>
      <c r="X172" s="30"/>
      <c r="Y172" s="41"/>
      <c r="Z172" s="12"/>
      <c r="AA172" s="30"/>
      <c r="AB172" s="41"/>
      <c r="AC172" s="12"/>
      <c r="AD172" s="30"/>
      <c r="AE172" s="41"/>
      <c r="AF172" s="12"/>
      <c r="AG172" s="30"/>
      <c r="AH172" s="41"/>
      <c r="AI172" s="12"/>
      <c r="AJ172" s="30"/>
      <c r="AK172" s="41"/>
      <c r="AL172" s="15"/>
      <c r="AM172" s="22"/>
      <c r="AO172" s="44"/>
      <c r="AP172" s="44"/>
    </row>
    <row r="173" spans="1:42" s="44" customFormat="1" ht="15.5">
      <c r="A173" s="31" t="s">
        <v>78</v>
      </c>
      <c r="B173" s="32">
        <f>'A-TRY'!B173</f>
        <v>6874562.9029427152</v>
      </c>
      <c r="C173" s="32">
        <f>'A-TRY'!C173</f>
        <v>-23064815.020470686</v>
      </c>
      <c r="D173" s="18"/>
      <c r="E173" s="32">
        <f>B173+'A-TRY'!E173</f>
        <v>8153921.2978661545</v>
      </c>
      <c r="F173" s="32">
        <f>C173+'A-TRY'!F173</f>
        <v>-16777126.003811743</v>
      </c>
      <c r="G173" s="18"/>
      <c r="H173" s="32">
        <f>E173+'A-TRY'!H173</f>
        <v>6678366.828726124</v>
      </c>
      <c r="I173" s="32">
        <f>F173+'A-TRY'!I173</f>
        <v>-33809245.55200015</v>
      </c>
      <c r="J173" s="18"/>
      <c r="K173" s="32">
        <f>H173+'A-TRY'!K173</f>
        <v>-1031318.7993858624</v>
      </c>
      <c r="L173" s="32">
        <f>I173+'A-TRY'!L173</f>
        <v>-78459807.174285606</v>
      </c>
      <c r="M173" s="18"/>
      <c r="N173" s="32">
        <f>K173+'A-TRY'!N173</f>
        <v>-1432774.6143096606</v>
      </c>
      <c r="O173" s="32">
        <f>L173+'A-TRY'!O173</f>
        <v>-105592245.22273876</v>
      </c>
      <c r="P173" s="18"/>
      <c r="Q173" s="32">
        <f>N173+'A-TRY'!Q173</f>
        <v>997479.12551693385</v>
      </c>
      <c r="R173" s="32">
        <f>O173+'A-TRY'!R173</f>
        <v>-140888459.99155682</v>
      </c>
      <c r="S173" s="18"/>
      <c r="T173" s="32">
        <f>Q173+'A-TRY'!T173</f>
        <v>-1153147.7387679564</v>
      </c>
      <c r="U173" s="32">
        <f>R173+'A-TRY'!U173</f>
        <v>-169030110.41057912</v>
      </c>
      <c r="V173" s="18"/>
      <c r="W173" s="32">
        <f>T173+'A-TRY'!W173</f>
        <v>-3081824.2594675543</v>
      </c>
      <c r="X173" s="32">
        <f>U173+'A-TRY'!X173</f>
        <v>-193256512.97909889</v>
      </c>
      <c r="Y173" s="18"/>
      <c r="Z173" s="32">
        <f>W173+'A-TRY'!Z173</f>
        <v>-4852327.0249455385</v>
      </c>
      <c r="AA173" s="32">
        <f>X173+'A-TRY'!AA173</f>
        <v>-207240309.1900633</v>
      </c>
      <c r="AB173" s="18"/>
      <c r="AC173" s="32">
        <f>Z173+'A-TRY'!AC173</f>
        <v>-6685059.4654054446</v>
      </c>
      <c r="AD173" s="32">
        <f>AA173+'A-TRY'!AD173</f>
        <v>-207240309.1900633</v>
      </c>
      <c r="AE173" s="18"/>
      <c r="AF173" s="32">
        <f>AC173+'A-TRY'!AF173</f>
        <v>-8164319.0314377053</v>
      </c>
      <c r="AG173" s="32">
        <f>AD173+'A-TRY'!AG173</f>
        <v>-207240309.1900633</v>
      </c>
      <c r="AH173" s="18"/>
      <c r="AI173" s="32">
        <f>AF173+'A-TRY'!AI173</f>
        <v>-9578974.3540274296</v>
      </c>
      <c r="AJ173" s="32">
        <f>AG173+'A-TRY'!AJ173</f>
        <v>-207240309.1900633</v>
      </c>
      <c r="AK173" s="18"/>
      <c r="AL173" s="33">
        <f>AP173-AO173</f>
        <v>-202387982.16511777</v>
      </c>
      <c r="AM173" s="34">
        <f>AP173/AO173-1</f>
        <v>41.709468699173122</v>
      </c>
      <c r="AO173" s="44">
        <f>IF($A$1=$B$1,B173,IF($A$1=$E$1,E173,IF($A$1=$H$1,H173,IF($A$1=$K$1,K173,IF($A$1=$N$1,N173,IF($A$1=$Q$1,Q173,IF($A$1=$T$1,T173,IF($A$1=$W$1,W173,IF($A$1=$Z$1,Z173,IF($A$1=$AC$1,AC173,IF($A$1=$AF$1,AF173,IF($A$1=$AI$1,AI173))))))))))))</f>
        <v>-4852327.0249455385</v>
      </c>
      <c r="AP173" s="44">
        <f>IF($A$1=$B$1,C173,IF($A$1=$E$1,F173,IF($A$1=$H$1,I173,IF($A$1=$K$1,L173,IF($A$1=$N$1,O173,IF($A$1=$Q$1,R173,IF($A$1=$T$1,U173,IF($A$1=$W$1,X173,IF($A$1=$Z$1,AA173,IF($A$1=$AC$1,AD173,IF($A$1=$AF$1,AG173,IF($A$1=$AI$1,AJ173))))))))))))</f>
        <v>-207240309.1900633</v>
      </c>
    </row>
    <row r="174" spans="1:42" s="13" customFormat="1" ht="15.5">
      <c r="A174" s="27"/>
      <c r="B174" s="30"/>
      <c r="C174" s="30" t="str">
        <f>IFERROR((C131/#REF!),"")</f>
        <v/>
      </c>
      <c r="D174" s="41"/>
      <c r="E174" s="30"/>
      <c r="F174" s="30" t="str">
        <f>IFERROR((F131/#REF!),"")</f>
        <v/>
      </c>
      <c r="G174" s="41"/>
      <c r="H174" s="30"/>
      <c r="I174" s="30" t="str">
        <f>IFERROR((I131/#REF!),"")</f>
        <v/>
      </c>
      <c r="J174" s="41"/>
      <c r="K174" s="30"/>
      <c r="L174" s="30" t="str">
        <f>IFERROR((L131/#REF!),"")</f>
        <v/>
      </c>
      <c r="M174" s="41"/>
      <c r="N174" s="30"/>
      <c r="O174" s="30" t="str">
        <f>IFERROR((O131/#REF!),"")</f>
        <v/>
      </c>
      <c r="P174" s="41"/>
      <c r="Q174" s="30"/>
      <c r="R174" s="30" t="str">
        <f>IFERROR((R131/#REF!),"")</f>
        <v/>
      </c>
      <c r="S174" s="41"/>
      <c r="T174" s="30"/>
      <c r="U174" s="30" t="str">
        <f>IFERROR((U131/#REF!),"")</f>
        <v/>
      </c>
      <c r="V174" s="41"/>
      <c r="W174" s="30"/>
      <c r="X174" s="30" t="str">
        <f>IFERROR((X131/#REF!),"")</f>
        <v/>
      </c>
      <c r="Y174" s="41"/>
      <c r="Z174" s="30"/>
      <c r="AA174" s="30" t="str">
        <f>IFERROR((AA131/#REF!),"")</f>
        <v/>
      </c>
      <c r="AB174" s="41"/>
      <c r="AC174" s="30"/>
      <c r="AD174" s="30" t="str">
        <f>IFERROR((AD131/#REF!),"")</f>
        <v/>
      </c>
      <c r="AE174" s="41"/>
      <c r="AF174" s="30"/>
      <c r="AG174" s="30" t="str">
        <f>IFERROR((AG131/#REF!),"")</f>
        <v/>
      </c>
      <c r="AH174" s="41"/>
      <c r="AI174" s="30"/>
      <c r="AJ174" s="30" t="str">
        <f>IFERROR((AJ131/#REF!),"")</f>
        <v/>
      </c>
      <c r="AK174" s="41"/>
      <c r="AL174" s="15"/>
      <c r="AM174" s="22"/>
      <c r="AO174" s="44">
        <f>IF($A$1=$B$1,B174,IF($A$1=$E$1,E174,IF($A$1=$H$1,H174,IF($A$1=$K$1,K174,IF($A$1=$N$1,N174,IF($A$1=$Q$1,Q174,IF($A$1=$T$1,T174,IF($A$1=$W$1,W174,IF($A$1=$Z$1,Z174,IF($A$1=$AC$1,AC174,IF($A$1=$AF$1,AF174,IF($A$1=$AI$1,AI174))))))))))))</f>
        <v>0</v>
      </c>
      <c r="AP174" s="44" t="str">
        <f>IF($A$1=$B$1,C174,IF($A$1=$E$1,F174,IF($A$1=$H$1,I174,IF($A$1=$K$1,L174,IF($A$1=$N$1,O174,IF($A$1=$Q$1,R174,IF($A$1=$T$1,U174,IF($A$1=$W$1,X174,IF($A$1=$Z$1,AA174,IF($A$1=$AC$1,AD174,IF($A$1=$AF$1,AG174,IF($A$1=$AI$1,AJ174))))))))))))</f>
        <v/>
      </c>
    </row>
    <row r="175" spans="1:42" s="49" customFormat="1" ht="17">
      <c r="A175" s="47" t="s">
        <v>79</v>
      </c>
      <c r="B175" s="413"/>
      <c r="C175" s="413"/>
      <c r="D175" s="413"/>
      <c r="E175" s="413"/>
      <c r="F175" s="413"/>
      <c r="G175" s="413"/>
      <c r="H175" s="413"/>
      <c r="I175" s="413"/>
      <c r="J175" s="413"/>
      <c r="K175" s="413"/>
      <c r="L175" s="413"/>
      <c r="M175" s="413"/>
      <c r="N175" s="413"/>
      <c r="O175" s="413"/>
      <c r="P175" s="413"/>
      <c r="Q175" s="413"/>
      <c r="R175" s="413"/>
      <c r="S175" s="413"/>
      <c r="T175" s="413"/>
      <c r="U175" s="413"/>
      <c r="V175" s="413"/>
      <c r="W175" s="413"/>
      <c r="X175" s="413"/>
      <c r="Y175" s="413"/>
      <c r="Z175" s="413"/>
      <c r="AA175" s="413"/>
      <c r="AB175" s="413"/>
      <c r="AC175" s="413"/>
      <c r="AD175" s="413"/>
      <c r="AE175" s="413"/>
      <c r="AF175" s="413"/>
      <c r="AG175" s="413"/>
      <c r="AH175" s="413"/>
      <c r="AI175" s="413"/>
      <c r="AJ175" s="413"/>
      <c r="AK175" s="413"/>
      <c r="AL175" s="413"/>
      <c r="AM175" s="48"/>
    </row>
    <row r="176" spans="1:42" ht="15.5">
      <c r="A176" s="26" t="s">
        <v>10</v>
      </c>
      <c r="B176" s="7">
        <f>'A-TRY'!B176</f>
        <v>7498613.5655589998</v>
      </c>
      <c r="C176" s="7">
        <f>'A-TRY'!C176</f>
        <v>1817782.32</v>
      </c>
      <c r="D176" s="7"/>
      <c r="E176" s="7">
        <f>B176+'A-TRY'!E176</f>
        <v>11617237.732875999</v>
      </c>
      <c r="F176" s="7">
        <f>C176+'A-TRY'!F176</f>
        <v>15354946.48</v>
      </c>
      <c r="G176" s="7"/>
      <c r="H176" s="7">
        <f>E176+'A-TRY'!H176</f>
        <v>12394330.650192998</v>
      </c>
      <c r="I176" s="7">
        <f>F176+'A-TRY'!I176</f>
        <v>38592664.230000004</v>
      </c>
      <c r="J176" s="7"/>
      <c r="K176" s="7">
        <f>H176+'A-TRY'!K176</f>
        <v>13471746.875674998</v>
      </c>
      <c r="L176" s="7">
        <f>I176+'A-TRY'!L176</f>
        <v>59069266.829999</v>
      </c>
      <c r="M176" s="7"/>
      <c r="N176" s="7">
        <f>K176+'A-TRY'!N176</f>
        <v>14277907.068667999</v>
      </c>
      <c r="O176" s="7">
        <f>L176+'A-TRY'!O176</f>
        <v>59025403.950001001</v>
      </c>
      <c r="P176" s="7"/>
      <c r="Q176" s="7">
        <f>N176+'A-TRY'!Q176</f>
        <v>15601613.383575998</v>
      </c>
      <c r="R176" s="7">
        <f>O176+'A-TRY'!R176</f>
        <v>60723252.389999002</v>
      </c>
      <c r="S176" s="7"/>
      <c r="T176" s="7">
        <f>Q176+'A-TRY'!T176</f>
        <v>16235445.509827998</v>
      </c>
      <c r="U176" s="7">
        <f>R176+'A-TRY'!U176</f>
        <v>59641240.199999005</v>
      </c>
      <c r="V176" s="7"/>
      <c r="W176" s="7">
        <f>T176+'A-TRY'!W176</f>
        <v>16717442.089064997</v>
      </c>
      <c r="X176" s="7">
        <f>U176+'A-TRY'!X176</f>
        <v>63871006.189998001</v>
      </c>
      <c r="Y176" s="7"/>
      <c r="Z176" s="7">
        <f>W176+'A-TRY'!Z176</f>
        <v>17633973.825472996</v>
      </c>
      <c r="AA176" s="7">
        <f>X176+'A-TRY'!AA176</f>
        <v>65500545.929999001</v>
      </c>
      <c r="AB176" s="7"/>
      <c r="AC176" s="7">
        <f>Z176+'A-TRY'!AC176</f>
        <v>18517285.159567997</v>
      </c>
      <c r="AD176" s="7">
        <f>AA176+'A-TRY'!AD176</f>
        <v>65500545.929999001</v>
      </c>
      <c r="AE176" s="7"/>
      <c r="AF176" s="7">
        <f>AC176+'A-TRY'!AF176</f>
        <v>19537386.773632996</v>
      </c>
      <c r="AG176" s="7">
        <f>AD176+'A-TRY'!AG176</f>
        <v>65500545.929999001</v>
      </c>
      <c r="AH176" s="7"/>
      <c r="AI176" s="7">
        <f>AF176+'A-TRY'!AI176</f>
        <v>20370017.489090994</v>
      </c>
      <c r="AJ176" s="7">
        <f>AG176+'A-TRY'!AJ176</f>
        <v>65500545.929999001</v>
      </c>
      <c r="AK176" s="7"/>
      <c r="AL176" s="21">
        <f t="shared" ref="AL176:AL183" si="92">AP176-AO176</f>
        <v>47866572.104526006</v>
      </c>
      <c r="AM176" s="22">
        <f t="shared" ref="AM176:AM183" si="93">AP176/AO176-1</f>
        <v>2.714451806397761</v>
      </c>
      <c r="AO176" s="44">
        <f t="shared" ref="AO176:AP183" si="94">IF($A$1=$B$1,B176,IF($A$1=$E$1,E176,IF($A$1=$H$1,H176,IF($A$1=$K$1,K176,IF($A$1=$N$1,N176,IF($A$1=$Q$1,Q176,IF($A$1=$T$1,T176,IF($A$1=$W$1,W176,IF($A$1=$Z$1,Z176,IF($A$1=$AC$1,AC176,IF($A$1=$AF$1,AF176,IF($A$1=$AI$1,AI176))))))))))))</f>
        <v>17633973.825472996</v>
      </c>
      <c r="AP176" s="44">
        <f t="shared" si="94"/>
        <v>65500545.929999001</v>
      </c>
    </row>
    <row r="177" spans="1:42" ht="15.5">
      <c r="A177" s="26" t="s">
        <v>11</v>
      </c>
      <c r="B177" s="7">
        <f>'A-TRY'!B177</f>
        <v>50950</v>
      </c>
      <c r="C177" s="7">
        <f>'A-TRY'!C177</f>
        <v>-180711</v>
      </c>
      <c r="D177" s="7"/>
      <c r="E177" s="7">
        <f>B177+'A-TRY'!E177</f>
        <v>101900</v>
      </c>
      <c r="F177" s="7">
        <f>C177+'A-TRY'!F177</f>
        <v>-56510</v>
      </c>
      <c r="G177" s="7"/>
      <c r="H177" s="7">
        <f>E177+'A-TRY'!H177</f>
        <v>152850</v>
      </c>
      <c r="I177" s="7">
        <f>F177+'A-TRY'!I177</f>
        <v>50884.86</v>
      </c>
      <c r="J177" s="7"/>
      <c r="K177" s="7">
        <f>H177+'A-TRY'!K177</f>
        <v>203800</v>
      </c>
      <c r="L177" s="7">
        <f>I177+'A-TRY'!L177</f>
        <v>7904030.3900000006</v>
      </c>
      <c r="M177" s="7"/>
      <c r="N177" s="7">
        <f>K177+'A-TRY'!N177</f>
        <v>254750</v>
      </c>
      <c r="O177" s="7">
        <f>L177+'A-TRY'!O177</f>
        <v>4928529.1800000006</v>
      </c>
      <c r="P177" s="7"/>
      <c r="Q177" s="7">
        <f>N177+'A-TRY'!Q177</f>
        <v>305700</v>
      </c>
      <c r="R177" s="7">
        <f>O177+'A-TRY'!R177</f>
        <v>-9031829.1699999981</v>
      </c>
      <c r="S177" s="7"/>
      <c r="T177" s="7">
        <f>Q177+'A-TRY'!T177</f>
        <v>356650</v>
      </c>
      <c r="U177" s="7">
        <f>R177+'A-TRY'!U177</f>
        <v>-10388524.249999998</v>
      </c>
      <c r="V177" s="7"/>
      <c r="W177" s="7">
        <f>T177+'A-TRY'!W177</f>
        <v>407600</v>
      </c>
      <c r="X177" s="7">
        <f>U177+'A-TRY'!X177</f>
        <v>-16133499.129999999</v>
      </c>
      <c r="Y177" s="7"/>
      <c r="Z177" s="7">
        <f>W177+'A-TRY'!Z177</f>
        <v>458550</v>
      </c>
      <c r="AA177" s="7">
        <f>X177+'A-TRY'!AA177</f>
        <v>-17861637.759999998</v>
      </c>
      <c r="AB177" s="7"/>
      <c r="AC177" s="7">
        <f>Z177+'A-TRY'!AC177</f>
        <v>509500</v>
      </c>
      <c r="AD177" s="7">
        <f>AA177+'A-TRY'!AD177</f>
        <v>-17861637.759999998</v>
      </c>
      <c r="AE177" s="7"/>
      <c r="AF177" s="7">
        <f>AC177+'A-TRY'!AF177</f>
        <v>560450</v>
      </c>
      <c r="AG177" s="7">
        <f>AD177+'A-TRY'!AG177</f>
        <v>-17861637.759999998</v>
      </c>
      <c r="AH177" s="7"/>
      <c r="AI177" s="7">
        <f>AF177+'A-TRY'!AI177</f>
        <v>611400</v>
      </c>
      <c r="AJ177" s="7">
        <f>AG177+'A-TRY'!AJ177</f>
        <v>-17861637.759999998</v>
      </c>
      <c r="AK177" s="7"/>
      <c r="AL177" s="21">
        <f t="shared" si="92"/>
        <v>-18320187.759999998</v>
      </c>
      <c r="AM177" s="22">
        <f t="shared" si="93"/>
        <v>-39.95243214480427</v>
      </c>
      <c r="AO177" s="44">
        <f t="shared" si="94"/>
        <v>458550</v>
      </c>
      <c r="AP177" s="44">
        <f t="shared" si="94"/>
        <v>-17861637.759999998</v>
      </c>
    </row>
    <row r="178" spans="1:42" ht="15.5">
      <c r="A178" s="26" t="s">
        <v>12</v>
      </c>
      <c r="B178" s="7">
        <f>'A-TRY'!B178</f>
        <v>228371.121483</v>
      </c>
      <c r="C178" s="7">
        <f>'A-TRY'!C178</f>
        <v>288472</v>
      </c>
      <c r="D178" s="7"/>
      <c r="E178" s="7">
        <f>B178+'A-TRY'!E178</f>
        <v>456742.240337</v>
      </c>
      <c r="F178" s="7">
        <f>C178+'A-TRY'!F178</f>
        <v>419970</v>
      </c>
      <c r="G178" s="7"/>
      <c r="H178" s="7">
        <f>E178+'A-TRY'!H178</f>
        <v>685113.36094899999</v>
      </c>
      <c r="I178" s="7">
        <f>F178+'A-TRY'!I178</f>
        <v>908850</v>
      </c>
      <c r="J178" s="7"/>
      <c r="K178" s="7">
        <f>H178+'A-TRY'!K178</f>
        <v>913484.47889100004</v>
      </c>
      <c r="L178" s="7">
        <f>I178+'A-TRY'!L178</f>
        <v>1143865</v>
      </c>
      <c r="M178" s="7"/>
      <c r="N178" s="7">
        <f>K178+'A-TRY'!N178</f>
        <v>1141855.596809</v>
      </c>
      <c r="O178" s="7">
        <f>L178+'A-TRY'!O178</f>
        <v>1590993.74</v>
      </c>
      <c r="P178" s="7"/>
      <c r="Q178" s="7">
        <f>N178+'A-TRY'!Q178</f>
        <v>1370226.715576</v>
      </c>
      <c r="R178" s="7">
        <f>O178+'A-TRY'!R178</f>
        <v>1905808.74</v>
      </c>
      <c r="S178" s="7"/>
      <c r="T178" s="7">
        <f>Q178+'A-TRY'!T178</f>
        <v>1598597.833388</v>
      </c>
      <c r="U178" s="7">
        <f>R178+'A-TRY'!U178</f>
        <v>1785661.74</v>
      </c>
      <c r="V178" s="7"/>
      <c r="W178" s="7">
        <f>T178+'A-TRY'!W178</f>
        <v>1954084.152158</v>
      </c>
      <c r="X178" s="7">
        <f>U178+'A-TRY'!X178</f>
        <v>2145528.7400000002</v>
      </c>
      <c r="Y178" s="7"/>
      <c r="Z178" s="7">
        <f>W178+'A-TRY'!Z178</f>
        <v>2309570.469854</v>
      </c>
      <c r="AA178" s="7">
        <f>X178+'A-TRY'!AA178</f>
        <v>2533684.7400000002</v>
      </c>
      <c r="AB178" s="7"/>
      <c r="AC178" s="7">
        <f>Z178+'A-TRY'!AC178</f>
        <v>2665056.7878550002</v>
      </c>
      <c r="AD178" s="7">
        <f>AA178+'A-TRY'!AD178</f>
        <v>2533684.7400000002</v>
      </c>
      <c r="AE178" s="7"/>
      <c r="AF178" s="7">
        <f>AC178+'A-TRY'!AF178</f>
        <v>3020543.1053620004</v>
      </c>
      <c r="AG178" s="7">
        <f>AD178+'A-TRY'!AG178</f>
        <v>2533684.7400000002</v>
      </c>
      <c r="AH178" s="7"/>
      <c r="AI178" s="7">
        <f>AF178+'A-TRY'!AI178</f>
        <v>3376029.4241600004</v>
      </c>
      <c r="AJ178" s="7">
        <f>AG178+'A-TRY'!AJ178</f>
        <v>2533684.7400000002</v>
      </c>
      <c r="AK178" s="7"/>
      <c r="AL178" s="21">
        <f t="shared" si="92"/>
        <v>224114.2701460002</v>
      </c>
      <c r="AM178" s="22">
        <f t="shared" si="93"/>
        <v>9.7037208031226507E-2</v>
      </c>
      <c r="AO178" s="44">
        <f t="shared" si="94"/>
        <v>2309570.469854</v>
      </c>
      <c r="AP178" s="44">
        <f t="shared" si="94"/>
        <v>2533684.7400000002</v>
      </c>
    </row>
    <row r="179" spans="1:42" ht="15.5">
      <c r="A179" s="26" t="s">
        <v>13</v>
      </c>
      <c r="B179" s="7">
        <f>'A-TRY'!B179</f>
        <v>4316832.8316280004</v>
      </c>
      <c r="C179" s="7">
        <f>'A-TRY'!C179</f>
        <v>-37076542.591995999</v>
      </c>
      <c r="D179" s="7"/>
      <c r="E179" s="7">
        <f>B179+'A-TRY'!E179</f>
        <v>-4346944.9629769996</v>
      </c>
      <c r="F179" s="7">
        <f>C179+'A-TRY'!F179</f>
        <v>-70539873.077886</v>
      </c>
      <c r="G179" s="7"/>
      <c r="H179" s="7">
        <f>E179+'A-TRY'!H179</f>
        <v>-11507311.479226001</v>
      </c>
      <c r="I179" s="7">
        <f>F179+'A-TRY'!I179</f>
        <v>-153775459.95173699</v>
      </c>
      <c r="J179" s="7"/>
      <c r="K179" s="7">
        <f>H179+'A-TRY'!K179</f>
        <v>-36102497.916595995</v>
      </c>
      <c r="L179" s="7">
        <f>I179+'A-TRY'!L179</f>
        <v>-264887134.129372</v>
      </c>
      <c r="M179" s="7"/>
      <c r="N179" s="7">
        <f>K179+'A-TRY'!N179</f>
        <v>-41678162.159315996</v>
      </c>
      <c r="O179" s="7">
        <f>L179+'A-TRY'!O179</f>
        <v>-304708408.61372203</v>
      </c>
      <c r="P179" s="7"/>
      <c r="Q179" s="7">
        <f>N179+'A-TRY'!Q179</f>
        <v>-41084805.957839996</v>
      </c>
      <c r="R179" s="7">
        <f>O179+'A-TRY'!R179</f>
        <v>-307473455.68451303</v>
      </c>
      <c r="S179" s="7"/>
      <c r="T179" s="7">
        <f>Q179+'A-TRY'!T179</f>
        <v>-50187544.517511994</v>
      </c>
      <c r="U179" s="7">
        <f>R179+'A-TRY'!U179</f>
        <v>-345307458.02121001</v>
      </c>
      <c r="V179" s="7"/>
      <c r="W179" s="7">
        <f>T179+'A-TRY'!W179</f>
        <v>-58661958.565955997</v>
      </c>
      <c r="X179" s="7">
        <f>U179+'A-TRY'!X179</f>
        <v>-365988016.49888003</v>
      </c>
      <c r="Y179" s="7"/>
      <c r="Z179" s="7">
        <f>W179+'A-TRY'!Z179</f>
        <v>-67734999.269182995</v>
      </c>
      <c r="AA179" s="7">
        <f>X179+'A-TRY'!AA179</f>
        <v>-397017540.44228905</v>
      </c>
      <c r="AB179" s="7"/>
      <c r="AC179" s="7">
        <f>Z179+'A-TRY'!AC179</f>
        <v>-76849656.655694991</v>
      </c>
      <c r="AD179" s="7">
        <f>AA179+'A-TRY'!AD179</f>
        <v>-397017540.44228905</v>
      </c>
      <c r="AE179" s="7"/>
      <c r="AF179" s="7">
        <f>AC179+'A-TRY'!AF179</f>
        <v>-85258213.718808994</v>
      </c>
      <c r="AG179" s="7">
        <f>AD179+'A-TRY'!AG179</f>
        <v>-397017540.44228905</v>
      </c>
      <c r="AH179" s="7"/>
      <c r="AI179" s="7">
        <f>AF179+'A-TRY'!AI179</f>
        <v>-93030201.527943999</v>
      </c>
      <c r="AJ179" s="7">
        <f>AG179+'A-TRY'!AJ179</f>
        <v>-397017540.44228905</v>
      </c>
      <c r="AK179" s="7"/>
      <c r="AL179" s="21">
        <f t="shared" si="92"/>
        <v>-329282541.17310607</v>
      </c>
      <c r="AM179" s="22">
        <f t="shared" si="93"/>
        <v>4.8613352731357873</v>
      </c>
      <c r="AO179" s="44">
        <f t="shared" si="94"/>
        <v>-67734999.269182995</v>
      </c>
      <c r="AP179" s="44">
        <f t="shared" si="94"/>
        <v>-397017540.44228905</v>
      </c>
    </row>
    <row r="180" spans="1:42" s="1" customFormat="1" ht="15.5">
      <c r="A180" s="26" t="s">
        <v>14</v>
      </c>
      <c r="B180" s="7">
        <f>'A-TRY'!B180</f>
        <v>0</v>
      </c>
      <c r="C180" s="7">
        <f>'A-TRY'!C180</f>
        <v>1691227.1699989997</v>
      </c>
      <c r="D180" s="8"/>
      <c r="E180" s="7">
        <f>B180+'A-TRY'!E180</f>
        <v>0</v>
      </c>
      <c r="F180" s="7">
        <f>C180+'A-TRY'!F180</f>
        <v>4634671.1599990008</v>
      </c>
      <c r="G180" s="8"/>
      <c r="H180" s="7">
        <f>E180+'A-TRY'!H180</f>
        <v>0</v>
      </c>
      <c r="I180" s="7">
        <f>F180+'A-TRY'!I180</f>
        <v>11260543.279998999</v>
      </c>
      <c r="J180" s="8"/>
      <c r="K180" s="7">
        <f>H180+'A-TRY'!K180</f>
        <v>0</v>
      </c>
      <c r="L180" s="7">
        <f>I180+'A-TRY'!L180</f>
        <v>16529352.729999</v>
      </c>
      <c r="M180" s="8"/>
      <c r="N180" s="7">
        <f>K180+'A-TRY'!N180</f>
        <v>0</v>
      </c>
      <c r="O180" s="7">
        <f>L180+'A-TRY'!O180</f>
        <v>19678335.309999</v>
      </c>
      <c r="P180" s="8"/>
      <c r="Q180" s="7">
        <f>N180+'A-TRY'!Q180</f>
        <v>0</v>
      </c>
      <c r="R180" s="7">
        <f>O180+'A-TRY'!R180</f>
        <v>24116202.519999001</v>
      </c>
      <c r="S180" s="8"/>
      <c r="T180" s="7">
        <f>Q180+'A-TRY'!T180</f>
        <v>0</v>
      </c>
      <c r="U180" s="7">
        <f>R180+'A-TRY'!U180</f>
        <v>25966351.939999003</v>
      </c>
      <c r="V180" s="8"/>
      <c r="W180" s="7">
        <f>T180+'A-TRY'!W180</f>
        <v>0</v>
      </c>
      <c r="X180" s="7">
        <f>U180+'A-TRY'!X180</f>
        <v>28133104.989999004</v>
      </c>
      <c r="Y180" s="8"/>
      <c r="Z180" s="7">
        <f>W180+'A-TRY'!Z180</f>
        <v>0</v>
      </c>
      <c r="AA180" s="7">
        <f>X180+'A-TRY'!AA180</f>
        <v>30642326.079999004</v>
      </c>
      <c r="AB180" s="8"/>
      <c r="AC180" s="7">
        <f>Z180+'A-TRY'!AC180</f>
        <v>0</v>
      </c>
      <c r="AD180" s="7">
        <f>AA180+'A-TRY'!AD180</f>
        <v>30642326.079999004</v>
      </c>
      <c r="AE180" s="8"/>
      <c r="AF180" s="7">
        <f>AC180+'A-TRY'!AF180</f>
        <v>0</v>
      </c>
      <c r="AG180" s="7">
        <f>AD180+'A-TRY'!AG180</f>
        <v>30642326.079999004</v>
      </c>
      <c r="AH180" s="8"/>
      <c r="AI180" s="7">
        <f>AF180+'A-TRY'!AI180</f>
        <v>0</v>
      </c>
      <c r="AJ180" s="7">
        <f>AG180+'A-TRY'!AJ180</f>
        <v>30642326.079999004</v>
      </c>
      <c r="AK180" s="8"/>
      <c r="AL180" s="21">
        <f t="shared" si="92"/>
        <v>30642326.079999004</v>
      </c>
      <c r="AM180" s="22" t="e">
        <f t="shared" si="93"/>
        <v>#DIV/0!</v>
      </c>
      <c r="AO180" s="44">
        <f t="shared" si="94"/>
        <v>0</v>
      </c>
      <c r="AP180" s="44">
        <f t="shared" si="94"/>
        <v>30642326.079999004</v>
      </c>
    </row>
    <row r="181" spans="1:42" ht="15.5">
      <c r="A181" s="26" t="s">
        <v>15</v>
      </c>
      <c r="B181" s="7">
        <f>'A-TRY'!B181</f>
        <v>-5556413.9083016831</v>
      </c>
      <c r="C181" s="7">
        <f>'A-TRY'!C181</f>
        <v>-9289856.3420838397</v>
      </c>
      <c r="D181" s="7"/>
      <c r="E181" s="7">
        <f>B181+'A-TRY'!E181</f>
        <v>-4811534.1191120511</v>
      </c>
      <c r="F181" s="7">
        <f>C181+'A-TRY'!F181</f>
        <v>17719790.677363098</v>
      </c>
      <c r="G181" s="7"/>
      <c r="H181" s="7">
        <f>E181+'A-TRY'!H181</f>
        <v>-4088413.829997906</v>
      </c>
      <c r="I181" s="7">
        <f>F181+'A-TRY'!I181</f>
        <v>14712273.494081162</v>
      </c>
      <c r="J181" s="7"/>
      <c r="K181" s="7">
        <f>H181+'A-TRY'!K181</f>
        <v>-2244947.3013692792</v>
      </c>
      <c r="L181" s="7">
        <f>I181+'A-TRY'!L181</f>
        <v>30912867.639932822</v>
      </c>
      <c r="M181" s="7"/>
      <c r="N181" s="7">
        <f>K181+'A-TRY'!N181</f>
        <v>-462742.47611728334</v>
      </c>
      <c r="O181" s="7">
        <f>L181+'A-TRY'!O181</f>
        <v>29133533.275161985</v>
      </c>
      <c r="P181" s="7"/>
      <c r="Q181" s="7">
        <f>N181+'A-TRY'!Q181</f>
        <v>962181.21099282149</v>
      </c>
      <c r="R181" s="7">
        <f>O181+'A-TRY'!R181</f>
        <v>25928064.716398183</v>
      </c>
      <c r="S181" s="7"/>
      <c r="T181" s="7">
        <f>Q181+'A-TRY'!T181</f>
        <v>2365691.8167131878</v>
      </c>
      <c r="U181" s="7">
        <f>R181+'A-TRY'!U181</f>
        <v>10982886.044920374</v>
      </c>
      <c r="V181" s="7"/>
      <c r="W181" s="7">
        <f>T181+'A-TRY'!W181</f>
        <v>3761520.165243078</v>
      </c>
      <c r="X181" s="7">
        <f>U181+'A-TRY'!X181</f>
        <v>-11189801.517073765</v>
      </c>
      <c r="Y181" s="7"/>
      <c r="Z181" s="7">
        <f>W181+'A-TRY'!Z181</f>
        <v>5026735.8295338321</v>
      </c>
      <c r="AA181" s="7">
        <f>X181+'A-TRY'!AA181</f>
        <v>-8002211.4763457645</v>
      </c>
      <c r="AB181" s="7"/>
      <c r="AC181" s="7">
        <f>Z181+'A-TRY'!AC181</f>
        <v>6251500.3737981776</v>
      </c>
      <c r="AD181" s="7">
        <f>AA181+'A-TRY'!AD181</f>
        <v>-8002211.4763457645</v>
      </c>
      <c r="AE181" s="7"/>
      <c r="AF181" s="7">
        <f>AC181+'A-TRY'!AF181</f>
        <v>7317561.8675019937</v>
      </c>
      <c r="AG181" s="7">
        <f>AD181+'A-TRY'!AG181</f>
        <v>-8002211.4763457645</v>
      </c>
      <c r="AH181" s="7"/>
      <c r="AI181" s="7">
        <f>AF181+'A-TRY'!AI181</f>
        <v>8386267.4631470852</v>
      </c>
      <c r="AJ181" s="7">
        <f>AG181+'A-TRY'!AJ181</f>
        <v>-8002211.4763457645</v>
      </c>
      <c r="AK181" s="7"/>
      <c r="AL181" s="21">
        <f t="shared" si="92"/>
        <v>-13028947.305879597</v>
      </c>
      <c r="AM181" s="22">
        <f t="shared" si="93"/>
        <v>-2.5919299815458716</v>
      </c>
      <c r="AO181" s="44">
        <f t="shared" si="94"/>
        <v>5026735.8295338321</v>
      </c>
      <c r="AP181" s="44">
        <f t="shared" si="94"/>
        <v>-8002211.4763457645</v>
      </c>
    </row>
    <row r="182" spans="1:42" ht="15.5">
      <c r="A182" s="26" t="s">
        <v>16</v>
      </c>
      <c r="B182" s="7">
        <f>'A-TRY'!B182</f>
        <v>-1018848.383574528</v>
      </c>
      <c r="C182" s="7">
        <f>'A-TRY'!C182</f>
        <v>-13634652.597297935</v>
      </c>
      <c r="D182" s="7"/>
      <c r="E182" s="7">
        <f>B182+'A-TRY'!E182</f>
        <v>-896417.60627806326</v>
      </c>
      <c r="F182" s="7">
        <f>C182+'A-TRY'!F182</f>
        <v>-23805871.089763582</v>
      </c>
      <c r="G182" s="7"/>
      <c r="H182" s="7">
        <f>E182+'A-TRY'!H182</f>
        <v>-789092.64681578311</v>
      </c>
      <c r="I182" s="7">
        <f>F182+'A-TRY'!I182</f>
        <v>-44531820.859982938</v>
      </c>
      <c r="J182" s="7"/>
      <c r="K182" s="7">
        <f>H182+'A-TRY'!K182</f>
        <v>-703430.16691437608</v>
      </c>
      <c r="L182" s="7">
        <f>I182+'A-TRY'!L182</f>
        <v>-139163371.38850069</v>
      </c>
      <c r="M182" s="7"/>
      <c r="N182" s="7">
        <f>K182+'A-TRY'!N182</f>
        <v>-627313.56403336651</v>
      </c>
      <c r="O182" s="7">
        <f>L182+'A-TRY'!O182</f>
        <v>-154691950.39886007</v>
      </c>
      <c r="P182" s="7"/>
      <c r="Q182" s="7">
        <f>N182+'A-TRY'!Q182</f>
        <v>-577527.68724048557</v>
      </c>
      <c r="R182" s="7">
        <f>O182+'A-TRY'!R182</f>
        <v>-213402454.99156716</v>
      </c>
      <c r="S182" s="7"/>
      <c r="T182" s="7">
        <f>Q182+'A-TRY'!T182</f>
        <v>-537750.00416107744</v>
      </c>
      <c r="U182" s="7">
        <f>R182+'A-TRY'!U182</f>
        <v>-216305190.35418358</v>
      </c>
      <c r="V182" s="7"/>
      <c r="W182" s="7">
        <f>T182+'A-TRY'!W182</f>
        <v>-501937.85101346247</v>
      </c>
      <c r="X182" s="7">
        <f>U182+'A-TRY'!X182</f>
        <v>-241323924.03765139</v>
      </c>
      <c r="Y182" s="7"/>
      <c r="Z182" s="7">
        <f>W182+'A-TRY'!Z182</f>
        <v>-427789.86103217665</v>
      </c>
      <c r="AA182" s="7">
        <f>X182+'A-TRY'!AA182</f>
        <v>-257729475.75103188</v>
      </c>
      <c r="AB182" s="7"/>
      <c r="AC182" s="7">
        <f>Z182+'A-TRY'!AC182</f>
        <v>-344097.25017428625</v>
      </c>
      <c r="AD182" s="7">
        <f>AA182+'A-TRY'!AD182</f>
        <v>-257729475.75103188</v>
      </c>
      <c r="AE182" s="7"/>
      <c r="AF182" s="7">
        <f>AC182+'A-TRY'!AF182</f>
        <v>-266095.4247747527</v>
      </c>
      <c r="AG182" s="7">
        <f>AD182+'A-TRY'!AG182</f>
        <v>-257729475.75103188</v>
      </c>
      <c r="AH182" s="7"/>
      <c r="AI182" s="7">
        <f>AF182+'A-TRY'!AI182</f>
        <v>-197119.10339915508</v>
      </c>
      <c r="AJ182" s="7">
        <f>AG182+'A-TRY'!AJ182</f>
        <v>-257729475.75103188</v>
      </c>
      <c r="AK182" s="7"/>
      <c r="AL182" s="21">
        <f t="shared" si="92"/>
        <v>-257301685.88999969</v>
      </c>
      <c r="AM182" s="22">
        <f t="shared" si="93"/>
        <v>601.46747112981836</v>
      </c>
      <c r="AO182" s="44">
        <f t="shared" si="94"/>
        <v>-427789.86103217665</v>
      </c>
      <c r="AP182" s="44">
        <f t="shared" si="94"/>
        <v>-257729475.75103188</v>
      </c>
    </row>
    <row r="183" spans="1:42" ht="15.5">
      <c r="A183" s="26" t="s">
        <v>17</v>
      </c>
      <c r="B183" s="7">
        <f>'A-TRY'!B183</f>
        <v>0</v>
      </c>
      <c r="C183" s="7">
        <f>'A-TRY'!C183</f>
        <v>-4166071.4897979358</v>
      </c>
      <c r="D183" s="7"/>
      <c r="E183" s="7">
        <f>B183+'A-TRY'!E183</f>
        <v>0</v>
      </c>
      <c r="F183" s="7">
        <f>C183+'A-TRY'!F183</f>
        <v>-9247548.8792418651</v>
      </c>
      <c r="G183" s="7"/>
      <c r="H183" s="7">
        <f>E183+'A-TRY'!H183</f>
        <v>0</v>
      </c>
      <c r="I183" s="7">
        <f>F183+'A-TRY'!I183</f>
        <v>-11069647.567360576</v>
      </c>
      <c r="J183" s="7"/>
      <c r="K183" s="7">
        <f>H183+'A-TRY'!K183</f>
        <v>0</v>
      </c>
      <c r="L183" s="7">
        <f>I183+'A-TRY'!L183</f>
        <v>-9834138.3377706092</v>
      </c>
      <c r="M183" s="7"/>
      <c r="N183" s="7">
        <f>K183+'A-TRY'!N183</f>
        <v>0</v>
      </c>
      <c r="O183" s="7">
        <f>L183+'A-TRY'!O183</f>
        <v>-17254439.804428287</v>
      </c>
      <c r="P183" s="7"/>
      <c r="Q183" s="7">
        <f>N183+'A-TRY'!Q183</f>
        <v>0</v>
      </c>
      <c r="R183" s="7">
        <f>O183+'A-TRY'!R183</f>
        <v>-15382586.439206585</v>
      </c>
      <c r="S183" s="7"/>
      <c r="T183" s="7">
        <f>Q183+'A-TRY'!T183</f>
        <v>0</v>
      </c>
      <c r="U183" s="7">
        <f>R183+'A-TRY'!U183</f>
        <v>-25507809.860971101</v>
      </c>
      <c r="V183" s="7"/>
      <c r="W183" s="7">
        <f>T183+'A-TRY'!W183</f>
        <v>0</v>
      </c>
      <c r="X183" s="7">
        <f>U183+'A-TRY'!X183</f>
        <v>-17480234.884136066</v>
      </c>
      <c r="Y183" s="7"/>
      <c r="Z183" s="7">
        <f>W183+'A-TRY'!Z183</f>
        <v>0</v>
      </c>
      <c r="AA183" s="7">
        <f>X183+'A-TRY'!AA183</f>
        <v>-11425353.660488065</v>
      </c>
      <c r="AB183" s="7"/>
      <c r="AC183" s="7">
        <f>Z183+'A-TRY'!AC183</f>
        <v>0</v>
      </c>
      <c r="AD183" s="7">
        <f>AA183+'A-TRY'!AD183</f>
        <v>-11425353.660488065</v>
      </c>
      <c r="AE183" s="7"/>
      <c r="AF183" s="7">
        <f>AC183+'A-TRY'!AF183</f>
        <v>0</v>
      </c>
      <c r="AG183" s="7">
        <f>AD183+'A-TRY'!AG183</f>
        <v>-11425353.660488065</v>
      </c>
      <c r="AH183" s="7"/>
      <c r="AI183" s="7">
        <f>AF183+'A-TRY'!AI183</f>
        <v>0</v>
      </c>
      <c r="AJ183" s="7">
        <f>AG183+'A-TRY'!AJ183</f>
        <v>-11425353.660488065</v>
      </c>
      <c r="AK183" s="7"/>
      <c r="AL183" s="21">
        <f t="shared" si="92"/>
        <v>-11425353.660488065</v>
      </c>
      <c r="AM183" s="22" t="e">
        <f t="shared" si="93"/>
        <v>#DIV/0!</v>
      </c>
      <c r="AO183" s="44">
        <f t="shared" si="94"/>
        <v>0</v>
      </c>
      <c r="AP183" s="44">
        <f t="shared" si="94"/>
        <v>-11425353.660488065</v>
      </c>
    </row>
    <row r="184" spans="1:42" s="13" customFormat="1" ht="15.5">
      <c r="A184" s="26"/>
      <c r="B184" s="12"/>
      <c r="C184" s="30"/>
      <c r="D184" s="41"/>
      <c r="E184" s="12"/>
      <c r="F184" s="30"/>
      <c r="G184" s="41"/>
      <c r="H184" s="12"/>
      <c r="I184" s="30"/>
      <c r="J184" s="41"/>
      <c r="K184" s="12"/>
      <c r="L184" s="30"/>
      <c r="M184" s="41"/>
      <c r="N184" s="12"/>
      <c r="O184" s="30"/>
      <c r="P184" s="41"/>
      <c r="Q184" s="12"/>
      <c r="R184" s="30"/>
      <c r="S184" s="41"/>
      <c r="T184" s="12"/>
      <c r="U184" s="30"/>
      <c r="V184" s="41"/>
      <c r="W184" s="12"/>
      <c r="X184" s="30"/>
      <c r="Y184" s="41"/>
      <c r="Z184" s="12"/>
      <c r="AA184" s="30"/>
      <c r="AB184" s="41"/>
      <c r="AC184" s="12"/>
      <c r="AD184" s="30"/>
      <c r="AE184" s="41"/>
      <c r="AF184" s="12"/>
      <c r="AG184" s="30"/>
      <c r="AH184" s="41"/>
      <c r="AI184" s="12"/>
      <c r="AJ184" s="30"/>
      <c r="AK184" s="41"/>
      <c r="AL184" s="15"/>
      <c r="AM184" s="22"/>
      <c r="AO184" s="44"/>
      <c r="AP184" s="44"/>
    </row>
    <row r="185" spans="1:42" s="13" customFormat="1" ht="15.5">
      <c r="A185" s="26"/>
      <c r="B185" s="12"/>
      <c r="C185" s="30"/>
      <c r="D185" s="41"/>
      <c r="E185" s="12"/>
      <c r="F185" s="30"/>
      <c r="G185" s="41"/>
      <c r="H185" s="12"/>
      <c r="I185" s="30"/>
      <c r="J185" s="41"/>
      <c r="K185" s="12"/>
      <c r="L185" s="30"/>
      <c r="M185" s="41"/>
      <c r="N185" s="12"/>
      <c r="O185" s="30"/>
      <c r="P185" s="41"/>
      <c r="Q185" s="12"/>
      <c r="R185" s="30"/>
      <c r="S185" s="41"/>
      <c r="T185" s="12"/>
      <c r="U185" s="30"/>
      <c r="V185" s="41"/>
      <c r="W185" s="12"/>
      <c r="X185" s="30"/>
      <c r="Y185" s="41"/>
      <c r="Z185" s="12"/>
      <c r="AA185" s="30"/>
      <c r="AB185" s="41"/>
      <c r="AC185" s="12"/>
      <c r="AD185" s="30"/>
      <c r="AE185" s="41"/>
      <c r="AF185" s="12"/>
      <c r="AG185" s="30"/>
      <c r="AH185" s="41"/>
      <c r="AI185" s="12"/>
      <c r="AJ185" s="30"/>
      <c r="AK185" s="41"/>
      <c r="AL185" s="15"/>
      <c r="AM185" s="22"/>
      <c r="AO185" s="44"/>
      <c r="AP185" s="44"/>
    </row>
    <row r="186" spans="1:42" s="44" customFormat="1" ht="15.5">
      <c r="A186" s="31" t="s">
        <v>80</v>
      </c>
      <c r="B186" s="32">
        <f>'A-TRY'!B186</f>
        <v>57845194.663871877</v>
      </c>
      <c r="C186" s="32">
        <f>'A-TRY'!C186</f>
        <v>38849547.203348182</v>
      </c>
      <c r="D186" s="18"/>
      <c r="E186" s="32">
        <f>B186+'A-TRY'!E186</f>
        <v>121411747.61987297</v>
      </c>
      <c r="F186" s="32">
        <f>C186+'A-TRY'!F186</f>
        <v>88897975.917562693</v>
      </c>
      <c r="G186" s="18"/>
      <c r="H186" s="32">
        <f>E186+'A-TRY'!H186</f>
        <v>210485701.41904968</v>
      </c>
      <c r="I186" s="32">
        <f>F186+'A-TRY'!I186</f>
        <v>121647569.23721404</v>
      </c>
      <c r="J186" s="18"/>
      <c r="K186" s="32">
        <f>H186+'A-TRY'!K186</f>
        <v>258764175.67407036</v>
      </c>
      <c r="L186" s="32">
        <f>I186+'A-TRY'!L186</f>
        <v>109993368.15146688</v>
      </c>
      <c r="M186" s="18"/>
      <c r="N186" s="32">
        <f>K186+'A-TRY'!N186</f>
        <v>359781010.78306937</v>
      </c>
      <c r="O186" s="32">
        <f>L186+'A-TRY'!O186</f>
        <v>163782576.50609902</v>
      </c>
      <c r="P186" s="18"/>
      <c r="Q186" s="32">
        <f>N186+'A-TRY'!Q186</f>
        <v>450253009.63719535</v>
      </c>
      <c r="R186" s="32">
        <f>O186+'A-TRY'!R186</f>
        <v>158892962.17306459</v>
      </c>
      <c r="S186" s="18"/>
      <c r="T186" s="32">
        <f>Q186+'A-TRY'!T186</f>
        <v>542679115.08307207</v>
      </c>
      <c r="U186" s="32">
        <f>R186+'A-TRY'!U186</f>
        <v>196091128.02921933</v>
      </c>
      <c r="V186" s="18"/>
      <c r="W186" s="32">
        <f>T186+'A-TRY'!W186</f>
        <v>582379041.41537583</v>
      </c>
      <c r="X186" s="32">
        <f>U186+'A-TRY'!X186</f>
        <v>209905899.83930677</v>
      </c>
      <c r="Y186" s="18"/>
      <c r="Z186" s="32">
        <f>W186+'A-TRY'!Z186</f>
        <v>748901571.67218554</v>
      </c>
      <c r="AA186" s="32">
        <f>X186+'A-TRY'!AA186</f>
        <v>342203538.10626364</v>
      </c>
      <c r="AB186" s="18"/>
      <c r="AC186" s="32">
        <f>Z186+'A-TRY'!AC186</f>
        <v>900161266.27578068</v>
      </c>
      <c r="AD186" s="32">
        <f>AA186+'A-TRY'!AD186</f>
        <v>342203538.10626364</v>
      </c>
      <c r="AE186" s="18"/>
      <c r="AF186" s="32">
        <f>AC186+'A-TRY'!AF186</f>
        <v>1051224555.6059774</v>
      </c>
      <c r="AG186" s="32">
        <f>AD186+'A-TRY'!AG186</f>
        <v>342203538.10626364</v>
      </c>
      <c r="AH186" s="18"/>
      <c r="AI186" s="32">
        <f>AF186+'A-TRY'!AI186</f>
        <v>1150175100.6713731</v>
      </c>
      <c r="AJ186" s="32">
        <f>AG186+'A-TRY'!AJ186</f>
        <v>342203538.10626364</v>
      </c>
      <c r="AK186" s="18"/>
      <c r="AL186" s="33">
        <f>AP186-AO186</f>
        <v>-406698033.5659219</v>
      </c>
      <c r="AM186" s="34">
        <f>AP186/AO186-1</f>
        <v>-0.54305939385041735</v>
      </c>
      <c r="AO186" s="44">
        <f>IF($A$1=$B$1,B186,IF($A$1=$E$1,E186,IF($A$1=$H$1,H186,IF($A$1=$K$1,K186,IF($A$1=$N$1,N186,IF($A$1=$Q$1,Q186,IF($A$1=$T$1,T186,IF($A$1=$W$1,W186,IF($A$1=$Z$1,Z186,IF($A$1=$AC$1,AC186,IF($A$1=$AF$1,AF186,IF($A$1=$AI$1,AI186))))))))))))</f>
        <v>748901571.67218554</v>
      </c>
      <c r="AP186" s="44">
        <f>IF($A$1=$B$1,C186,IF($A$1=$E$1,F186,IF($A$1=$H$1,I186,IF($A$1=$K$1,L186,IF($A$1=$N$1,O186,IF($A$1=$Q$1,R186,IF($A$1=$T$1,U186,IF($A$1=$W$1,X186,IF($A$1=$Z$1,AA186,IF($A$1=$AC$1,AD186,IF($A$1=$AF$1,AG186,IF($A$1=$AI$1,AJ186))))))))))))</f>
        <v>342203538.10626364</v>
      </c>
    </row>
    <row r="187" spans="1:42" s="13" customFormat="1" ht="15.5">
      <c r="A187" s="27"/>
      <c r="B187" s="30"/>
      <c r="C187" s="30" t="str">
        <f>IFERROR((C144/#REF!),"")</f>
        <v/>
      </c>
      <c r="D187" s="41"/>
      <c r="E187" s="30"/>
      <c r="F187" s="30" t="str">
        <f>IFERROR((F144/#REF!),"")</f>
        <v/>
      </c>
      <c r="G187" s="41"/>
      <c r="H187" s="30"/>
      <c r="I187" s="30" t="str">
        <f>IFERROR((I144/#REF!),"")</f>
        <v/>
      </c>
      <c r="J187" s="41"/>
      <c r="K187" s="30"/>
      <c r="L187" s="30" t="str">
        <f>IFERROR((L144/#REF!),"")</f>
        <v/>
      </c>
      <c r="M187" s="41"/>
      <c r="N187" s="30"/>
      <c r="O187" s="30" t="str">
        <f>IFERROR((O144/#REF!),"")</f>
        <v/>
      </c>
      <c r="P187" s="41"/>
      <c r="Q187" s="30"/>
      <c r="R187" s="30" t="str">
        <f>IFERROR((R144/#REF!),"")</f>
        <v/>
      </c>
      <c r="S187" s="41"/>
      <c r="T187" s="30"/>
      <c r="U187" s="30" t="str">
        <f>IFERROR((U144/#REF!),"")</f>
        <v/>
      </c>
      <c r="V187" s="41"/>
      <c r="W187" s="30"/>
      <c r="X187" s="30" t="str">
        <f>IFERROR((X144/#REF!),"")</f>
        <v/>
      </c>
      <c r="Y187" s="41"/>
      <c r="Z187" s="30"/>
      <c r="AA187" s="30" t="str">
        <f>IFERROR((AA144/#REF!),"")</f>
        <v/>
      </c>
      <c r="AB187" s="41"/>
      <c r="AC187" s="30"/>
      <c r="AD187" s="30" t="str">
        <f>IFERROR((AD144/#REF!),"")</f>
        <v/>
      </c>
      <c r="AE187" s="41"/>
      <c r="AF187" s="30"/>
      <c r="AG187" s="30" t="str">
        <f>IFERROR((AG144/#REF!),"")</f>
        <v/>
      </c>
      <c r="AH187" s="41"/>
      <c r="AI187" s="30"/>
      <c r="AJ187" s="30" t="str">
        <f>IFERROR((AJ144/#REF!),"")</f>
        <v/>
      </c>
      <c r="AK187" s="41"/>
      <c r="AL187" s="15"/>
      <c r="AM187" s="22"/>
      <c r="AO187" s="44">
        <f>IF($A$1=$B$1,B187,IF($A$1=$E$1,E187,IF($A$1=$H$1,H187,IF($A$1=$K$1,K187,IF($A$1=$N$1,N187,IF($A$1=$Q$1,Q187,IF($A$1=$T$1,T187,IF($A$1=$W$1,W187,IF($A$1=$Z$1,Z187,IF($A$1=$AC$1,AC187,IF($A$1=$AF$1,AF187,IF($A$1=$AI$1,AI187))))))))))))</f>
        <v>0</v>
      </c>
      <c r="AP187" s="44" t="str">
        <f>IF($A$1=$B$1,C187,IF($A$1=$E$1,F187,IF($A$1=$H$1,I187,IF($A$1=$K$1,L187,IF($A$1=$N$1,O187,IF($A$1=$Q$1,R187,IF($A$1=$T$1,U187,IF($A$1=$W$1,X187,IF($A$1=$Z$1,AA187,IF($A$1=$AC$1,AD187,IF($A$1=$AF$1,AG187,IF($A$1=$AI$1,AJ187))))))))))))</f>
        <v/>
      </c>
    </row>
    <row r="188" spans="1:42" s="49" customFormat="1" ht="17">
      <c r="A188" s="47" t="s">
        <v>81</v>
      </c>
      <c r="B188" s="413"/>
      <c r="C188" s="413"/>
      <c r="D188" s="413"/>
      <c r="E188" s="413"/>
      <c r="F188" s="413"/>
      <c r="G188" s="413"/>
      <c r="H188" s="413"/>
      <c r="I188" s="413"/>
      <c r="J188" s="413"/>
      <c r="K188" s="413"/>
      <c r="L188" s="413"/>
      <c r="M188" s="413"/>
      <c r="N188" s="413"/>
      <c r="O188" s="413"/>
      <c r="P188" s="413"/>
      <c r="Q188" s="413"/>
      <c r="R188" s="413"/>
      <c r="S188" s="413"/>
      <c r="T188" s="413"/>
      <c r="U188" s="413"/>
      <c r="V188" s="413"/>
      <c r="W188" s="413"/>
      <c r="X188" s="413"/>
      <c r="Y188" s="413"/>
      <c r="Z188" s="413"/>
      <c r="AA188" s="413"/>
      <c r="AB188" s="413"/>
      <c r="AC188" s="413"/>
      <c r="AD188" s="413"/>
      <c r="AE188" s="413"/>
      <c r="AF188" s="413"/>
      <c r="AG188" s="413"/>
      <c r="AH188" s="413"/>
      <c r="AI188" s="413"/>
      <c r="AJ188" s="413"/>
      <c r="AK188" s="413"/>
      <c r="AL188" s="413"/>
      <c r="AM188" s="48"/>
    </row>
    <row r="189" spans="1:42" ht="15.5">
      <c r="A189" s="26" t="s">
        <v>10</v>
      </c>
      <c r="B189" s="7">
        <f>'A-TRY'!B189</f>
        <v>12841408.032915</v>
      </c>
      <c r="C189" s="7">
        <f>'A-TRY'!C189</f>
        <v>6693595.4400000004</v>
      </c>
      <c r="D189" s="7"/>
      <c r="E189" s="7">
        <f>B189+'A-TRY'!E189</f>
        <v>23718949.91832</v>
      </c>
      <c r="F189" s="7">
        <f>C189+'A-TRY'!F189</f>
        <v>24004114.77</v>
      </c>
      <c r="G189" s="7"/>
      <c r="H189" s="7">
        <f>E189+'A-TRY'!H189</f>
        <v>34356460.958474003</v>
      </c>
      <c r="I189" s="7">
        <f>F189+'A-TRY'!I189</f>
        <v>56931591.280000001</v>
      </c>
      <c r="J189" s="7"/>
      <c r="K189" s="7">
        <f>H189+'A-TRY'!K189</f>
        <v>45448077.853986003</v>
      </c>
      <c r="L189" s="7">
        <f>I189+'A-TRY'!L189</f>
        <v>78381759.459998995</v>
      </c>
      <c r="M189" s="7"/>
      <c r="N189" s="7">
        <f>K189+'A-TRY'!N189</f>
        <v>57397339.360263005</v>
      </c>
      <c r="O189" s="7">
        <f>L189+'A-TRY'!O189</f>
        <v>92069370.990000993</v>
      </c>
      <c r="P189" s="7"/>
      <c r="Q189" s="7">
        <f>N189+'A-TRY'!Q189</f>
        <v>70518653.539246008</v>
      </c>
      <c r="R189" s="7">
        <f>O189+'A-TRY'!R189</f>
        <v>103010218.269999</v>
      </c>
      <c r="S189" s="7"/>
      <c r="T189" s="7">
        <f>Q189+'A-TRY'!T189</f>
        <v>84401103.141345009</v>
      </c>
      <c r="U189" s="7">
        <f>R189+'A-TRY'!U189</f>
        <v>113962821.779999</v>
      </c>
      <c r="V189" s="7"/>
      <c r="W189" s="7">
        <f>T189+'A-TRY'!W189</f>
        <v>95652087.348631009</v>
      </c>
      <c r="X189" s="7">
        <f>U189+'A-TRY'!X189</f>
        <v>127748555.069998</v>
      </c>
      <c r="Y189" s="7"/>
      <c r="Z189" s="7">
        <f>W189+'A-TRY'!Z189</f>
        <v>114718049.61834902</v>
      </c>
      <c r="AA189" s="7">
        <f>X189+'A-TRY'!AA189</f>
        <v>152189922.639999</v>
      </c>
      <c r="AB189" s="7"/>
      <c r="AC189" s="7">
        <f>Z189+'A-TRY'!AC189</f>
        <v>132005244.81931102</v>
      </c>
      <c r="AD189" s="7">
        <f>AA189+'A-TRY'!AD189</f>
        <v>152189922.639999</v>
      </c>
      <c r="AE189" s="7"/>
      <c r="AF189" s="7">
        <f>AC189+'A-TRY'!AF189</f>
        <v>147676032.12518102</v>
      </c>
      <c r="AG189" s="7">
        <f>AD189+'A-TRY'!AG189</f>
        <v>152189922.639999</v>
      </c>
      <c r="AH189" s="7"/>
      <c r="AI189" s="7">
        <f>AF189+'A-TRY'!AI189</f>
        <v>138891659.66472501</v>
      </c>
      <c r="AJ189" s="7">
        <f>AG189+'A-TRY'!AJ189</f>
        <v>152189922.639999</v>
      </c>
      <c r="AK189" s="7"/>
      <c r="AL189" s="21">
        <f t="shared" ref="AL189:AL196" si="95">AP189-AO189</f>
        <v>37471873.021649987</v>
      </c>
      <c r="AM189" s="22">
        <f t="shared" ref="AM189:AM196" si="96">AP189/AO189-1</f>
        <v>0.32664321914741135</v>
      </c>
      <c r="AO189" s="44">
        <f t="shared" ref="AO189:AP196" si="97">IF($A$1=$B$1,B189,IF($A$1=$E$1,E189,IF($A$1=$H$1,H189,IF($A$1=$K$1,K189,IF($A$1=$N$1,N189,IF($A$1=$Q$1,Q189,IF($A$1=$T$1,T189,IF($A$1=$W$1,W189,IF($A$1=$Z$1,Z189,IF($A$1=$AC$1,AC189,IF($A$1=$AF$1,AF189,IF($A$1=$AI$1,AI189))))))))))))</f>
        <v>114718049.61834902</v>
      </c>
      <c r="AP189" s="44">
        <f t="shared" si="97"/>
        <v>152189922.639999</v>
      </c>
    </row>
    <row r="190" spans="1:42" ht="15.5">
      <c r="A190" s="26" t="s">
        <v>11</v>
      </c>
      <c r="B190" s="7">
        <f>'A-TRY'!B190</f>
        <v>-1370684.784731</v>
      </c>
      <c r="C190" s="7">
        <f>'A-TRY'!C190</f>
        <v>-2703762.2325309999</v>
      </c>
      <c r="D190" s="7"/>
      <c r="E190" s="7">
        <f>B190+'A-TRY'!E190</f>
        <v>1586079.9466250001</v>
      </c>
      <c r="F190" s="7">
        <f>C190+'A-TRY'!F190</f>
        <v>-3240538.2012240002</v>
      </c>
      <c r="G190" s="7"/>
      <c r="H190" s="7">
        <f>E190+'A-TRY'!H190</f>
        <v>5361929.3595679998</v>
      </c>
      <c r="I190" s="7">
        <f>F190+'A-TRY'!I190</f>
        <v>-5822220.2366620004</v>
      </c>
      <c r="J190" s="7"/>
      <c r="K190" s="7">
        <f>H190+'A-TRY'!K190</f>
        <v>11883378.39347</v>
      </c>
      <c r="L190" s="7">
        <f>I190+'A-TRY'!L190</f>
        <v>-2640004.4394410006</v>
      </c>
      <c r="M190" s="7"/>
      <c r="N190" s="7">
        <f>K190+'A-TRY'!N190</f>
        <v>20201199.911676001</v>
      </c>
      <c r="O190" s="7">
        <f>L190+'A-TRY'!O190</f>
        <v>-7507293.2973280009</v>
      </c>
      <c r="P190" s="7"/>
      <c r="Q190" s="7">
        <f>N190+'A-TRY'!Q190</f>
        <v>27887467.970594</v>
      </c>
      <c r="R190" s="7">
        <f>O190+'A-TRY'!R190</f>
        <v>-25209501.578780003</v>
      </c>
      <c r="S190" s="7"/>
      <c r="T190" s="7">
        <f>Q190+'A-TRY'!T190</f>
        <v>33802101.087349996</v>
      </c>
      <c r="U190" s="7">
        <f>R190+'A-TRY'!U190</f>
        <v>-27311839.357997004</v>
      </c>
      <c r="V190" s="7"/>
      <c r="W190" s="7">
        <f>T190+'A-TRY'!W190</f>
        <v>35031099.140893996</v>
      </c>
      <c r="X190" s="7">
        <f>U190+'A-TRY'!X190</f>
        <v>-35363963.589298002</v>
      </c>
      <c r="Y190" s="7"/>
      <c r="Z190" s="7">
        <f>W190+'A-TRY'!Z190</f>
        <v>37533141.911467999</v>
      </c>
      <c r="AA190" s="7">
        <f>X190+'A-TRY'!AA190</f>
        <v>-44268739.088364005</v>
      </c>
      <c r="AB190" s="7"/>
      <c r="AC190" s="7">
        <f>Z190+'A-TRY'!AC190</f>
        <v>38216867.888504997</v>
      </c>
      <c r="AD190" s="7">
        <f>AA190+'A-TRY'!AD190</f>
        <v>-44268739.088364005</v>
      </c>
      <c r="AE190" s="7"/>
      <c r="AF190" s="7">
        <f>AC190+'A-TRY'!AF190</f>
        <v>37686271.194476999</v>
      </c>
      <c r="AG190" s="7">
        <f>AD190+'A-TRY'!AG190</f>
        <v>-44268739.088364005</v>
      </c>
      <c r="AH190" s="7"/>
      <c r="AI190" s="7">
        <f>AF190+'A-TRY'!AI190</f>
        <v>35395578.265368998</v>
      </c>
      <c r="AJ190" s="7">
        <f>AG190+'A-TRY'!AJ190</f>
        <v>-44268739.088364005</v>
      </c>
      <c r="AK190" s="7"/>
      <c r="AL190" s="21">
        <f t="shared" si="95"/>
        <v>-81801880.999832004</v>
      </c>
      <c r="AM190" s="22">
        <f t="shared" si="96"/>
        <v>-2.1794573231514622</v>
      </c>
      <c r="AO190" s="44">
        <f t="shared" si="97"/>
        <v>37533141.911467999</v>
      </c>
      <c r="AP190" s="44">
        <f t="shared" si="97"/>
        <v>-44268739.088364005</v>
      </c>
    </row>
    <row r="191" spans="1:42" ht="15.5">
      <c r="A191" s="26" t="s">
        <v>12</v>
      </c>
      <c r="B191" s="7">
        <f>'A-TRY'!B191</f>
        <v>-3476655.1079119998</v>
      </c>
      <c r="C191" s="7">
        <f>'A-TRY'!C191</f>
        <v>44197.308599999997</v>
      </c>
      <c r="D191" s="7"/>
      <c r="E191" s="7">
        <f>B191+'A-TRY'!E191</f>
        <v>-5493602.9996079998</v>
      </c>
      <c r="F191" s="7">
        <f>C191+'A-TRY'!F191</f>
        <v>124024.06015599999</v>
      </c>
      <c r="G191" s="7"/>
      <c r="H191" s="7">
        <f>E191+'A-TRY'!H191</f>
        <v>-5401819.9517310001</v>
      </c>
      <c r="I191" s="7">
        <f>F191+'A-TRY'!I191</f>
        <v>-1016187.389844</v>
      </c>
      <c r="J191" s="7"/>
      <c r="K191" s="7">
        <f>H191+'A-TRY'!K191</f>
        <v>-5515320.8479249999</v>
      </c>
      <c r="L191" s="7">
        <f>I191+'A-TRY'!L191</f>
        <v>-1716119.3352729999</v>
      </c>
      <c r="M191" s="7"/>
      <c r="N191" s="7">
        <f>K191+'A-TRY'!N191</f>
        <v>-3216986.9346670001</v>
      </c>
      <c r="O191" s="7">
        <f>L191+'A-TRY'!O191</f>
        <v>-1258386.845273</v>
      </c>
      <c r="P191" s="7"/>
      <c r="Q191" s="7">
        <f>N191+'A-TRY'!Q191</f>
        <v>-895160.80428799987</v>
      </c>
      <c r="R191" s="7">
        <f>O191+'A-TRY'!R191</f>
        <v>-2588172.8452730002</v>
      </c>
      <c r="S191" s="7"/>
      <c r="T191" s="7">
        <f>Q191+'A-TRY'!T191</f>
        <v>2481047.3489049999</v>
      </c>
      <c r="U191" s="7">
        <f>R191+'A-TRY'!U191</f>
        <v>-4298540.8791370001</v>
      </c>
      <c r="V191" s="7"/>
      <c r="W191" s="7">
        <f>T191+'A-TRY'!W191</f>
        <v>4662445.1763119996</v>
      </c>
      <c r="X191" s="7">
        <f>U191+'A-TRY'!X191</f>
        <v>-5662067.4417599998</v>
      </c>
      <c r="Y191" s="7"/>
      <c r="Z191" s="7">
        <f>W191+'A-TRY'!Z191</f>
        <v>6079295.8508749995</v>
      </c>
      <c r="AA191" s="7">
        <f>X191+'A-TRY'!AA191</f>
        <v>-4348110.966031</v>
      </c>
      <c r="AB191" s="7"/>
      <c r="AC191" s="7">
        <f>Z191+'A-TRY'!AC191</f>
        <v>8415833.6323819999</v>
      </c>
      <c r="AD191" s="7">
        <f>AA191+'A-TRY'!AD191</f>
        <v>-4348110.966031</v>
      </c>
      <c r="AE191" s="7"/>
      <c r="AF191" s="7">
        <f>AC191+'A-TRY'!AF191</f>
        <v>11633440.122269999</v>
      </c>
      <c r="AG191" s="7">
        <f>AD191+'A-TRY'!AG191</f>
        <v>-4348110.966031</v>
      </c>
      <c r="AH191" s="7"/>
      <c r="AI191" s="7">
        <f>AF191+'A-TRY'!AI191</f>
        <v>11776140.523591999</v>
      </c>
      <c r="AJ191" s="7">
        <f>AG191+'A-TRY'!AJ191</f>
        <v>-4348110.966031</v>
      </c>
      <c r="AK191" s="7"/>
      <c r="AL191" s="21">
        <f t="shared" si="95"/>
        <v>-10427406.816906</v>
      </c>
      <c r="AM191" s="22">
        <f t="shared" si="96"/>
        <v>-1.7152326638956339</v>
      </c>
      <c r="AO191" s="44">
        <f t="shared" si="97"/>
        <v>6079295.8508749995</v>
      </c>
      <c r="AP191" s="44">
        <f t="shared" si="97"/>
        <v>-4348110.966031</v>
      </c>
    </row>
    <row r="192" spans="1:42" ht="15.5">
      <c r="A192" s="26" t="s">
        <v>13</v>
      </c>
      <c r="B192" s="7">
        <f>'A-TRY'!B192</f>
        <v>-19572019.619374</v>
      </c>
      <c r="C192" s="7">
        <f>'A-TRY'!C192</f>
        <v>-59473752.741926</v>
      </c>
      <c r="D192" s="7"/>
      <c r="E192" s="7">
        <f>B192+'A-TRY'!E192</f>
        <v>-62436860.00828699</v>
      </c>
      <c r="F192" s="7">
        <f>C192+'A-TRY'!F192</f>
        <v>-126825947.94672699</v>
      </c>
      <c r="G192" s="7"/>
      <c r="H192" s="7">
        <f>E192+'A-TRY'!H192</f>
        <v>-98891053.619537979</v>
      </c>
      <c r="I192" s="7">
        <f>F192+'A-TRY'!I192</f>
        <v>-294825064.69756299</v>
      </c>
      <c r="J192" s="7"/>
      <c r="K192" s="7">
        <f>H192+'A-TRY'!K192</f>
        <v>-156619573.483244</v>
      </c>
      <c r="L192" s="7">
        <f>I192+'A-TRY'!L192</f>
        <v>-501844185.02474099</v>
      </c>
      <c r="M192" s="7"/>
      <c r="N192" s="7">
        <f>K192+'A-TRY'!N192</f>
        <v>-174573249.375907</v>
      </c>
      <c r="O192" s="7">
        <f>L192+'A-TRY'!O192</f>
        <v>-630543900.53443396</v>
      </c>
      <c r="P192" s="7"/>
      <c r="Q192" s="7">
        <f>N192+'A-TRY'!Q192</f>
        <v>-176124348.85750499</v>
      </c>
      <c r="R192" s="7">
        <f>O192+'A-TRY'!R192</f>
        <v>-769495446.84168994</v>
      </c>
      <c r="S192" s="5">
        <f>R192/Q192</f>
        <v>4.3690463688485073</v>
      </c>
      <c r="T192" s="7">
        <f>Q192+'A-TRY'!T192</f>
        <v>-182729606.61005801</v>
      </c>
      <c r="U192" s="7">
        <f>R192+'A-TRY'!U192</f>
        <v>-924281167.2370069</v>
      </c>
      <c r="V192" s="7"/>
      <c r="W192" s="7">
        <f>T192+'A-TRY'!W192</f>
        <v>-183436272.10807002</v>
      </c>
      <c r="X192" s="7">
        <f>U192+'A-TRY'!X192</f>
        <v>-1016098496.7910219</v>
      </c>
      <c r="Y192" s="7"/>
      <c r="Z192" s="7">
        <f>W192+'A-TRY'!Z192</f>
        <v>-165869232.73068303</v>
      </c>
      <c r="AA192" s="7">
        <f>X192+'A-TRY'!AA192</f>
        <v>-1135629175.9205799</v>
      </c>
      <c r="AB192" s="7"/>
      <c r="AC192" s="7">
        <f>Z192+'A-TRY'!AC192</f>
        <v>-111677479.86180103</v>
      </c>
      <c r="AD192" s="7">
        <f>AA192+'A-TRY'!AD192</f>
        <v>-1135629175.9205799</v>
      </c>
      <c r="AE192" s="7"/>
      <c r="AF192" s="7">
        <f>AC192+'A-TRY'!AF192</f>
        <v>-47098392.795307025</v>
      </c>
      <c r="AG192" s="7">
        <f>AD192+'A-TRY'!AG192</f>
        <v>-1135629175.9205799</v>
      </c>
      <c r="AH192" s="7"/>
      <c r="AI192" s="7">
        <f>AF192+'A-TRY'!AI192</f>
        <v>48175268.32986097</v>
      </c>
      <c r="AJ192" s="7">
        <f>AG192+'A-TRY'!AJ192</f>
        <v>-1135629175.9205799</v>
      </c>
      <c r="AK192" s="7"/>
      <c r="AL192" s="21">
        <f t="shared" si="95"/>
        <v>-969759943.18989682</v>
      </c>
      <c r="AM192" s="22">
        <f t="shared" si="96"/>
        <v>5.8465330020816308</v>
      </c>
      <c r="AO192" s="44">
        <f t="shared" si="97"/>
        <v>-165869232.73068303</v>
      </c>
      <c r="AP192" s="44">
        <f t="shared" si="97"/>
        <v>-1135629175.9205799</v>
      </c>
    </row>
    <row r="193" spans="1:42" s="1" customFormat="1" ht="15.5">
      <c r="A193" s="26" t="s">
        <v>14</v>
      </c>
      <c r="B193" s="7">
        <f>'A-TRY'!B193</f>
        <v>11363986.999999998</v>
      </c>
      <c r="C193" s="7">
        <f>'A-TRY'!C193</f>
        <v>5982504.1887440002</v>
      </c>
      <c r="D193" s="8"/>
      <c r="E193" s="7">
        <f>B193+'A-TRY'!E193</f>
        <v>24679953.039334998</v>
      </c>
      <c r="F193" s="7">
        <f>C193+'A-TRY'!F193</f>
        <v>20769523.519889999</v>
      </c>
      <c r="G193" s="8"/>
      <c r="H193" s="7">
        <f>E193+'A-TRY'!H193</f>
        <v>37130033.039334998</v>
      </c>
      <c r="I193" s="7">
        <f>F193+'A-TRY'!I193</f>
        <v>40237598.897310004</v>
      </c>
      <c r="J193" s="8"/>
      <c r="K193" s="7">
        <f>H193+'A-TRY'!K193</f>
        <v>30017997.572851423</v>
      </c>
      <c r="L193" s="7">
        <f>I193+'A-TRY'!L193</f>
        <v>35869506.364268005</v>
      </c>
      <c r="M193" s="8"/>
      <c r="N193" s="7">
        <f>K193+'A-TRY'!N193</f>
        <v>30152966.469593711</v>
      </c>
      <c r="O193" s="7">
        <f>L193+'A-TRY'!O193</f>
        <v>35466194.195616007</v>
      </c>
      <c r="P193" s="8"/>
      <c r="Q193" s="7">
        <f>N193+'A-TRY'!Q193</f>
        <v>27048015.026468955</v>
      </c>
      <c r="R193" s="7">
        <f>O193+'A-TRY'!R193</f>
        <v>34042914.486166008</v>
      </c>
      <c r="S193" s="8"/>
      <c r="T193" s="7">
        <f>Q193+'A-TRY'!T193</f>
        <v>30422874.85381975</v>
      </c>
      <c r="U193" s="7">
        <f>R193+'A-TRY'!U193</f>
        <v>41378167.379352011</v>
      </c>
      <c r="V193" s="8"/>
      <c r="W193" s="7">
        <f>T193+'A-TRY'!W193</f>
        <v>35904107.82102783</v>
      </c>
      <c r="X193" s="7">
        <f>U193+'A-TRY'!X193</f>
        <v>48708737.843091011</v>
      </c>
      <c r="Y193" s="8"/>
      <c r="Z193" s="7">
        <f>W193+'A-TRY'!Z193</f>
        <v>40887560.193101794</v>
      </c>
      <c r="AA193" s="7">
        <f>X193+'A-TRY'!AA193</f>
        <v>61006143.989342012</v>
      </c>
      <c r="AB193" s="8"/>
      <c r="AC193" s="7">
        <f>Z193+'A-TRY'!AC193</f>
        <v>53838741.041118927</v>
      </c>
      <c r="AD193" s="7">
        <f>AA193+'A-TRY'!AD193</f>
        <v>61006143.989342012</v>
      </c>
      <c r="AE193" s="8"/>
      <c r="AF193" s="7">
        <f>AC193+'A-TRY'!AF193</f>
        <v>62386481.979340561</v>
      </c>
      <c r="AG193" s="7">
        <f>AD193+'A-TRY'!AG193</f>
        <v>61006143.989342012</v>
      </c>
      <c r="AH193" s="8"/>
      <c r="AI193" s="7">
        <f>AF193+'A-TRY'!AI193</f>
        <v>66489739.328790054</v>
      </c>
      <c r="AJ193" s="7">
        <f>AG193+'A-TRY'!AJ193</f>
        <v>61006143.989342012</v>
      </c>
      <c r="AK193" s="8"/>
      <c r="AL193" s="21">
        <f t="shared" si="95"/>
        <v>20118583.796240218</v>
      </c>
      <c r="AM193" s="22">
        <f t="shared" si="96"/>
        <v>0.49204657116309081</v>
      </c>
      <c r="AO193" s="44">
        <f t="shared" si="97"/>
        <v>40887560.193101794</v>
      </c>
      <c r="AP193" s="44">
        <f t="shared" si="97"/>
        <v>61006143.989342012</v>
      </c>
    </row>
    <row r="194" spans="1:42" ht="15.5">
      <c r="A194" s="26" t="s">
        <v>15</v>
      </c>
      <c r="B194" s="7">
        <f>'A-TRY'!B194</f>
        <v>14683125.228688745</v>
      </c>
      <c r="C194" s="7">
        <f>'A-TRY'!C194</f>
        <v>34266078.670215808</v>
      </c>
      <c r="D194" s="7"/>
      <c r="E194" s="7">
        <f>B194+'A-TRY'!E194</f>
        <v>54682750.151742987</v>
      </c>
      <c r="F194" s="7">
        <f>C194+'A-TRY'!F194</f>
        <v>88208202.378166974</v>
      </c>
      <c r="G194" s="7"/>
      <c r="H194" s="7">
        <f>E194+'A-TRY'!H194</f>
        <v>133830699.9871625</v>
      </c>
      <c r="I194" s="7">
        <f>F194+'A-TRY'!I194</f>
        <v>151327421.20570892</v>
      </c>
      <c r="J194" s="7"/>
      <c r="K194" s="7">
        <f>H194+'A-TRY'!K194</f>
        <v>151921549.02438173</v>
      </c>
      <c r="L194" s="7">
        <f>I194+'A-TRY'!L194</f>
        <v>222376866.64975896</v>
      </c>
      <c r="M194" s="7"/>
      <c r="N194" s="7">
        <f>K194+'A-TRY'!N194</f>
        <v>198268002.76724136</v>
      </c>
      <c r="O194" s="7">
        <f>L194+'A-TRY'!O194</f>
        <v>289298266.23533207</v>
      </c>
      <c r="P194" s="7"/>
      <c r="Q194" s="7">
        <f>N194+'A-TRY'!Q194</f>
        <v>256792432.11617023</v>
      </c>
      <c r="R194" s="7">
        <f>O194+'A-TRY'!R194</f>
        <v>353333489.20890152</v>
      </c>
      <c r="S194" s="7"/>
      <c r="T194" s="7">
        <f>Q194+'A-TRY'!T194</f>
        <v>277616711.9655354</v>
      </c>
      <c r="U194" s="7">
        <f>R194+'A-TRY'!U194</f>
        <v>401979724.06335384</v>
      </c>
      <c r="V194" s="7"/>
      <c r="W194" s="7">
        <f>T194+'A-TRY'!W194</f>
        <v>282395680.51938063</v>
      </c>
      <c r="X194" s="7">
        <f>U194+'A-TRY'!X194</f>
        <v>431171833.9584806</v>
      </c>
      <c r="Y194" s="7"/>
      <c r="Z194" s="7">
        <f>W194+'A-TRY'!Z194</f>
        <v>388704102.62426317</v>
      </c>
      <c r="AA194" s="7">
        <f>X194+'A-TRY'!AA194</f>
        <v>550539122.23695254</v>
      </c>
      <c r="AB194" s="7"/>
      <c r="AC194" s="7">
        <f>Z194+'A-TRY'!AC194</f>
        <v>452422061.05279171</v>
      </c>
      <c r="AD194" s="7">
        <f>AA194+'A-TRY'!AD194</f>
        <v>550539122.23695254</v>
      </c>
      <c r="AE194" s="7"/>
      <c r="AF194" s="7">
        <f>AC194+'A-TRY'!AF194</f>
        <v>517819663.54703754</v>
      </c>
      <c r="AG194" s="7">
        <f>AD194+'A-TRY'!AG194</f>
        <v>550539122.23695254</v>
      </c>
      <c r="AH194" s="7"/>
      <c r="AI194" s="7">
        <f>AF194+'A-TRY'!AI194</f>
        <v>567233777.42702198</v>
      </c>
      <c r="AJ194" s="7">
        <f>AG194+'A-TRY'!AJ194</f>
        <v>550539122.23695254</v>
      </c>
      <c r="AK194" s="7"/>
      <c r="AL194" s="21">
        <f t="shared" si="95"/>
        <v>161835019.61268938</v>
      </c>
      <c r="AM194" s="22">
        <f t="shared" si="96"/>
        <v>0.41634502574089249</v>
      </c>
      <c r="AO194" s="44">
        <f t="shared" si="97"/>
        <v>388704102.62426317</v>
      </c>
      <c r="AP194" s="44">
        <f t="shared" si="97"/>
        <v>550539122.23695254</v>
      </c>
    </row>
    <row r="195" spans="1:42" s="1" customFormat="1" ht="15.5">
      <c r="A195" s="26" t="s">
        <v>16</v>
      </c>
      <c r="B195" s="7">
        <f>'A-TRY'!B195</f>
        <v>45602759.967029229</v>
      </c>
      <c r="C195" s="7">
        <f>'A-TRY'!C195</f>
        <v>39366711.497949675</v>
      </c>
      <c r="D195" s="8"/>
      <c r="E195" s="7">
        <f>B195+'A-TRY'!E195</f>
        <v>87153245.902363777</v>
      </c>
      <c r="F195" s="7">
        <f>C195+'A-TRY'!F195</f>
        <v>103200067.83910114</v>
      </c>
      <c r="G195" s="8"/>
      <c r="H195" s="7">
        <f>E195+'A-TRY'!H195</f>
        <v>150806692.69270617</v>
      </c>
      <c r="I195" s="7">
        <f>F195+'A-TRY'!I195</f>
        <v>155305782.1644218</v>
      </c>
      <c r="J195" s="8"/>
      <c r="K195" s="7">
        <f>H195+'A-TRY'!K195</f>
        <v>214049532.99576578</v>
      </c>
      <c r="L195" s="7">
        <f>I195+'A-TRY'!L195</f>
        <v>159126129.88365588</v>
      </c>
      <c r="M195" s="8"/>
      <c r="N195" s="7">
        <f>K195+'A-TRY'!N195</f>
        <v>282384301.53722364</v>
      </c>
      <c r="O195" s="7">
        <f>L195+'A-TRY'!O195</f>
        <v>220880847.9566963</v>
      </c>
      <c r="P195" s="8"/>
      <c r="Q195" s="7">
        <f>N195+'A-TRY'!Q195</f>
        <v>337233690.16951019</v>
      </c>
      <c r="R195" s="7">
        <f>O195+'A-TRY'!R195</f>
        <v>239248260.16407827</v>
      </c>
      <c r="S195" s="8"/>
      <c r="T195" s="7">
        <f>Q195+'A-TRY'!T195</f>
        <v>384758621.36645275</v>
      </c>
      <c r="U195" s="7">
        <f>R195+'A-TRY'!U195</f>
        <v>342785519.77083278</v>
      </c>
      <c r="V195" s="8"/>
      <c r="W195" s="7">
        <f>T195+'A-TRY'!W195</f>
        <v>411722046.80893266</v>
      </c>
      <c r="X195" s="7">
        <f>U195+'A-TRY'!X195</f>
        <v>387113465.81329387</v>
      </c>
      <c r="Y195" s="8"/>
      <c r="Z195" s="7">
        <f>W195+'A-TRY'!Z195</f>
        <v>496364605.97714829</v>
      </c>
      <c r="AA195" s="7">
        <f>X195+'A-TRY'!AA195</f>
        <v>512785789.5238384</v>
      </c>
      <c r="AB195" s="8"/>
      <c r="AC195" s="7">
        <f>Z195+'A-TRY'!AC195</f>
        <v>573879021.05956829</v>
      </c>
      <c r="AD195" s="7">
        <f>AA195+'A-TRY'!AD195</f>
        <v>512785789.5238384</v>
      </c>
      <c r="AE195" s="8"/>
      <c r="AF195" s="7">
        <f>AC195+'A-TRY'!AF195</f>
        <v>647446129.22394609</v>
      </c>
      <c r="AG195" s="7">
        <f>AD195+'A-TRY'!AG195</f>
        <v>512785789.5238384</v>
      </c>
      <c r="AH195" s="8"/>
      <c r="AI195" s="7">
        <f>AF195+'A-TRY'!AI195</f>
        <v>689635132.41439664</v>
      </c>
      <c r="AJ195" s="7">
        <f>AG195+'A-TRY'!AJ195</f>
        <v>512785789.5238384</v>
      </c>
      <c r="AK195" s="8"/>
      <c r="AL195" s="21">
        <f t="shared" si="95"/>
        <v>16421183.546690106</v>
      </c>
      <c r="AM195" s="22">
        <f t="shared" si="96"/>
        <v>3.3082905890042591E-2</v>
      </c>
      <c r="AO195" s="44">
        <f t="shared" si="97"/>
        <v>496364605.97714829</v>
      </c>
      <c r="AP195" s="44">
        <f t="shared" si="97"/>
        <v>512785789.5238384</v>
      </c>
    </row>
    <row r="196" spans="1:42" s="1" customFormat="1" ht="15.5">
      <c r="A196" s="26" t="s">
        <v>17</v>
      </c>
      <c r="B196" s="7">
        <f>'A-TRY'!B196</f>
        <v>72549963.732655719</v>
      </c>
      <c r="C196" s="7">
        <f>'A-TRY'!C196</f>
        <v>66897250.103214458</v>
      </c>
      <c r="D196" s="8"/>
      <c r="E196" s="7">
        <f>B196+'A-TRY'!E196</f>
        <v>149921712.80118516</v>
      </c>
      <c r="F196" s="7">
        <f>C196+'A-TRY'!F196</f>
        <v>84674092.431145608</v>
      </c>
      <c r="G196" s="8"/>
      <c r="H196" s="7">
        <f>E196+'A-TRY'!H196</f>
        <v>217546455.53218096</v>
      </c>
      <c r="I196" s="7">
        <f>F196+'A-TRY'!I196</f>
        <v>126840226.38942239</v>
      </c>
      <c r="J196" s="8"/>
      <c r="K196" s="7">
        <f>H196+'A-TRY'!K196</f>
        <v>278000594.5765934</v>
      </c>
      <c r="L196" s="7">
        <f>I196+'A-TRY'!L196</f>
        <v>174391013.29251286</v>
      </c>
      <c r="M196" s="8"/>
      <c r="N196" s="7">
        <f>K196+'A-TRY'!N196</f>
        <v>377266624.71634161</v>
      </c>
      <c r="O196" s="7">
        <f>L196+'A-TRY'!O196</f>
        <v>286095806.2935372</v>
      </c>
      <c r="P196" s="8"/>
      <c r="Q196" s="7">
        <f>N196+'A-TRY'!Q196</f>
        <v>436905333.87446386</v>
      </c>
      <c r="R196" s="7">
        <f>O196+'A-TRY'!R196</f>
        <v>352071828.80034071</v>
      </c>
      <c r="S196" s="8"/>
      <c r="T196" s="7">
        <f>Q196+'A-TRY'!T196</f>
        <v>544918557.18792999</v>
      </c>
      <c r="U196" s="7">
        <f>R196+'A-TRY'!U196</f>
        <v>422484472.23935425</v>
      </c>
      <c r="V196" s="8"/>
      <c r="W196" s="7">
        <f>T196+'A-TRY'!W196</f>
        <v>570997961.33257568</v>
      </c>
      <c r="X196" s="7">
        <f>U196+'A-TRY'!X196</f>
        <v>457062898.67707348</v>
      </c>
      <c r="Y196" s="8"/>
      <c r="Z196" s="7">
        <f>W196+'A-TRY'!Z196</f>
        <v>716340674.6649034</v>
      </c>
      <c r="AA196" s="7">
        <f>X196+'A-TRY'!AA196</f>
        <v>607874283.97209597</v>
      </c>
      <c r="AB196" s="8"/>
      <c r="AC196" s="7">
        <f>Z196+'A-TRY'!AC196</f>
        <v>835345956.54727864</v>
      </c>
      <c r="AD196" s="7">
        <f>AA196+'A-TRY'!AD196</f>
        <v>607874283.97209597</v>
      </c>
      <c r="AE196" s="8"/>
      <c r="AF196" s="7">
        <f>AC196+'A-TRY'!AF196</f>
        <v>955018148.45510614</v>
      </c>
      <c r="AG196" s="7">
        <f>AD196+'A-TRY'!AG196</f>
        <v>607874283.97209597</v>
      </c>
      <c r="AH196" s="8"/>
      <c r="AI196" s="7">
        <f>AF196+'A-TRY'!AI196</f>
        <v>1038745388.044148</v>
      </c>
      <c r="AJ196" s="7">
        <f>AG196+'A-TRY'!AJ196</f>
        <v>607874283.97209597</v>
      </c>
      <c r="AK196" s="8"/>
      <c r="AL196" s="21">
        <f t="shared" si="95"/>
        <v>-108466390.69280744</v>
      </c>
      <c r="AM196" s="22">
        <f t="shared" si="96"/>
        <v>-0.15141732771707661</v>
      </c>
      <c r="AO196" s="44">
        <f t="shared" si="97"/>
        <v>716340674.6649034</v>
      </c>
      <c r="AP196" s="44">
        <f t="shared" si="97"/>
        <v>607874283.97209597</v>
      </c>
    </row>
    <row r="197" spans="1:42" s="1" customFormat="1" ht="15.5">
      <c r="A197" s="26"/>
      <c r="B197" s="7"/>
      <c r="C197" s="8"/>
      <c r="D197" s="8"/>
      <c r="E197" s="7"/>
      <c r="F197" s="8"/>
      <c r="G197" s="8"/>
      <c r="H197" s="7"/>
      <c r="I197" s="8"/>
      <c r="J197" s="8"/>
      <c r="K197" s="7"/>
      <c r="L197" s="8"/>
      <c r="M197" s="8"/>
      <c r="N197" s="7"/>
      <c r="O197" s="8"/>
      <c r="P197" s="8"/>
      <c r="Q197" s="7"/>
      <c r="R197" s="8"/>
      <c r="S197" s="8"/>
      <c r="T197" s="7"/>
      <c r="U197" s="8"/>
      <c r="V197" s="8"/>
      <c r="W197" s="7"/>
      <c r="X197" s="8"/>
      <c r="Y197" s="8"/>
      <c r="Z197" s="7"/>
      <c r="AA197" s="8"/>
      <c r="AB197" s="8"/>
      <c r="AC197" s="7"/>
      <c r="AD197" s="8"/>
      <c r="AE197" s="8"/>
      <c r="AF197" s="7"/>
      <c r="AG197" s="8"/>
      <c r="AH197" s="8"/>
      <c r="AI197" s="7"/>
      <c r="AJ197" s="8"/>
      <c r="AK197" s="8"/>
      <c r="AL197" s="15"/>
      <c r="AM197" s="16"/>
      <c r="AO197" s="44"/>
      <c r="AP197" s="44"/>
    </row>
    <row r="198" spans="1:42" s="1" customFormat="1" ht="15.5">
      <c r="A198" s="26"/>
      <c r="B198" s="7"/>
      <c r="C198" s="8"/>
      <c r="D198" s="8"/>
      <c r="E198" s="7"/>
      <c r="F198" s="8"/>
      <c r="G198" s="8"/>
      <c r="H198" s="7"/>
      <c r="I198" s="8"/>
      <c r="J198" s="8"/>
      <c r="K198" s="7"/>
      <c r="L198" s="8"/>
      <c r="M198" s="8"/>
      <c r="N198" s="7"/>
      <c r="O198" s="8"/>
      <c r="P198" s="8"/>
      <c r="Q198" s="7"/>
      <c r="R198" s="8"/>
      <c r="S198" s="8"/>
      <c r="T198" s="7"/>
      <c r="U198" s="8"/>
      <c r="V198" s="8"/>
      <c r="W198" s="7"/>
      <c r="X198" s="8"/>
      <c r="Y198" s="8"/>
      <c r="Z198" s="7"/>
      <c r="AA198" s="8"/>
      <c r="AB198" s="8"/>
      <c r="AC198" s="7"/>
      <c r="AD198" s="8"/>
      <c r="AE198" s="8"/>
      <c r="AF198" s="7"/>
      <c r="AG198" s="8"/>
      <c r="AH198" s="8"/>
      <c r="AI198" s="7"/>
      <c r="AJ198" s="8"/>
      <c r="AK198" s="8"/>
      <c r="AL198" s="15"/>
      <c r="AM198" s="16"/>
      <c r="AO198" s="44"/>
      <c r="AP198" s="44"/>
    </row>
    <row r="199" spans="1:42" s="44" customFormat="1" ht="15.5">
      <c r="A199" s="31" t="s">
        <v>18</v>
      </c>
      <c r="B199" s="32">
        <f>'A-TRY'!B199</f>
        <v>-1619928.0161308052</v>
      </c>
      <c r="C199" s="32">
        <f>'A-TRY'!C199</f>
        <v>-8601422.8515641093</v>
      </c>
      <c r="D199" s="18"/>
      <c r="E199" s="32">
        <f>B199+'A-TRY'!E199</f>
        <v>-15519248.794497237</v>
      </c>
      <c r="F199" s="32">
        <f>C199+'A-TRY'!F199</f>
        <v>-29372513.193354741</v>
      </c>
      <c r="G199" s="18"/>
      <c r="H199" s="32">
        <f>E199+'A-TRY'!H199</f>
        <v>-16596551.109585427</v>
      </c>
      <c r="I199" s="32">
        <f>F199+'A-TRY'!I199</f>
        <v>-28863297.058351532</v>
      </c>
      <c r="J199" s="18"/>
      <c r="K199" s="32">
        <f>H199+'A-TRY'!K199</f>
        <v>-33824706.406169146</v>
      </c>
      <c r="L199" s="32">
        <f>I199+'A-TRY'!L199</f>
        <v>-35219922.689022459</v>
      </c>
      <c r="M199" s="18"/>
      <c r="N199" s="32">
        <f>K199+'A-TRY'!N199</f>
        <v>-52870591.227157466</v>
      </c>
      <c r="O199" s="32">
        <f>L199+'A-TRY'!O199</f>
        <v>-48991695.041342348</v>
      </c>
      <c r="P199" s="18"/>
      <c r="Q199" s="32">
        <f>N199+'A-TRY'!Q199</f>
        <v>-53578958.610810883</v>
      </c>
      <c r="R199" s="32">
        <f>O199+'A-TRY'!R199</f>
        <v>-56495448.260560907</v>
      </c>
      <c r="S199" s="18"/>
      <c r="T199" s="32">
        <f>Q199+'A-TRY'!T199</f>
        <v>-69674241.370813757</v>
      </c>
      <c r="U199" s="32">
        <f>R199+'A-TRY'!U199</f>
        <v>-37503481.987043664</v>
      </c>
      <c r="V199" s="18"/>
      <c r="W199" s="32">
        <f>T199+'A-TRY'!W199</f>
        <v>-79066815.19458364</v>
      </c>
      <c r="X199" s="32">
        <f>U199+'A-TRY'!X199</f>
        <v>-45586425.544879101</v>
      </c>
      <c r="Y199" s="18"/>
      <c r="Z199" s="32">
        <f>W199+'A-TRY'!Z199</f>
        <v>-87590855.126198545</v>
      </c>
      <c r="AA199" s="32">
        <f>X199+'A-TRY'!AA199</f>
        <v>-44237597.061613105</v>
      </c>
      <c r="AB199" s="18"/>
      <c r="AC199" s="32">
        <f>Z199+'A-TRY'!AC199</f>
        <v>-109515146.7933197</v>
      </c>
      <c r="AD199" s="32">
        <f>AA199+'A-TRY'!AD199</f>
        <v>-44237597.061613105</v>
      </c>
      <c r="AE199" s="18"/>
      <c r="AF199" s="32">
        <f>AC199+'A-TRY'!AF199</f>
        <v>-129302436.12337354</v>
      </c>
      <c r="AG199" s="32">
        <f>AD199+'A-TRY'!AG199</f>
        <v>-44237597.061613105</v>
      </c>
      <c r="AH199" s="18"/>
      <c r="AI199" s="32">
        <f>AF199+'A-TRY'!AI199</f>
        <v>-186851383.45065144</v>
      </c>
      <c r="AJ199" s="32">
        <f>AG199+'A-TRY'!AJ199</f>
        <v>-44237597.061613105</v>
      </c>
      <c r="AK199" s="18"/>
      <c r="AL199" s="33">
        <f>AP199-AO199</f>
        <v>43353258.06458544</v>
      </c>
      <c r="AM199" s="34">
        <f>AP199/AO199-1</f>
        <v>-0.49495187599348389</v>
      </c>
      <c r="AO199" s="44">
        <f>IF($A$1=$B$1,B199,IF($A$1=$E$1,E199,IF($A$1=$H$1,H199,IF($A$1=$K$1,K199,IF($A$1=$N$1,N199,IF($A$1=$Q$1,Q199,IF($A$1=$T$1,T199,IF($A$1=$W$1,W199,IF($A$1=$Z$1,Z199,IF($A$1=$AC$1,AC199,IF($A$1=$AF$1,AF199,IF($A$1=$AI$1,AI199))))))))))))</f>
        <v>-87590855.126198545</v>
      </c>
      <c r="AP199" s="44">
        <f>IF($A$1=$B$1,C199,IF($A$1=$E$1,F199,IF($A$1=$H$1,I199,IF($A$1=$K$1,L199,IF($A$1=$N$1,O199,IF($A$1=$Q$1,R199,IF($A$1=$T$1,U199,IF($A$1=$W$1,X199,IF($A$1=$Z$1,AA199,IF($A$1=$AC$1,AD199,IF($A$1=$AF$1,AG199,IF($A$1=$AI$1,AJ199))))))))))))</f>
        <v>-44237597.061613105</v>
      </c>
    </row>
    <row r="200" spans="1:42" s="13" customFormat="1" ht="15.5">
      <c r="A200" s="27"/>
      <c r="B200" s="30"/>
      <c r="C200" s="30" t="str">
        <f>IFERROR((C157/#REF!),"")</f>
        <v/>
      </c>
      <c r="D200" s="41"/>
      <c r="E200" s="30"/>
      <c r="F200" s="30" t="str">
        <f>IFERROR((F157/#REF!),"")</f>
        <v/>
      </c>
      <c r="G200" s="41"/>
      <c r="H200" s="30"/>
      <c r="I200" s="30" t="str">
        <f>IFERROR((I157/#REF!),"")</f>
        <v/>
      </c>
      <c r="J200" s="41"/>
      <c r="K200" s="30"/>
      <c r="L200" s="30" t="str">
        <f>IFERROR((L157/#REF!),"")</f>
        <v/>
      </c>
      <c r="M200" s="41"/>
      <c r="N200" s="30"/>
      <c r="O200" s="30" t="str">
        <f>IFERROR((O157/#REF!),"")</f>
        <v/>
      </c>
      <c r="P200" s="41"/>
      <c r="Q200" s="30"/>
      <c r="R200" s="30" t="str">
        <f>IFERROR((R157/#REF!),"")</f>
        <v/>
      </c>
      <c r="S200" s="41"/>
      <c r="T200" s="30"/>
      <c r="U200" s="30" t="str">
        <f>IFERROR((U157/#REF!),"")</f>
        <v/>
      </c>
      <c r="V200" s="41"/>
      <c r="W200" s="30"/>
      <c r="X200" s="30" t="str">
        <f>IFERROR((X157/#REF!),"")</f>
        <v/>
      </c>
      <c r="Y200" s="41"/>
      <c r="Z200" s="30"/>
      <c r="AA200" s="30" t="str">
        <f>IFERROR((AA157/#REF!),"")</f>
        <v/>
      </c>
      <c r="AB200" s="41"/>
      <c r="AC200" s="30"/>
      <c r="AD200" s="30" t="str">
        <f>IFERROR((AD157/#REF!),"")</f>
        <v/>
      </c>
      <c r="AE200" s="41"/>
      <c r="AF200" s="30"/>
      <c r="AG200" s="30" t="str">
        <f>IFERROR((AG157/#REF!),"")</f>
        <v/>
      </c>
      <c r="AH200" s="41"/>
      <c r="AI200" s="30"/>
      <c r="AJ200" s="30" t="str">
        <f>IFERROR((AJ157/#REF!),"")</f>
        <v/>
      </c>
      <c r="AK200" s="41"/>
      <c r="AL200" s="15"/>
      <c r="AM200" s="22"/>
      <c r="AO200" s="44">
        <f>IF($A$1=$B$1,B200,IF($A$1=$E$1,E200,IF($A$1=$H$1,H200,IF($A$1=$K$1,K200,IF($A$1=$N$1,N200,IF($A$1=$Q$1,Q200,IF($A$1=$T$1,T200,IF($A$1=$W$1,W200,IF($A$1=$Z$1,Z200,IF($A$1=$AC$1,AC200,IF($A$1=$AF$1,AF200,IF($A$1=$AI$1,AI200))))))))))))</f>
        <v>0</v>
      </c>
      <c r="AP200" s="44" t="str">
        <f>IF($A$1=$B$1,C200,IF($A$1=$E$1,F200,IF($A$1=$H$1,I200,IF($A$1=$K$1,L200,IF($A$1=$N$1,O200,IF($A$1=$Q$1,R200,IF($A$1=$T$1,U200,IF($A$1=$W$1,X200,IF($A$1=$Z$1,AA200,IF($A$1=$AC$1,AD200,IF($A$1=$AF$1,AG200,IF($A$1=$AI$1,AJ200))))))))))))</f>
        <v/>
      </c>
    </row>
    <row r="201" spans="1:42" s="49" customFormat="1" ht="17">
      <c r="A201" s="47" t="s">
        <v>82</v>
      </c>
      <c r="B201" s="413"/>
      <c r="C201" s="413"/>
      <c r="D201" s="413"/>
      <c r="E201" s="413"/>
      <c r="F201" s="413"/>
      <c r="G201" s="413"/>
      <c r="H201" s="413"/>
      <c r="I201" s="413"/>
      <c r="J201" s="413"/>
      <c r="K201" s="413"/>
      <c r="L201" s="413"/>
      <c r="M201" s="413"/>
      <c r="N201" s="413"/>
      <c r="O201" s="413"/>
      <c r="P201" s="413"/>
      <c r="Q201" s="413"/>
      <c r="R201" s="413"/>
      <c r="S201" s="413"/>
      <c r="T201" s="413"/>
      <c r="U201" s="413"/>
      <c r="V201" s="413"/>
      <c r="W201" s="413"/>
      <c r="X201" s="413"/>
      <c r="Y201" s="413"/>
      <c r="Z201" s="413"/>
      <c r="AA201" s="413"/>
      <c r="AB201" s="413"/>
      <c r="AC201" s="413"/>
      <c r="AD201" s="413"/>
      <c r="AE201" s="413"/>
      <c r="AF201" s="413"/>
      <c r="AG201" s="413"/>
      <c r="AH201" s="413"/>
      <c r="AI201" s="413"/>
      <c r="AJ201" s="413"/>
      <c r="AK201" s="413"/>
      <c r="AL201" s="413"/>
      <c r="AM201" s="48"/>
    </row>
    <row r="202" spans="1:42" ht="15.5">
      <c r="A202" s="26" t="s">
        <v>10</v>
      </c>
      <c r="B202" s="7">
        <f>'A-TRY'!B202</f>
        <v>-3210352.008229</v>
      </c>
      <c r="C202" s="7">
        <f>'A-TRY'!C202</f>
        <v>1673398.86</v>
      </c>
      <c r="D202" s="7"/>
      <c r="E202" s="7">
        <f>B202+'A-TRY'!E202</f>
        <v>-5929737.47958</v>
      </c>
      <c r="F202" s="7">
        <f>C202+'A-TRY'!F202</f>
        <v>6001028.6924999999</v>
      </c>
      <c r="G202" s="7"/>
      <c r="H202" s="7">
        <f>E202+'A-TRY'!H202</f>
        <v>-8589115.2396189999</v>
      </c>
      <c r="I202" s="7">
        <f>F202+'A-TRY'!I202</f>
        <v>14232897.82</v>
      </c>
      <c r="J202" s="7"/>
      <c r="K202" s="7">
        <f>H202+'A-TRY'!K202</f>
        <v>-11362019.463497</v>
      </c>
      <c r="L202" s="7">
        <f>I202+'A-TRY'!L202</f>
        <v>19595439.865000002</v>
      </c>
      <c r="M202" s="7"/>
      <c r="N202" s="7">
        <f>K202+'A-TRY'!N202</f>
        <v>-14349334.840066001</v>
      </c>
      <c r="O202" s="7">
        <f>L202+'A-TRY'!O202</f>
        <v>23017342.747500002</v>
      </c>
      <c r="P202" s="7"/>
      <c r="Q202" s="7">
        <f>N202+'A-TRY'!Q202</f>
        <v>-17629663.384812001</v>
      </c>
      <c r="R202" s="7">
        <f>O202+'A-TRY'!R202</f>
        <v>25752554.567500003</v>
      </c>
      <c r="S202" s="7"/>
      <c r="T202" s="7">
        <f>Q202+'A-TRY'!T202</f>
        <v>-21100275.785337001</v>
      </c>
      <c r="U202" s="7">
        <f>R202+'A-TRY'!U202</f>
        <v>28490705.445000004</v>
      </c>
      <c r="V202" s="7"/>
      <c r="W202" s="7">
        <f>T202+'A-TRY'!W202</f>
        <v>-23913021.837158002</v>
      </c>
      <c r="X202" s="7">
        <f>U202+'A-TRY'!X202</f>
        <v>31937138.767500006</v>
      </c>
      <c r="Y202" s="7"/>
      <c r="Z202" s="7">
        <f>W202+'A-TRY'!Z202</f>
        <v>-28679512.404588003</v>
      </c>
      <c r="AA202" s="7">
        <f>X202+'A-TRY'!AA202</f>
        <v>38047480.660000004</v>
      </c>
      <c r="AB202" s="7"/>
      <c r="AC202" s="7">
        <f>Z202+'A-TRY'!AC202</f>
        <v>-33001311.204828002</v>
      </c>
      <c r="AD202" s="7">
        <f>AA202+'A-TRY'!AD202</f>
        <v>38047480.660000004</v>
      </c>
      <c r="AE202" s="7"/>
      <c r="AF202" s="7">
        <f>AC202+'A-TRY'!AF202</f>
        <v>-36919008.031296</v>
      </c>
      <c r="AG202" s="7">
        <f>AD202+'A-TRY'!AG202</f>
        <v>38047480.660000004</v>
      </c>
      <c r="AH202" s="7"/>
      <c r="AI202" s="7">
        <f>AF202+'A-TRY'!AI202</f>
        <v>-34722914.916181996</v>
      </c>
      <c r="AJ202" s="7">
        <f>AG202+'A-TRY'!AJ202</f>
        <v>38047480.660000004</v>
      </c>
      <c r="AK202" s="7"/>
      <c r="AL202" s="21">
        <f t="shared" ref="AL202:AL209" si="98">AP202-AO202</f>
        <v>66726993.06458801</v>
      </c>
      <c r="AM202" s="22">
        <f t="shared" ref="AM202:AM209" si="99">AP202/AO202-1</f>
        <v>-2.3266432191473854</v>
      </c>
      <c r="AO202" s="44">
        <f t="shared" ref="AO202:AP209" si="100">IF($A$1=$B$1,B202,IF($A$1=$E$1,E202,IF($A$1=$H$1,H202,IF($A$1=$K$1,K202,IF($A$1=$N$1,N202,IF($A$1=$Q$1,Q202,IF($A$1=$T$1,T202,IF($A$1=$W$1,W202,IF($A$1=$Z$1,Z202,IF($A$1=$AC$1,AC202,IF($A$1=$AF$1,AF202,IF($A$1=$AI$1,AI202))))))))))))</f>
        <v>-28679512.404588003</v>
      </c>
      <c r="AP202" s="44">
        <f t="shared" si="100"/>
        <v>38047480.660000004</v>
      </c>
    </row>
    <row r="203" spans="1:42" ht="15.5">
      <c r="A203" s="26" t="s">
        <v>11</v>
      </c>
      <c r="B203" s="7">
        <f>'A-TRY'!B203</f>
        <v>274136.95694599999</v>
      </c>
      <c r="C203" s="7">
        <f>'A-TRY'!C203</f>
        <v>156887.68801700001</v>
      </c>
      <c r="D203" s="7"/>
      <c r="E203" s="7">
        <f>B203+'A-TRY'!E203</f>
        <v>-317215.98932499997</v>
      </c>
      <c r="F203" s="7">
        <f>C203+'A-TRY'!F203</f>
        <v>292116.42946300004</v>
      </c>
      <c r="G203" s="7"/>
      <c r="H203" s="7">
        <f>E203+'A-TRY'!H203</f>
        <v>-1072385.871914</v>
      </c>
      <c r="I203" s="7">
        <f>F203+'A-TRY'!I203</f>
        <v>442600.31946700002</v>
      </c>
      <c r="J203" s="7"/>
      <c r="K203" s="7">
        <f>H203+'A-TRY'!K203</f>
        <v>-2376675.678694</v>
      </c>
      <c r="L203" s="7">
        <f>I203+'A-TRY'!L203</f>
        <v>635386.01039099996</v>
      </c>
      <c r="M203" s="7"/>
      <c r="N203" s="7">
        <f>K203+'A-TRY'!N203</f>
        <v>-4040239.9823350003</v>
      </c>
      <c r="O203" s="7">
        <f>L203+'A-TRY'!O203</f>
        <v>575898.6539129999</v>
      </c>
      <c r="P203" s="7"/>
      <c r="Q203" s="7">
        <f>N203+'A-TRY'!Q203</f>
        <v>-5577493.5941190002</v>
      </c>
      <c r="R203" s="7">
        <f>O203+'A-TRY'!R203</f>
        <v>287072.35270999989</v>
      </c>
      <c r="S203" s="7"/>
      <c r="T203" s="7">
        <f>Q203+'A-TRY'!T203</f>
        <v>-6760420.2174700005</v>
      </c>
      <c r="U203" s="7">
        <f>R203+'A-TRY'!U203</f>
        <v>25175.800954999897</v>
      </c>
      <c r="V203" s="7"/>
      <c r="W203" s="7">
        <f>T203+'A-TRY'!W203</f>
        <v>-7006219.8281790009</v>
      </c>
      <c r="X203" s="7">
        <f>U203+'A-TRY'!X203</f>
        <v>-765497.60262600018</v>
      </c>
      <c r="Y203" s="7"/>
      <c r="Z203" s="7">
        <f>W203+'A-TRY'!Z203</f>
        <v>-7506628.3822940011</v>
      </c>
      <c r="AA203" s="7">
        <f>X203+'A-TRY'!AA203</f>
        <v>-1768063.8693460003</v>
      </c>
      <c r="AB203" s="7"/>
      <c r="AC203" s="7">
        <f>Z203+'A-TRY'!AC203</f>
        <v>-7643373.5777010014</v>
      </c>
      <c r="AD203" s="7">
        <f>AA203+'A-TRY'!AD203</f>
        <v>-1768063.8693460003</v>
      </c>
      <c r="AE203" s="7"/>
      <c r="AF203" s="7">
        <f>AC203+'A-TRY'!AF203</f>
        <v>-7537254.2388950018</v>
      </c>
      <c r="AG203" s="7">
        <f>AD203+'A-TRY'!AG203</f>
        <v>-1768063.8693460003</v>
      </c>
      <c r="AH203" s="7"/>
      <c r="AI203" s="7">
        <f>AF203+'A-TRY'!AI203</f>
        <v>-7079115.6530730017</v>
      </c>
      <c r="AJ203" s="7">
        <f>AG203+'A-TRY'!AJ203</f>
        <v>-1768063.8693460003</v>
      </c>
      <c r="AK203" s="7"/>
      <c r="AL203" s="21">
        <f t="shared" si="98"/>
        <v>5738564.5129480008</v>
      </c>
      <c r="AM203" s="22">
        <f t="shared" si="99"/>
        <v>-0.76446631173106161</v>
      </c>
      <c r="AO203" s="44">
        <f t="shared" si="100"/>
        <v>-7506628.3822940011</v>
      </c>
      <c r="AP203" s="44">
        <f t="shared" si="100"/>
        <v>-1768063.8693460003</v>
      </c>
    </row>
    <row r="204" spans="1:42" ht="15.5">
      <c r="A204" s="26" t="s">
        <v>12</v>
      </c>
      <c r="B204" s="7">
        <f>'A-TRY'!B204</f>
        <v>0</v>
      </c>
      <c r="C204" s="7">
        <f>'A-TRY'!C204</f>
        <v>-301.15970600000003</v>
      </c>
      <c r="D204" s="7"/>
      <c r="E204" s="7">
        <f>B204+'A-TRY'!E204</f>
        <v>0</v>
      </c>
      <c r="F204" s="7">
        <f>C204+'A-TRY'!F204</f>
        <v>-301.15970600000003</v>
      </c>
      <c r="G204" s="7"/>
      <c r="H204" s="7">
        <f>E204+'A-TRY'!H204</f>
        <v>-22945.761654000002</v>
      </c>
      <c r="I204" s="7">
        <f>F204+'A-TRY'!I204</f>
        <v>-301.15970600000003</v>
      </c>
      <c r="J204" s="7"/>
      <c r="K204" s="7">
        <f>H204+'A-TRY'!K204</f>
        <v>-22945.761654000002</v>
      </c>
      <c r="L204" s="7">
        <f>I204+'A-TRY'!L204</f>
        <v>-301.15970600000003</v>
      </c>
      <c r="M204" s="7"/>
      <c r="N204" s="7">
        <f>K204+'A-TRY'!N204</f>
        <v>-597529.24080600007</v>
      </c>
      <c r="O204" s="7">
        <f>L204+'A-TRY'!O204</f>
        <v>-301.15970600000003</v>
      </c>
      <c r="P204" s="7"/>
      <c r="Q204" s="7">
        <f>N204+'A-TRY'!Q204</f>
        <v>-1177985.7737450001</v>
      </c>
      <c r="R204" s="7">
        <f>O204+'A-TRY'!R204</f>
        <v>-301.15970600000003</v>
      </c>
      <c r="S204" s="7"/>
      <c r="T204" s="7">
        <f>Q204+'A-TRY'!T204</f>
        <v>-2022037.8121820001</v>
      </c>
      <c r="U204" s="7">
        <f>R204+'A-TRY'!U204</f>
        <v>-301.15970600000003</v>
      </c>
      <c r="V204" s="7"/>
      <c r="W204" s="7">
        <f>T204+'A-TRY'!W204</f>
        <v>-2567387.2692240002</v>
      </c>
      <c r="X204" s="7">
        <f>U204+'A-TRY'!X204</f>
        <v>-301.15970600000003</v>
      </c>
      <c r="Y204" s="7"/>
      <c r="Z204" s="7">
        <f>W204+'A-TRY'!Z204</f>
        <v>-2921599.9389960002</v>
      </c>
      <c r="AA204" s="7">
        <f>X204+'A-TRY'!AA204</f>
        <v>-301.15970600000003</v>
      </c>
      <c r="AB204" s="7"/>
      <c r="AC204" s="7">
        <f>Z204+'A-TRY'!AC204</f>
        <v>-3505734.3846070003</v>
      </c>
      <c r="AD204" s="7">
        <f>AA204+'A-TRY'!AD204</f>
        <v>-301.15970600000003</v>
      </c>
      <c r="AE204" s="7"/>
      <c r="AF204" s="7">
        <f>AC204+'A-TRY'!AF204</f>
        <v>-4310136.0070770001</v>
      </c>
      <c r="AG204" s="7">
        <f>AD204+'A-TRY'!AG204</f>
        <v>-301.15970600000003</v>
      </c>
      <c r="AH204" s="7"/>
      <c r="AI204" s="7">
        <f>AF204+'A-TRY'!AI204</f>
        <v>-4345811.1076110005</v>
      </c>
      <c r="AJ204" s="7">
        <f>AG204+'A-TRY'!AJ204</f>
        <v>-301.15970600000003</v>
      </c>
      <c r="AK204" s="7"/>
      <c r="AL204" s="21">
        <f t="shared" si="98"/>
        <v>2921298.7792900004</v>
      </c>
      <c r="AM204" s="22">
        <f t="shared" si="99"/>
        <v>-0.99989691959464388</v>
      </c>
      <c r="AO204" s="44">
        <f t="shared" si="100"/>
        <v>-2921599.9389960002</v>
      </c>
      <c r="AP204" s="44">
        <f t="shared" si="100"/>
        <v>-301.15970600000003</v>
      </c>
    </row>
    <row r="205" spans="1:42" ht="15.5">
      <c r="A205" s="26" t="s">
        <v>13</v>
      </c>
      <c r="B205" s="7">
        <f>'A-TRY'!B205</f>
        <v>0</v>
      </c>
      <c r="C205" s="7">
        <f>'A-TRY'!C205</f>
        <v>0</v>
      </c>
      <c r="D205" s="7"/>
      <c r="E205" s="7">
        <f>B205+'A-TRY'!E205</f>
        <v>0</v>
      </c>
      <c r="F205" s="7">
        <f>C205+'A-TRY'!F205</f>
        <v>0</v>
      </c>
      <c r="G205" s="7"/>
      <c r="H205" s="7">
        <f>E205+'A-TRY'!H205</f>
        <v>0</v>
      </c>
      <c r="I205" s="7">
        <f>F205+'A-TRY'!I205</f>
        <v>0</v>
      </c>
      <c r="J205" s="7"/>
      <c r="K205" s="7">
        <f>H205+'A-TRY'!K205</f>
        <v>0</v>
      </c>
      <c r="L205" s="7">
        <f>I205+'A-TRY'!L205</f>
        <v>0</v>
      </c>
      <c r="M205" s="7"/>
      <c r="N205" s="7">
        <f>K205+'A-TRY'!N205</f>
        <v>0</v>
      </c>
      <c r="O205" s="7">
        <f>L205+'A-TRY'!O205</f>
        <v>0</v>
      </c>
      <c r="P205" s="7"/>
      <c r="Q205" s="7">
        <f>N205+'A-TRY'!Q205</f>
        <v>0</v>
      </c>
      <c r="R205" s="7">
        <f>O205+'A-TRY'!R205</f>
        <v>0</v>
      </c>
      <c r="S205" s="7"/>
      <c r="T205" s="7">
        <f>Q205+'A-TRY'!T205</f>
        <v>0</v>
      </c>
      <c r="U205" s="7">
        <f>R205+'A-TRY'!U205</f>
        <v>0</v>
      </c>
      <c r="V205" s="7"/>
      <c r="W205" s="7">
        <f>T205+'A-TRY'!W205</f>
        <v>0</v>
      </c>
      <c r="X205" s="7">
        <f>U205+'A-TRY'!X205</f>
        <v>0</v>
      </c>
      <c r="Y205" s="7"/>
      <c r="Z205" s="7">
        <f>W205+'A-TRY'!Z205</f>
        <v>0</v>
      </c>
      <c r="AA205" s="7">
        <f>X205+'A-TRY'!AA205</f>
        <v>0</v>
      </c>
      <c r="AB205" s="7"/>
      <c r="AC205" s="7">
        <f>Z205+'A-TRY'!AC205</f>
        <v>0</v>
      </c>
      <c r="AD205" s="7">
        <f>AA205+'A-TRY'!AD205</f>
        <v>0</v>
      </c>
      <c r="AE205" s="7"/>
      <c r="AF205" s="7">
        <f>AC205+'A-TRY'!AF205</f>
        <v>0</v>
      </c>
      <c r="AG205" s="7">
        <f>AD205+'A-TRY'!AG205</f>
        <v>0</v>
      </c>
      <c r="AH205" s="7"/>
      <c r="AI205" s="7">
        <f>AF205+'A-TRY'!AI205</f>
        <v>0</v>
      </c>
      <c r="AJ205" s="7">
        <f>AG205+'A-TRY'!AJ205</f>
        <v>0</v>
      </c>
      <c r="AK205" s="7"/>
      <c r="AL205" s="21">
        <f t="shared" si="98"/>
        <v>0</v>
      </c>
      <c r="AM205" s="22" t="e">
        <f t="shared" si="99"/>
        <v>#DIV/0!</v>
      </c>
      <c r="AO205" s="44">
        <f t="shared" si="100"/>
        <v>0</v>
      </c>
      <c r="AP205" s="44">
        <f t="shared" si="100"/>
        <v>0</v>
      </c>
    </row>
    <row r="206" spans="1:42" s="1" customFormat="1" ht="15.5">
      <c r="A206" s="26" t="s">
        <v>14</v>
      </c>
      <c r="B206" s="7">
        <f>'A-TRY'!B206</f>
        <v>-2840997</v>
      </c>
      <c r="C206" s="7">
        <f>'A-TRY'!C206</f>
        <v>3281552.6016239999</v>
      </c>
      <c r="D206" s="8"/>
      <c r="E206" s="7">
        <f>B206+'A-TRY'!E206</f>
        <v>-6169988.5098339999</v>
      </c>
      <c r="F206" s="7">
        <f>C206+'A-TRY'!F206</f>
        <v>-3185063.4909890005</v>
      </c>
      <c r="G206" s="8"/>
      <c r="H206" s="7">
        <f>E206+'A-TRY'!H206</f>
        <v>-9282508.509833999</v>
      </c>
      <c r="I206" s="7">
        <f>F206+'A-TRY'!I206</f>
        <v>-2240416.5897100004</v>
      </c>
      <c r="J206" s="8"/>
      <c r="K206" s="7">
        <f>H206+'A-TRY'!K206</f>
        <v>-9157028.1277966499</v>
      </c>
      <c r="L206" s="7">
        <f>I206+'A-TRY'!L206</f>
        <v>-1531108.9989500004</v>
      </c>
      <c r="M206" s="8"/>
      <c r="N206" s="7">
        <f>K206+'A-TRY'!N206</f>
        <v>-9811286.4992216416</v>
      </c>
      <c r="O206" s="7">
        <f>L206+'A-TRY'!O206</f>
        <v>-1080343.7167870002</v>
      </c>
      <c r="P206" s="8"/>
      <c r="Q206" s="7">
        <f>N206+'A-TRY'!Q206</f>
        <v>-9434590.4980747104</v>
      </c>
      <c r="R206" s="7">
        <f>O206+'A-TRY'!R206</f>
        <v>-3835908.3519250001</v>
      </c>
      <c r="S206" s="8"/>
      <c r="T206" s="7">
        <f>Q206+'A-TRY'!T206</f>
        <v>-10579756.030090831</v>
      </c>
      <c r="U206" s="7">
        <f>R206+'A-TRY'!U206</f>
        <v>-5884442.5302220006</v>
      </c>
      <c r="V206" s="8"/>
      <c r="W206" s="7">
        <f>T206+'A-TRY'!W206</f>
        <v>-12192952.907335728</v>
      </c>
      <c r="X206" s="7">
        <f>U206+'A-TRY'!X206</f>
        <v>-9872930.9986570012</v>
      </c>
      <c r="Y206" s="8"/>
      <c r="Z206" s="7">
        <f>W206+'A-TRY'!Z206</f>
        <v>-13734343.838776182</v>
      </c>
      <c r="AA206" s="7">
        <f>X206+'A-TRY'!AA206</f>
        <v>-9268209.2741830014</v>
      </c>
      <c r="AB206" s="8"/>
      <c r="AC206" s="7">
        <f>Z206+'A-TRY'!AC206</f>
        <v>-17223016.907660082</v>
      </c>
      <c r="AD206" s="7">
        <f>AA206+'A-TRY'!AD206</f>
        <v>-9268209.2741830014</v>
      </c>
      <c r="AE206" s="8"/>
      <c r="AF206" s="7">
        <f>AC206+'A-TRY'!AF206</f>
        <v>-19714589.544106174</v>
      </c>
      <c r="AG206" s="7">
        <f>AD206+'A-TRY'!AG206</f>
        <v>-9268209.2741830014</v>
      </c>
      <c r="AH206" s="8"/>
      <c r="AI206" s="7">
        <f>AF206+'A-TRY'!AI206</f>
        <v>-21047153.140866175</v>
      </c>
      <c r="AJ206" s="7">
        <f>AG206+'A-TRY'!AJ206</f>
        <v>-9268209.2741830014</v>
      </c>
      <c r="AK206" s="8"/>
      <c r="AL206" s="21">
        <f t="shared" si="98"/>
        <v>4466134.564593181</v>
      </c>
      <c r="AM206" s="22">
        <f t="shared" si="99"/>
        <v>-0.32518004624173891</v>
      </c>
      <c r="AO206" s="44">
        <f t="shared" si="100"/>
        <v>-13734343.838776182</v>
      </c>
      <c r="AP206" s="44">
        <f t="shared" si="100"/>
        <v>-9268209.2741830014</v>
      </c>
    </row>
    <row r="207" spans="1:42" ht="15.5">
      <c r="A207" s="26" t="s">
        <v>15</v>
      </c>
      <c r="B207" s="7">
        <f>'A-TRY'!B207</f>
        <v>-5124771.4276218629</v>
      </c>
      <c r="C207" s="7">
        <f>'A-TRY'!C207</f>
        <v>-11800033.970313935</v>
      </c>
      <c r="D207" s="7"/>
      <c r="E207" s="7">
        <f>B207+'A-TRY'!E207</f>
        <v>-15884805.820892528</v>
      </c>
      <c r="F207" s="7">
        <f>C207+'A-TRY'!F207</f>
        <v>-28310091.958089791</v>
      </c>
      <c r="G207" s="7"/>
      <c r="H207" s="7">
        <f>E207+'A-TRY'!H207</f>
        <v>-28915147.26763013</v>
      </c>
      <c r="I207" s="7">
        <f>F207+'A-TRY'!I207</f>
        <v>-53310312.985893026</v>
      </c>
      <c r="J207" s="7"/>
      <c r="K207" s="7">
        <f>H207+'A-TRY'!K207</f>
        <v>-36952879.494621567</v>
      </c>
      <c r="L207" s="7">
        <f>I207+'A-TRY'!L207</f>
        <v>-70923071.790976942</v>
      </c>
      <c r="M207" s="7"/>
      <c r="N207" s="7">
        <f>K207+'A-TRY'!N207</f>
        <v>-51103121.286162652</v>
      </c>
      <c r="O207" s="7">
        <f>L207+'A-TRY'!O207</f>
        <v>-98176858.846751899</v>
      </c>
      <c r="P207" s="7"/>
      <c r="Q207" s="7">
        <f>N207+'A-TRY'!Q207</f>
        <v>-55781341.720466167</v>
      </c>
      <c r="R207" s="7">
        <f>O207+'A-TRY'!R207</f>
        <v>-105087476.5826178</v>
      </c>
      <c r="S207" s="7"/>
      <c r="T207" s="7">
        <f>Q207+'A-TRY'!T207</f>
        <v>-63719769.722998492</v>
      </c>
      <c r="U207" s="7">
        <f>R207+'A-TRY'!U207</f>
        <v>-94220995.562940001</v>
      </c>
      <c r="V207" s="7"/>
      <c r="W207" s="7">
        <f>T207+'A-TRY'!W207</f>
        <v>-67517332.751362786</v>
      </c>
      <c r="X207" s="7">
        <f>U207+'A-TRY'!X207</f>
        <v>-109410556.95105201</v>
      </c>
      <c r="Y207" s="7"/>
      <c r="Z207" s="7">
        <f>W207+'A-TRY'!Z207</f>
        <v>-84525974.103110716</v>
      </c>
      <c r="AA207" s="7">
        <f>X207+'A-TRY'!AA207</f>
        <v>-127488180.71088801</v>
      </c>
      <c r="AB207" s="7"/>
      <c r="AC207" s="7">
        <f>Z207+'A-TRY'!AC207</f>
        <v>-101767334.3673826</v>
      </c>
      <c r="AD207" s="7">
        <f>AA207+'A-TRY'!AD207</f>
        <v>-127488180.71088801</v>
      </c>
      <c r="AE207" s="7"/>
      <c r="AF207" s="7">
        <f>AC207+'A-TRY'!AF207</f>
        <v>-118948988.09693807</v>
      </c>
      <c r="AG207" s="7">
        <f>AD207+'A-TRY'!AG207</f>
        <v>-127488180.71088801</v>
      </c>
      <c r="AH207" s="7"/>
      <c r="AI207" s="7">
        <f>AF207+'A-TRY'!AI207</f>
        <v>-124223907.85366693</v>
      </c>
      <c r="AJ207" s="7">
        <f>AG207+'A-TRY'!AJ207</f>
        <v>-127488180.71088801</v>
      </c>
      <c r="AK207" s="7"/>
      <c r="AL207" s="21">
        <f t="shared" si="98"/>
        <v>-42962206.607777297</v>
      </c>
      <c r="AM207" s="22">
        <f t="shared" si="99"/>
        <v>0.50827224487669298</v>
      </c>
      <c r="AO207" s="44">
        <f t="shared" si="100"/>
        <v>-84525974.103110716</v>
      </c>
      <c r="AP207" s="44">
        <f t="shared" si="100"/>
        <v>-127488180.71088801</v>
      </c>
    </row>
    <row r="208" spans="1:42" s="1" customFormat="1" ht="15.5">
      <c r="A208" s="26" t="s">
        <v>16</v>
      </c>
      <c r="B208" s="7">
        <f>'A-TRY'!B208</f>
        <v>3408882.1958254082</v>
      </c>
      <c r="C208" s="7">
        <f>'A-TRY'!C208</f>
        <v>-4637364.1294879997</v>
      </c>
      <c r="D208" s="8"/>
      <c r="E208" s="7">
        <f>B208+'A-TRY'!E208</f>
        <v>-876614.93981598504</v>
      </c>
      <c r="F208" s="7">
        <f>C208+'A-TRY'!F208</f>
        <v>-38285963.123456217</v>
      </c>
      <c r="G208" s="8"/>
      <c r="H208" s="7">
        <f>E208+'A-TRY'!H208</f>
        <v>-10752884.271563796</v>
      </c>
      <c r="I208" s="7">
        <f>F208+'A-TRY'!I208</f>
        <v>-29346902.632269762</v>
      </c>
      <c r="J208" s="8"/>
      <c r="K208" s="7">
        <f>H208+'A-TRY'!K208</f>
        <v>-19556912.37154144</v>
      </c>
      <c r="L208" s="7">
        <f>I208+'A-TRY'!L208</f>
        <v>-18177634.332903534</v>
      </c>
      <c r="M208" s="8"/>
      <c r="N208" s="7">
        <f>K208+'A-TRY'!N208</f>
        <v>-26656002.539199442</v>
      </c>
      <c r="O208" s="7">
        <f>L208+'A-TRY'!O208</f>
        <v>-15285296.719576502</v>
      </c>
      <c r="P208" s="8"/>
      <c r="Q208" s="7">
        <f>N208+'A-TRY'!Q208</f>
        <v>-38811340.323726065</v>
      </c>
      <c r="R208" s="7">
        <f>O208+'A-TRY'!R208</f>
        <v>-23643436.638730001</v>
      </c>
      <c r="S208" s="8"/>
      <c r="T208" s="7">
        <f>Q208+'A-TRY'!T208</f>
        <v>-44078956.204978526</v>
      </c>
      <c r="U208" s="7">
        <f>R208+'A-TRY'!U208</f>
        <v>-9932953.0897767078</v>
      </c>
      <c r="V208" s="8"/>
      <c r="W208" s="7">
        <f>T208+'A-TRY'!W208</f>
        <v>-48130987.286297917</v>
      </c>
      <c r="X208" s="7">
        <f>U208+'A-TRY'!X208</f>
        <v>-24434166.511904586</v>
      </c>
      <c r="Y208" s="8"/>
      <c r="Z208" s="7">
        <f>W208+'A-TRY'!Z208</f>
        <v>-58167773.633363128</v>
      </c>
      <c r="AA208" s="7">
        <f>X208+'A-TRY'!AA208</f>
        <v>-25107424.730197087</v>
      </c>
      <c r="AB208" s="8"/>
      <c r="AC208" s="7">
        <f>Z208+'A-TRY'!AC208</f>
        <v>-65560185.432000361</v>
      </c>
      <c r="AD208" s="7">
        <f>AA208+'A-TRY'!AD208</f>
        <v>-25107424.730197087</v>
      </c>
      <c r="AE208" s="8"/>
      <c r="AF208" s="7">
        <f>AC208+'A-TRY'!AF208</f>
        <v>-72816484.921818942</v>
      </c>
      <c r="AG208" s="7">
        <f>AD208+'A-TRY'!AG208</f>
        <v>-25107424.730197087</v>
      </c>
      <c r="AH208" s="8"/>
      <c r="AI208" s="7">
        <f>AF208+'A-TRY'!AI208</f>
        <v>-235946580.54177159</v>
      </c>
      <c r="AJ208" s="7">
        <f>AG208+'A-TRY'!AJ208</f>
        <v>-25107424.730197087</v>
      </c>
      <c r="AK208" s="8"/>
      <c r="AL208" s="21">
        <f t="shared" si="98"/>
        <v>33060348.903166041</v>
      </c>
      <c r="AM208" s="22">
        <f t="shared" si="99"/>
        <v>-0.56836194404737728</v>
      </c>
      <c r="AO208" s="44">
        <f t="shared" si="100"/>
        <v>-58167773.633363128</v>
      </c>
      <c r="AP208" s="44">
        <f t="shared" si="100"/>
        <v>-25107424.730197087</v>
      </c>
    </row>
    <row r="209" spans="1:42" s="1" customFormat="1" ht="15.5">
      <c r="A209" s="26" t="s">
        <v>17</v>
      </c>
      <c r="B209" s="7">
        <f>'A-TRY'!B209</f>
        <v>7847603.8196769413</v>
      </c>
      <c r="C209" s="7">
        <f>'A-TRY'!C209</f>
        <v>-12922675.101509839</v>
      </c>
      <c r="D209" s="8"/>
      <c r="E209" s="7">
        <f>B209+'A-TRY'!E209</f>
        <v>-249329.04343808163</v>
      </c>
      <c r="F209" s="7">
        <f>C209+'A-TRY'!F209</f>
        <v>-19382274.316494342</v>
      </c>
      <c r="G209" s="8"/>
      <c r="H209" s="7">
        <f>E209+'A-TRY'!H209</f>
        <v>31670279.458031859</v>
      </c>
      <c r="I209" s="7">
        <f>F209+'A-TRY'!I209</f>
        <v>-23948602.887408536</v>
      </c>
      <c r="J209" s="8"/>
      <c r="K209" s="7">
        <f>H209+'A-TRY'!K209</f>
        <v>15509156.23814931</v>
      </c>
      <c r="L209" s="7">
        <f>I209+'A-TRY'!L209</f>
        <v>-47994303.388938159</v>
      </c>
      <c r="M209" s="8"/>
      <c r="N209" s="7">
        <f>K209+'A-TRY'!N209</f>
        <v>2861692.4147075862</v>
      </c>
      <c r="O209" s="7">
        <f>L209+'A-TRY'!O209</f>
        <v>-66919088.924507961</v>
      </c>
      <c r="P209" s="8"/>
      <c r="Q209" s="7">
        <f>N209+'A-TRY'!Q209</f>
        <v>31042732.896929752</v>
      </c>
      <c r="R209" s="7">
        <f>O209+'A-TRY'!R209</f>
        <v>-73770113.479389474</v>
      </c>
      <c r="S209" s="8"/>
      <c r="T209" s="7">
        <f>Q209+'A-TRY'!T209</f>
        <v>18899713.068505954</v>
      </c>
      <c r="U209" s="7">
        <f>R209+'A-TRY'!U209</f>
        <v>-55009264.000292957</v>
      </c>
      <c r="V209" s="8"/>
      <c r="W209" s="7">
        <f>T209+'A-TRY'!W209</f>
        <v>13890807.294939831</v>
      </c>
      <c r="X209" s="7">
        <f>U209+'A-TRY'!X209</f>
        <v>-48176759.413504176</v>
      </c>
      <c r="Y209" s="8"/>
      <c r="Z209" s="7">
        <f>W209+'A-TRY'!Z209</f>
        <v>35220305.574448675</v>
      </c>
      <c r="AA209" s="7">
        <f>X209+'A-TRY'!AA209</f>
        <v>-39427967.016134679</v>
      </c>
      <c r="AB209" s="8"/>
      <c r="AC209" s="7">
        <f>Z209+'A-TRY'!AC209</f>
        <v>21138717.641583819</v>
      </c>
      <c r="AD209" s="7">
        <f>AA209+'A-TRY'!AD209</f>
        <v>-39427967.016134679</v>
      </c>
      <c r="AE209" s="8"/>
      <c r="AF209" s="7">
        <f>AC209+'A-TRY'!AF209</f>
        <v>10139967.947599359</v>
      </c>
      <c r="AG209" s="7">
        <f>AD209+'A-TRY'!AG209</f>
        <v>-39427967.016134679</v>
      </c>
      <c r="AH209" s="8"/>
      <c r="AI209" s="7">
        <f>AF209+'A-TRY'!AI209</f>
        <v>29458787.101841152</v>
      </c>
      <c r="AJ209" s="7">
        <f>AG209+'A-TRY'!AJ209</f>
        <v>-39427967.016134679</v>
      </c>
      <c r="AK209" s="8"/>
      <c r="AL209" s="21">
        <f t="shared" si="98"/>
        <v>-74648272.590583354</v>
      </c>
      <c r="AM209" s="22">
        <f t="shared" si="99"/>
        <v>-2.1194669203761407</v>
      </c>
      <c r="AO209" s="44">
        <f t="shared" si="100"/>
        <v>35220305.574448675</v>
      </c>
      <c r="AP209" s="44">
        <f t="shared" si="100"/>
        <v>-39427967.016134679</v>
      </c>
    </row>
    <row r="210" spans="1:42" s="1" customFormat="1" ht="15.5">
      <c r="A210" s="26"/>
      <c r="B210" s="7"/>
      <c r="C210" s="8"/>
      <c r="D210" s="8"/>
      <c r="E210" s="7"/>
      <c r="F210" s="8"/>
      <c r="G210" s="8"/>
      <c r="H210" s="7"/>
      <c r="I210" s="8"/>
      <c r="J210" s="8"/>
      <c r="K210" s="7"/>
      <c r="L210" s="8"/>
      <c r="M210" s="8"/>
      <c r="N210" s="7"/>
      <c r="O210" s="8"/>
      <c r="P210" s="8"/>
      <c r="Q210" s="7"/>
      <c r="R210" s="8"/>
      <c r="S210" s="8"/>
      <c r="T210" s="7"/>
      <c r="U210" s="8"/>
      <c r="V210" s="8"/>
      <c r="W210" s="7"/>
      <c r="X210" s="8"/>
      <c r="Y210" s="8"/>
      <c r="Z210" s="7"/>
      <c r="AA210" s="8"/>
      <c r="AB210" s="8"/>
      <c r="AC210" s="7"/>
      <c r="AD210" s="8"/>
      <c r="AE210" s="8"/>
      <c r="AF210" s="7"/>
      <c r="AG210" s="8"/>
      <c r="AH210" s="8"/>
      <c r="AI210" s="7"/>
      <c r="AJ210" s="8"/>
      <c r="AK210" s="8"/>
      <c r="AL210" s="15"/>
      <c r="AM210" s="16"/>
      <c r="AO210" s="44"/>
      <c r="AP210" s="44"/>
    </row>
    <row r="211" spans="1:42" s="1" customFormat="1" ht="15.5">
      <c r="A211" s="26"/>
      <c r="B211" s="7"/>
      <c r="C211" s="8"/>
      <c r="D211" s="8"/>
      <c r="E211" s="7"/>
      <c r="F211" s="8"/>
      <c r="G211" s="8"/>
      <c r="H211" s="7"/>
      <c r="I211" s="8"/>
      <c r="J211" s="8"/>
      <c r="K211" s="7"/>
      <c r="L211" s="8"/>
      <c r="M211" s="8"/>
      <c r="N211" s="7"/>
      <c r="O211" s="8"/>
      <c r="P211" s="8"/>
      <c r="Q211" s="7"/>
      <c r="R211" s="8"/>
      <c r="S211" s="8"/>
      <c r="T211" s="7"/>
      <c r="U211" s="8"/>
      <c r="V211" s="8"/>
      <c r="W211" s="7"/>
      <c r="X211" s="8"/>
      <c r="Y211" s="8"/>
      <c r="Z211" s="7"/>
      <c r="AA211" s="8"/>
      <c r="AB211" s="8"/>
      <c r="AC211" s="7"/>
      <c r="AD211" s="8"/>
      <c r="AE211" s="8"/>
      <c r="AF211" s="7"/>
      <c r="AG211" s="8"/>
      <c r="AH211" s="8"/>
      <c r="AI211" s="7"/>
      <c r="AJ211" s="8"/>
      <c r="AK211" s="8"/>
      <c r="AL211" s="15"/>
      <c r="AM211" s="16"/>
      <c r="AO211" s="44"/>
      <c r="AP211" s="44"/>
    </row>
    <row r="212" spans="1:42" s="44" customFormat="1" ht="15.5">
      <c r="A212" s="31" t="s">
        <v>5</v>
      </c>
      <c r="B212" s="32">
        <f>'A-TRY'!B212</f>
        <v>56225266.647741072</v>
      </c>
      <c r="C212" s="32">
        <f>'A-TRY'!C212</f>
        <v>26901627.792890068</v>
      </c>
      <c r="D212" s="18">
        <f>+C212-B212</f>
        <v>-29323638.854851004</v>
      </c>
      <c r="E212" s="32">
        <f>B212+'A-TRY'!E212</f>
        <v>105892498.82535958</v>
      </c>
      <c r="F212" s="32">
        <f>C212+'A-TRY'!F212</f>
        <v>47523706.498758338</v>
      </c>
      <c r="G212" s="18"/>
      <c r="H212" s="32">
        <f>E212+'A-TRY'!H212</f>
        <v>193889150.30946553</v>
      </c>
      <c r="I212" s="32">
        <f>F212+'A-TRY'!I212</f>
        <v>64318777.698412903</v>
      </c>
      <c r="J212" s="18"/>
      <c r="K212" s="32">
        <f>H212+'A-TRY'!K212</f>
        <v>224939469.26790252</v>
      </c>
      <c r="L212" s="32">
        <f>I212+'A-TRY'!L212</f>
        <v>35582866.887425199</v>
      </c>
      <c r="M212" s="18"/>
      <c r="N212" s="32">
        <f>K212+'A-TRY'!N212</f>
        <v>306910419.55591321</v>
      </c>
      <c r="O212" s="32">
        <f>L212+'A-TRY'!O212</f>
        <v>68756497.124736443</v>
      </c>
      <c r="P212" s="18"/>
      <c r="Q212" s="32">
        <f>N212+'A-TRY'!Q212</f>
        <v>396674051.02635491</v>
      </c>
      <c r="R212" s="32">
        <f>O212+'A-TRY'!R212</f>
        <v>50892705.932483442</v>
      </c>
      <c r="S212" s="18"/>
      <c r="T212" s="32">
        <f>Q212+'A-TRY'!T212</f>
        <v>473004873.71229553</v>
      </c>
      <c r="U212" s="32">
        <f>R212+'A-TRY'!U212</f>
        <v>101606402.32018226</v>
      </c>
      <c r="V212" s="18"/>
      <c r="W212" s="32">
        <f>T212+'A-TRY'!W212</f>
        <v>503312226.22079539</v>
      </c>
      <c r="X212" s="32">
        <f>U212+'A-TRY'!X212</f>
        <v>100445499.02339366</v>
      </c>
      <c r="Y212" s="18"/>
      <c r="Z212" s="32">
        <f>W212+'A-TRY'!Z212</f>
        <v>661310716.54599118</v>
      </c>
      <c r="AA212" s="32">
        <f>X212+'A-TRY'!AA212</f>
        <v>221871281.98861653</v>
      </c>
      <c r="AB212" s="18"/>
      <c r="AC212" s="32">
        <f>Z212+'A-TRY'!AC212</f>
        <v>790646119.48244667</v>
      </c>
      <c r="AD212" s="32">
        <f>AA212+'A-TRY'!AD212</f>
        <v>221871281.98861653</v>
      </c>
      <c r="AE212" s="18"/>
      <c r="AF212" s="32">
        <f>AC212+'A-TRY'!AF212</f>
        <v>921922119.48260641</v>
      </c>
      <c r="AG212" s="32">
        <f>AD212+'A-TRY'!AG212</f>
        <v>221871281.98861653</v>
      </c>
      <c r="AH212" s="18"/>
      <c r="AI212" s="32">
        <f>AF212+'A-TRY'!AI212</f>
        <v>963323717.22072327</v>
      </c>
      <c r="AJ212" s="32">
        <f>AG212+'A-TRY'!AJ212</f>
        <v>221871281.98861653</v>
      </c>
      <c r="AK212" s="18"/>
      <c r="AL212" s="33">
        <f>AP212-AO212</f>
        <v>-439439434.55737466</v>
      </c>
      <c r="AM212" s="34">
        <f>AP212/AO212-1</f>
        <v>-0.66449767645163149</v>
      </c>
      <c r="AO212" s="44">
        <f>IF($A$1=$B$1,B212,IF($A$1=$E$1,E212,IF($A$1=$H$1,H212,IF($A$1=$K$1,K212,IF($A$1=$N$1,N212,IF($A$1=$Q$1,Q212,IF($A$1=$T$1,T212,IF($A$1=$W$1,W212,IF($A$1=$Z$1,Z212,IF($A$1=$AC$1,AC212,IF($A$1=$AF$1,AF212,IF($A$1=$AI$1,AI212))))))))))))</f>
        <v>661310716.54599118</v>
      </c>
      <c r="AP212" s="44">
        <f>IF($A$1=$B$1,C212,IF($A$1=$E$1,F212,IF($A$1=$H$1,I212,IF($A$1=$K$1,L212,IF($A$1=$N$1,O212,IF($A$1=$Q$1,R212,IF($A$1=$T$1,U212,IF($A$1=$W$1,X212,IF($A$1=$Z$1,AA212,IF($A$1=$AC$1,AD212,IF($A$1=$AF$1,AG212,IF($A$1=$AI$1,AJ212))))))))))))</f>
        <v>221871281.98861653</v>
      </c>
    </row>
    <row r="213" spans="1:42" s="13" customFormat="1" ht="15.5">
      <c r="A213" s="27"/>
      <c r="B213" s="30"/>
      <c r="C213" s="30" t="str">
        <f>IFERROR((C170/#REF!),"")</f>
        <v/>
      </c>
      <c r="D213" s="41"/>
      <c r="E213" s="30"/>
      <c r="F213" s="30" t="str">
        <f>IFERROR((F170/#REF!),"")</f>
        <v/>
      </c>
      <c r="G213" s="41"/>
      <c r="H213" s="109">
        <f>H212/H6</f>
        <v>5.8889323861764514E-2</v>
      </c>
      <c r="I213" s="109">
        <f>I212/I6</f>
        <v>1.9832858337871143E-2</v>
      </c>
      <c r="J213" s="41"/>
      <c r="K213" s="30"/>
      <c r="L213" s="30" t="str">
        <f>IFERROR((L170/#REF!),"")</f>
        <v/>
      </c>
      <c r="M213" s="41"/>
      <c r="N213" s="30"/>
      <c r="O213" s="30" t="str">
        <f>IFERROR((O170/#REF!),"")</f>
        <v/>
      </c>
      <c r="P213" s="41"/>
      <c r="Q213" s="30"/>
      <c r="R213" s="30" t="str">
        <f>IFERROR((R170/#REF!),"")</f>
        <v/>
      </c>
      <c r="S213" s="41"/>
      <c r="T213" s="30"/>
      <c r="U213" s="30" t="str">
        <f>IFERROR((U170/#REF!),"")</f>
        <v/>
      </c>
      <c r="V213" s="41"/>
      <c r="W213" s="30"/>
      <c r="X213" s="30" t="str">
        <f>IFERROR((X170/#REF!),"")</f>
        <v/>
      </c>
      <c r="Y213" s="41"/>
      <c r="Z213" s="30"/>
      <c r="AA213" s="30" t="str">
        <f>IFERROR((AA170/#REF!),"")</f>
        <v/>
      </c>
      <c r="AB213" s="41"/>
      <c r="AC213" s="30"/>
      <c r="AD213" s="30" t="str">
        <f>IFERROR((AD170/#REF!),"")</f>
        <v/>
      </c>
      <c r="AE213" s="41"/>
      <c r="AF213" s="30"/>
      <c r="AG213" s="30" t="str">
        <f>IFERROR((AG170/#REF!),"")</f>
        <v/>
      </c>
      <c r="AH213" s="41"/>
      <c r="AI213" s="30"/>
      <c r="AJ213" s="30" t="str">
        <f>IFERROR((AJ170/#REF!),"")</f>
        <v/>
      </c>
      <c r="AK213" s="41"/>
      <c r="AL213" s="15"/>
      <c r="AM213" s="22"/>
      <c r="AO213" s="44">
        <f>IF($A$1=$B$1,B213,IF($A$1=$E$1,E213,IF($A$1=$H$1,H213,IF($A$1=$K$1,K213,IF($A$1=$N$1,N213,IF($A$1=$Q$1,Q213,IF($A$1=$T$1,T213,IF($A$1=$W$1,W213,IF($A$1=$Z$1,Z213,IF($A$1=$AC$1,AC213,IF($A$1=$AF$1,AF213,IF($A$1=$AI$1,AI213))))))))))))</f>
        <v>0</v>
      </c>
      <c r="AP213" s="44" t="str">
        <f>IF($A$1=$B$1,C213,IF($A$1=$E$1,F213,IF($A$1=$H$1,I213,IF($A$1=$K$1,L213,IF($A$1=$N$1,O213,IF($A$1=$Q$1,R213,IF($A$1=$T$1,U213,IF($A$1=$W$1,X213,IF($A$1=$Z$1,AA213,IF($A$1=$AC$1,AD213,IF($A$1=$AF$1,AG213,IF($A$1=$AI$1,AJ213))))))))))))</f>
        <v/>
      </c>
    </row>
    <row r="214" spans="1:42" s="49" customFormat="1" ht="17">
      <c r="A214" s="47" t="s">
        <v>83</v>
      </c>
      <c r="B214" s="413"/>
      <c r="C214" s="413"/>
      <c r="D214" s="413"/>
      <c r="E214" s="413"/>
      <c r="F214" s="413"/>
      <c r="G214" s="413"/>
      <c r="H214" s="413"/>
      <c r="I214" s="413"/>
      <c r="J214" s="413"/>
      <c r="K214" s="413"/>
      <c r="L214" s="413"/>
      <c r="M214" s="413"/>
      <c r="N214" s="413"/>
      <c r="O214" s="413"/>
      <c r="P214" s="413"/>
      <c r="Q214" s="413"/>
      <c r="R214" s="413"/>
      <c r="S214" s="413"/>
      <c r="T214" s="413"/>
      <c r="U214" s="413"/>
      <c r="V214" s="413"/>
      <c r="W214" s="413"/>
      <c r="X214" s="413"/>
      <c r="Y214" s="413"/>
      <c r="Z214" s="413"/>
      <c r="AA214" s="413"/>
      <c r="AB214" s="413"/>
      <c r="AC214" s="413"/>
      <c r="AD214" s="413"/>
      <c r="AE214" s="413"/>
      <c r="AF214" s="413"/>
      <c r="AG214" s="413"/>
      <c r="AH214" s="413"/>
      <c r="AI214" s="413"/>
      <c r="AJ214" s="413"/>
      <c r="AK214" s="413"/>
      <c r="AL214" s="413"/>
      <c r="AM214" s="48"/>
    </row>
    <row r="215" spans="1:42" ht="15.5">
      <c r="A215" s="26" t="s">
        <v>10</v>
      </c>
      <c r="B215" s="7">
        <f>'A-TRY'!B215</f>
        <v>9631056.0246859994</v>
      </c>
      <c r="C215" s="7">
        <f>'A-TRY'!C215</f>
        <v>5020196.58</v>
      </c>
      <c r="D215" s="7"/>
      <c r="E215" s="7">
        <f>B215+'A-TRY'!E215</f>
        <v>17789212.438738998</v>
      </c>
      <c r="F215" s="7">
        <f>C215+'A-TRY'!F215</f>
        <v>18003086.077500001</v>
      </c>
      <c r="G215" s="7"/>
      <c r="H215" s="7">
        <f>E215+'A-TRY'!H215</f>
        <v>25767345.718854997</v>
      </c>
      <c r="I215" s="7">
        <f>F215+'A-TRY'!I215</f>
        <v>42698693.460000001</v>
      </c>
      <c r="J215" s="7"/>
      <c r="K215" s="7">
        <f>H215+'A-TRY'!K215</f>
        <v>34086058.390488997</v>
      </c>
      <c r="L215" s="7">
        <f>I215+'A-TRY'!L215</f>
        <v>58786319.594999999</v>
      </c>
      <c r="M215" s="7"/>
      <c r="N215" s="7">
        <f>K215+'A-TRY'!N215</f>
        <v>43048004.520196997</v>
      </c>
      <c r="O215" s="7">
        <f>L215+'A-TRY'!O215</f>
        <v>69052028.242500991</v>
      </c>
      <c r="P215" s="7"/>
      <c r="Q215" s="7">
        <f>N215+'A-TRY'!Q215</f>
        <v>52888990.154433995</v>
      </c>
      <c r="R215" s="7">
        <f>O215+'A-TRY'!R215</f>
        <v>77257663.702499986</v>
      </c>
      <c r="S215" s="7"/>
      <c r="T215" s="7">
        <f>Q215+'A-TRY'!T215</f>
        <v>63300827.356007993</v>
      </c>
      <c r="U215" s="7">
        <f>R215+'A-TRY'!U215</f>
        <v>85472116.334999993</v>
      </c>
      <c r="V215" s="7"/>
      <c r="W215" s="7">
        <f>T215+'A-TRY'!W215</f>
        <v>71739065.511471987</v>
      </c>
      <c r="X215" s="7">
        <f>U215+'A-TRY'!X215</f>
        <v>95811416.302499995</v>
      </c>
      <c r="Y215" s="7"/>
      <c r="Z215" s="7">
        <f>W215+'A-TRY'!Z215</f>
        <v>86038537.213760987</v>
      </c>
      <c r="AA215" s="7">
        <f>X215+'A-TRY'!AA215</f>
        <v>114142441.980001</v>
      </c>
      <c r="AB215" s="7"/>
      <c r="AC215" s="7">
        <f>Z215+'A-TRY'!AC215</f>
        <v>99003933.614481986</v>
      </c>
      <c r="AD215" s="7">
        <f>AA215+'A-TRY'!AD215</f>
        <v>114142441.980001</v>
      </c>
      <c r="AE215" s="7"/>
      <c r="AF215" s="7">
        <f>AC215+'A-TRY'!AF215</f>
        <v>110757024.09388398</v>
      </c>
      <c r="AG215" s="7">
        <f>AD215+'A-TRY'!AG215</f>
        <v>114142441.980001</v>
      </c>
      <c r="AH215" s="7"/>
      <c r="AI215" s="7">
        <f>AF215+'A-TRY'!AI215</f>
        <v>104168744.74854198</v>
      </c>
      <c r="AJ215" s="7">
        <f>AG215+'A-TRY'!AJ215</f>
        <v>114142441.980001</v>
      </c>
      <c r="AK215" s="7"/>
      <c r="AL215" s="21">
        <f t="shared" ref="AL215:AL222" si="101">AP215-AO215</f>
        <v>28103904.766240016</v>
      </c>
      <c r="AM215" s="22">
        <f t="shared" ref="AM215:AM222" si="102">AP215/AO215-1</f>
        <v>0.32664321914744354</v>
      </c>
      <c r="AO215" s="44">
        <f t="shared" ref="AO215:AP222" si="103">IF($A$1=$B$1,B215,IF($A$1=$E$1,E215,IF($A$1=$H$1,H215,IF($A$1=$K$1,K215,IF($A$1=$N$1,N215,IF($A$1=$Q$1,Q215,IF($A$1=$T$1,T215,IF($A$1=$W$1,W215,IF($A$1=$Z$1,Z215,IF($A$1=$AC$1,AC215,IF($A$1=$AF$1,AF215,IF($A$1=$AI$1,AI215))))))))))))</f>
        <v>86038537.213760987</v>
      </c>
      <c r="AP215" s="44">
        <f t="shared" si="103"/>
        <v>114142441.980001</v>
      </c>
    </row>
    <row r="216" spans="1:42" ht="15.5">
      <c r="A216" s="26" t="s">
        <v>11</v>
      </c>
      <c r="B216" s="7">
        <f>'A-TRY'!B216</f>
        <v>-1096547.827785</v>
      </c>
      <c r="C216" s="7">
        <f>'A-TRY'!C216</f>
        <v>-2546874.544514</v>
      </c>
      <c r="D216" s="7"/>
      <c r="E216" s="7">
        <f>B216+'A-TRY'!E216</f>
        <v>1268863.9573000001</v>
      </c>
      <c r="F216" s="7">
        <f>C216+'A-TRY'!F216</f>
        <v>-2948421.7717610002</v>
      </c>
      <c r="G216" s="7"/>
      <c r="H216" s="7">
        <f>E216+'A-TRY'!H216</f>
        <v>4289543.4876549998</v>
      </c>
      <c r="I216" s="7">
        <f>F216+'A-TRY'!I216</f>
        <v>-5379619.9171949998</v>
      </c>
      <c r="J216" s="7"/>
      <c r="K216" s="7">
        <f>H216+'A-TRY'!K216</f>
        <v>9506702.7147770002</v>
      </c>
      <c r="L216" s="7">
        <f>I216+'A-TRY'!L216</f>
        <v>-2004618.4290499999</v>
      </c>
      <c r="M216" s="7"/>
      <c r="N216" s="7">
        <f>K216+'A-TRY'!N216</f>
        <v>16160959.929342</v>
      </c>
      <c r="O216" s="7">
        <f>L216+'A-TRY'!O216</f>
        <v>-6931394.6434150003</v>
      </c>
      <c r="P216" s="7"/>
      <c r="Q216" s="7">
        <f>N216+'A-TRY'!Q216</f>
        <v>22309974.376476999</v>
      </c>
      <c r="R216" s="7">
        <f>O216+'A-TRY'!R216</f>
        <v>-24922429.226071</v>
      </c>
      <c r="S216" s="7"/>
      <c r="T216" s="7">
        <f>Q216+'A-TRY'!T216</f>
        <v>27041680.869881999</v>
      </c>
      <c r="U216" s="7">
        <f>R216+'A-TRY'!U216</f>
        <v>-27286663.557043001</v>
      </c>
      <c r="V216" s="7"/>
      <c r="W216" s="7">
        <f>T216+'A-TRY'!W216</f>
        <v>28024879.312716998</v>
      </c>
      <c r="X216" s="7">
        <f>U216+'A-TRY'!X216</f>
        <v>-36129461.191925004</v>
      </c>
      <c r="Y216" s="7"/>
      <c r="Z216" s="7">
        <f>W216+'A-TRY'!Z216</f>
        <v>30026513.529175997</v>
      </c>
      <c r="AA216" s="7">
        <f>X216+'A-TRY'!AA216</f>
        <v>-46036802.957711004</v>
      </c>
      <c r="AB216" s="7"/>
      <c r="AC216" s="7">
        <f>Z216+'A-TRY'!AC216</f>
        <v>30573494.310805995</v>
      </c>
      <c r="AD216" s="7">
        <f>AA216+'A-TRY'!AD216</f>
        <v>-46036802.957711004</v>
      </c>
      <c r="AE216" s="7"/>
      <c r="AF216" s="7">
        <f>AC216+'A-TRY'!AF216</f>
        <v>30149016.955583993</v>
      </c>
      <c r="AG216" s="7">
        <f>AD216+'A-TRY'!AG216</f>
        <v>-46036802.957711004</v>
      </c>
      <c r="AH216" s="7"/>
      <c r="AI216" s="7">
        <f>AF216+'A-TRY'!AI216</f>
        <v>28316462.612296995</v>
      </c>
      <c r="AJ216" s="7">
        <f>AG216+'A-TRY'!AJ216</f>
        <v>-46036802.957711004</v>
      </c>
      <c r="AK216" s="7"/>
      <c r="AL216" s="21">
        <f t="shared" si="101"/>
        <v>-76063316.486887008</v>
      </c>
      <c r="AM216" s="22">
        <f t="shared" si="102"/>
        <v>-2.5332050760065172</v>
      </c>
      <c r="AO216" s="44">
        <f t="shared" si="103"/>
        <v>30026513.529175997</v>
      </c>
      <c r="AP216" s="44">
        <f t="shared" si="103"/>
        <v>-46036802.957711004</v>
      </c>
    </row>
    <row r="217" spans="1:42" ht="15.5">
      <c r="A217" s="26" t="s">
        <v>12</v>
      </c>
      <c r="B217" s="7">
        <f>'A-TRY'!B217</f>
        <v>-3476655.1079119998</v>
      </c>
      <c r="C217" s="7">
        <f>'A-TRY'!C217</f>
        <v>44197.31</v>
      </c>
      <c r="D217" s="7"/>
      <c r="E217" s="7">
        <f>B217+'A-TRY'!E217</f>
        <v>-5493602.9996079998</v>
      </c>
      <c r="F217" s="7">
        <f>C217+'A-TRY'!F217</f>
        <v>124024.06</v>
      </c>
      <c r="G217" s="7"/>
      <c r="H217" s="7">
        <f>E217+'A-TRY'!H217</f>
        <v>-5424765.7133849999</v>
      </c>
      <c r="I217" s="7">
        <f>F217+'A-TRY'!I217</f>
        <v>-1016187.3899999999</v>
      </c>
      <c r="J217" s="7"/>
      <c r="K217" s="7">
        <f>H217+'A-TRY'!K217</f>
        <v>-5538266.6095789997</v>
      </c>
      <c r="L217" s="7">
        <f>I217+'A-TRY'!L217</f>
        <v>-1716119.3399999999</v>
      </c>
      <c r="M217" s="7"/>
      <c r="N217" s="7">
        <f>K217+'A-TRY'!N217</f>
        <v>-3814516.1754729999</v>
      </c>
      <c r="O217" s="7">
        <f>L217+'A-TRY'!O217</f>
        <v>-1258386.8499999999</v>
      </c>
      <c r="P217" s="7"/>
      <c r="Q217" s="7">
        <f>N217+'A-TRY'!Q217</f>
        <v>-2073146.578032</v>
      </c>
      <c r="R217" s="7">
        <f>O217+'A-TRY'!R217</f>
        <v>-2588172.8499999996</v>
      </c>
      <c r="S217" s="7"/>
      <c r="T217" s="7">
        <f>Q217+'A-TRY'!T217</f>
        <v>459009.53672400024</v>
      </c>
      <c r="U217" s="7">
        <f>R217+'A-TRY'!U217</f>
        <v>-4298540.8838639995</v>
      </c>
      <c r="V217" s="7"/>
      <c r="W217" s="7">
        <f>T217+'A-TRY'!W217</f>
        <v>2095057.9070900003</v>
      </c>
      <c r="X217" s="7">
        <f>U217+'A-TRY'!X217</f>
        <v>-5662067.4464869993</v>
      </c>
      <c r="Y217" s="7"/>
      <c r="Z217" s="7">
        <f>W217+'A-TRY'!Z217</f>
        <v>3157695.9118810003</v>
      </c>
      <c r="AA217" s="7">
        <f>X217+'A-TRY'!AA217</f>
        <v>-4348110.9707579995</v>
      </c>
      <c r="AB217" s="7"/>
      <c r="AC217" s="7">
        <f>Z217+'A-TRY'!AC217</f>
        <v>4910099.2477770001</v>
      </c>
      <c r="AD217" s="7">
        <f>AA217+'A-TRY'!AD217</f>
        <v>-4348110.9707579995</v>
      </c>
      <c r="AE217" s="7"/>
      <c r="AF217" s="7">
        <f>AC217+'A-TRY'!AF217</f>
        <v>7323304.1151940003</v>
      </c>
      <c r="AG217" s="7">
        <f>AD217+'A-TRY'!AG217</f>
        <v>-4348110.9707579995</v>
      </c>
      <c r="AH217" s="7"/>
      <c r="AI217" s="7">
        <f>AF217+'A-TRY'!AI217</f>
        <v>7430329.4159820005</v>
      </c>
      <c r="AJ217" s="7">
        <f>AG217+'A-TRY'!AJ217</f>
        <v>-4348110.9707579995</v>
      </c>
      <c r="AK217" s="7"/>
      <c r="AL217" s="21">
        <f t="shared" si="101"/>
        <v>-7505806.8826390002</v>
      </c>
      <c r="AM217" s="22">
        <f t="shared" si="102"/>
        <v>-2.3769885043072065</v>
      </c>
      <c r="AO217" s="44">
        <f t="shared" si="103"/>
        <v>3157695.9118810003</v>
      </c>
      <c r="AP217" s="44">
        <f t="shared" si="103"/>
        <v>-4348110.9707579995</v>
      </c>
    </row>
    <row r="218" spans="1:42" ht="15.5">
      <c r="A218" s="26" t="s">
        <v>13</v>
      </c>
      <c r="B218" s="7">
        <f>'A-TRY'!B218</f>
        <v>-19572019.619374</v>
      </c>
      <c r="C218" s="7">
        <f>'A-TRY'!C218</f>
        <v>-59473752.741926</v>
      </c>
      <c r="D218" s="7"/>
      <c r="E218" s="7">
        <f>B218+'A-TRY'!E218</f>
        <v>-62436860.00828699</v>
      </c>
      <c r="F218" s="7">
        <f>C218+'A-TRY'!F218</f>
        <v>-126825947.94672699</v>
      </c>
      <c r="G218" s="7"/>
      <c r="H218" s="7">
        <f>E218+'A-TRY'!H218</f>
        <v>-98891053.619537979</v>
      </c>
      <c r="I218" s="7">
        <f>F218+'A-TRY'!I218</f>
        <v>-294825064.69756299</v>
      </c>
      <c r="J218" s="7"/>
      <c r="K218" s="7">
        <f>H218+'A-TRY'!K218</f>
        <v>-156619573.483244</v>
      </c>
      <c r="L218" s="7">
        <f>I218+'A-TRY'!L218</f>
        <v>-501844185.02474099</v>
      </c>
      <c r="M218" s="7"/>
      <c r="N218" s="7">
        <f>K218+'A-TRY'!N218</f>
        <v>-174573249.375907</v>
      </c>
      <c r="O218" s="7">
        <f>L218+'A-TRY'!O218</f>
        <v>-630543900.53443396</v>
      </c>
      <c r="P218" s="7"/>
      <c r="Q218" s="7">
        <f>N218+'A-TRY'!Q218</f>
        <v>-176124348.85750499</v>
      </c>
      <c r="R218" s="7">
        <f>O218+'A-TRY'!R218</f>
        <v>-769495446.84168994</v>
      </c>
      <c r="S218" s="7"/>
      <c r="T218" s="7">
        <f>Q218+'A-TRY'!T218</f>
        <v>-182729606.61005801</v>
      </c>
      <c r="U218" s="7">
        <f>R218+'A-TRY'!U218</f>
        <v>-924281167.2370069</v>
      </c>
      <c r="V218" s="7"/>
      <c r="W218" s="7">
        <f>T218+'A-TRY'!W218</f>
        <v>-183436272.10807002</v>
      </c>
      <c r="X218" s="7">
        <f>U218+'A-TRY'!X218</f>
        <v>-1016098496.7910219</v>
      </c>
      <c r="Y218" s="7"/>
      <c r="Z218" s="7">
        <f>W218+'A-TRY'!Z218</f>
        <v>-165869232.73068303</v>
      </c>
      <c r="AA218" s="7">
        <f>X218+'A-TRY'!AA218</f>
        <v>-1135629175.9205799</v>
      </c>
      <c r="AB218" s="7"/>
      <c r="AC218" s="7">
        <f>Z218+'A-TRY'!AC218</f>
        <v>-111677479.86180103</v>
      </c>
      <c r="AD218" s="7">
        <f>AA218+'A-TRY'!AD218</f>
        <v>-1135629175.9205799</v>
      </c>
      <c r="AE218" s="7"/>
      <c r="AF218" s="7">
        <f>AC218+'A-TRY'!AF218</f>
        <v>-47098392.795307025</v>
      </c>
      <c r="AG218" s="7">
        <f>AD218+'A-TRY'!AG218</f>
        <v>-1135629175.9205799</v>
      </c>
      <c r="AH218" s="7"/>
      <c r="AI218" s="7">
        <f>AF218+'A-TRY'!AI218</f>
        <v>48175268.32986097</v>
      </c>
      <c r="AJ218" s="7">
        <f>AG218+'A-TRY'!AJ218</f>
        <v>-1135629175.9205799</v>
      </c>
      <c r="AK218" s="7"/>
      <c r="AL218" s="21">
        <f t="shared" si="101"/>
        <v>-969759943.18989682</v>
      </c>
      <c r="AM218" s="22">
        <f t="shared" si="102"/>
        <v>5.8465330020816308</v>
      </c>
      <c r="AO218" s="44">
        <f t="shared" si="103"/>
        <v>-165869232.73068303</v>
      </c>
      <c r="AP218" s="44">
        <f t="shared" si="103"/>
        <v>-1135629175.9205799</v>
      </c>
    </row>
    <row r="219" spans="1:42" s="1" customFormat="1" ht="15.5">
      <c r="A219" s="26" t="s">
        <v>14</v>
      </c>
      <c r="B219" s="7">
        <f>'A-TRY'!B219</f>
        <v>8522990</v>
      </c>
      <c r="C219" s="7">
        <f>'A-TRY'!C219</f>
        <v>9264056.790368</v>
      </c>
      <c r="D219" s="8"/>
      <c r="E219" s="7">
        <f>B219+'A-TRY'!E219</f>
        <v>18509964.529500999</v>
      </c>
      <c r="F219" s="7">
        <f>C219+'A-TRY'!F219</f>
        <v>17584460.028902002</v>
      </c>
      <c r="G219" s="8"/>
      <c r="H219" s="7">
        <f>E219+'A-TRY'!H219</f>
        <v>27847524.529500999</v>
      </c>
      <c r="I219" s="7">
        <f>F219+'A-TRY'!I219</f>
        <v>37997182.307601005</v>
      </c>
      <c r="J219" s="8"/>
      <c r="K219" s="7">
        <f>H219+'A-TRY'!K219</f>
        <v>20860969.44505477</v>
      </c>
      <c r="L219" s="7">
        <f>I219+'A-TRY'!L219</f>
        <v>34338397.365320005</v>
      </c>
      <c r="M219" s="8"/>
      <c r="N219" s="7">
        <f>K219+'A-TRY'!N219</f>
        <v>20341679.970372066</v>
      </c>
      <c r="O219" s="7">
        <f>L219+'A-TRY'!O219</f>
        <v>34385850.478831008</v>
      </c>
      <c r="P219" s="8"/>
      <c r="Q219" s="7">
        <f>N219+'A-TRY'!Q219</f>
        <v>17613424.528394237</v>
      </c>
      <c r="R219" s="7">
        <f>O219+'A-TRY'!R219</f>
        <v>30207006.134243008</v>
      </c>
      <c r="S219" s="8"/>
      <c r="T219" s="7">
        <f>Q219+'A-TRY'!T219</f>
        <v>19843118.823728912</v>
      </c>
      <c r="U219" s="7">
        <f>R219+'A-TRY'!U219</f>
        <v>35493724.849133007</v>
      </c>
      <c r="V219" s="8"/>
      <c r="W219" s="7">
        <f>T219+'A-TRY'!W219</f>
        <v>23711154.913692094</v>
      </c>
      <c r="X219" s="7">
        <f>U219+'A-TRY'!X219</f>
        <v>38835806.844437011</v>
      </c>
      <c r="Y219" s="8"/>
      <c r="Z219" s="7">
        <f>W219+'A-TRY'!Z219</f>
        <v>27153216.3543256</v>
      </c>
      <c r="AA219" s="7">
        <f>X219+'A-TRY'!AA219</f>
        <v>51737934.715162009</v>
      </c>
      <c r="AB219" s="8"/>
      <c r="AC219" s="7">
        <f>Z219+'A-TRY'!AC219</f>
        <v>36615724.13345883</v>
      </c>
      <c r="AD219" s="7">
        <f>AA219+'A-TRY'!AD219</f>
        <v>51737934.715162009</v>
      </c>
      <c r="AE219" s="8"/>
      <c r="AF219" s="7">
        <f>AC219+'A-TRY'!AF219</f>
        <v>42671892.435234368</v>
      </c>
      <c r="AG219" s="7">
        <f>AD219+'A-TRY'!AG219</f>
        <v>51737934.715162009</v>
      </c>
      <c r="AH219" s="8"/>
      <c r="AI219" s="7">
        <f>AF219+'A-TRY'!AI219</f>
        <v>45442586.187923856</v>
      </c>
      <c r="AJ219" s="7">
        <f>AG219+'A-TRY'!AJ219</f>
        <v>51737934.715162009</v>
      </c>
      <c r="AK219" s="8"/>
      <c r="AL219" s="21">
        <f t="shared" si="101"/>
        <v>24584718.360836409</v>
      </c>
      <c r="AM219" s="22">
        <f t="shared" si="102"/>
        <v>0.90540722837499055</v>
      </c>
      <c r="AO219" s="44">
        <f t="shared" si="103"/>
        <v>27153216.3543256</v>
      </c>
      <c r="AP219" s="44">
        <f t="shared" si="103"/>
        <v>51737934.715162009</v>
      </c>
    </row>
    <row r="220" spans="1:42" ht="15.5">
      <c r="A220" s="26" t="s">
        <v>15</v>
      </c>
      <c r="B220" s="7">
        <f>'A-TRY'!B220</f>
        <v>9558353.801066881</v>
      </c>
      <c r="C220" s="7">
        <f>'A-TRY'!C220</f>
        <v>22466044.699901871</v>
      </c>
      <c r="D220" s="7"/>
      <c r="E220" s="7">
        <f>B220+'A-TRY'!E220</f>
        <v>38797944.330812566</v>
      </c>
      <c r="F220" s="7">
        <f>C220+'A-TRY'!F220</f>
        <v>59898110.420077167</v>
      </c>
      <c r="G220" s="7"/>
      <c r="H220" s="7">
        <f>E220+'A-TRY'!H220</f>
        <v>104915552.71953315</v>
      </c>
      <c r="I220" s="7">
        <f>F220+'A-TRY'!I220</f>
        <v>98017108.21981588</v>
      </c>
      <c r="J220" s="7"/>
      <c r="K220" s="7">
        <f>H220+'A-TRY'!K220</f>
        <v>114968669.52976094</v>
      </c>
      <c r="L220" s="7">
        <f>I220+'A-TRY'!L220</f>
        <v>151453794.85878199</v>
      </c>
      <c r="M220" s="7"/>
      <c r="N220" s="7">
        <f>K220+'A-TRY'!N220</f>
        <v>147164881.48107952</v>
      </c>
      <c r="O220" s="7">
        <f>L220+'A-TRY'!O220</f>
        <v>191121407.38858011</v>
      </c>
      <c r="P220" s="7"/>
      <c r="Q220" s="7">
        <f>N220+'A-TRY'!Q220</f>
        <v>201011090.39566386</v>
      </c>
      <c r="R220" s="7">
        <f>O220+'A-TRY'!R220</f>
        <v>248246012.62628365</v>
      </c>
      <c r="S220" s="7"/>
      <c r="T220" s="7">
        <f>Q220+'A-TRY'!T220</f>
        <v>213896942.24253845</v>
      </c>
      <c r="U220" s="7">
        <f>R220+'A-TRY'!U220</f>
        <v>307758728.50041384</v>
      </c>
      <c r="V220" s="7"/>
      <c r="W220" s="7">
        <f>T220+'A-TRY'!W220</f>
        <v>214878347.76806188</v>
      </c>
      <c r="X220" s="7">
        <f>U220+'A-TRY'!X220</f>
        <v>321761277.00742853</v>
      </c>
      <c r="Y220" s="7"/>
      <c r="Z220" s="7">
        <f>W220+'A-TRY'!Z220</f>
        <v>304178128.52115315</v>
      </c>
      <c r="AA220" s="7">
        <f>X220+'A-TRY'!AA220</f>
        <v>423050941.52606457</v>
      </c>
      <c r="AB220" s="7"/>
      <c r="AC220" s="7">
        <f>Z220+'A-TRY'!AC220</f>
        <v>350654726.68536586</v>
      </c>
      <c r="AD220" s="7">
        <f>AA220+'A-TRY'!AD220</f>
        <v>423050941.52606457</v>
      </c>
      <c r="AE220" s="7"/>
      <c r="AF220" s="7">
        <f>AC220+'A-TRY'!AF220</f>
        <v>398870675.45010102</v>
      </c>
      <c r="AG220" s="7">
        <f>AD220+'A-TRY'!AG220</f>
        <v>423050941.52606457</v>
      </c>
      <c r="AH220" s="7"/>
      <c r="AI220" s="7">
        <f>AF220+'A-TRY'!AI220</f>
        <v>443009869.57335669</v>
      </c>
      <c r="AJ220" s="7">
        <f>AG220+'A-TRY'!AJ220</f>
        <v>423050941.52606457</v>
      </c>
      <c r="AK220" s="7"/>
      <c r="AL220" s="21">
        <f t="shared" si="101"/>
        <v>118872813.00491142</v>
      </c>
      <c r="AM220" s="22">
        <f t="shared" si="102"/>
        <v>0.39080000124547021</v>
      </c>
      <c r="AO220" s="44">
        <f t="shared" si="103"/>
        <v>304178128.52115315</v>
      </c>
      <c r="AP220" s="44">
        <f t="shared" si="103"/>
        <v>423050941.52606457</v>
      </c>
    </row>
    <row r="221" spans="1:42" s="1" customFormat="1" ht="15.5">
      <c r="A221" s="26" t="s">
        <v>16</v>
      </c>
      <c r="B221" s="7">
        <f>'A-TRY'!B221</f>
        <v>49011642.162854634</v>
      </c>
      <c r="C221" s="7">
        <f>'A-TRY'!C221</f>
        <v>34729347.368461676</v>
      </c>
      <c r="D221" s="8"/>
      <c r="E221" s="7">
        <f>B221+'A-TRY'!E221</f>
        <v>86276630.962547779</v>
      </c>
      <c r="F221" s="7">
        <f>C221+'A-TRY'!F221</f>
        <v>64914104.715644903</v>
      </c>
      <c r="G221" s="8"/>
      <c r="H221" s="7">
        <f>E221+'A-TRY'!H221</f>
        <v>140053808.42114237</v>
      </c>
      <c r="I221" s="7">
        <f>F221+'A-TRY'!I221</f>
        <v>125958879.53215201</v>
      </c>
      <c r="J221" s="8"/>
      <c r="K221" s="7">
        <f>H221+'A-TRY'!K221</f>
        <v>194492620.62422433</v>
      </c>
      <c r="L221" s="7">
        <f>I221+'A-TRY'!L221</f>
        <v>140948495.55075231</v>
      </c>
      <c r="M221" s="8"/>
      <c r="N221" s="7">
        <f>K221+'A-TRY'!N221</f>
        <v>255728298.99802423</v>
      </c>
      <c r="O221" s="7">
        <f>L221+'A-TRY'!O221</f>
        <v>205595551.23711976</v>
      </c>
      <c r="P221" s="8"/>
      <c r="Q221" s="7">
        <f>N221+'A-TRY'!Q221</f>
        <v>298422349.84574312</v>
      </c>
      <c r="R221" s="7">
        <f>O221+'A-TRY'!R221</f>
        <v>215604823.52534825</v>
      </c>
      <c r="S221" s="8"/>
      <c r="T221" s="7">
        <f>Q221+'A-TRY'!T221</f>
        <v>340679665.16151673</v>
      </c>
      <c r="U221" s="7">
        <f>R221+'A-TRY'!U221</f>
        <v>332852231.71362197</v>
      </c>
      <c r="V221" s="8"/>
      <c r="W221" s="7">
        <f>T221+'A-TRY'!W221</f>
        <v>363591059.52259225</v>
      </c>
      <c r="X221" s="7">
        <f>U221+'A-TRY'!X221</f>
        <v>362679302.07385129</v>
      </c>
      <c r="Y221" s="8"/>
      <c r="Z221" s="7">
        <f>W221+'A-TRY'!Z221</f>
        <v>438196832.34378588</v>
      </c>
      <c r="AA221" s="7">
        <f>X221+'A-TRY'!AA221</f>
        <v>487678367.56610334</v>
      </c>
      <c r="AB221" s="8"/>
      <c r="AC221" s="7">
        <f>Z221+'A-TRY'!AC221</f>
        <v>508318835.62756878</v>
      </c>
      <c r="AD221" s="7">
        <f>AA221+'A-TRY'!AD221</f>
        <v>487678367.56610334</v>
      </c>
      <c r="AE221" s="8"/>
      <c r="AF221" s="7">
        <f>AC221+'A-TRY'!AF221</f>
        <v>574629644.30212796</v>
      </c>
      <c r="AG221" s="7">
        <f>AD221+'A-TRY'!AG221</f>
        <v>487678367.56610334</v>
      </c>
      <c r="AH221" s="8"/>
      <c r="AI221" s="7">
        <f>AF221+'A-TRY'!AI221</f>
        <v>453688551.87262583</v>
      </c>
      <c r="AJ221" s="7">
        <f>AG221+'A-TRY'!AJ221</f>
        <v>487678367.56610334</v>
      </c>
      <c r="AK221" s="8"/>
      <c r="AL221" s="21">
        <f t="shared" si="101"/>
        <v>49481535.222317457</v>
      </c>
      <c r="AM221" s="22">
        <f t="shared" si="102"/>
        <v>0.1129207962496106</v>
      </c>
      <c r="AO221" s="44">
        <f t="shared" si="103"/>
        <v>438196832.34378588</v>
      </c>
      <c r="AP221" s="44">
        <f t="shared" si="103"/>
        <v>487678367.56610334</v>
      </c>
    </row>
    <row r="222" spans="1:42" s="1" customFormat="1" ht="15.5">
      <c r="A222" s="26" t="s">
        <v>17</v>
      </c>
      <c r="B222" s="7">
        <f>'A-TRY'!B222</f>
        <v>80397567.552332669</v>
      </c>
      <c r="C222" s="7">
        <f>'A-TRY'!C222</f>
        <v>53974575.001704618</v>
      </c>
      <c r="D222" s="8"/>
      <c r="E222" s="7">
        <f>B222+'A-TRY'!E222</f>
        <v>149672383.75774711</v>
      </c>
      <c r="F222" s="7">
        <f>C222+'A-TRY'!F222</f>
        <v>65291818.114651255</v>
      </c>
      <c r="G222" s="8"/>
      <c r="H222" s="7">
        <f>E222+'A-TRY'!H222</f>
        <v>249216734.99021286</v>
      </c>
      <c r="I222" s="7">
        <f>F222+'A-TRY'!I222</f>
        <v>102891623.50201383</v>
      </c>
      <c r="J222" s="8"/>
      <c r="K222" s="7">
        <f>H222+'A-TRY'!K222</f>
        <v>293509750.8147428</v>
      </c>
      <c r="L222" s="7">
        <f>I222+'A-TRY'!L222</f>
        <v>126396709.90357469</v>
      </c>
      <c r="M222" s="8"/>
      <c r="N222" s="7">
        <f>K222+'A-TRY'!N222</f>
        <v>380128317.13104928</v>
      </c>
      <c r="O222" s="7">
        <f>L222+'A-TRY'!O222</f>
        <v>219176717.36902922</v>
      </c>
      <c r="P222" s="8"/>
      <c r="Q222" s="7">
        <f>N222+'A-TRY'!Q222</f>
        <v>467948066.77139366</v>
      </c>
      <c r="R222" s="7">
        <f>O222+'A-TRY'!R222</f>
        <v>278301715.32095122</v>
      </c>
      <c r="S222" s="8"/>
      <c r="T222" s="7">
        <f>Q222+'A-TRY'!T222</f>
        <v>563818270.25647771</v>
      </c>
      <c r="U222" s="7">
        <f>R222+'A-TRY'!U222</f>
        <v>367475208.2390613</v>
      </c>
      <c r="V222" s="8"/>
      <c r="W222" s="7">
        <f>T222+'A-TRY'!W222</f>
        <v>584888768.62751472</v>
      </c>
      <c r="X222" s="7">
        <f>U222+'A-TRY'!X222</f>
        <v>408886139.2635693</v>
      </c>
      <c r="Y222" s="8"/>
      <c r="Z222" s="7">
        <f>W222+'A-TRY'!Z222</f>
        <v>751560980.23935127</v>
      </c>
      <c r="AA222" s="7">
        <f>X222+'A-TRY'!AA222</f>
        <v>568446316.95596123</v>
      </c>
      <c r="AB222" s="8"/>
      <c r="AC222" s="7">
        <f>Z222+'A-TRY'!AC222</f>
        <v>856484674.18886185</v>
      </c>
      <c r="AD222" s="7">
        <f>AA222+'A-TRY'!AD222</f>
        <v>568446316.95596123</v>
      </c>
      <c r="AE222" s="8"/>
      <c r="AF222" s="7">
        <f>AC222+'A-TRY'!AF222</f>
        <v>965158116.40270483</v>
      </c>
      <c r="AG222" s="7">
        <f>AD222+'A-TRY'!AG222</f>
        <v>568446316.95596123</v>
      </c>
      <c r="AH222" s="8"/>
      <c r="AI222" s="7">
        <f>AF222+'A-TRY'!AI222</f>
        <v>1068204175.1459883</v>
      </c>
      <c r="AJ222" s="7">
        <f>AG222+'A-TRY'!AJ222</f>
        <v>568446316.95596123</v>
      </c>
      <c r="AK222" s="8"/>
      <c r="AL222" s="21">
        <f t="shared" si="101"/>
        <v>-183114663.28339005</v>
      </c>
      <c r="AM222" s="22">
        <f t="shared" si="102"/>
        <v>-0.24364578270824155</v>
      </c>
      <c r="AO222" s="44">
        <f t="shared" si="103"/>
        <v>751560980.23935127</v>
      </c>
      <c r="AP222" s="44">
        <f t="shared" si="103"/>
        <v>568446316.95596123</v>
      </c>
    </row>
    <row r="223" spans="1:42" s="1" customFormat="1" ht="15.5">
      <c r="A223" s="26"/>
      <c r="B223" s="7"/>
      <c r="C223" s="8"/>
      <c r="D223" s="8"/>
      <c r="E223" s="7"/>
      <c r="F223" s="8"/>
      <c r="G223" s="8"/>
      <c r="H223" s="7"/>
      <c r="I223" s="8"/>
      <c r="J223" s="8"/>
      <c r="K223" s="7"/>
      <c r="L223" s="8"/>
      <c r="M223" s="8"/>
      <c r="N223" s="7"/>
      <c r="O223" s="8"/>
      <c r="P223" s="8"/>
      <c r="Q223" s="7"/>
      <c r="R223" s="8"/>
      <c r="S223" s="8"/>
      <c r="T223" s="7"/>
      <c r="U223" s="8"/>
      <c r="V223" s="8"/>
      <c r="W223" s="7"/>
      <c r="X223" s="8"/>
      <c r="Y223" s="8"/>
      <c r="Z223" s="7"/>
      <c r="AA223" s="8"/>
      <c r="AB223" s="8"/>
      <c r="AC223" s="7"/>
      <c r="AD223" s="8"/>
      <c r="AE223" s="8"/>
      <c r="AF223" s="7"/>
      <c r="AG223" s="8"/>
      <c r="AH223" s="8"/>
      <c r="AI223" s="7"/>
      <c r="AJ223" s="8"/>
      <c r="AK223" s="8"/>
      <c r="AL223" s="15"/>
      <c r="AM223" s="16"/>
      <c r="AO223" s="44"/>
      <c r="AP223" s="44"/>
    </row>
    <row r="224" spans="1:42" s="1" customFormat="1" ht="15.5">
      <c r="A224" s="26"/>
      <c r="B224" s="7"/>
      <c r="C224" s="8"/>
      <c r="D224" s="8"/>
      <c r="E224" s="7"/>
      <c r="F224" s="8"/>
      <c r="G224" s="8"/>
      <c r="H224" s="7"/>
      <c r="I224" s="8"/>
      <c r="J224" s="8"/>
      <c r="K224" s="7"/>
      <c r="L224" s="8"/>
      <c r="M224" s="8"/>
      <c r="N224" s="7"/>
      <c r="O224" s="8"/>
      <c r="P224" s="8"/>
      <c r="Q224" s="7"/>
      <c r="R224" s="8"/>
      <c r="S224" s="8"/>
      <c r="T224" s="7"/>
      <c r="U224" s="8"/>
      <c r="V224" s="8"/>
      <c r="W224" s="7"/>
      <c r="X224" s="8"/>
      <c r="Y224" s="8"/>
      <c r="Z224" s="7"/>
      <c r="AA224" s="8"/>
      <c r="AB224" s="8"/>
      <c r="AC224" s="7"/>
      <c r="AD224" s="8"/>
      <c r="AE224" s="8"/>
      <c r="AF224" s="7"/>
      <c r="AG224" s="8"/>
      <c r="AH224" s="8"/>
      <c r="AI224" s="7"/>
      <c r="AJ224" s="8"/>
      <c r="AK224" s="8"/>
      <c r="AL224" s="15"/>
      <c r="AM224" s="16"/>
      <c r="AO224" s="44"/>
      <c r="AP224" s="44"/>
    </row>
    <row r="225" spans="1:42" s="49" customFormat="1" ht="17">
      <c r="A225" s="47" t="s">
        <v>25</v>
      </c>
      <c r="B225" s="413"/>
      <c r="C225" s="413"/>
      <c r="D225" s="413"/>
      <c r="E225" s="413"/>
      <c r="F225" s="413"/>
      <c r="G225" s="413"/>
      <c r="H225" s="413"/>
      <c r="I225" s="413"/>
      <c r="J225" s="413"/>
      <c r="K225" s="413"/>
      <c r="L225" s="413"/>
      <c r="M225" s="413"/>
      <c r="N225" s="413"/>
      <c r="O225" s="413"/>
      <c r="P225" s="413"/>
      <c r="Q225" s="413"/>
      <c r="R225" s="413"/>
      <c r="S225" s="413"/>
      <c r="T225" s="413"/>
      <c r="U225" s="413"/>
      <c r="V225" s="413"/>
      <c r="W225" s="413"/>
      <c r="X225" s="413"/>
      <c r="Y225" s="413"/>
      <c r="Z225" s="413"/>
      <c r="AA225" s="413"/>
      <c r="AB225" s="413"/>
      <c r="AC225" s="413"/>
      <c r="AD225" s="413"/>
      <c r="AE225" s="413"/>
      <c r="AF225" s="413"/>
      <c r="AG225" s="413"/>
      <c r="AH225" s="413"/>
      <c r="AI225" s="413"/>
      <c r="AJ225" s="413"/>
      <c r="AK225" s="413"/>
      <c r="AL225" s="413"/>
      <c r="AM225" s="48"/>
    </row>
    <row r="226" spans="1:42" ht="15.5">
      <c r="A226" s="26" t="s">
        <v>10</v>
      </c>
      <c r="B226" s="5">
        <f>B215/B9</f>
        <v>0.36281274864120405</v>
      </c>
      <c r="C226" s="5">
        <f>C215/C9</f>
        <v>0.18132867549462708</v>
      </c>
      <c r="D226" s="7"/>
      <c r="E226" s="5">
        <f>E215/E9</f>
        <v>0.32964362177064421</v>
      </c>
      <c r="F226" s="5">
        <f>F215/F9</f>
        <v>0.32776651817063429</v>
      </c>
      <c r="G226" s="7"/>
      <c r="H226" s="5">
        <f>H215/H9</f>
        <v>0.30209965652758008</v>
      </c>
      <c r="I226" s="5">
        <f>I215/I9</f>
        <v>0.49384453647440207</v>
      </c>
      <c r="J226" s="7"/>
      <c r="K226" s="5">
        <f>K215/K9</f>
        <v>0.29749791812882992</v>
      </c>
      <c r="L226" s="5">
        <f>L215/L9</f>
        <v>0.50737187050565558</v>
      </c>
      <c r="M226" s="7"/>
      <c r="N226" s="5">
        <f>N215/N9</f>
        <v>0.29501406294025589</v>
      </c>
      <c r="O226" s="5">
        <f>O215/O9</f>
        <v>0.46088571669207729</v>
      </c>
      <c r="P226" s="7"/>
      <c r="Q226" s="5">
        <f>Q215/Q9</f>
        <v>0.29855069760584396</v>
      </c>
      <c r="R226" s="5">
        <f>R215/R9</f>
        <v>0.42908285727038542</v>
      </c>
      <c r="S226" s="7"/>
      <c r="T226" s="5">
        <f>T215/T9</f>
        <v>0.30327294211688105</v>
      </c>
      <c r="U226" s="5">
        <f>U215/U9</f>
        <v>0.39884864133688791</v>
      </c>
      <c r="V226" s="7"/>
      <c r="W226" s="5">
        <f>W215/W9</f>
        <v>0.30238267142070174</v>
      </c>
      <c r="X226" s="5">
        <f>X215/X9</f>
        <v>0.39451653544107013</v>
      </c>
      <c r="Y226" s="7"/>
      <c r="Z226" s="5">
        <f>Z215/Z9</f>
        <v>0.31271046304388633</v>
      </c>
      <c r="AA226" s="5">
        <f>AA215/AA9</f>
        <v>0.40613920627325079</v>
      </c>
      <c r="AB226" s="7"/>
      <c r="AC226" s="5">
        <f>AC215/AC9</f>
        <v>0.31666731304606394</v>
      </c>
      <c r="AD226" s="5">
        <f>AD215/AD9</f>
        <v>0.40613920627325079</v>
      </c>
      <c r="AE226" s="7"/>
      <c r="AF226" s="5">
        <f>AF215/AF9</f>
        <v>0.31715470814764529</v>
      </c>
      <c r="AG226" s="5">
        <f>AG215/AG9</f>
        <v>0.40613920627325079</v>
      </c>
      <c r="AH226" s="7"/>
      <c r="AI226" s="5">
        <f>AI215/AI9</f>
        <v>0.2724433454989369</v>
      </c>
      <c r="AJ226" s="5">
        <f>AJ215/AJ9</f>
        <v>0.40613920627325079</v>
      </c>
      <c r="AK226" s="7"/>
      <c r="AL226" s="21"/>
      <c r="AM226" s="22">
        <f>AP226-AO226</f>
        <v>9.3428743229364453E-2</v>
      </c>
      <c r="AO226" s="44">
        <f t="shared" ref="AO226:AP233" si="104">IF($A$1=$B$1,B226,IF($A$1=$E$1,E226,IF($A$1=$H$1,H226,IF($A$1=$K$1,K226,IF($A$1=$N$1,N226,IF($A$1=$Q$1,Q226,IF($A$1=$T$1,T226,IF($A$1=$W$1,W226,IF($A$1=$Z$1,Z226,IF($A$1=$AC$1,AC226,IF($A$1=$AF$1,AF226,IF($A$1=$AI$1,AI226))))))))))))</f>
        <v>0.31271046304388633</v>
      </c>
      <c r="AP226" s="44">
        <f t="shared" si="104"/>
        <v>0.40613920627325079</v>
      </c>
    </row>
    <row r="227" spans="1:42" ht="15.5">
      <c r="A227" s="26" t="s">
        <v>11</v>
      </c>
      <c r="B227" s="5">
        <f t="shared" ref="B227:C233" si="105">B216/B10</f>
        <v>-3.5400113116245031E-2</v>
      </c>
      <c r="C227" s="5">
        <f t="shared" si="105"/>
        <v>-7.8709863596322052E-2</v>
      </c>
      <c r="D227" s="7"/>
      <c r="E227" s="5">
        <f t="shared" ref="E227:F233" si="106">E216/E10</f>
        <v>1.8758361965277064E-2</v>
      </c>
      <c r="F227" s="5">
        <f t="shared" si="106"/>
        <v>-4.3647080843775748E-2</v>
      </c>
      <c r="G227" s="7"/>
      <c r="H227" s="5">
        <f t="shared" ref="H227:I233" si="107">H216/H10</f>
        <v>4.0548030437791108E-2</v>
      </c>
      <c r="I227" s="5">
        <f t="shared" si="107"/>
        <v>-5.645393698685372E-2</v>
      </c>
      <c r="J227" s="7"/>
      <c r="K227" s="5">
        <f t="shared" ref="K227:L233" si="108">K216/K10</f>
        <v>6.4401200976961878E-2</v>
      </c>
      <c r="L227" s="5">
        <f t="shared" si="108"/>
        <v>-1.7397989995219864E-2</v>
      </c>
      <c r="M227" s="7"/>
      <c r="N227" s="5">
        <f t="shared" ref="N227:O233" si="109">N216/N10</f>
        <v>8.6109151310807916E-2</v>
      </c>
      <c r="O227" s="5">
        <f t="shared" si="109"/>
        <v>-4.7480802560679061E-2</v>
      </c>
      <c r="P227" s="7"/>
      <c r="Q227" s="5">
        <f t="shared" ref="Q227:R233" si="110">Q216/Q10</f>
        <v>9.7278916966053175E-2</v>
      </c>
      <c r="R227" s="5">
        <f t="shared" si="110"/>
        <v>-0.14270680040379152</v>
      </c>
      <c r="S227" s="7"/>
      <c r="T227" s="5">
        <f t="shared" ref="T227:U233" si="111">T216/T10</f>
        <v>0.10205020244446378</v>
      </c>
      <c r="U227" s="5">
        <f t="shared" si="111"/>
        <v>-0.13170311851042979</v>
      </c>
      <c r="V227" s="7"/>
      <c r="W227" s="5">
        <f t="shared" ref="W227:X233" si="112">W216/W10</f>
        <v>9.6527452047127232E-2</v>
      </c>
      <c r="X227" s="5">
        <f t="shared" si="112"/>
        <v>-0.15650170153537907</v>
      </c>
      <c r="Y227" s="7"/>
      <c r="Z227" s="5">
        <f t="shared" ref="Z227:AA233" si="113">Z216/Z10</f>
        <v>9.453917744606713E-2</v>
      </c>
      <c r="AA227" s="5">
        <f t="shared" si="113"/>
        <v>-0.18212521504866361</v>
      </c>
      <c r="AB227" s="7"/>
      <c r="AC227" s="5">
        <f t="shared" ref="AC227:AD233" si="114">AC216/AC10</f>
        <v>8.9576215022327349E-2</v>
      </c>
      <c r="AD227" s="5">
        <f t="shared" si="114"/>
        <v>-0.18212521504866361</v>
      </c>
      <c r="AE227" s="7"/>
      <c r="AF227" s="5">
        <f t="shared" ref="AF227:AG233" si="115">AF216/AF10</f>
        <v>8.3050478719960366E-2</v>
      </c>
      <c r="AG227" s="5">
        <f t="shared" si="115"/>
        <v>-0.18212521504866361</v>
      </c>
      <c r="AH227" s="7"/>
      <c r="AI227" s="5">
        <f t="shared" ref="AI227:AJ233" si="116">AI216/AI10</f>
        <v>7.3988123823945387E-2</v>
      </c>
      <c r="AJ227" s="5">
        <f t="shared" si="116"/>
        <v>-0.18212521504866361</v>
      </c>
      <c r="AK227" s="7"/>
      <c r="AL227" s="21"/>
      <c r="AM227" s="22">
        <f t="shared" ref="AM227:AM233" si="117">AP227-AO227</f>
        <v>-0.27666439249473074</v>
      </c>
      <c r="AO227" s="44">
        <f t="shared" si="104"/>
        <v>9.453917744606713E-2</v>
      </c>
      <c r="AP227" s="44">
        <f t="shared" si="104"/>
        <v>-0.18212521504866361</v>
      </c>
    </row>
    <row r="228" spans="1:42" ht="15.5">
      <c r="A228" s="26" t="s">
        <v>12</v>
      </c>
      <c r="B228" s="5">
        <f t="shared" si="105"/>
        <v>-9.4184174568694934E-2</v>
      </c>
      <c r="C228" s="5">
        <f t="shared" si="105"/>
        <v>1.2445246733022452E-3</v>
      </c>
      <c r="D228" s="7"/>
      <c r="E228" s="5">
        <f t="shared" si="106"/>
        <v>-7.3903755765965182E-2</v>
      </c>
      <c r="F228" s="5">
        <f t="shared" si="106"/>
        <v>1.6635955264456012E-3</v>
      </c>
      <c r="G228" s="7"/>
      <c r="H228" s="5">
        <f t="shared" si="107"/>
        <v>-4.3641285707352713E-2</v>
      </c>
      <c r="I228" s="5">
        <f t="shared" si="107"/>
        <v>-7.5225455052111961E-3</v>
      </c>
      <c r="J228" s="7"/>
      <c r="K228" s="5">
        <f t="shared" si="108"/>
        <v>-3.1258787108322333E-2</v>
      </c>
      <c r="L228" s="5">
        <f t="shared" si="108"/>
        <v>-9.0762532617979508E-3</v>
      </c>
      <c r="M228" s="7"/>
      <c r="N228" s="5">
        <f t="shared" si="109"/>
        <v>-1.6197369399029819E-2</v>
      </c>
      <c r="O228" s="5">
        <f t="shared" si="109"/>
        <v>-5.6762882706017847E-3</v>
      </c>
      <c r="P228" s="7"/>
      <c r="Q228" s="5">
        <f t="shared" si="110"/>
        <v>-7.0268340034467698E-3</v>
      </c>
      <c r="R228" s="5">
        <f t="shared" si="110"/>
        <v>-9.8642541597429977E-3</v>
      </c>
      <c r="S228" s="7"/>
      <c r="T228" s="5">
        <f t="shared" si="111"/>
        <v>1.2424160444839409E-3</v>
      </c>
      <c r="U228" s="5">
        <f t="shared" si="111"/>
        <v>-1.4053135179715194E-2</v>
      </c>
      <c r="V228" s="7"/>
      <c r="W228" s="5">
        <f t="shared" si="112"/>
        <v>4.8663928229457486E-3</v>
      </c>
      <c r="X228" s="5">
        <f t="shared" si="112"/>
        <v>-1.6401468749101245E-2</v>
      </c>
      <c r="Y228" s="7"/>
      <c r="Z228" s="5">
        <f t="shared" si="113"/>
        <v>6.4217893150595598E-3</v>
      </c>
      <c r="AA228" s="5">
        <f t="shared" si="113"/>
        <v>-1.119866454286279E-2</v>
      </c>
      <c r="AB228" s="7"/>
      <c r="AC228" s="5">
        <f t="shared" si="114"/>
        <v>8.8344902812817778E-3</v>
      </c>
      <c r="AD228" s="5">
        <f t="shared" si="114"/>
        <v>-1.119866454286279E-2</v>
      </c>
      <c r="AE228" s="7"/>
      <c r="AF228" s="5">
        <f t="shared" si="115"/>
        <v>1.1564159226864377E-2</v>
      </c>
      <c r="AG228" s="5">
        <f t="shared" si="115"/>
        <v>-1.119866454286279E-2</v>
      </c>
      <c r="AH228" s="7"/>
      <c r="AI228" s="5">
        <f t="shared" si="116"/>
        <v>1.060281778338403E-2</v>
      </c>
      <c r="AJ228" s="5">
        <f t="shared" si="116"/>
        <v>-1.119866454286279E-2</v>
      </c>
      <c r="AK228" s="7"/>
      <c r="AL228" s="21"/>
      <c r="AM228" s="22">
        <f t="shared" si="117"/>
        <v>-1.7620453857922349E-2</v>
      </c>
      <c r="AO228" s="44">
        <f t="shared" si="104"/>
        <v>6.4217893150595598E-3</v>
      </c>
      <c r="AP228" s="44">
        <f t="shared" si="104"/>
        <v>-1.119866454286279E-2</v>
      </c>
    </row>
    <row r="229" spans="1:42" ht="15.5">
      <c r="A229" s="26" t="s">
        <v>13</v>
      </c>
      <c r="B229" s="5">
        <f t="shared" si="105"/>
        <v>-2.7590746951888866E-2</v>
      </c>
      <c r="C229" s="5">
        <f t="shared" si="105"/>
        <v>-7.5962270226340931E-2</v>
      </c>
      <c r="D229" s="7"/>
      <c r="E229" s="5">
        <f t="shared" si="106"/>
        <v>-4.317051068379392E-2</v>
      </c>
      <c r="F229" s="5">
        <f t="shared" si="106"/>
        <v>-9.3842522122407582E-2</v>
      </c>
      <c r="G229" s="7"/>
      <c r="H229" s="5">
        <f t="shared" si="107"/>
        <v>-4.4283513500608329E-2</v>
      </c>
      <c r="I229" s="5">
        <f t="shared" si="107"/>
        <v>-0.15854355439230128</v>
      </c>
      <c r="J229" s="7"/>
      <c r="K229" s="5">
        <f t="shared" si="108"/>
        <v>-5.2243914954262997E-2</v>
      </c>
      <c r="L229" s="5">
        <f t="shared" si="108"/>
        <v>-0.20995681716429546</v>
      </c>
      <c r="M229" s="7"/>
      <c r="N229" s="5">
        <f t="shared" si="109"/>
        <v>-4.6587613194384661E-2</v>
      </c>
      <c r="O229" s="5">
        <f t="shared" si="109"/>
        <v>-0.20931907700477664</v>
      </c>
      <c r="P229" s="7"/>
      <c r="Q229" s="5">
        <f t="shared" si="110"/>
        <v>-3.9008914111380001E-2</v>
      </c>
      <c r="R229" s="5">
        <f t="shared" si="110"/>
        <v>-0.22599679414652393</v>
      </c>
      <c r="S229" s="7"/>
      <c r="T229" s="5">
        <f t="shared" si="111"/>
        <v>-3.3662209191378079E-2</v>
      </c>
      <c r="U229" s="5">
        <f t="shared" si="111"/>
        <v>-0.22147019324435657</v>
      </c>
      <c r="V229" s="7"/>
      <c r="W229" s="5">
        <f t="shared" si="112"/>
        <v>-2.9003379856947908E-2</v>
      </c>
      <c r="X229" s="5">
        <f t="shared" si="112"/>
        <v>-0.20952244251419611</v>
      </c>
      <c r="Y229" s="7"/>
      <c r="Z229" s="5">
        <f t="shared" si="113"/>
        <v>-2.2722399302102719E-2</v>
      </c>
      <c r="AA229" s="5">
        <f t="shared" si="113"/>
        <v>-0.21148743929493274</v>
      </c>
      <c r="AB229" s="7"/>
      <c r="AC229" s="5">
        <f t="shared" si="114"/>
        <v>-1.3245378708895588E-2</v>
      </c>
      <c r="AD229" s="5">
        <f t="shared" si="114"/>
        <v>-0.21148743929493274</v>
      </c>
      <c r="AE229" s="7"/>
      <c r="AF229" s="5">
        <f t="shared" si="115"/>
        <v>-4.9185053492455319E-3</v>
      </c>
      <c r="AG229" s="5">
        <f t="shared" si="115"/>
        <v>-0.21148743929493274</v>
      </c>
      <c r="AH229" s="7"/>
      <c r="AI229" s="5">
        <f t="shared" si="116"/>
        <v>4.4765781937267553E-3</v>
      </c>
      <c r="AJ229" s="5">
        <f t="shared" si="116"/>
        <v>-0.21148743929493274</v>
      </c>
      <c r="AK229" s="7"/>
      <c r="AL229" s="21"/>
      <c r="AM229" s="22">
        <f t="shared" si="117"/>
        <v>-0.18876503999283004</v>
      </c>
      <c r="AO229" s="44">
        <f t="shared" si="104"/>
        <v>-2.2722399302102719E-2</v>
      </c>
      <c r="AP229" s="44">
        <f t="shared" si="104"/>
        <v>-0.21148743929493274</v>
      </c>
    </row>
    <row r="230" spans="1:42" s="1" customFormat="1" ht="15.5">
      <c r="A230" s="26" t="s">
        <v>14</v>
      </c>
      <c r="B230" s="5">
        <f t="shared" si="105"/>
        <v>3.4722475289825153E-2</v>
      </c>
      <c r="C230" s="5">
        <f t="shared" si="105"/>
        <v>4.1981375898470868E-2</v>
      </c>
      <c r="D230" s="8"/>
      <c r="E230" s="5">
        <f t="shared" si="106"/>
        <v>3.6700629472124019E-2</v>
      </c>
      <c r="F230" s="5">
        <f t="shared" si="106"/>
        <v>4.0471941890411499E-2</v>
      </c>
      <c r="G230" s="8"/>
      <c r="H230" s="5">
        <f t="shared" si="107"/>
        <v>3.6360193076001412E-2</v>
      </c>
      <c r="I230" s="5">
        <f t="shared" si="107"/>
        <v>5.5026531727007937E-2</v>
      </c>
      <c r="J230" s="8"/>
      <c r="K230" s="5">
        <f t="shared" si="108"/>
        <v>2.02326513944831E-2</v>
      </c>
      <c r="L230" s="5">
        <f t="shared" si="108"/>
        <v>3.7829476794650554E-2</v>
      </c>
      <c r="M230" s="8"/>
      <c r="N230" s="5">
        <f t="shared" si="109"/>
        <v>1.5546994543271641E-2</v>
      </c>
      <c r="O230" s="5">
        <f t="shared" si="109"/>
        <v>2.982265045381504E-2</v>
      </c>
      <c r="P230" s="8"/>
      <c r="Q230" s="5">
        <f t="shared" si="110"/>
        <v>1.1438442850954611E-2</v>
      </c>
      <c r="R230" s="5">
        <f t="shared" si="110"/>
        <v>2.236128112557817E-2</v>
      </c>
      <c r="S230" s="8"/>
      <c r="T230" s="5">
        <f t="shared" si="111"/>
        <v>1.0860330089056109E-2</v>
      </c>
      <c r="U230" s="5">
        <f t="shared" si="111"/>
        <v>2.2192787717562067E-2</v>
      </c>
      <c r="V230" s="8"/>
      <c r="W230" s="5">
        <f t="shared" si="112"/>
        <v>1.1375885005330651E-2</v>
      </c>
      <c r="X230" s="5">
        <f t="shared" si="112"/>
        <v>2.1390118058491281E-2</v>
      </c>
      <c r="Y230" s="8"/>
      <c r="Z230" s="5">
        <f t="shared" si="113"/>
        <v>1.1593659185231985E-2</v>
      </c>
      <c r="AA230" s="5">
        <f t="shared" si="113"/>
        <v>2.4912371259385103E-2</v>
      </c>
      <c r="AB230" s="8"/>
      <c r="AC230" s="5">
        <f t="shared" si="114"/>
        <v>1.367598637503527E-2</v>
      </c>
      <c r="AD230" s="5">
        <f t="shared" si="114"/>
        <v>2.4912371259385103E-2</v>
      </c>
      <c r="AE230" s="8"/>
      <c r="AF230" s="5">
        <f t="shared" si="115"/>
        <v>1.4401287101112993E-2</v>
      </c>
      <c r="AG230" s="5">
        <f t="shared" si="115"/>
        <v>2.4912371259385103E-2</v>
      </c>
      <c r="AH230" s="8"/>
      <c r="AI230" s="5">
        <f t="shared" si="116"/>
        <v>1.3983092852899696E-2</v>
      </c>
      <c r="AJ230" s="5">
        <f t="shared" si="116"/>
        <v>2.4912371259385103E-2</v>
      </c>
      <c r="AK230" s="8"/>
      <c r="AL230" s="15"/>
      <c r="AM230" s="22">
        <f t="shared" si="117"/>
        <v>1.3318712074153118E-2</v>
      </c>
      <c r="AO230" s="44">
        <f t="shared" si="104"/>
        <v>1.1593659185231985E-2</v>
      </c>
      <c r="AP230" s="44">
        <f t="shared" si="104"/>
        <v>2.4912371259385103E-2</v>
      </c>
    </row>
    <row r="231" spans="1:42" ht="15.5">
      <c r="A231" s="26" t="s">
        <v>15</v>
      </c>
      <c r="B231" s="5">
        <f t="shared" si="105"/>
        <v>2.5616010291613832E-2</v>
      </c>
      <c r="C231" s="5">
        <f t="shared" si="105"/>
        <v>5.2762217914526906E-2</v>
      </c>
      <c r="D231" s="7"/>
      <c r="E231" s="5">
        <f t="shared" si="106"/>
        <v>4.952024607245565E-2</v>
      </c>
      <c r="F231" s="5">
        <f t="shared" si="106"/>
        <v>6.9684421992260215E-2</v>
      </c>
      <c r="G231" s="7"/>
      <c r="H231" s="5">
        <f t="shared" si="107"/>
        <v>8.2591263487961808E-2</v>
      </c>
      <c r="I231" s="5">
        <f t="shared" si="107"/>
        <v>7.2357528596317791E-2</v>
      </c>
      <c r="J231" s="7"/>
      <c r="K231" s="5">
        <f t="shared" si="108"/>
        <v>6.7574495473740864E-2</v>
      </c>
      <c r="L231" s="5">
        <f t="shared" si="108"/>
        <v>8.0962016902567768E-2</v>
      </c>
      <c r="M231" s="7"/>
      <c r="N231" s="5">
        <f t="shared" si="109"/>
        <v>6.7795393138702156E-2</v>
      </c>
      <c r="O231" s="5">
        <f t="shared" si="109"/>
        <v>7.8879904200605491E-2</v>
      </c>
      <c r="P231" s="7"/>
      <c r="Q231" s="5">
        <f t="shared" si="110"/>
        <v>7.5692712920168395E-2</v>
      </c>
      <c r="R231" s="5">
        <f t="shared" si="110"/>
        <v>8.3101970486077106E-2</v>
      </c>
      <c r="S231" s="7"/>
      <c r="T231" s="5">
        <f t="shared" si="111"/>
        <v>7.0167805247370582E-2</v>
      </c>
      <c r="U231" s="5">
        <f t="shared" si="111"/>
        <v>8.8118675050746276E-2</v>
      </c>
      <c r="V231" s="7"/>
      <c r="W231" s="5">
        <f t="shared" si="112"/>
        <v>6.2319784345918235E-2</v>
      </c>
      <c r="X231" s="5">
        <f t="shared" si="112"/>
        <v>8.1562254605587678E-2</v>
      </c>
      <c r="Y231" s="7"/>
      <c r="Z231" s="5">
        <f t="shared" si="113"/>
        <v>7.515455966937315E-2</v>
      </c>
      <c r="AA231" s="5">
        <f t="shared" si="113"/>
        <v>9.367668519467473E-2</v>
      </c>
      <c r="AB231" s="7"/>
      <c r="AC231" s="5">
        <f t="shared" si="114"/>
        <v>7.6636677679211618E-2</v>
      </c>
      <c r="AD231" s="5">
        <f t="shared" si="114"/>
        <v>9.367668519467473E-2</v>
      </c>
      <c r="AE231" s="7"/>
      <c r="AF231" s="5">
        <f t="shared" si="115"/>
        <v>7.8403545594260729E-2</v>
      </c>
      <c r="AG231" s="5">
        <f t="shared" si="115"/>
        <v>9.367668519467473E-2</v>
      </c>
      <c r="AH231" s="7"/>
      <c r="AI231" s="5">
        <f t="shared" si="116"/>
        <v>7.9932122429147837E-2</v>
      </c>
      <c r="AJ231" s="5">
        <f t="shared" si="116"/>
        <v>9.367668519467473E-2</v>
      </c>
      <c r="AK231" s="7"/>
      <c r="AL231" s="21"/>
      <c r="AM231" s="22">
        <f t="shared" si="117"/>
        <v>1.852212552530158E-2</v>
      </c>
      <c r="AO231" s="44">
        <f t="shared" si="104"/>
        <v>7.515455966937315E-2</v>
      </c>
      <c r="AP231" s="44">
        <f t="shared" si="104"/>
        <v>9.367668519467473E-2</v>
      </c>
    </row>
    <row r="232" spans="1:42" s="1" customFormat="1" ht="15.5">
      <c r="A232" s="26" t="s">
        <v>16</v>
      </c>
      <c r="B232" s="5">
        <f t="shared" si="105"/>
        <v>0.17418445939146909</v>
      </c>
      <c r="C232" s="5">
        <f t="shared" si="105"/>
        <v>0.12088297713145423</v>
      </c>
      <c r="D232" s="8"/>
      <c r="E232" s="5">
        <f t="shared" si="106"/>
        <v>0.16828741667755448</v>
      </c>
      <c r="F232" s="5">
        <f t="shared" si="106"/>
        <v>0.10547302282238208</v>
      </c>
      <c r="G232" s="8"/>
      <c r="H232" s="5">
        <f t="shared" si="107"/>
        <v>0.17052021928332695</v>
      </c>
      <c r="I232" s="5">
        <f t="shared" si="107"/>
        <v>0.12957524313236449</v>
      </c>
      <c r="J232" s="8"/>
      <c r="K232" s="5">
        <f t="shared" si="108"/>
        <v>0.17112341647629034</v>
      </c>
      <c r="L232" s="5">
        <f t="shared" si="108"/>
        <v>0.10466918936074961</v>
      </c>
      <c r="M232" s="8"/>
      <c r="N232" s="5">
        <f t="shared" si="109"/>
        <v>0.17598536303105689</v>
      </c>
      <c r="O232" s="5">
        <f t="shared" si="109"/>
        <v>0.12095772474115141</v>
      </c>
      <c r="P232" s="8"/>
      <c r="Q232" s="5">
        <f t="shared" si="110"/>
        <v>0.17176505812921483</v>
      </c>
      <c r="R232" s="5">
        <f t="shared" si="110"/>
        <v>0.1063496826990977</v>
      </c>
      <c r="S232" s="8"/>
      <c r="T232" s="5">
        <f t="shared" si="111"/>
        <v>0.16944209255192622</v>
      </c>
      <c r="U232" s="5">
        <f t="shared" si="111"/>
        <v>0.13840808702227292</v>
      </c>
      <c r="V232" s="8"/>
      <c r="W232" s="5">
        <f t="shared" si="112"/>
        <v>0.1608768866551431</v>
      </c>
      <c r="X232" s="5">
        <f t="shared" si="112"/>
        <v>0.13377869087421662</v>
      </c>
      <c r="Y232" s="8"/>
      <c r="Z232" s="5">
        <f t="shared" si="113"/>
        <v>0.16732527286728549</v>
      </c>
      <c r="AA232" s="5">
        <f t="shared" si="113"/>
        <v>0.15362030505503577</v>
      </c>
      <c r="AB232" s="8"/>
      <c r="AC232" s="5">
        <f t="shared" si="114"/>
        <v>0.17145473736874714</v>
      </c>
      <c r="AD232" s="5">
        <f t="shared" si="114"/>
        <v>0.15362030505503577</v>
      </c>
      <c r="AE232" s="8"/>
      <c r="AF232" s="5">
        <f t="shared" si="115"/>
        <v>0.17459756660066289</v>
      </c>
      <c r="AG232" s="5">
        <f t="shared" si="115"/>
        <v>0.15362030505503577</v>
      </c>
      <c r="AH232" s="8"/>
      <c r="AI232" s="5">
        <f t="shared" si="116"/>
        <v>0.12807167582584747</v>
      </c>
      <c r="AJ232" s="5">
        <f t="shared" si="116"/>
        <v>0.15362030505503577</v>
      </c>
      <c r="AK232" s="8"/>
      <c r="AL232" s="15"/>
      <c r="AM232" s="22">
        <f t="shared" si="117"/>
        <v>-1.3704967812249724E-2</v>
      </c>
      <c r="AO232" s="44">
        <f t="shared" si="104"/>
        <v>0.16732527286728549</v>
      </c>
      <c r="AP232" s="44">
        <f t="shared" si="104"/>
        <v>0.15362030505503577</v>
      </c>
    </row>
    <row r="233" spans="1:42" s="1" customFormat="1" ht="15.5">
      <c r="A233" s="26" t="s">
        <v>17</v>
      </c>
      <c r="B233" s="5">
        <f t="shared" si="105"/>
        <v>0.1121579159488357</v>
      </c>
      <c r="C233" s="5">
        <f t="shared" si="105"/>
        <v>6.6209096306176995E-2</v>
      </c>
      <c r="D233" s="8"/>
      <c r="E233" s="5">
        <f t="shared" si="106"/>
        <v>0.1005872206253732</v>
      </c>
      <c r="F233" s="5">
        <f t="shared" si="106"/>
        <v>4.1790876827134664E-2</v>
      </c>
      <c r="G233" s="8"/>
      <c r="H233" s="5">
        <f t="shared" si="107"/>
        <v>0.10596085279381152</v>
      </c>
      <c r="I233" s="5">
        <f t="shared" si="107"/>
        <v>4.2191477919951759E-2</v>
      </c>
      <c r="J233" s="8"/>
      <c r="K233" s="5">
        <f t="shared" si="108"/>
        <v>9.4230385842162062E-2</v>
      </c>
      <c r="L233" s="5">
        <f t="shared" si="108"/>
        <v>3.7395403996548768E-2</v>
      </c>
      <c r="M233" s="8"/>
      <c r="N233" s="5">
        <f t="shared" si="109"/>
        <v>9.5214223652029376E-2</v>
      </c>
      <c r="O233" s="5">
        <f t="shared" si="109"/>
        <v>4.9246883105991665E-2</v>
      </c>
      <c r="P233" s="8"/>
      <c r="Q233" s="5">
        <f t="shared" si="110"/>
        <v>9.5992070837702462E-2</v>
      </c>
      <c r="R233" s="5">
        <f t="shared" si="110"/>
        <v>5.152629190804852E-2</v>
      </c>
      <c r="S233" s="8"/>
      <c r="T233" s="5">
        <f t="shared" si="111"/>
        <v>9.7743767279871246E-2</v>
      </c>
      <c r="U233" s="5">
        <f t="shared" si="111"/>
        <v>5.72758178580259E-2</v>
      </c>
      <c r="V233" s="8"/>
      <c r="W233" s="5">
        <f t="shared" si="112"/>
        <v>9.032521116513248E-2</v>
      </c>
      <c r="X233" s="5">
        <f t="shared" si="112"/>
        <v>5.736039945470349E-2</v>
      </c>
      <c r="Y233" s="8"/>
      <c r="Z233" s="5">
        <f t="shared" si="113"/>
        <v>9.9894580755281057E-2</v>
      </c>
      <c r="AA233" s="5">
        <f t="shared" si="113"/>
        <v>6.9195007406446643E-2</v>
      </c>
      <c r="AB233" s="8"/>
      <c r="AC233" s="5">
        <f t="shared" si="114"/>
        <v>0.10071105030843606</v>
      </c>
      <c r="AD233" s="5">
        <f t="shared" si="114"/>
        <v>6.9195007406446643E-2</v>
      </c>
      <c r="AE233" s="8"/>
      <c r="AF233" s="5">
        <f t="shared" si="115"/>
        <v>0.10218429098848798</v>
      </c>
      <c r="AG233" s="5">
        <f t="shared" si="115"/>
        <v>6.9195007406446643E-2</v>
      </c>
      <c r="AH233" s="8"/>
      <c r="AI233" s="5">
        <f t="shared" si="116"/>
        <v>0.10434214532391251</v>
      </c>
      <c r="AJ233" s="5">
        <f t="shared" si="116"/>
        <v>6.9195007406446643E-2</v>
      </c>
      <c r="AK233" s="8"/>
      <c r="AL233" s="15"/>
      <c r="AM233" s="22">
        <f t="shared" si="117"/>
        <v>-3.0699573348834414E-2</v>
      </c>
      <c r="AO233" s="44">
        <f t="shared" si="104"/>
        <v>9.9894580755281057E-2</v>
      </c>
      <c r="AP233" s="44">
        <f t="shared" si="104"/>
        <v>6.9195007406446643E-2</v>
      </c>
    </row>
    <row r="234" spans="1:42" s="1" customFormat="1" ht="15.5">
      <c r="A234" s="26"/>
      <c r="B234" s="7"/>
      <c r="C234" s="8"/>
      <c r="D234" s="8"/>
      <c r="E234" s="7"/>
      <c r="F234" s="8"/>
      <c r="G234" s="8"/>
      <c r="H234" s="7"/>
      <c r="I234" s="8"/>
      <c r="J234" s="8"/>
      <c r="K234" s="7"/>
      <c r="L234" s="8"/>
      <c r="M234" s="8"/>
      <c r="N234" s="7"/>
      <c r="O234" s="8"/>
      <c r="P234" s="8"/>
      <c r="Q234" s="7"/>
      <c r="R234" s="8"/>
      <c r="S234" s="8"/>
      <c r="T234" s="7"/>
      <c r="U234" s="8"/>
      <c r="V234" s="8"/>
      <c r="W234" s="7"/>
      <c r="X234" s="8"/>
      <c r="Y234" s="8"/>
      <c r="Z234" s="7"/>
      <c r="AA234" s="8"/>
      <c r="AB234" s="8"/>
      <c r="AC234" s="7"/>
      <c r="AD234" s="8"/>
      <c r="AE234" s="8"/>
      <c r="AF234" s="7"/>
      <c r="AG234" s="8"/>
      <c r="AH234" s="8"/>
      <c r="AI234" s="7"/>
      <c r="AJ234" s="8"/>
      <c r="AK234" s="8"/>
      <c r="AL234" s="15"/>
      <c r="AM234" s="16"/>
      <c r="AO234" s="44"/>
      <c r="AP234" s="44"/>
    </row>
    <row r="235" spans="1:42" s="1" customFormat="1" ht="15.5">
      <c r="A235" s="26"/>
      <c r="B235" s="7"/>
      <c r="C235" s="8"/>
      <c r="D235" s="8"/>
      <c r="E235" s="7"/>
      <c r="F235" s="8"/>
      <c r="G235" s="8"/>
      <c r="H235" s="7"/>
      <c r="I235" s="8"/>
      <c r="J235" s="8"/>
      <c r="K235" s="7"/>
      <c r="L235" s="8"/>
      <c r="M235" s="8"/>
      <c r="N235" s="7"/>
      <c r="O235" s="8"/>
      <c r="P235" s="8"/>
      <c r="Q235" s="7"/>
      <c r="R235" s="8"/>
      <c r="S235" s="8"/>
      <c r="T235" s="7"/>
      <c r="U235" s="8"/>
      <c r="V235" s="8"/>
      <c r="W235" s="7"/>
      <c r="X235" s="8"/>
      <c r="Y235" s="8"/>
      <c r="Z235" s="7"/>
      <c r="AA235" s="8"/>
      <c r="AB235" s="8"/>
      <c r="AC235" s="7"/>
      <c r="AD235" s="8"/>
      <c r="AE235" s="8"/>
      <c r="AF235" s="7"/>
      <c r="AG235" s="8"/>
      <c r="AH235" s="8"/>
      <c r="AI235" s="7"/>
      <c r="AJ235" s="8"/>
      <c r="AK235" s="8"/>
      <c r="AL235" s="15"/>
      <c r="AM235" s="16"/>
      <c r="AO235" s="44"/>
      <c r="AP235" s="44"/>
    </row>
    <row r="236" spans="1:42" s="44" customFormat="1" ht="15.5">
      <c r="A236" s="31" t="s">
        <v>84</v>
      </c>
      <c r="B236" s="32">
        <f>'A-TRY'!B236</f>
        <v>704432377.05999994</v>
      </c>
      <c r="C236" s="32">
        <f>'A-TRY'!C236</f>
        <v>745030011.314224</v>
      </c>
      <c r="D236" s="18"/>
      <c r="E236" s="32">
        <f>'A-TRY'!E236</f>
        <v>731393400.19000006</v>
      </c>
      <c r="F236" s="32">
        <f>'A-TRY'!F236</f>
        <v>804750285.11492205</v>
      </c>
      <c r="G236" s="18"/>
      <c r="H236" s="32">
        <f>'A-TRY'!H236</f>
        <v>738877242.65999997</v>
      </c>
      <c r="I236" s="32">
        <f>'A-TRY'!I236</f>
        <v>778653777.09241199</v>
      </c>
      <c r="J236" s="18"/>
      <c r="K236" s="32">
        <f>'A-TRY'!K236</f>
        <v>755347215.96479201</v>
      </c>
      <c r="L236" s="32">
        <f>'A-TRY'!L236</f>
        <v>1041029740.9711661</v>
      </c>
      <c r="M236" s="18"/>
      <c r="N236" s="32">
        <f>'A-TRY'!N236</f>
        <v>743967949.14479208</v>
      </c>
      <c r="O236" s="32">
        <f>'A-TRY'!O236</f>
        <v>1141373529.268265</v>
      </c>
      <c r="P236" s="18"/>
      <c r="Q236" s="32">
        <f>'A-TRY'!Q236</f>
        <v>730159596.56479204</v>
      </c>
      <c r="R236" s="32">
        <f>'A-TRY'!R236</f>
        <v>1241095849.955147</v>
      </c>
      <c r="S236" s="18"/>
      <c r="T236" s="32">
        <f>'A-TRY'!T236</f>
        <v>821312492.13479209</v>
      </c>
      <c r="U236" s="32">
        <f>'A-TRY'!U236</f>
        <v>1310281703.8926871</v>
      </c>
      <c r="V236" s="18"/>
      <c r="W236" s="32">
        <f>'A-TRY'!W236</f>
        <v>803887747.11479199</v>
      </c>
      <c r="X236" s="32">
        <f>'A-TRY'!X236</f>
        <v>1320656927.43643</v>
      </c>
      <c r="Y236" s="18"/>
      <c r="Z236" s="32">
        <f>'A-TRY'!Z236</f>
        <v>832600058.83479202</v>
      </c>
      <c r="AA236" s="32">
        <f>'A-TRY'!AA236</f>
        <v>1385955385.3899999</v>
      </c>
      <c r="AB236" s="18"/>
      <c r="AC236" s="32">
        <f>'A-TRY'!AC236</f>
        <v>797356578.48479199</v>
      </c>
      <c r="AD236" s="32">
        <f>'A-TRY'!AD236</f>
        <v>0</v>
      </c>
      <c r="AE236" s="18"/>
      <c r="AF236" s="32">
        <f>'A-TRY'!AF236</f>
        <v>786345488.05479205</v>
      </c>
      <c r="AG236" s="32">
        <f>'A-TRY'!AG236</f>
        <v>0</v>
      </c>
      <c r="AH236" s="18"/>
      <c r="AI236" s="32">
        <f>'A-TRY'!AI236</f>
        <v>787889237.05479205</v>
      </c>
      <c r="AJ236" s="32">
        <f>'A-TRY'!AJ236</f>
        <v>0</v>
      </c>
      <c r="AK236" s="18"/>
      <c r="AL236" s="33">
        <f>AP236-AO236</f>
        <v>553355326.55520785</v>
      </c>
      <c r="AM236" s="34">
        <f>AP236/AO236-1</f>
        <v>0.66461120280200081</v>
      </c>
      <c r="AO236" s="44">
        <f>IF($A$1=$B$1,B236,IF($A$1=$E$1,E236,IF($A$1=$H$1,H236,IF($A$1=$K$1,K236,IF($A$1=$N$1,N236,IF($A$1=$Q$1,Q236,IF($A$1=$T$1,T236,IF($A$1=$W$1,W236,IF($A$1=$Z$1,Z236,IF($A$1=$AC$1,AC236,IF($A$1=$AF$1,AF236,IF($A$1=$AI$1,AI236))))))))))))</f>
        <v>832600058.83479202</v>
      </c>
      <c r="AP236" s="44">
        <f>IF($A$1=$B$1,C236,IF($A$1=$E$1,F236,IF($A$1=$H$1,I236,IF($A$1=$K$1,L236,IF($A$1=$N$1,O236,IF($A$1=$Q$1,R236,IF($A$1=$T$1,U236,IF($A$1=$W$1,X236,IF($A$1=$Z$1,AA236,IF($A$1=$AC$1,AD236,IF($A$1=$AF$1,AG236,IF($A$1=$AI$1,AJ236))))))))))))</f>
        <v>1385955385.3899999</v>
      </c>
    </row>
    <row r="237" spans="1:42" s="13" customFormat="1" ht="15.5">
      <c r="A237" s="27"/>
      <c r="B237" s="30"/>
      <c r="C237" s="30" t="str">
        <f>IFERROR((C194/#REF!),"")</f>
        <v/>
      </c>
      <c r="D237" s="41"/>
      <c r="E237" s="30"/>
      <c r="F237" s="30" t="str">
        <f>IFERROR((F194/#REF!),"")</f>
        <v/>
      </c>
      <c r="G237" s="41"/>
      <c r="H237" s="30"/>
      <c r="I237" s="30" t="str">
        <f>IFERROR((I194/#REF!),"")</f>
        <v/>
      </c>
      <c r="J237" s="41"/>
      <c r="K237" s="30"/>
      <c r="L237" s="30" t="str">
        <f>IFERROR((L194/#REF!),"")</f>
        <v/>
      </c>
      <c r="M237" s="41"/>
      <c r="N237" s="30"/>
      <c r="O237" s="30" t="str">
        <f>IFERROR((O194/#REF!),"")</f>
        <v/>
      </c>
      <c r="P237" s="41"/>
      <c r="Q237" s="30"/>
      <c r="R237" s="30" t="str">
        <f>IFERROR((R194/#REF!),"")</f>
        <v/>
      </c>
      <c r="S237" s="41"/>
      <c r="T237" s="30"/>
      <c r="U237" s="30" t="str">
        <f>IFERROR((U194/#REF!),"")</f>
        <v/>
      </c>
      <c r="V237" s="41"/>
      <c r="W237" s="30"/>
      <c r="X237" s="30" t="str">
        <f>IFERROR((X194/#REF!),"")</f>
        <v/>
      </c>
      <c r="Y237" s="41"/>
      <c r="Z237" s="30"/>
      <c r="AA237" s="30" t="str">
        <f>IFERROR((AA194/#REF!),"")</f>
        <v/>
      </c>
      <c r="AB237" s="41"/>
      <c r="AC237" s="30"/>
      <c r="AD237" s="30" t="str">
        <f>IFERROR((AD194/#REF!),"")</f>
        <v/>
      </c>
      <c r="AE237" s="41"/>
      <c r="AF237" s="30"/>
      <c r="AG237" s="30" t="str">
        <f>IFERROR((AG194/#REF!),"")</f>
        <v/>
      </c>
      <c r="AH237" s="41"/>
      <c r="AI237" s="30"/>
      <c r="AJ237" s="30" t="str">
        <f>IFERROR((AJ194/#REF!),"")</f>
        <v/>
      </c>
      <c r="AK237" s="41"/>
      <c r="AL237" s="15"/>
      <c r="AM237" s="22"/>
      <c r="AO237" s="44">
        <f>IF($A$1=$B$1,B237,IF($A$1=$E$1,E237,IF($A$1=$H$1,H237,IF($A$1=$K$1,K237,IF($A$1=$N$1,N237,IF($A$1=$Q$1,Q237,IF($A$1=$T$1,T237,IF($A$1=$W$1,W237,IF($A$1=$Z$1,Z237,IF($A$1=$AC$1,AC237,IF($A$1=$AF$1,AF237,IF($A$1=$AI$1,AI237))))))))))))</f>
        <v>0</v>
      </c>
      <c r="AP237" s="44" t="str">
        <f>IF($A$1=$B$1,C237,IF($A$1=$E$1,F237,IF($A$1=$H$1,I237,IF($A$1=$K$1,L237,IF($A$1=$N$1,O237,IF($A$1=$Q$1,R237,IF($A$1=$T$1,U237,IF($A$1=$W$1,X237,IF($A$1=$Z$1,AA237,IF($A$1=$AC$1,AD237,IF($A$1=$AF$1,AG237,IF($A$1=$AI$1,AJ237))))))))))))</f>
        <v/>
      </c>
    </row>
    <row r="238" spans="1:42" s="49" customFormat="1" ht="17">
      <c r="A238" s="47" t="s">
        <v>85</v>
      </c>
      <c r="B238" s="413"/>
      <c r="C238" s="413"/>
      <c r="D238" s="413"/>
      <c r="E238" s="413"/>
      <c r="F238" s="413"/>
      <c r="G238" s="413"/>
      <c r="H238" s="413"/>
      <c r="I238" s="413"/>
      <c r="J238" s="413"/>
      <c r="K238" s="413"/>
      <c r="L238" s="413"/>
      <c r="M238" s="413"/>
      <c r="N238" s="413"/>
      <c r="O238" s="413"/>
      <c r="P238" s="413"/>
      <c r="Q238" s="413"/>
      <c r="R238" s="413"/>
      <c r="S238" s="413"/>
      <c r="T238" s="413"/>
      <c r="U238" s="413"/>
      <c r="V238" s="413"/>
      <c r="W238" s="413"/>
      <c r="X238" s="413"/>
      <c r="Y238" s="413"/>
      <c r="Z238" s="413"/>
      <c r="AA238" s="413"/>
      <c r="AB238" s="413"/>
      <c r="AC238" s="413"/>
      <c r="AD238" s="413"/>
      <c r="AE238" s="413"/>
      <c r="AF238" s="413"/>
      <c r="AG238" s="413"/>
      <c r="AH238" s="413"/>
      <c r="AI238" s="413"/>
      <c r="AJ238" s="413"/>
      <c r="AK238" s="413"/>
      <c r="AL238" s="413"/>
      <c r="AM238" s="48"/>
    </row>
    <row r="239" spans="1:42" ht="15.5">
      <c r="A239" s="26" t="s">
        <v>10</v>
      </c>
      <c r="B239" s="7">
        <f>'Bütçe aylık-TL'!$B$148</f>
        <v>0</v>
      </c>
      <c r="C239" s="7">
        <f>'gerç aylık-tl'!$B$147</f>
        <v>0</v>
      </c>
      <c r="D239" s="7"/>
      <c r="E239" s="7">
        <f>'Bütçe aylık-TL'!$C$148</f>
        <v>0</v>
      </c>
      <c r="F239" s="7">
        <f>'gerç aylık-tl'!$C$147</f>
        <v>0</v>
      </c>
      <c r="G239" s="7"/>
      <c r="H239" s="7">
        <f>'Bütçe aylık-TL'!$D$148</f>
        <v>0</v>
      </c>
      <c r="I239" s="7">
        <f>'gerç aylık-tl'!$D$147</f>
        <v>0</v>
      </c>
      <c r="J239" s="7"/>
      <c r="K239" s="7">
        <f>'Bütçe aylık-TL'!$E$148</f>
        <v>0</v>
      </c>
      <c r="L239" s="7">
        <f>'gerç aylık-tl'!$E$147</f>
        <v>0</v>
      </c>
      <c r="M239" s="7"/>
      <c r="N239" s="7">
        <f>'Bütçe aylık-TL'!$F$148</f>
        <v>0</v>
      </c>
      <c r="O239" s="7">
        <f>'gerç aylık-tl'!$F$147</f>
        <v>0</v>
      </c>
      <c r="P239" s="7"/>
      <c r="Q239" s="7">
        <f>'Bütçe aylık-TL'!$G$148</f>
        <v>0</v>
      </c>
      <c r="R239" s="7">
        <f>'gerç aylık-tl'!$G$147</f>
        <v>0</v>
      </c>
      <c r="S239" s="7"/>
      <c r="T239" s="7">
        <f>'Bütçe aylık-TL'!$H$148</f>
        <v>0</v>
      </c>
      <c r="U239" s="7">
        <f>'gerç aylık-tl'!$H$147</f>
        <v>0</v>
      </c>
      <c r="V239" s="7"/>
      <c r="W239" s="7">
        <f>'Bütçe aylık-TL'!$I$148</f>
        <v>0</v>
      </c>
      <c r="X239" s="7">
        <f>'gerç aylık-tl'!$I$147</f>
        <v>0</v>
      </c>
      <c r="Y239" s="7"/>
      <c r="Z239" s="7">
        <f>'Bütçe aylık-TL'!$J$148</f>
        <v>0</v>
      </c>
      <c r="AA239" s="7">
        <f>'gerç aylık-tl'!$J$147</f>
        <v>0</v>
      </c>
      <c r="AB239" s="7"/>
      <c r="AC239" s="7">
        <f>'Bütçe aylık-TL'!$K$148</f>
        <v>0</v>
      </c>
      <c r="AD239" s="7">
        <f>'gerç aylık-tl'!$K$147</f>
        <v>0</v>
      </c>
      <c r="AE239" s="7"/>
      <c r="AF239" s="7">
        <f>'Bütçe aylık-TL'!$L$148</f>
        <v>0</v>
      </c>
      <c r="AG239" s="7">
        <f>'gerç aylık-tl'!$L$147</f>
        <v>0</v>
      </c>
      <c r="AH239" s="7"/>
      <c r="AI239" s="7">
        <f>'Bütçe aylık-TL'!$M$148</f>
        <v>0</v>
      </c>
      <c r="AJ239" s="7">
        <f>'gerç aylık-tl'!$M$147</f>
        <v>0</v>
      </c>
      <c r="AK239" s="7"/>
      <c r="AL239" s="21">
        <f t="shared" ref="AL239:AL246" si="118">AP239-AO239</f>
        <v>0</v>
      </c>
      <c r="AM239" s="22" t="e">
        <f t="shared" ref="AM239:AM246" si="119">AP239/AO239-1</f>
        <v>#DIV/0!</v>
      </c>
      <c r="AO239" s="44">
        <f t="shared" ref="AO239:AP246" si="120">IF($A$1=$B$1,B239,IF($A$1=$E$1,E239,IF($A$1=$H$1,H239,IF($A$1=$K$1,K239,IF($A$1=$N$1,N239,IF($A$1=$Q$1,Q239,IF($A$1=$T$1,T239,IF($A$1=$W$1,W239,IF($A$1=$Z$1,Z239,IF($A$1=$AC$1,AC239,IF($A$1=$AF$1,AF239,IF($A$1=$AI$1,AI239))))))))))))</f>
        <v>0</v>
      </c>
      <c r="AP239" s="44">
        <f t="shared" si="120"/>
        <v>0</v>
      </c>
    </row>
    <row r="240" spans="1:42" ht="15.5">
      <c r="A240" s="26" t="s">
        <v>11</v>
      </c>
      <c r="B240" s="7">
        <f>'Bütçe aylık-TL'!$B$149</f>
        <v>73834171.060000002</v>
      </c>
      <c r="C240" s="7">
        <f>'gerç aylık-tl'!$B$148</f>
        <v>65325403</v>
      </c>
      <c r="D240" s="7"/>
      <c r="E240" s="7">
        <f>'Bütçe aylık-TL'!$C$149</f>
        <v>79515988.189999998</v>
      </c>
      <c r="F240" s="7">
        <f>'gerç aylık-tl'!$C$148</f>
        <v>67852478</v>
      </c>
      <c r="G240" s="7"/>
      <c r="H240" s="7">
        <f>'Bütçe aylık-TL'!$D$149</f>
        <v>78648526.659999996</v>
      </c>
      <c r="I240" s="7">
        <f>'gerç aylık-tl'!$D$148</f>
        <v>71269964.730000004</v>
      </c>
      <c r="J240" s="7"/>
      <c r="K240" s="7">
        <f>'Bütçe aylık-TL'!$E$149</f>
        <v>77781300.900000006</v>
      </c>
      <c r="L240" s="7">
        <f>'gerç aylık-tl'!$E$148</f>
        <v>290407191.19999999</v>
      </c>
      <c r="M240" s="7"/>
      <c r="N240" s="7">
        <f>'Bütçe aylık-TL'!$F$149</f>
        <v>71884573.079999998</v>
      </c>
      <c r="O240" s="7">
        <f>'gerç aylık-tl'!$F$148</f>
        <v>289687738.88999999</v>
      </c>
      <c r="P240" s="7"/>
      <c r="Q240" s="7">
        <f>'Bütçe aylık-TL'!$G$149</f>
        <v>61915832.5</v>
      </c>
      <c r="R240" s="7">
        <f>'gerç aylık-tl'!$G$148</f>
        <v>294966931.94999999</v>
      </c>
      <c r="S240" s="7"/>
      <c r="T240" s="7">
        <f>'Bütçe aylık-TL'!$H$149</f>
        <v>54912962.07</v>
      </c>
      <c r="U240" s="7">
        <f>'gerç aylık-tl'!$H$148</f>
        <v>293932116.80000001</v>
      </c>
      <c r="V240" s="7"/>
      <c r="W240" s="7">
        <f>'Bütçe aylık-TL'!$I$149</f>
        <v>41878095.049999997</v>
      </c>
      <c r="X240" s="7">
        <f>'gerç aylık-tl'!$I$148</f>
        <v>301217184.56</v>
      </c>
      <c r="Y240" s="7"/>
      <c r="Z240" s="7">
        <f>'Bütçe aylık-TL'!$J$149</f>
        <v>36783220.770000003</v>
      </c>
      <c r="AA240" s="7">
        <f>'gerç aylık-tl'!$J$148</f>
        <v>313117561.38999999</v>
      </c>
      <c r="AB240" s="7"/>
      <c r="AC240" s="7">
        <f>'Bütçe aylık-TL'!$K$149</f>
        <v>32645785.420000002</v>
      </c>
      <c r="AD240" s="7">
        <f>'gerç aylık-tl'!$K$148</f>
        <v>0</v>
      </c>
      <c r="AE240" s="7"/>
      <c r="AF240" s="7">
        <f>'Bütçe aylık-TL'!$L$149</f>
        <v>35499999.990000002</v>
      </c>
      <c r="AG240" s="7">
        <f>'gerç aylık-tl'!$L$148</f>
        <v>0</v>
      </c>
      <c r="AH240" s="7"/>
      <c r="AI240" s="7">
        <f>'Bütçe aylık-TL'!$M$149</f>
        <v>32499999.989999998</v>
      </c>
      <c r="AJ240" s="7">
        <f>'gerç aylık-tl'!$M$148</f>
        <v>0</v>
      </c>
      <c r="AK240" s="7"/>
      <c r="AL240" s="21">
        <f t="shared" si="118"/>
        <v>276334340.62</v>
      </c>
      <c r="AM240" s="22">
        <f t="shared" si="119"/>
        <v>7.5125107273198672</v>
      </c>
      <c r="AO240" s="44">
        <f t="shared" si="120"/>
        <v>36783220.770000003</v>
      </c>
      <c r="AP240" s="44">
        <f t="shared" si="120"/>
        <v>313117561.38999999</v>
      </c>
    </row>
    <row r="241" spans="1:42" ht="15.5">
      <c r="A241" s="26" t="s">
        <v>12</v>
      </c>
      <c r="B241" s="7">
        <f>'Bütçe aylık-TL'!$B$150</f>
        <v>12979246</v>
      </c>
      <c r="C241" s="7">
        <f>'gerç aylık-tl'!$B$149</f>
        <v>0</v>
      </c>
      <c r="D241" s="7"/>
      <c r="E241" s="7">
        <f>'Bütçe aylık-TL'!$C$150</f>
        <v>26258452</v>
      </c>
      <c r="F241" s="7">
        <f>'gerç aylık-tl'!$C$149</f>
        <v>8209951.7111060005</v>
      </c>
      <c r="G241" s="7"/>
      <c r="H241" s="7">
        <f>'Bütçe aylık-TL'!$D$150</f>
        <v>20609756</v>
      </c>
      <c r="I241" s="7">
        <f>'gerç aylık-tl'!$D$149</f>
        <v>0</v>
      </c>
      <c r="J241" s="7"/>
      <c r="K241" s="7">
        <f>'Bütçe aylık-TL'!$E$150</f>
        <v>23781474</v>
      </c>
      <c r="L241" s="7">
        <f>'gerç aylık-tl'!$E$149</f>
        <v>12786134.167166</v>
      </c>
      <c r="M241" s="7"/>
      <c r="N241" s="7">
        <f>'Bütçe aylık-TL'!$F$150</f>
        <v>18298935</v>
      </c>
      <c r="O241" s="7">
        <f>'gerç aylık-tl'!$F$149</f>
        <v>18406590.378265001</v>
      </c>
      <c r="P241" s="7"/>
      <c r="Q241" s="7">
        <f>'Bütçe aylık-TL'!$G$150</f>
        <v>14459323</v>
      </c>
      <c r="R241" s="7">
        <f>'gerç aylık-tl'!$G$149</f>
        <v>13279254.005147001</v>
      </c>
      <c r="S241" s="7"/>
      <c r="T241" s="7">
        <f>'Bütçe aylık-TL'!$H$150</f>
        <v>12615089</v>
      </c>
      <c r="U241" s="7">
        <f>'gerç aylık-tl'!$H$149</f>
        <v>22470403.092687</v>
      </c>
      <c r="V241" s="7"/>
      <c r="W241" s="7">
        <f>'Bütçe aylık-TL'!$I$150</f>
        <v>18225211</v>
      </c>
      <c r="X241" s="7">
        <f>'gerç aylık-tl'!$I$149</f>
        <v>17355766.876430001</v>
      </c>
      <c r="Y241" s="7"/>
      <c r="Z241" s="7">
        <f>'Bütçe aylık-TL'!$J$150</f>
        <v>12032397</v>
      </c>
      <c r="AA241" s="7">
        <f>'gerç aylık-tl'!$J$149</f>
        <v>12000000</v>
      </c>
      <c r="AB241" s="7"/>
      <c r="AC241" s="7">
        <f>'Bütçe aylık-TL'!$K$150</f>
        <v>13726352</v>
      </c>
      <c r="AD241" s="7">
        <f>'gerç aylık-tl'!$K$149</f>
        <v>0</v>
      </c>
      <c r="AE241" s="7"/>
      <c r="AF241" s="7">
        <f>'Bütçe aylık-TL'!$L$150</f>
        <v>13861047</v>
      </c>
      <c r="AG241" s="7">
        <f>'gerç aylık-tl'!$L$149</f>
        <v>0</v>
      </c>
      <c r="AH241" s="7"/>
      <c r="AI241" s="7">
        <f>'Bütçe aylık-TL'!$M$150</f>
        <v>18404796</v>
      </c>
      <c r="AJ241" s="7">
        <f>'gerç aylık-tl'!$M$149</f>
        <v>0</v>
      </c>
      <c r="AK241" s="7"/>
      <c r="AL241" s="21">
        <f t="shared" si="118"/>
        <v>-32397</v>
      </c>
      <c r="AM241" s="22">
        <f t="shared" si="119"/>
        <v>-2.6924809744891531E-3</v>
      </c>
      <c r="AO241" s="44">
        <f t="shared" si="120"/>
        <v>12032397</v>
      </c>
      <c r="AP241" s="44">
        <f t="shared" si="120"/>
        <v>12000000</v>
      </c>
    </row>
    <row r="242" spans="1:42" ht="15.5">
      <c r="A242" s="26" t="s">
        <v>13</v>
      </c>
      <c r="B242" s="7">
        <f>'Bütçe aylık-TL'!$B$151</f>
        <v>1544047400</v>
      </c>
      <c r="C242" s="7">
        <f>'gerç aylık-tl'!$B$150</f>
        <v>1699261520.7855599</v>
      </c>
      <c r="D242" s="7"/>
      <c r="E242" s="7">
        <f>'Bütçe aylık-TL'!$C$151</f>
        <v>1564047400</v>
      </c>
      <c r="F242" s="7">
        <f>'gerç aylık-tl'!$C$150</f>
        <v>1821719638.5095401</v>
      </c>
      <c r="G242" s="7"/>
      <c r="H242" s="7">
        <f>'Bütçe aylık-TL'!$D$151</f>
        <v>1599047400</v>
      </c>
      <c r="I242" s="7">
        <f>'gerç aylık-tl'!$D$150</f>
        <v>1768459530.9060299</v>
      </c>
      <c r="J242" s="7"/>
      <c r="K242" s="7">
        <f>'Bütçe aylık-TL'!$E$151</f>
        <v>1634461102.6619799</v>
      </c>
      <c r="L242" s="7">
        <f>'gerç aylık-tl'!$E$150</f>
        <v>1844591039.0100002</v>
      </c>
      <c r="M242" s="7"/>
      <c r="N242" s="7">
        <f>'Bütçe aylık-TL'!$F$151</f>
        <v>1634461102.6619799</v>
      </c>
      <c r="O242" s="7">
        <f>'gerç aylık-tl'!$F$150</f>
        <v>2083198000</v>
      </c>
      <c r="P242" s="7"/>
      <c r="Q242" s="7">
        <f>'Bütçe aylık-TL'!$G$151</f>
        <v>1634461102.6619799</v>
      </c>
      <c r="R242" s="7">
        <f>'gerç aylık-tl'!$G$150</f>
        <v>2332124160</v>
      </c>
      <c r="S242" s="7"/>
      <c r="T242" s="7">
        <f>'Bütçe aylık-TL'!$H$151</f>
        <v>1884461102.6619799</v>
      </c>
      <c r="U242" s="7">
        <f>'gerç aylık-tl'!$H$150</f>
        <v>2484697960</v>
      </c>
      <c r="V242" s="7"/>
      <c r="W242" s="7">
        <f>'Bütçe aylık-TL'!$I$151</f>
        <v>1859461102.6619799</v>
      </c>
      <c r="X242" s="7">
        <f>'gerç aylık-tl'!$I$150</f>
        <v>2505209940</v>
      </c>
      <c r="Y242" s="7"/>
      <c r="Z242" s="7">
        <f>'Bütçe aylık-TL'!$J$151</f>
        <v>1959461102.6619799</v>
      </c>
      <c r="AA242" s="7">
        <f>'gerç aylık-tl'!$J$150</f>
        <v>2652094560</v>
      </c>
      <c r="AB242" s="7"/>
      <c r="AC242" s="7">
        <f>'Bütçe aylık-TL'!$K$151</f>
        <v>1877461102.6619799</v>
      </c>
      <c r="AD242" s="7">
        <f>'gerç aylık-tl'!$K$150</f>
        <v>0</v>
      </c>
      <c r="AE242" s="7"/>
      <c r="AF242" s="7">
        <f>'Bütçe aylık-TL'!$L$151</f>
        <v>1842461102.6619799</v>
      </c>
      <c r="AG242" s="7">
        <f>'gerç aylık-tl'!$L$150</f>
        <v>0</v>
      </c>
      <c r="AH242" s="7"/>
      <c r="AI242" s="7">
        <f>'Bütçe aylık-TL'!$M$151</f>
        <v>1842461102.6619799</v>
      </c>
      <c r="AJ242" s="7">
        <f>'gerç aylık-tl'!$M$150</f>
        <v>0</v>
      </c>
      <c r="AK242" s="7"/>
      <c r="AL242" s="21">
        <f t="shared" si="118"/>
        <v>692633457.33802009</v>
      </c>
      <c r="AM242" s="22">
        <f t="shared" si="119"/>
        <v>0.35348160593596845</v>
      </c>
      <c r="AO242" s="44">
        <f t="shared" si="120"/>
        <v>1959461102.6619799</v>
      </c>
      <c r="AP242" s="44">
        <f t="shared" si="120"/>
        <v>2652094560</v>
      </c>
    </row>
    <row r="243" spans="1:42" s="1" customFormat="1" ht="15.5">
      <c r="A243" s="26" t="s">
        <v>14</v>
      </c>
      <c r="B243" s="7">
        <f>'Bütçe aylık-TL'!$B$152</f>
        <v>0</v>
      </c>
      <c r="C243" s="7">
        <f>'gerç aylık-tl'!$B$151</f>
        <v>0</v>
      </c>
      <c r="D243" s="8"/>
      <c r="E243" s="7">
        <f>'Bütçe aylık-TL'!$C$152</f>
        <v>0</v>
      </c>
      <c r="F243" s="7">
        <f>'gerç aylık-tl'!$C$151</f>
        <v>0</v>
      </c>
      <c r="G243" s="8"/>
      <c r="H243" s="7">
        <f>'Bütçe aylık-TL'!$D$152</f>
        <v>0</v>
      </c>
      <c r="I243" s="7">
        <f>'gerç aylık-tl'!$D$151</f>
        <v>0</v>
      </c>
      <c r="J243" s="8"/>
      <c r="K243" s="7">
        <f>'Bütçe aylık-TL'!$E$152</f>
        <v>0</v>
      </c>
      <c r="L243" s="7">
        <f>'gerç aylık-tl'!$E$151</f>
        <v>0</v>
      </c>
      <c r="M243" s="8"/>
      <c r="N243" s="7">
        <f>'Bütçe aylık-TL'!$F$152</f>
        <v>0</v>
      </c>
      <c r="O243" s="7">
        <f>'gerç aylık-tl'!$F$151</f>
        <v>0</v>
      </c>
      <c r="P243" s="8"/>
      <c r="Q243" s="7">
        <f>'Bütçe aylık-TL'!$G$152</f>
        <v>0</v>
      </c>
      <c r="R243" s="7">
        <f>'gerç aylık-tl'!$G$151</f>
        <v>0</v>
      </c>
      <c r="S243" s="8"/>
      <c r="T243" s="7">
        <f>'Bütçe aylık-TL'!$H$152</f>
        <v>0</v>
      </c>
      <c r="U243" s="7">
        <f>'gerç aylık-tl'!$H$151</f>
        <v>0</v>
      </c>
      <c r="V243" s="8"/>
      <c r="W243" s="7">
        <f>'Bütçe aylık-TL'!$I$152</f>
        <v>0</v>
      </c>
      <c r="X243" s="7">
        <f>'gerç aylık-tl'!$I$151</f>
        <v>0</v>
      </c>
      <c r="Y243" s="8"/>
      <c r="Z243" s="7">
        <f>'Bütçe aylık-TL'!$J$152</f>
        <v>0</v>
      </c>
      <c r="AA243" s="7">
        <f>'gerç aylık-tl'!$J$151</f>
        <v>0</v>
      </c>
      <c r="AB243" s="8"/>
      <c r="AC243" s="7">
        <f>'Bütçe aylık-TL'!$K$152</f>
        <v>0</v>
      </c>
      <c r="AD243" s="7">
        <f>'gerç aylık-tl'!$K$151</f>
        <v>0</v>
      </c>
      <c r="AE243" s="8"/>
      <c r="AF243" s="7">
        <f>'Bütçe aylık-TL'!$L$152</f>
        <v>0</v>
      </c>
      <c r="AG243" s="7">
        <f>'gerç aylık-tl'!$L$151</f>
        <v>0</v>
      </c>
      <c r="AH243" s="8"/>
      <c r="AI243" s="7">
        <f>'Bütçe aylık-TL'!$M$152</f>
        <v>0</v>
      </c>
      <c r="AJ243" s="7">
        <f>'gerç aylık-tl'!$M$151</f>
        <v>0</v>
      </c>
      <c r="AK243" s="8"/>
      <c r="AL243" s="21">
        <f t="shared" si="118"/>
        <v>0</v>
      </c>
      <c r="AM243" s="22" t="e">
        <f t="shared" si="119"/>
        <v>#DIV/0!</v>
      </c>
      <c r="AO243" s="44">
        <f t="shared" si="120"/>
        <v>0</v>
      </c>
      <c r="AP243" s="44">
        <f t="shared" si="120"/>
        <v>0</v>
      </c>
    </row>
    <row r="244" spans="1:42" ht="15.5">
      <c r="A244" s="26" t="s">
        <v>15</v>
      </c>
      <c r="B244" s="7">
        <f>'Bütçe aylık-TL'!$B$153</f>
        <v>0</v>
      </c>
      <c r="C244" s="7">
        <f>'gerç aylık-tl'!$B$152</f>
        <v>0</v>
      </c>
      <c r="D244" s="7"/>
      <c r="E244" s="7">
        <f>'Bütçe aylık-TL'!$C$153</f>
        <v>0</v>
      </c>
      <c r="F244" s="7">
        <f>'gerç aylık-tl'!$C$152</f>
        <v>0</v>
      </c>
      <c r="G244" s="7"/>
      <c r="H244" s="7">
        <f>'Bütçe aylık-TL'!$D$153</f>
        <v>0</v>
      </c>
      <c r="I244" s="7">
        <f>'gerç aylık-tl'!$D$152</f>
        <v>0</v>
      </c>
      <c r="J244" s="7"/>
      <c r="K244" s="7">
        <f>'Bütçe aylık-TL'!$E$153</f>
        <v>0</v>
      </c>
      <c r="L244" s="7">
        <f>'gerç aylık-tl'!$E$152</f>
        <v>0</v>
      </c>
      <c r="M244" s="7"/>
      <c r="N244" s="7">
        <f>'Bütçe aylık-TL'!$F$153</f>
        <v>0</v>
      </c>
      <c r="O244" s="7">
        <f>'gerç aylık-tl'!$F$152</f>
        <v>0</v>
      </c>
      <c r="P244" s="7"/>
      <c r="Q244" s="7">
        <f>'Bütçe aylık-TL'!$G$153</f>
        <v>0</v>
      </c>
      <c r="R244" s="7">
        <f>'gerç aylık-tl'!$G$152</f>
        <v>0</v>
      </c>
      <c r="S244" s="7"/>
      <c r="T244" s="7">
        <f>'Bütçe aylık-TL'!$H$153</f>
        <v>0</v>
      </c>
      <c r="U244" s="7">
        <f>'gerç aylık-tl'!$H$152</f>
        <v>0</v>
      </c>
      <c r="V244" s="7"/>
      <c r="W244" s="7">
        <f>'Bütçe aylık-TL'!$I$153</f>
        <v>0</v>
      </c>
      <c r="X244" s="7">
        <f>'gerç aylık-tl'!$I$152</f>
        <v>0</v>
      </c>
      <c r="Y244" s="7"/>
      <c r="Z244" s="7">
        <f>'Bütçe aylık-TL'!$J$153</f>
        <v>0</v>
      </c>
      <c r="AA244" s="7">
        <f>'gerç aylık-tl'!$J$152</f>
        <v>0</v>
      </c>
      <c r="AB244" s="7"/>
      <c r="AC244" s="7">
        <f>'Bütçe aylık-TL'!$K$153</f>
        <v>0</v>
      </c>
      <c r="AD244" s="7">
        <f>'gerç aylık-tl'!$K$152</f>
        <v>0</v>
      </c>
      <c r="AE244" s="7"/>
      <c r="AF244" s="7">
        <f>'Bütçe aylık-TL'!$L$153</f>
        <v>0</v>
      </c>
      <c r="AG244" s="7">
        <f>'gerç aylık-tl'!$L$152</f>
        <v>0</v>
      </c>
      <c r="AH244" s="7"/>
      <c r="AI244" s="7">
        <f>'Bütçe aylık-TL'!$M$153</f>
        <v>0</v>
      </c>
      <c r="AJ244" s="7">
        <f>'gerç aylık-tl'!$M$152</f>
        <v>0</v>
      </c>
      <c r="AK244" s="7"/>
      <c r="AL244" s="21">
        <f t="shared" si="118"/>
        <v>0</v>
      </c>
      <c r="AM244" s="22" t="e">
        <f t="shared" si="119"/>
        <v>#DIV/0!</v>
      </c>
      <c r="AO244" s="44">
        <f t="shared" si="120"/>
        <v>0</v>
      </c>
      <c r="AP244" s="44">
        <f t="shared" si="120"/>
        <v>0</v>
      </c>
    </row>
    <row r="245" spans="1:42" s="1" customFormat="1" ht="15.5">
      <c r="A245" s="26" t="s">
        <v>16</v>
      </c>
      <c r="B245" s="7">
        <f>'Bütçe aylık-TL'!$B$154</f>
        <v>0</v>
      </c>
      <c r="C245" s="7">
        <f>'gerç aylık-tl'!$B$153</f>
        <v>0</v>
      </c>
      <c r="D245" s="8"/>
      <c r="E245" s="7">
        <f>'Bütçe aylık-TL'!$C$154</f>
        <v>0</v>
      </c>
      <c r="F245" s="7">
        <f>'gerç aylık-tl'!$C$153</f>
        <v>0</v>
      </c>
      <c r="G245" s="8"/>
      <c r="H245" s="7">
        <f>'Bütçe aylık-TL'!$D$154</f>
        <v>0</v>
      </c>
      <c r="I245" s="7">
        <f>'gerç aylık-tl'!$D$153</f>
        <v>0</v>
      </c>
      <c r="J245" s="8"/>
      <c r="K245" s="7">
        <f>'Bütçe aylık-TL'!$E$154</f>
        <v>0</v>
      </c>
      <c r="L245" s="7">
        <f>'gerç aylık-tl'!$E$153</f>
        <v>0</v>
      </c>
      <c r="M245" s="8"/>
      <c r="N245" s="7">
        <f>'Bütçe aylık-TL'!$F$154</f>
        <v>0</v>
      </c>
      <c r="O245" s="7">
        <f>'gerç aylık-tl'!$F$153</f>
        <v>0</v>
      </c>
      <c r="P245" s="8"/>
      <c r="Q245" s="7">
        <f>'Bütçe aylık-TL'!$G$154</f>
        <v>0</v>
      </c>
      <c r="R245" s="7">
        <f>'gerç aylık-tl'!$G$153</f>
        <v>0</v>
      </c>
      <c r="S245" s="8"/>
      <c r="T245" s="7">
        <f>'Bütçe aylık-TL'!$H$154</f>
        <v>0</v>
      </c>
      <c r="U245" s="7">
        <f>'gerç aylık-tl'!$H$153</f>
        <v>0</v>
      </c>
      <c r="V245" s="8"/>
      <c r="W245" s="7">
        <f>'Bütçe aylık-TL'!$I$154</f>
        <v>0</v>
      </c>
      <c r="X245" s="7">
        <f>'gerç aylık-tl'!$I$153</f>
        <v>0</v>
      </c>
      <c r="Y245" s="8"/>
      <c r="Z245" s="7">
        <f>'Bütçe aylık-TL'!$J$154</f>
        <v>0</v>
      </c>
      <c r="AA245" s="7">
        <f>'gerç aylık-tl'!$J$153</f>
        <v>0</v>
      </c>
      <c r="AB245" s="8"/>
      <c r="AC245" s="7">
        <f>'Bütçe aylık-TL'!$K$154</f>
        <v>0</v>
      </c>
      <c r="AD245" s="7">
        <f>'gerç aylık-tl'!$K$153</f>
        <v>0</v>
      </c>
      <c r="AE245" s="8"/>
      <c r="AF245" s="7">
        <f>'Bütçe aylık-TL'!$L$154</f>
        <v>0</v>
      </c>
      <c r="AG245" s="7">
        <f>'gerç aylık-tl'!$L$153</f>
        <v>0</v>
      </c>
      <c r="AH245" s="8"/>
      <c r="AI245" s="7">
        <f>'Bütçe aylık-TL'!$M$154</f>
        <v>0</v>
      </c>
      <c r="AJ245" s="7">
        <f>'gerç aylık-tl'!$M$153</f>
        <v>0</v>
      </c>
      <c r="AK245" s="8"/>
      <c r="AL245" s="21">
        <f t="shared" si="118"/>
        <v>0</v>
      </c>
      <c r="AM245" s="22" t="e">
        <f t="shared" si="119"/>
        <v>#DIV/0!</v>
      </c>
      <c r="AO245" s="44">
        <f t="shared" si="120"/>
        <v>0</v>
      </c>
      <c r="AP245" s="44">
        <f t="shared" si="120"/>
        <v>0</v>
      </c>
    </row>
    <row r="246" spans="1:42" s="1" customFormat="1" ht="15.5">
      <c r="A246" s="26" t="s">
        <v>17</v>
      </c>
      <c r="B246" s="7">
        <f>'Bütçe aylık-TL'!$B$155</f>
        <v>0</v>
      </c>
      <c r="C246" s="7">
        <f>'gerç aylık-tl'!$B$154</f>
        <v>0</v>
      </c>
      <c r="D246" s="8"/>
      <c r="E246" s="7">
        <f>'Bütçe aylık-TL'!$C$155</f>
        <v>0</v>
      </c>
      <c r="F246" s="7">
        <f>'gerç aylık-tl'!$C$154</f>
        <v>0</v>
      </c>
      <c r="G246" s="8"/>
      <c r="H246" s="7">
        <f>'Bütçe aylık-TL'!$D$155</f>
        <v>0</v>
      </c>
      <c r="I246" s="7">
        <f>'gerç aylık-tl'!$D$154</f>
        <v>0</v>
      </c>
      <c r="J246" s="8"/>
      <c r="K246" s="7">
        <f>'Bütçe aylık-TL'!$E$155</f>
        <v>0</v>
      </c>
      <c r="L246" s="7">
        <f>'gerç aylık-tl'!$E$154</f>
        <v>0</v>
      </c>
      <c r="M246" s="8"/>
      <c r="N246" s="7">
        <f>'Bütçe aylık-TL'!$F$155</f>
        <v>0</v>
      </c>
      <c r="O246" s="7">
        <f>'gerç aylık-tl'!$F$154</f>
        <v>0</v>
      </c>
      <c r="P246" s="8"/>
      <c r="Q246" s="7">
        <f>'Bütçe aylık-TL'!$G$155</f>
        <v>0</v>
      </c>
      <c r="R246" s="7">
        <f>'gerç aylık-tl'!$G$154</f>
        <v>0</v>
      </c>
      <c r="S246" s="8"/>
      <c r="T246" s="7">
        <f>'Bütçe aylık-TL'!$H$155</f>
        <v>0</v>
      </c>
      <c r="U246" s="7">
        <f>'gerç aylık-tl'!$H$154</f>
        <v>0</v>
      </c>
      <c r="V246" s="8"/>
      <c r="W246" s="7">
        <f>'Bütçe aylık-TL'!$I$155</f>
        <v>0</v>
      </c>
      <c r="X246" s="7">
        <f>'gerç aylık-tl'!$I$154</f>
        <v>0</v>
      </c>
      <c r="Y246" s="8"/>
      <c r="Z246" s="7">
        <f>'Bütçe aylık-TL'!$J$155</f>
        <v>0</v>
      </c>
      <c r="AA246" s="7">
        <f>'gerç aylık-tl'!$J$154</f>
        <v>0</v>
      </c>
      <c r="AB246" s="8"/>
      <c r="AC246" s="7">
        <f>'Bütçe aylık-TL'!$K$155</f>
        <v>0</v>
      </c>
      <c r="AD246" s="7">
        <f>'gerç aylık-tl'!$K$154</f>
        <v>0</v>
      </c>
      <c r="AE246" s="8"/>
      <c r="AF246" s="7">
        <f>'Bütçe aylık-TL'!$L$155</f>
        <v>0</v>
      </c>
      <c r="AG246" s="7">
        <f>'gerç aylık-tl'!$L$154</f>
        <v>0</v>
      </c>
      <c r="AH246" s="8"/>
      <c r="AI246" s="7">
        <f>'Bütçe aylık-TL'!$M$155</f>
        <v>0</v>
      </c>
      <c r="AJ246" s="7">
        <f>'gerç aylık-tl'!$M$154</f>
        <v>0</v>
      </c>
      <c r="AK246" s="8"/>
      <c r="AL246" s="21">
        <f t="shared" si="118"/>
        <v>0</v>
      </c>
      <c r="AM246" s="22" t="e">
        <f t="shared" si="119"/>
        <v>#DIV/0!</v>
      </c>
      <c r="AO246" s="44">
        <f t="shared" si="120"/>
        <v>0</v>
      </c>
      <c r="AP246" s="44">
        <f t="shared" si="120"/>
        <v>0</v>
      </c>
    </row>
    <row r="247" spans="1:42" s="1" customFormat="1" ht="15.5">
      <c r="A247" s="26"/>
      <c r="B247" s="7"/>
      <c r="C247" s="8"/>
      <c r="D247" s="8"/>
      <c r="E247" s="7"/>
      <c r="F247" s="8"/>
      <c r="G247" s="8"/>
      <c r="H247" s="7"/>
      <c r="I247" s="8"/>
      <c r="J247" s="8"/>
      <c r="K247" s="7"/>
      <c r="L247" s="8"/>
      <c r="M247" s="8"/>
      <c r="N247" s="7"/>
      <c r="O247" s="8"/>
      <c r="P247" s="8"/>
      <c r="Q247" s="7"/>
      <c r="R247" s="8"/>
      <c r="S247" s="8"/>
      <c r="T247" s="7"/>
      <c r="U247" s="8"/>
      <c r="V247" s="8"/>
      <c r="W247" s="7"/>
      <c r="X247" s="8"/>
      <c r="Y247" s="8"/>
      <c r="Z247" s="7"/>
      <c r="AA247" s="8"/>
      <c r="AB247" s="8"/>
      <c r="AC247" s="7"/>
      <c r="AD247" s="8"/>
      <c r="AE247" s="8"/>
      <c r="AF247" s="7"/>
      <c r="AG247" s="8"/>
      <c r="AH247" s="8"/>
      <c r="AI247" s="7"/>
      <c r="AJ247" s="8"/>
      <c r="AK247" s="8"/>
      <c r="AL247" s="15"/>
      <c r="AM247" s="16"/>
      <c r="AO247" s="44"/>
      <c r="AP247" s="44"/>
    </row>
    <row r="248" spans="1:42" s="1" customFormat="1" ht="15.5">
      <c r="A248" s="26"/>
      <c r="B248" s="7"/>
      <c r="C248" s="8"/>
      <c r="D248" s="8"/>
      <c r="E248" s="7"/>
      <c r="F248" s="8"/>
      <c r="G248" s="8"/>
      <c r="H248" s="7"/>
      <c r="I248" s="8"/>
      <c r="J248" s="8"/>
      <c r="K248" s="7"/>
      <c r="L248" s="8"/>
      <c r="M248" s="8"/>
      <c r="N248" s="7"/>
      <c r="O248" s="8"/>
      <c r="P248" s="8"/>
      <c r="Q248" s="7"/>
      <c r="R248" s="8"/>
      <c r="S248" s="8"/>
      <c r="T248" s="7"/>
      <c r="U248" s="8"/>
      <c r="V248" s="8"/>
      <c r="W248" s="7"/>
      <c r="X248" s="8"/>
      <c r="Y248" s="8"/>
      <c r="Z248" s="7"/>
      <c r="AA248" s="8"/>
      <c r="AB248" s="8"/>
      <c r="AC248" s="7"/>
      <c r="AD248" s="8"/>
      <c r="AE248" s="8"/>
      <c r="AF248" s="7"/>
      <c r="AG248" s="8"/>
      <c r="AH248" s="8"/>
      <c r="AI248" s="7"/>
      <c r="AJ248" s="8"/>
      <c r="AK248" s="8"/>
      <c r="AL248" s="15"/>
      <c r="AM248" s="16"/>
      <c r="AO248" s="44"/>
      <c r="AP248" s="44"/>
    </row>
    <row r="249" spans="1:42" s="44" customFormat="1" ht="15.5">
      <c r="A249" s="31" t="s">
        <v>86</v>
      </c>
      <c r="B249" s="32">
        <f>'Bütçe aylık-TL'!$B$160</f>
        <v>1505676702.7970102</v>
      </c>
      <c r="C249" s="32">
        <f>'gerç aylık-tl'!$B$159</f>
        <v>1536456036.1650181</v>
      </c>
      <c r="D249" s="18"/>
      <c r="E249" s="32">
        <f>'Bütçe aylık-TL'!$C$160</f>
        <v>1065954309.8881643</v>
      </c>
      <c r="F249" s="32">
        <f>'gerç aylık-tl'!$C$159</f>
        <v>1483637054.065928</v>
      </c>
      <c r="G249" s="18"/>
      <c r="H249" s="32">
        <f>'Bütçe aylık-TL'!$D$160</f>
        <v>1101922685.957973</v>
      </c>
      <c r="I249" s="32">
        <f>'gerç aylık-tl'!$D$159</f>
        <v>1672230348.0501313</v>
      </c>
      <c r="J249" s="18"/>
      <c r="K249" s="32">
        <f>'Bütçe aylık-TL'!$E$160</f>
        <v>959868779.6135304</v>
      </c>
      <c r="L249" s="32">
        <f>'gerç aylık-tl'!$E$159</f>
        <v>1342518767.1769826</v>
      </c>
      <c r="M249" s="18"/>
      <c r="N249" s="32">
        <f>'Bütçe aylık-TL'!$F$160</f>
        <v>1049850023.7646211</v>
      </c>
      <c r="O249" s="32">
        <f>'gerç aylık-tl'!$F$159</f>
        <v>1270884364.2850852</v>
      </c>
      <c r="P249" s="18"/>
      <c r="Q249" s="32">
        <f>'Bütçe aylık-TL'!$G$160</f>
        <v>1214225775.6338835</v>
      </c>
      <c r="R249" s="32">
        <f>'gerç aylık-tl'!$G$159</f>
        <v>1447229234.319191</v>
      </c>
      <c r="S249" s="18"/>
      <c r="T249" s="32">
        <f>'Bütçe aylık-TL'!$H$160</f>
        <v>1195959068.1634884</v>
      </c>
      <c r="U249" s="32">
        <f>'gerç aylık-tl'!$H$159</f>
        <v>1548036938.0402036</v>
      </c>
      <c r="V249" s="18"/>
      <c r="W249" s="32">
        <f>'Bütçe aylık-TL'!$I$160</f>
        <v>1256329557.3505085</v>
      </c>
      <c r="X249" s="32">
        <f>'gerç aylık-tl'!$I$159</f>
        <v>1617454457.0697367</v>
      </c>
      <c r="Y249" s="18"/>
      <c r="Z249" s="32">
        <f>'Bütçe aylık-TL'!$J$160</f>
        <v>1461446642.4474893</v>
      </c>
      <c r="AA249" s="32">
        <f>'gerç aylık-tl'!$J$159</f>
        <v>1604929008.4831285</v>
      </c>
      <c r="AB249" s="18"/>
      <c r="AC249" s="32">
        <f>'Bütçe aylık-TL'!$K$160</f>
        <v>1358624957.0492771</v>
      </c>
      <c r="AD249" s="32">
        <f>'gerç aylık-tl'!$K$159</f>
        <v>0</v>
      </c>
      <c r="AE249" s="18"/>
      <c r="AF249" s="32">
        <f>'Bütçe aylık-TL'!$L$160</f>
        <v>1534972894.4801064</v>
      </c>
      <c r="AG249" s="32">
        <f>'gerç aylık-tl'!$L$159</f>
        <v>0</v>
      </c>
      <c r="AH249" s="18"/>
      <c r="AI249" s="32">
        <f>'Bütçe aylık-TL'!$M$160</f>
        <v>1749198159.6860981</v>
      </c>
      <c r="AJ249" s="32">
        <f>'gerç aylık-tl'!$M$159</f>
        <v>0</v>
      </c>
      <c r="AK249" s="18"/>
      <c r="AL249" s="33">
        <f>AP249-AO249</f>
        <v>143482366.03563929</v>
      </c>
      <c r="AM249" s="34">
        <f>AP249/AO249-1</f>
        <v>9.8178313096227043E-2</v>
      </c>
      <c r="AO249" s="44">
        <f>IF($A$1=$B$1,B249,IF($A$1=$E$1,E249,IF($A$1=$H$1,H249,IF($A$1=$K$1,K249,IF($A$1=$N$1,N249,IF($A$1=$Q$1,Q249,IF($A$1=$T$1,T249,IF($A$1=$W$1,W249,IF($A$1=$Z$1,Z249,IF($A$1=$AC$1,AC249,IF($A$1=$AF$1,AF249,IF($A$1=$AI$1,AI249))))))))))))</f>
        <v>1461446642.4474893</v>
      </c>
      <c r="AP249" s="44">
        <f>IF($A$1=$B$1,C249,IF($A$1=$E$1,F249,IF($A$1=$H$1,I249,IF($A$1=$K$1,L249,IF($A$1=$N$1,O249,IF($A$1=$Q$1,R249,IF($A$1=$T$1,U249,IF($A$1=$W$1,X249,IF($A$1=$Z$1,AA249,IF($A$1=$AC$1,AD249,IF($A$1=$AF$1,AG249,IF($A$1=$AI$1,AJ249))))))))))))</f>
        <v>1604929008.4831285</v>
      </c>
    </row>
    <row r="250" spans="1:42" s="13" customFormat="1" ht="15.5">
      <c r="A250" s="27"/>
      <c r="B250" s="30"/>
      <c r="C250" s="30" t="str">
        <f>IFERROR((C207/#REF!),"")</f>
        <v/>
      </c>
      <c r="D250" s="41"/>
      <c r="E250" s="30"/>
      <c r="F250" s="30" t="str">
        <f>IFERROR((F207/#REF!),"")</f>
        <v/>
      </c>
      <c r="G250" s="41"/>
      <c r="H250" s="30"/>
      <c r="I250" s="30" t="str">
        <f>IFERROR((I207/#REF!),"")</f>
        <v/>
      </c>
      <c r="J250" s="41"/>
      <c r="K250" s="30"/>
      <c r="L250" s="30" t="str">
        <f>IFERROR((L207/#REF!),"")</f>
        <v/>
      </c>
      <c r="M250" s="41"/>
      <c r="N250" s="30"/>
      <c r="O250" s="30" t="str">
        <f>IFERROR((O207/#REF!),"")</f>
        <v/>
      </c>
      <c r="P250" s="41"/>
      <c r="Q250" s="30"/>
      <c r="R250" s="30" t="str">
        <f>IFERROR((R207/#REF!),"")</f>
        <v/>
      </c>
      <c r="S250" s="41"/>
      <c r="T250" s="30"/>
      <c r="U250" s="30" t="str">
        <f>IFERROR((U207/#REF!),"")</f>
        <v/>
      </c>
      <c r="V250" s="41"/>
      <c r="W250" s="30"/>
      <c r="X250" s="30" t="str">
        <f>IFERROR((X207/#REF!),"")</f>
        <v/>
      </c>
      <c r="Y250" s="41"/>
      <c r="Z250" s="30"/>
      <c r="AA250" s="30" t="str">
        <f>IFERROR((AA207/#REF!),"")</f>
        <v/>
      </c>
      <c r="AB250" s="41"/>
      <c r="AC250" s="30"/>
      <c r="AD250" s="30" t="str">
        <f>IFERROR((AD207/#REF!),"")</f>
        <v/>
      </c>
      <c r="AE250" s="41"/>
      <c r="AF250" s="30"/>
      <c r="AG250" s="30" t="str">
        <f>IFERROR((AG207/#REF!),"")</f>
        <v/>
      </c>
      <c r="AH250" s="41"/>
      <c r="AI250" s="30"/>
      <c r="AJ250" s="30" t="str">
        <f>IFERROR((AJ207/#REF!),"")</f>
        <v/>
      </c>
      <c r="AK250" s="41"/>
      <c r="AL250" s="15"/>
      <c r="AM250" s="22"/>
      <c r="AO250" s="44">
        <f>IF($A$1=$B$1,B250,IF($A$1=$E$1,E250,IF($A$1=$H$1,H250,IF($A$1=$K$1,K250,IF($A$1=$N$1,N250,IF($A$1=$Q$1,Q250,IF($A$1=$T$1,T250,IF($A$1=$W$1,W250,IF($A$1=$Z$1,Z250,IF($A$1=$AC$1,AC250,IF($A$1=$AF$1,AF250,IF($A$1=$AI$1,AI250))))))))))))</f>
        <v>0</v>
      </c>
      <c r="AP250" s="44" t="str">
        <f>IF($A$1=$B$1,C250,IF($A$1=$E$1,F250,IF($A$1=$H$1,I250,IF($A$1=$K$1,L250,IF($A$1=$N$1,O250,IF($A$1=$Q$1,R250,IF($A$1=$T$1,U250,IF($A$1=$W$1,X250,IF($A$1=$Z$1,AA250,IF($A$1=$AC$1,AD250,IF($A$1=$AF$1,AG250,IF($A$1=$AI$1,AJ250))))))))))))</f>
        <v/>
      </c>
    </row>
    <row r="251" spans="1:42" s="49" customFormat="1" ht="17">
      <c r="A251" s="47" t="s">
        <v>87</v>
      </c>
      <c r="B251" s="413"/>
      <c r="C251" s="413"/>
      <c r="D251" s="413"/>
      <c r="E251" s="413"/>
      <c r="F251" s="413"/>
      <c r="G251" s="413"/>
      <c r="H251" s="413"/>
      <c r="I251" s="413"/>
      <c r="J251" s="413"/>
      <c r="K251" s="413"/>
      <c r="L251" s="413"/>
      <c r="M251" s="413"/>
      <c r="N251" s="413"/>
      <c r="O251" s="413"/>
      <c r="P251" s="413"/>
      <c r="Q251" s="413"/>
      <c r="R251" s="413"/>
      <c r="S251" s="413"/>
      <c r="T251" s="413"/>
      <c r="U251" s="413"/>
      <c r="V251" s="413"/>
      <c r="W251" s="413"/>
      <c r="X251" s="413"/>
      <c r="Y251" s="413"/>
      <c r="Z251" s="413"/>
      <c r="AA251" s="413"/>
      <c r="AB251" s="413"/>
      <c r="AC251" s="413"/>
      <c r="AD251" s="413"/>
      <c r="AE251" s="413"/>
      <c r="AF251" s="413"/>
      <c r="AG251" s="413"/>
      <c r="AH251" s="413"/>
      <c r="AI251" s="413"/>
      <c r="AJ251" s="413"/>
      <c r="AK251" s="413"/>
      <c r="AL251" s="413"/>
      <c r="AM251" s="48"/>
    </row>
    <row r="252" spans="1:42" ht="15.5">
      <c r="A252" s="26" t="s">
        <v>10</v>
      </c>
      <c r="B252" s="7">
        <f>'Bütçe aylık-TL'!$B$161</f>
        <v>899592378.16878104</v>
      </c>
      <c r="C252" s="7">
        <f>'gerç aylık-tl'!$B$160</f>
        <v>930276247.77540696</v>
      </c>
      <c r="D252" s="7"/>
      <c r="E252" s="7">
        <f>'Bütçe aylık-TL'!$C$161</f>
        <v>516913006.39238799</v>
      </c>
      <c r="F252" s="7">
        <f>'gerç aylık-tl'!$C$160</f>
        <v>972281280.50488806</v>
      </c>
      <c r="G252" s="7"/>
      <c r="H252" s="7">
        <f>'Bütçe aylık-TL'!$D$161</f>
        <v>410864907.65035498</v>
      </c>
      <c r="I252" s="7">
        <f>'gerç aylık-tl'!$D$160</f>
        <v>961848669.04997694</v>
      </c>
      <c r="J252" s="7"/>
      <c r="K252" s="7">
        <f>'Bütçe aylık-TL'!$E$161</f>
        <v>408281784.11706603</v>
      </c>
      <c r="L252" s="7">
        <f>'gerç aylık-tl'!$E$160</f>
        <v>659356234.62218499</v>
      </c>
      <c r="M252" s="7"/>
      <c r="N252" s="7">
        <f>'Bütçe aylık-TL'!$F$161</f>
        <v>432667461.78618199</v>
      </c>
      <c r="O252" s="7">
        <f>'gerç aylık-tl'!$F$160</f>
        <v>702362911.49849403</v>
      </c>
      <c r="P252" s="7"/>
      <c r="Q252" s="7">
        <f>'Bütçe aylık-TL'!$G$161</f>
        <v>395637285.98241401</v>
      </c>
      <c r="R252" s="7">
        <f>'gerç aylık-tl'!$G$160</f>
        <v>721975936.349998</v>
      </c>
      <c r="S252" s="7"/>
      <c r="T252" s="7">
        <f>'Bütçe aylık-TL'!$H$161</f>
        <v>401879964.25948399</v>
      </c>
      <c r="U252" s="7">
        <f>'gerç aylık-tl'!$H$160</f>
        <v>870288240.31000495</v>
      </c>
      <c r="V252" s="7"/>
      <c r="W252" s="7">
        <f>'Bütçe aylık-TL'!$I$161</f>
        <v>430324209.29405397</v>
      </c>
      <c r="X252" s="7">
        <f>'gerç aylık-tl'!$I$160</f>
        <v>914372909.32867205</v>
      </c>
      <c r="Y252" s="7"/>
      <c r="Z252" s="7">
        <f>'Bütçe aylık-TL'!$J$161</f>
        <v>427699437.96364897</v>
      </c>
      <c r="AA252" s="7">
        <f>'gerç aylık-tl'!$J$160</f>
        <v>831475506.56474304</v>
      </c>
      <c r="AB252" s="7"/>
      <c r="AC252" s="7">
        <f>'Bütçe aylık-TL'!$K$161</f>
        <v>435825438.22600299</v>
      </c>
      <c r="AD252" s="7">
        <f>'gerç aylık-tl'!$K$160</f>
        <v>0</v>
      </c>
      <c r="AE252" s="7"/>
      <c r="AF252" s="7">
        <f>'Bütçe aylık-TL'!$L$161</f>
        <v>510981405.92685997</v>
      </c>
      <c r="AG252" s="7">
        <f>'gerç aylık-tl'!$L$160</f>
        <v>0</v>
      </c>
      <c r="AH252" s="7"/>
      <c r="AI252" s="7">
        <f>'Bütçe aylık-TL'!$M$161</f>
        <v>481003047.897111</v>
      </c>
      <c r="AJ252" s="7">
        <f>'gerç aylık-tl'!$M$160</f>
        <v>0</v>
      </c>
      <c r="AK252" s="7"/>
      <c r="AL252" s="21">
        <f t="shared" ref="AL252:AL259" si="121">AP252-AO252</f>
        <v>403776068.60109407</v>
      </c>
      <c r="AM252" s="22">
        <f t="shared" ref="AM252:AM259" si="122">AP252/AO252-1</f>
        <v>0.94406499696034629</v>
      </c>
      <c r="AO252" s="44">
        <f t="shared" ref="AO252:AP259" si="123">IF($A$1=$B$1,B252,IF($A$1=$E$1,E252,IF($A$1=$H$1,H252,IF($A$1=$K$1,K252,IF($A$1=$N$1,N252,IF($A$1=$Q$1,Q252,IF($A$1=$T$1,T252,IF($A$1=$W$1,W252,IF($A$1=$Z$1,Z252,IF($A$1=$AC$1,AC252,IF($A$1=$AF$1,AF252,IF($A$1=$AI$1,AI252))))))))))))</f>
        <v>427699437.96364897</v>
      </c>
      <c r="AP252" s="44">
        <f t="shared" si="123"/>
        <v>831475506.56474304</v>
      </c>
    </row>
    <row r="253" spans="1:42" ht="15.5">
      <c r="A253" s="26" t="s">
        <v>11</v>
      </c>
      <c r="B253" s="7">
        <f>'Bütçe aylık-TL'!$B$162</f>
        <v>339777.79840600002</v>
      </c>
      <c r="C253" s="7">
        <f>'gerç aylık-tl'!$B$161</f>
        <v>6155399.1500000004</v>
      </c>
      <c r="D253" s="7"/>
      <c r="E253" s="7">
        <f>'Bütçe aylık-TL'!$C$162</f>
        <v>672993.45594000001</v>
      </c>
      <c r="F253" s="7">
        <f>'gerç aylık-tl'!$C$161</f>
        <v>1490601.65</v>
      </c>
      <c r="G253" s="7"/>
      <c r="H253" s="7">
        <f>'Bütçe aylık-TL'!$D$162</f>
        <v>681402.74185200001</v>
      </c>
      <c r="I253" s="7">
        <f>'gerç aylık-tl'!$D$161</f>
        <v>963277.67</v>
      </c>
      <c r="J253" s="7"/>
      <c r="K253" s="7">
        <f>'Bütçe aylık-TL'!$E$162</f>
        <v>576400.53234999999</v>
      </c>
      <c r="L253" s="7">
        <f>'gerç aylık-tl'!$E$161</f>
        <v>41893278.899999999</v>
      </c>
      <c r="M253" s="7"/>
      <c r="N253" s="7">
        <f>'Bütçe aylık-TL'!$F$162</f>
        <v>45532.963028999999</v>
      </c>
      <c r="O253" s="7">
        <f>'gerç aylık-tl'!$F$161</f>
        <v>11187114.195</v>
      </c>
      <c r="P253" s="7"/>
      <c r="Q253" s="7">
        <f>'Bütçe aylık-TL'!$G$162</f>
        <v>312446.31981100002</v>
      </c>
      <c r="R253" s="7">
        <f>'gerç aylık-tl'!$G$161</f>
        <v>2847616.62</v>
      </c>
      <c r="S253" s="7"/>
      <c r="T253" s="7">
        <f>'Bütçe aylık-TL'!$H$162</f>
        <v>343004.58984799997</v>
      </c>
      <c r="U253" s="7">
        <f>'gerç aylık-tl'!$H$161</f>
        <v>2788572.7050000001</v>
      </c>
      <c r="V253" s="7"/>
      <c r="W253" s="7">
        <f>'Bütçe aylık-TL'!$I$162</f>
        <v>488708.37719700002</v>
      </c>
      <c r="X253" s="7">
        <f>'gerç aylık-tl'!$I$161</f>
        <v>1573009.2424999999</v>
      </c>
      <c r="Y253" s="7"/>
      <c r="Z253" s="7">
        <f>'Bütçe aylık-TL'!$J$162</f>
        <v>747981.70355099998</v>
      </c>
      <c r="AA253" s="7">
        <f>'gerç aylık-tl'!$J$161</f>
        <v>2330485.29</v>
      </c>
      <c r="AB253" s="7"/>
      <c r="AC253" s="7">
        <f>'Bütçe aylık-TL'!$K$162</f>
        <v>120500.942989</v>
      </c>
      <c r="AD253" s="7">
        <f>'gerç aylık-tl'!$K$161</f>
        <v>0</v>
      </c>
      <c r="AE253" s="7"/>
      <c r="AF253" s="7">
        <f>'Bütçe aylık-TL'!$L$162</f>
        <v>385595.97722599999</v>
      </c>
      <c r="AG253" s="7">
        <f>'gerç aylık-tl'!$L$161</f>
        <v>0</v>
      </c>
      <c r="AH253" s="7"/>
      <c r="AI253" s="7">
        <f>'Bütçe aylık-TL'!$M$162</f>
        <v>125873.163797</v>
      </c>
      <c r="AJ253" s="7">
        <f>'gerç aylık-tl'!$M$161</f>
        <v>0</v>
      </c>
      <c r="AK253" s="7"/>
      <c r="AL253" s="21">
        <f t="shared" si="121"/>
        <v>1582503.5864490001</v>
      </c>
      <c r="AM253" s="22">
        <f t="shared" si="122"/>
        <v>2.1156982569709335</v>
      </c>
      <c r="AO253" s="44">
        <f t="shared" si="123"/>
        <v>747981.70355099998</v>
      </c>
      <c r="AP253" s="44">
        <f t="shared" si="123"/>
        <v>2330485.29</v>
      </c>
    </row>
    <row r="254" spans="1:42" ht="15.5">
      <c r="A254" s="26" t="s">
        <v>12</v>
      </c>
      <c r="B254" s="7">
        <f>'Bütçe aylık-TL'!$B$163</f>
        <v>0.159937</v>
      </c>
      <c r="C254" s="7">
        <f>'gerç aylık-tl'!$B$162</f>
        <v>5464283</v>
      </c>
      <c r="D254" s="7"/>
      <c r="E254" s="7">
        <f>'Bütçe aylık-TL'!$C$163</f>
        <v>0.31372100000000003</v>
      </c>
      <c r="F254" s="7">
        <f>'gerç aylık-tl'!$C$162</f>
        <v>3519558</v>
      </c>
      <c r="G254" s="7"/>
      <c r="H254" s="7">
        <f>'Bütçe aylık-TL'!$D$163</f>
        <v>-0.27301300000000001</v>
      </c>
      <c r="I254" s="7">
        <f>'gerç aylık-tl'!$D$162</f>
        <v>9147816</v>
      </c>
      <c r="J254" s="7"/>
      <c r="K254" s="7">
        <f>'Bütçe aylık-TL'!$E$163</f>
        <v>0.33074500000000001</v>
      </c>
      <c r="L254" s="7">
        <f>'gerç aylık-tl'!$E$162</f>
        <v>3065732</v>
      </c>
      <c r="M254" s="7"/>
      <c r="N254" s="7">
        <f>'Bütçe aylık-TL'!$F$163</f>
        <v>-0.109099</v>
      </c>
      <c r="O254" s="7">
        <f>'gerç aylık-tl'!$F$162</f>
        <v>5196919</v>
      </c>
      <c r="P254" s="7"/>
      <c r="Q254" s="7">
        <f>'Bütçe aylık-TL'!$G$163</f>
        <v>0.267314</v>
      </c>
      <c r="R254" s="7">
        <f>'gerç aylık-tl'!$G$162</f>
        <v>3455835</v>
      </c>
      <c r="S254" s="7"/>
      <c r="T254" s="7">
        <f>'Bütçe aylık-TL'!$H$163</f>
        <v>-0.22375200000000001</v>
      </c>
      <c r="U254" s="7">
        <f>'gerç aylık-tl'!$H$162</f>
        <v>1388049</v>
      </c>
      <c r="V254" s="7"/>
      <c r="W254" s="7">
        <f>'Bütçe aylık-TL'!$I$163</f>
        <v>0.27898699999999999</v>
      </c>
      <c r="X254" s="7">
        <f>'gerç aylık-tl'!$I$162</f>
        <v>7302043</v>
      </c>
      <c r="Y254" s="7"/>
      <c r="Z254" s="7">
        <f>'Bütçe aylık-TL'!$J$163</f>
        <v>-0.13435</v>
      </c>
      <c r="AA254" s="7">
        <f>'gerç aylık-tl'!$J$162</f>
        <v>3325974</v>
      </c>
      <c r="AB254" s="7"/>
      <c r="AC254" s="7">
        <f>'Bütçe aylık-TL'!$K$163</f>
        <v>0.49807000000000001</v>
      </c>
      <c r="AD254" s="7">
        <f>'gerç aylık-tl'!$K$162</f>
        <v>0</v>
      </c>
      <c r="AE254" s="7"/>
      <c r="AF254" s="7">
        <f>'Bütçe aylık-TL'!$L$163</f>
        <v>0.12438200000000001</v>
      </c>
      <c r="AG254" s="7">
        <f>'gerç aylık-tl'!$L$162</f>
        <v>0</v>
      </c>
      <c r="AH254" s="7"/>
      <c r="AI254" s="7">
        <f>'Bütçe aylık-TL'!$M$163</f>
        <v>-0.46068100000000001</v>
      </c>
      <c r="AJ254" s="7">
        <f>'gerç aylık-tl'!$M$162</f>
        <v>0</v>
      </c>
      <c r="AK254" s="7"/>
      <c r="AL254" s="21">
        <f t="shared" si="121"/>
        <v>3325974.1343499999</v>
      </c>
      <c r="AM254" s="22">
        <f t="shared" si="122"/>
        <v>-24756041.193524376</v>
      </c>
      <c r="AO254" s="44">
        <f t="shared" si="123"/>
        <v>-0.13435</v>
      </c>
      <c r="AP254" s="44">
        <f t="shared" si="123"/>
        <v>3325974</v>
      </c>
    </row>
    <row r="255" spans="1:42" ht="15.5">
      <c r="A255" s="26" t="s">
        <v>13</v>
      </c>
      <c r="B255" s="7">
        <f>'Bütçe aylık-TL'!$B$164</f>
        <v>220102195.80897599</v>
      </c>
      <c r="C255" s="7">
        <f>'gerç aylık-tl'!$B$163</f>
        <v>269237866.8222</v>
      </c>
      <c r="D255" s="7"/>
      <c r="E255" s="7">
        <f>'Bütçe aylık-TL'!$C$164</f>
        <v>187796198.99991399</v>
      </c>
      <c r="F255" s="7">
        <f>'gerç aylık-tl'!$C$163</f>
        <v>166163130.45199999</v>
      </c>
      <c r="G255" s="7"/>
      <c r="H255" s="7">
        <f>'Bütçe aylık-TL'!$D$164</f>
        <v>182460014.82336798</v>
      </c>
      <c r="I255" s="7">
        <f>'gerç aylık-tl'!$D$163</f>
        <v>117991774.49345</v>
      </c>
      <c r="J255" s="7"/>
      <c r="K255" s="7">
        <f>'Bütçe aylık-TL'!$E$164</f>
        <v>180042190.96016899</v>
      </c>
      <c r="L255" s="7">
        <f>'gerç aylık-tl'!$E$163</f>
        <v>135161956.00345001</v>
      </c>
      <c r="M255" s="7"/>
      <c r="N255" s="7">
        <f>'Bütçe aylık-TL'!$F$164</f>
        <v>180276338.723483</v>
      </c>
      <c r="O255" s="7">
        <f>'gerç aylık-tl'!$F$163</f>
        <v>164757980.8398</v>
      </c>
      <c r="P255" s="7"/>
      <c r="Q255" s="7">
        <f>'Bütçe aylık-TL'!$G$164</f>
        <v>159900580.20140001</v>
      </c>
      <c r="R255" s="7">
        <f>'gerç aylık-tl'!$G$163</f>
        <v>72469117.991300002</v>
      </c>
      <c r="S255" s="7"/>
      <c r="T255" s="7">
        <f>'Bütçe aylık-TL'!$H$164</f>
        <v>183486135.60370499</v>
      </c>
      <c r="U255" s="7">
        <f>'gerç aylık-tl'!$H$163</f>
        <v>104383720.7342</v>
      </c>
      <c r="V255" s="7"/>
      <c r="W255" s="7">
        <f>'Bütçe aylık-TL'!$I$164</f>
        <v>188905462.495749</v>
      </c>
      <c r="X255" s="7">
        <f>'gerç aylık-tl'!$I$163</f>
        <v>190941166.40419999</v>
      </c>
      <c r="Y255" s="7"/>
      <c r="Z255" s="7">
        <f>'Bütçe aylık-TL'!$J$164</f>
        <v>162176863.66490099</v>
      </c>
      <c r="AA255" s="7">
        <f>'gerç aylık-tl'!$J$163</f>
        <v>168885408.33645299</v>
      </c>
      <c r="AB255" s="7"/>
      <c r="AC255" s="7">
        <f>'Bütçe aylık-TL'!$K$164</f>
        <v>129543510.508818</v>
      </c>
      <c r="AD255" s="7">
        <f>'gerç aylık-tl'!$K$163</f>
        <v>0</v>
      </c>
      <c r="AE255" s="7"/>
      <c r="AF255" s="7">
        <f>'Bütçe aylık-TL'!$L$164</f>
        <v>128791359.80137201</v>
      </c>
      <c r="AG255" s="7">
        <f>'gerç aylık-tl'!$L$163</f>
        <v>0</v>
      </c>
      <c r="AH255" s="7"/>
      <c r="AI255" s="7">
        <f>'Bütçe aylık-TL'!$M$164</f>
        <v>178026245.661255</v>
      </c>
      <c r="AJ255" s="7">
        <f>'gerç aylık-tl'!$M$163</f>
        <v>0</v>
      </c>
      <c r="AK255" s="7"/>
      <c r="AL255" s="21">
        <f t="shared" si="121"/>
        <v>6708544.6715520024</v>
      </c>
      <c r="AM255" s="22">
        <f t="shared" si="122"/>
        <v>4.1365608632150996E-2</v>
      </c>
      <c r="AO255" s="44">
        <f t="shared" si="123"/>
        <v>162176863.66490099</v>
      </c>
      <c r="AP255" s="44">
        <f t="shared" si="123"/>
        <v>168885408.33645299</v>
      </c>
    </row>
    <row r="256" spans="1:42" s="1" customFormat="1" ht="15.5">
      <c r="A256" s="26" t="s">
        <v>14</v>
      </c>
      <c r="B256" s="7">
        <f>'Bütçe aylık-TL'!$B$165</f>
        <v>60106546.756340005</v>
      </c>
      <c r="C256" s="7">
        <f>'gerç aylık-tl'!$B$164</f>
        <v>29619763.890000004</v>
      </c>
      <c r="D256" s="8"/>
      <c r="E256" s="7">
        <f>'Bütçe aylık-TL'!$C$165</f>
        <v>72115624.220721006</v>
      </c>
      <c r="F256" s="7">
        <f>'gerç aylık-tl'!$C$164</f>
        <v>24606207.5</v>
      </c>
      <c r="G256" s="8"/>
      <c r="H256" s="7">
        <f>'Bütçe aylık-TL'!$D$165</f>
        <v>27323845.710997004</v>
      </c>
      <c r="I256" s="7">
        <f>'gerç aylık-tl'!$D$164</f>
        <v>96194091.909999996</v>
      </c>
      <c r="J256" s="8"/>
      <c r="K256" s="7">
        <f>'Bütçe aylık-TL'!$E$165</f>
        <v>34167646.395328</v>
      </c>
      <c r="L256" s="7">
        <f>'gerç aylık-tl'!$E$164</f>
        <v>109486472.64</v>
      </c>
      <c r="M256" s="8"/>
      <c r="N256" s="7">
        <f>'Bütçe aylık-TL'!$F$165</f>
        <v>31238114.258673999</v>
      </c>
      <c r="O256" s="7">
        <f>'gerç aylık-tl'!$F$164</f>
        <v>86650288.609999985</v>
      </c>
      <c r="P256" s="8"/>
      <c r="Q256" s="7">
        <f>'Bütçe aylık-TL'!$G$165</f>
        <v>63678838.925830998</v>
      </c>
      <c r="R256" s="7">
        <f>'gerç aylık-tl'!$G$164</f>
        <v>63252102.200000003</v>
      </c>
      <c r="S256" s="8"/>
      <c r="T256" s="7">
        <f>'Bütçe aylık-TL'!$H$165</f>
        <v>38662328.649801001</v>
      </c>
      <c r="U256" s="7">
        <f>'gerç aylık-tl'!$H$164</f>
        <v>111445836.23999999</v>
      </c>
      <c r="V256" s="8"/>
      <c r="W256" s="7">
        <f>'Bütçe aylık-TL'!$I$165</f>
        <v>59220423.434372999</v>
      </c>
      <c r="X256" s="7">
        <f>'gerç aylık-tl'!$I$164</f>
        <v>115142710.5</v>
      </c>
      <c r="Y256" s="8"/>
      <c r="Z256" s="7">
        <f>'Bütçe aylık-TL'!$J$165</f>
        <v>70746266.064197004</v>
      </c>
      <c r="AA256" s="7">
        <f>'gerç aylık-tl'!$J$164</f>
        <v>77986436.730000004</v>
      </c>
      <c r="AB256" s="8"/>
      <c r="AC256" s="7">
        <f>'Bütçe aylık-TL'!$K$165</f>
        <v>40140276.797604002</v>
      </c>
      <c r="AD256" s="7">
        <f>'gerç aylık-tl'!$K$164</f>
        <v>0</v>
      </c>
      <c r="AE256" s="8"/>
      <c r="AF256" s="7">
        <f>'Bütçe aylık-TL'!$L$165</f>
        <v>83124994.016742006</v>
      </c>
      <c r="AG256" s="7">
        <f>'gerç aylık-tl'!$L$164</f>
        <v>0</v>
      </c>
      <c r="AH256" s="8"/>
      <c r="AI256" s="7">
        <f>'Bütçe aylık-TL'!$M$165</f>
        <v>98478936.128601</v>
      </c>
      <c r="AJ256" s="7">
        <f>'gerç aylık-tl'!$M$164</f>
        <v>0</v>
      </c>
      <c r="AK256" s="8"/>
      <c r="AL256" s="21">
        <f t="shared" si="121"/>
        <v>7240170.6658030003</v>
      </c>
      <c r="AM256" s="22">
        <f t="shared" si="122"/>
        <v>0.10233996885762253</v>
      </c>
      <c r="AO256" s="44">
        <f t="shared" si="123"/>
        <v>70746266.064197004</v>
      </c>
      <c r="AP256" s="44">
        <f t="shared" si="123"/>
        <v>77986436.730000004</v>
      </c>
    </row>
    <row r="257" spans="1:42" ht="15.5">
      <c r="A257" s="26" t="s">
        <v>15</v>
      </c>
      <c r="B257" s="7">
        <f>'Bütçe aylık-TL'!$B$166</f>
        <v>229829241.09510526</v>
      </c>
      <c r="C257" s="7">
        <f>'gerç aylık-tl'!$B$165</f>
        <v>304031090.46221995</v>
      </c>
      <c r="D257" s="7"/>
      <c r="E257" s="7">
        <f>'Bütçe aylık-TL'!$C$166</f>
        <v>246316674.76791129</v>
      </c>
      <c r="F257" s="7">
        <f>'gerç aylık-tl'!$C$165</f>
        <v>194547843.52432001</v>
      </c>
      <c r="G257" s="7"/>
      <c r="H257" s="7">
        <f>'Bütçe aylık-TL'!$D$166</f>
        <v>339885502.0925619</v>
      </c>
      <c r="I257" s="7">
        <f>'gerç aylık-tl'!$D$165</f>
        <v>151282224.50747401</v>
      </c>
      <c r="J257" s="7"/>
      <c r="K257" s="7">
        <f>'Bütçe aylık-TL'!$E$166</f>
        <v>240021247.30540207</v>
      </c>
      <c r="L257" s="7">
        <f>'gerç aylık-tl'!$E$165</f>
        <v>228532585.85844204</v>
      </c>
      <c r="M257" s="7"/>
      <c r="N257" s="7">
        <f>'Bütçe aylık-TL'!$F$166</f>
        <v>265752219.36409521</v>
      </c>
      <c r="O257" s="7">
        <f>'gerç aylık-tl'!$F$165</f>
        <v>105647044.190622</v>
      </c>
      <c r="P257" s="7"/>
      <c r="Q257" s="7">
        <f>'Bütçe aylık-TL'!$G$166</f>
        <v>348598137.04223561</v>
      </c>
      <c r="R257" s="7">
        <f>'gerç aylık-tl'!$G$165</f>
        <v>154748303.38520199</v>
      </c>
      <c r="S257" s="7"/>
      <c r="T257" s="7">
        <f>'Bütçe aylık-TL'!$H$166</f>
        <v>396276291.52343291</v>
      </c>
      <c r="U257" s="7">
        <f>'gerç aylık-tl'!$H$165</f>
        <v>320371076.25997597</v>
      </c>
      <c r="V257" s="7"/>
      <c r="W257" s="7">
        <f>'Bütçe aylık-TL'!$I$166</f>
        <v>430068034.8904599</v>
      </c>
      <c r="X257" s="7">
        <f>'gerç aylık-tl'!$I$165</f>
        <v>349158849.71258199</v>
      </c>
      <c r="Y257" s="7"/>
      <c r="Z257" s="7">
        <f>'Bütçe aylık-TL'!$J$166</f>
        <v>578872513.69342554</v>
      </c>
      <c r="AA257" s="7">
        <f>'gerç aylık-tl'!$J$165</f>
        <v>395743272.01920003</v>
      </c>
      <c r="AB257" s="7"/>
      <c r="AC257" s="7">
        <f>'Bütçe aylık-TL'!$K$166</f>
        <v>644245099.09759963</v>
      </c>
      <c r="AD257" s="7">
        <f>'gerç aylık-tl'!$K$165</f>
        <v>0</v>
      </c>
      <c r="AE257" s="7"/>
      <c r="AF257" s="7">
        <f>'Bütçe aylık-TL'!$L$166</f>
        <v>745480753.44279742</v>
      </c>
      <c r="AG257" s="7">
        <f>'gerç aylık-tl'!$L$165</f>
        <v>0</v>
      </c>
      <c r="AH257" s="7"/>
      <c r="AI257" s="7">
        <f>'Bütçe aylık-TL'!$M$166</f>
        <v>675610826.19287252</v>
      </c>
      <c r="AJ257" s="7">
        <f>'gerç aylık-tl'!$M$165</f>
        <v>0</v>
      </c>
      <c r="AK257" s="7"/>
      <c r="AL257" s="21">
        <f t="shared" si="121"/>
        <v>-183129241.67422551</v>
      </c>
      <c r="AM257" s="22">
        <f t="shared" si="122"/>
        <v>-0.31635504768708345</v>
      </c>
      <c r="AO257" s="44">
        <f t="shared" si="123"/>
        <v>578872513.69342554</v>
      </c>
      <c r="AP257" s="44">
        <f t="shared" si="123"/>
        <v>395743272.01920003</v>
      </c>
    </row>
    <row r="258" spans="1:42" s="1" customFormat="1" ht="15.5">
      <c r="A258" s="26" t="s">
        <v>16</v>
      </c>
      <c r="B258" s="7">
        <f>'Bütçe aylık-TL'!$B$167</f>
        <v>610140563.02907884</v>
      </c>
      <c r="C258" s="7">
        <f>'gerç aylık-tl'!$B$166</f>
        <v>579578982.95444393</v>
      </c>
      <c r="D258" s="8"/>
      <c r="E258" s="7">
        <f>'Bütçe aylık-TL'!$C$167</f>
        <v>561810520.91713905</v>
      </c>
      <c r="F258" s="7">
        <f>'gerç aylık-tl'!$C$166</f>
        <v>749169574.14199984</v>
      </c>
      <c r="G258" s="8"/>
      <c r="H258" s="7">
        <f>'Bütçe aylık-TL'!$D$167</f>
        <v>731610458.77264738</v>
      </c>
      <c r="I258" s="7">
        <f>'gerç aylık-tl'!$D$166</f>
        <v>668411117.67580497</v>
      </c>
      <c r="J258" s="8"/>
      <c r="K258" s="7">
        <f>'Bütçe aylık-TL'!$E$167</f>
        <v>673173638.90124059</v>
      </c>
      <c r="L258" s="7">
        <f>'gerç aylık-tl'!$E$166</f>
        <v>603623727.76169801</v>
      </c>
      <c r="M258" s="8"/>
      <c r="N258" s="7">
        <f>'Bütçe aylık-TL'!$F$167</f>
        <v>750118900.36499453</v>
      </c>
      <c r="O258" s="7">
        <f>'gerç aylık-tl'!$F$166</f>
        <v>660674622.86379409</v>
      </c>
      <c r="P258" s="8"/>
      <c r="Q258" s="7">
        <f>'Bütçe aylık-TL'!$G$167</f>
        <v>924792908.39232361</v>
      </c>
      <c r="R258" s="7">
        <f>'gerç aylık-tl'!$G$166</f>
        <v>886026375.09128213</v>
      </c>
      <c r="S258" s="8"/>
      <c r="T258" s="7">
        <f>'Bütçe aylık-TL'!$H$167</f>
        <v>936198840.56551373</v>
      </c>
      <c r="U258" s="7">
        <f>'gerç aylık-tl'!$H$166</f>
        <v>595580822.31127203</v>
      </c>
      <c r="V258" s="8"/>
      <c r="W258" s="7">
        <f>'Bütçe aylık-TL'!$I$167</f>
        <v>1004383479.8128959</v>
      </c>
      <c r="X258" s="7">
        <f>'gerç aylık-tl'!$I$166</f>
        <v>541722449.92047</v>
      </c>
      <c r="Y258" s="8"/>
      <c r="Z258" s="7">
        <f>'Bütçe aylık-TL'!$J$167</f>
        <v>1174176373.056483</v>
      </c>
      <c r="AA258" s="7">
        <f>'gerç aylık-tl'!$J$166</f>
        <v>694664872.79602706</v>
      </c>
      <c r="AB258" s="8"/>
      <c r="AC258" s="7">
        <f>'Bütçe aylık-TL'!$K$167</f>
        <v>1084568446.7995081</v>
      </c>
      <c r="AD258" s="7">
        <f>'gerç aylık-tl'!$K$166</f>
        <v>0</v>
      </c>
      <c r="AE258" s="8"/>
      <c r="AF258" s="7">
        <f>'Bütçe aylık-TL'!$L$167</f>
        <v>908020937.87092865</v>
      </c>
      <c r="AG258" s="7">
        <f>'gerç aylık-tl'!$L$166</f>
        <v>0</v>
      </c>
      <c r="AH258" s="8"/>
      <c r="AI258" s="7">
        <f>'Bütçe aylık-TL'!$M$167</f>
        <v>1219921003.9244156</v>
      </c>
      <c r="AJ258" s="7">
        <f>'gerç aylık-tl'!$M$166</f>
        <v>0</v>
      </c>
      <c r="AK258" s="8"/>
      <c r="AL258" s="21">
        <f t="shared" si="121"/>
        <v>-479511500.26045597</v>
      </c>
      <c r="AM258" s="22">
        <f t="shared" si="122"/>
        <v>-0.40838115232402938</v>
      </c>
      <c r="AO258" s="44">
        <f t="shared" si="123"/>
        <v>1174176373.056483</v>
      </c>
      <c r="AP258" s="44">
        <f t="shared" si="123"/>
        <v>694664872.79602706</v>
      </c>
    </row>
    <row r="259" spans="1:42" s="1" customFormat="1" ht="15.5">
      <c r="A259" s="26" t="s">
        <v>17</v>
      </c>
      <c r="B259" s="7">
        <f>'Bütçe aylık-TL'!$B$168</f>
        <v>394182819.98521513</v>
      </c>
      <c r="C259" s="7">
        <f>'gerç aylık-tl'!$B$167</f>
        <v>303932561.47016394</v>
      </c>
      <c r="D259" s="8"/>
      <c r="E259" s="7">
        <f>'Bütçe aylık-TL'!$C$168</f>
        <v>302881755.40960282</v>
      </c>
      <c r="F259" s="7">
        <f>'gerç aylık-tl'!$C$167</f>
        <v>131377279.15927999</v>
      </c>
      <c r="G259" s="8"/>
      <c r="H259" s="7">
        <f>'Bütçe aylık-TL'!$D$168</f>
        <v>444661118.19737297</v>
      </c>
      <c r="I259" s="7">
        <f>'gerç aylık-tl'!$D$167</f>
        <v>716797254.73865712</v>
      </c>
      <c r="J259" s="8"/>
      <c r="K259" s="7">
        <f>'Bütçe aylık-TL'!$E$168</f>
        <v>250121763.0212836</v>
      </c>
      <c r="L259" s="7">
        <f>'gerç aylık-tl'!$E$167</f>
        <v>518704061.87340409</v>
      </c>
      <c r="M259" s="8"/>
      <c r="N259" s="7">
        <f>'Bütçe aylık-TL'!$F$168</f>
        <v>315457000.10002583</v>
      </c>
      <c r="O259" s="7">
        <f>'gerç aylık-tl'!$F$167</f>
        <v>362613612.47476202</v>
      </c>
      <c r="P259" s="8"/>
      <c r="Q259" s="7">
        <f>'Bütçe aylık-TL'!$G$168</f>
        <v>548719643.09907067</v>
      </c>
      <c r="R259" s="7">
        <f>'gerç aylık-tl'!$G$167</f>
        <v>620878717.20519805</v>
      </c>
      <c r="S259" s="8"/>
      <c r="T259" s="7">
        <f>'Bütçe aylık-TL'!$H$168</f>
        <v>429716652.50231838</v>
      </c>
      <c r="U259" s="7">
        <f>'gerç aylık-tl'!$H$167</f>
        <v>552148734.51754808</v>
      </c>
      <c r="V259" s="8"/>
      <c r="W259" s="7">
        <f>'Bütçe aylık-TL'!$I$168</f>
        <v>381214197.86719847</v>
      </c>
      <c r="X259" s="7">
        <f>'gerç aylık-tl'!$I$167</f>
        <v>538551062.20915997</v>
      </c>
      <c r="Y259" s="8"/>
      <c r="Z259" s="7">
        <f>'Bütçe aylık-TL'!$J$168</f>
        <v>596526040.80759144</v>
      </c>
      <c r="AA259" s="7">
        <f>'gerç aylık-tl'!$J$167</f>
        <v>582212616.68928409</v>
      </c>
      <c r="AB259" s="8"/>
      <c r="AC259" s="7">
        <f>'Bütçe aylık-TL'!$K$168</f>
        <v>408200210.25200796</v>
      </c>
      <c r="AD259" s="7">
        <f>'gerç aylık-tl'!$K$167</f>
        <v>0</v>
      </c>
      <c r="AE259" s="8"/>
      <c r="AF259" s="7">
        <f>'Bütçe aylık-TL'!$L$168</f>
        <v>693596685.99725556</v>
      </c>
      <c r="AG259" s="7">
        <f>'gerç aylık-tl'!$L$167</f>
        <v>0</v>
      </c>
      <c r="AH259" s="8"/>
      <c r="AI259" s="7">
        <f>'Bütçe aylık-TL'!$M$168</f>
        <v>998136085.80753386</v>
      </c>
      <c r="AJ259" s="7">
        <f>'gerç aylık-tl'!$M$167</f>
        <v>0</v>
      </c>
      <c r="AK259" s="8"/>
      <c r="AL259" s="21">
        <f t="shared" si="121"/>
        <v>-14313424.118307352</v>
      </c>
      <c r="AM259" s="22">
        <f t="shared" si="122"/>
        <v>-2.3994634163714834E-2</v>
      </c>
      <c r="AO259" s="44">
        <f t="shared" si="123"/>
        <v>596526040.80759144</v>
      </c>
      <c r="AP259" s="44">
        <f t="shared" si="123"/>
        <v>582212616.68928409</v>
      </c>
    </row>
    <row r="260" spans="1:42" s="1" customFormat="1" ht="15.5">
      <c r="A260" s="26"/>
      <c r="B260" s="7"/>
      <c r="C260" s="8"/>
      <c r="D260" s="8"/>
      <c r="E260" s="7"/>
      <c r="F260" s="8"/>
      <c r="G260" s="8"/>
      <c r="H260" s="7"/>
      <c r="I260" s="8"/>
      <c r="J260" s="8"/>
      <c r="K260" s="7"/>
      <c r="L260" s="8"/>
      <c r="M260" s="8"/>
      <c r="N260" s="7"/>
      <c r="O260" s="8"/>
      <c r="P260" s="8"/>
      <c r="Q260" s="7"/>
      <c r="R260" s="8"/>
      <c r="S260" s="8"/>
      <c r="T260" s="7"/>
      <c r="U260" s="8"/>
      <c r="V260" s="8"/>
      <c r="W260" s="7"/>
      <c r="X260" s="8"/>
      <c r="Y260" s="8"/>
      <c r="Z260" s="7"/>
      <c r="AA260" s="8"/>
      <c r="AB260" s="8"/>
      <c r="AC260" s="7"/>
      <c r="AD260" s="8"/>
      <c r="AE260" s="8"/>
      <c r="AF260" s="7"/>
      <c r="AG260" s="8"/>
      <c r="AH260" s="8"/>
      <c r="AI260" s="7"/>
      <c r="AJ260" s="8"/>
      <c r="AK260" s="8"/>
      <c r="AL260" s="15"/>
      <c r="AM260" s="16"/>
      <c r="AO260" s="44"/>
      <c r="AP260" s="44"/>
    </row>
    <row r="261" spans="1:42" s="1" customFormat="1" ht="15.5">
      <c r="A261" s="26"/>
      <c r="B261" s="7"/>
      <c r="C261" s="8"/>
      <c r="D261" s="8"/>
      <c r="E261" s="7"/>
      <c r="F261" s="8"/>
      <c r="G261" s="8"/>
      <c r="H261" s="7"/>
      <c r="I261" s="8"/>
      <c r="J261" s="8"/>
      <c r="K261" s="7"/>
      <c r="L261" s="8"/>
      <c r="M261" s="8"/>
      <c r="N261" s="7"/>
      <c r="O261" s="8"/>
      <c r="P261" s="8"/>
      <c r="Q261" s="7"/>
      <c r="R261" s="8"/>
      <c r="S261" s="8"/>
      <c r="T261" s="7"/>
      <c r="U261" s="8"/>
      <c r="V261" s="8"/>
      <c r="W261" s="7"/>
      <c r="X261" s="8"/>
      <c r="Y261" s="8"/>
      <c r="Z261" s="7"/>
      <c r="AA261" s="8"/>
      <c r="AB261" s="8"/>
      <c r="AC261" s="7"/>
      <c r="AD261" s="8"/>
      <c r="AE261" s="8"/>
      <c r="AF261" s="7"/>
      <c r="AG261" s="8"/>
      <c r="AH261" s="8"/>
      <c r="AI261" s="7"/>
      <c r="AJ261" s="8"/>
      <c r="AK261" s="8"/>
      <c r="AL261" s="15"/>
      <c r="AM261" s="16"/>
      <c r="AO261" s="44"/>
      <c r="AP261" s="44"/>
    </row>
    <row r="262" spans="1:42" s="44" customFormat="1" ht="15.5">
      <c r="A262" s="31" t="s">
        <v>88</v>
      </c>
      <c r="B262" s="32">
        <f>B249-B236</f>
        <v>801244325.73701024</v>
      </c>
      <c r="C262" s="32">
        <f>C249-C236</f>
        <v>791426024.85079408</v>
      </c>
      <c r="D262" s="18"/>
      <c r="E262" s="32">
        <f>E249-E236</f>
        <v>334560909.69816422</v>
      </c>
      <c r="F262" s="32">
        <f>F249-F236</f>
        <v>678886768.95100594</v>
      </c>
      <c r="G262" s="18"/>
      <c r="H262" s="32">
        <f>H249-H236</f>
        <v>363045443.29797304</v>
      </c>
      <c r="I262" s="32">
        <f>I249-I236</f>
        <v>893576570.95771933</v>
      </c>
      <c r="J262" s="18"/>
      <c r="K262" s="32">
        <f>K249-K236</f>
        <v>204521563.64873838</v>
      </c>
      <c r="L262" s="32">
        <f>L249-L236</f>
        <v>301489026.20581651</v>
      </c>
      <c r="M262" s="7"/>
      <c r="N262" s="32">
        <f>N249-N236</f>
        <v>305882074.61982906</v>
      </c>
      <c r="O262" s="32">
        <f>O249-O236</f>
        <v>129510835.01682019</v>
      </c>
      <c r="P262" s="18"/>
      <c r="Q262" s="32">
        <f>Q249-Q236</f>
        <v>484066179.06909144</v>
      </c>
      <c r="R262" s="32">
        <f>R249-R236</f>
        <v>206133384.36404395</v>
      </c>
      <c r="S262" s="18"/>
      <c r="T262" s="32">
        <f>T249-T236</f>
        <v>374646576.0286963</v>
      </c>
      <c r="U262" s="32">
        <f>U249-U236</f>
        <v>237755234.14751649</v>
      </c>
      <c r="V262" s="18"/>
      <c r="W262" s="32">
        <f>W249-W236</f>
        <v>452441810.23571646</v>
      </c>
      <c r="X262" s="32">
        <f>X249-X236</f>
        <v>296797529.63330674</v>
      </c>
      <c r="Y262" s="18"/>
      <c r="Z262" s="32">
        <f>Z249-Z236</f>
        <v>628846583.61269724</v>
      </c>
      <c r="AA262" s="32">
        <f>AA249-AA236</f>
        <v>218973623.09312868</v>
      </c>
      <c r="AB262" s="18"/>
      <c r="AC262" s="32">
        <f>AC249-AC236</f>
        <v>561268378.56448507</v>
      </c>
      <c r="AD262" s="32">
        <f>AD249-AD236</f>
        <v>0</v>
      </c>
      <c r="AE262" s="18"/>
      <c r="AF262" s="32">
        <f>AF249-AF236</f>
        <v>748627406.42531431</v>
      </c>
      <c r="AG262" s="32">
        <f>AG249-AG236</f>
        <v>0</v>
      </c>
      <c r="AH262" s="18"/>
      <c r="AI262" s="32">
        <f>AI249-AI236</f>
        <v>961308922.63130605</v>
      </c>
      <c r="AJ262" s="32">
        <f>AJ249-AJ236</f>
        <v>0</v>
      </c>
      <c r="AK262" s="18"/>
      <c r="AL262" s="33">
        <f>AP262-AO262</f>
        <v>-409872960.51956856</v>
      </c>
      <c r="AM262" s="34">
        <f>AP262/AO262-1</f>
        <v>-0.65178530217158148</v>
      </c>
      <c r="AO262" s="44">
        <f>IF($A$1=$B$1,B262,IF($A$1=$E$1,E262,IF($A$1=$H$1,H262,IF($A$1=$K$1,K262,IF($A$1=$N$1,N262,IF($A$1=$Q$1,Q262,IF($A$1=$T$1,T262,IF($A$1=$W$1,W262,IF($A$1=$Z$1,Z262,IF($A$1=$AC$1,AC262,IF($A$1=$AF$1,AF262,IF($A$1=$AI$1,AI262))))))))))))</f>
        <v>628846583.61269724</v>
      </c>
      <c r="AP262" s="44">
        <f>IF($A$1=$B$1,C262,IF($A$1=$E$1,F262,IF($A$1=$H$1,I262,IF($A$1=$K$1,L262,IF($A$1=$N$1,O262,IF($A$1=$Q$1,R262,IF($A$1=$T$1,U262,IF($A$1=$W$1,X262,IF($A$1=$Z$1,AA262,IF($A$1=$AC$1,AD262,IF($A$1=$AF$1,AG262,IF($A$1=$AI$1,AJ262))))))))))))</f>
        <v>218973623.09312868</v>
      </c>
    </row>
    <row r="263" spans="1:42" s="13" customFormat="1" ht="15.5">
      <c r="A263" s="27"/>
      <c r="B263" s="30"/>
      <c r="C263" s="30" t="str">
        <f>IFERROR((C220/#REF!),"")</f>
        <v/>
      </c>
      <c r="D263" s="41"/>
      <c r="E263" s="30"/>
      <c r="F263" s="30" t="str">
        <f>IFERROR((F220/#REF!),"")</f>
        <v/>
      </c>
      <c r="G263" s="41"/>
      <c r="H263" s="30"/>
      <c r="I263" s="30" t="str">
        <f>IFERROR((I220/#REF!),"")</f>
        <v/>
      </c>
      <c r="J263" s="41"/>
      <c r="K263" s="30"/>
      <c r="L263" s="30" t="str">
        <f>IFERROR((L220/#REF!),"")</f>
        <v/>
      </c>
      <c r="M263" s="41"/>
      <c r="N263" s="30"/>
      <c r="O263" s="30" t="str">
        <f>IFERROR((O220/#REF!),"")</f>
        <v/>
      </c>
      <c r="P263" s="41"/>
      <c r="Q263" s="30"/>
      <c r="R263" s="30" t="str">
        <f>IFERROR((R220/#REF!),"")</f>
        <v/>
      </c>
      <c r="S263" s="41"/>
      <c r="T263" s="30"/>
      <c r="U263" s="30" t="str">
        <f>IFERROR((U220/#REF!),"")</f>
        <v/>
      </c>
      <c r="V263" s="41"/>
      <c r="W263" s="30"/>
      <c r="X263" s="30" t="str">
        <f>IFERROR((X220/#REF!),"")</f>
        <v/>
      </c>
      <c r="Y263" s="41"/>
      <c r="Z263" s="30"/>
      <c r="AA263" s="30" t="str">
        <f>IFERROR((AA220/#REF!),"")</f>
        <v/>
      </c>
      <c r="AB263" s="41"/>
      <c r="AC263" s="30"/>
      <c r="AD263" s="30" t="str">
        <f>IFERROR((AD220/#REF!),"")</f>
        <v/>
      </c>
      <c r="AE263" s="41"/>
      <c r="AF263" s="30"/>
      <c r="AG263" s="30" t="str">
        <f>IFERROR((AG220/#REF!),"")</f>
        <v/>
      </c>
      <c r="AH263" s="41"/>
      <c r="AI263" s="30"/>
      <c r="AJ263" s="30" t="str">
        <f>IFERROR((AJ220/#REF!),"")</f>
        <v/>
      </c>
      <c r="AK263" s="41"/>
      <c r="AL263" s="15"/>
      <c r="AM263" s="22"/>
      <c r="AO263" s="44">
        <f>IF($A$1=$B$1,B263,IF($A$1=$E$1,E263,IF($A$1=$H$1,H263,IF($A$1=$K$1,K263,IF($A$1=$N$1,N263,IF($A$1=$Q$1,Q263,IF($A$1=$T$1,T263,IF($A$1=$W$1,W263,IF($A$1=$Z$1,Z263,IF($A$1=$AC$1,AC263,IF($A$1=$AF$1,AF263,IF($A$1=$AI$1,AI263))))))))))))</f>
        <v>0</v>
      </c>
      <c r="AP263" s="44" t="str">
        <f>IF($A$1=$B$1,C263,IF($A$1=$E$1,F263,IF($A$1=$H$1,I263,IF($A$1=$K$1,L263,IF($A$1=$N$1,O263,IF($A$1=$Q$1,R263,IF($A$1=$T$1,U263,IF($A$1=$W$1,X263,IF($A$1=$Z$1,AA263,IF($A$1=$AC$1,AD263,IF($A$1=$AF$1,AG263,IF($A$1=$AI$1,AJ263))))))))))))</f>
        <v/>
      </c>
    </row>
    <row r="264" spans="1:42" s="49" customFormat="1" ht="17">
      <c r="A264" s="47" t="s">
        <v>89</v>
      </c>
      <c r="B264" s="413"/>
      <c r="C264" s="413"/>
      <c r="D264" s="413"/>
      <c r="E264" s="413"/>
      <c r="F264" s="413"/>
      <c r="G264" s="413"/>
      <c r="H264" s="413"/>
      <c r="I264" s="413"/>
      <c r="J264" s="413"/>
      <c r="K264" s="413"/>
      <c r="L264" s="413"/>
      <c r="M264" s="413"/>
      <c r="N264" s="413"/>
      <c r="O264" s="413"/>
      <c r="P264" s="413"/>
      <c r="Q264" s="413"/>
      <c r="R264" s="413"/>
      <c r="S264" s="413"/>
      <c r="T264" s="413"/>
      <c r="U264" s="413"/>
      <c r="V264" s="413"/>
      <c r="W264" s="413"/>
      <c r="X264" s="413"/>
      <c r="Y264" s="413"/>
      <c r="Z264" s="413"/>
      <c r="AA264" s="413"/>
      <c r="AB264" s="413"/>
      <c r="AC264" s="413"/>
      <c r="AD264" s="413"/>
      <c r="AE264" s="413"/>
      <c r="AF264" s="413"/>
      <c r="AG264" s="413"/>
      <c r="AH264" s="413"/>
      <c r="AI264" s="413"/>
      <c r="AJ264" s="413"/>
      <c r="AK264" s="413"/>
      <c r="AL264" s="413"/>
      <c r="AM264" s="48"/>
    </row>
    <row r="265" spans="1:42" ht="15.5">
      <c r="A265" s="26" t="s">
        <v>10</v>
      </c>
      <c r="B265" s="7">
        <f>B252-B239</f>
        <v>899592378.16878104</v>
      </c>
      <c r="C265" s="7">
        <f>C252-C239</f>
        <v>930276247.77540696</v>
      </c>
      <c r="D265" s="7"/>
      <c r="E265" s="7">
        <f>E252-E239</f>
        <v>516913006.39238799</v>
      </c>
      <c r="F265" s="7">
        <f>F252-F239</f>
        <v>972281280.50488806</v>
      </c>
      <c r="G265" s="7"/>
      <c r="H265" s="7">
        <f>H252-H239</f>
        <v>410864907.65035498</v>
      </c>
      <c r="I265" s="7">
        <f>I252-I239</f>
        <v>961848669.04997694</v>
      </c>
      <c r="J265" s="7"/>
      <c r="K265" s="7">
        <f>K252-K239</f>
        <v>408281784.11706603</v>
      </c>
      <c r="L265" s="7">
        <f>L252-L239</f>
        <v>659356234.62218499</v>
      </c>
      <c r="M265" s="7"/>
      <c r="N265" s="7">
        <f>N252-N239</f>
        <v>432667461.78618199</v>
      </c>
      <c r="O265" s="7">
        <f>O252-O239</f>
        <v>702362911.49849403</v>
      </c>
      <c r="P265" s="7"/>
      <c r="Q265" s="7">
        <f>Q252-Q239</f>
        <v>395637285.98241401</v>
      </c>
      <c r="R265" s="7">
        <f>R252-R239</f>
        <v>721975936.349998</v>
      </c>
      <c r="S265" s="7"/>
      <c r="T265" s="7">
        <f>T252-T239</f>
        <v>401879964.25948399</v>
      </c>
      <c r="U265" s="7">
        <f>U252-U239</f>
        <v>870288240.31000495</v>
      </c>
      <c r="V265" s="7"/>
      <c r="W265" s="7">
        <f>W252-W239</f>
        <v>430324209.29405397</v>
      </c>
      <c r="X265" s="7">
        <f>X252-X239</f>
        <v>914372909.32867205</v>
      </c>
      <c r="Y265" s="7"/>
      <c r="Z265" s="7">
        <f>Z252-Z239</f>
        <v>427699437.96364897</v>
      </c>
      <c r="AA265" s="7">
        <f>AA252-AA239</f>
        <v>831475506.56474304</v>
      </c>
      <c r="AB265" s="7"/>
      <c r="AC265" s="7">
        <f>AC252-AC239</f>
        <v>435825438.22600299</v>
      </c>
      <c r="AD265" s="7">
        <f>AD252-AD239</f>
        <v>0</v>
      </c>
      <c r="AE265" s="7"/>
      <c r="AF265" s="7">
        <f>AF252-AF239</f>
        <v>510981405.92685997</v>
      </c>
      <c r="AG265" s="7">
        <f>AG252-AG239</f>
        <v>0</v>
      </c>
      <c r="AH265" s="7"/>
      <c r="AI265" s="7">
        <f>AI252-AI239</f>
        <v>481003047.897111</v>
      </c>
      <c r="AJ265" s="7">
        <f>AJ252-AJ239</f>
        <v>0</v>
      </c>
      <c r="AK265" s="7"/>
      <c r="AL265" s="21">
        <f t="shared" ref="AL265:AL272" si="124">AP265-AO265</f>
        <v>403776068.60109407</v>
      </c>
      <c r="AM265" s="22">
        <f t="shared" ref="AM265:AM272" si="125">AP265/AO265-1</f>
        <v>0.94406499696034629</v>
      </c>
      <c r="AO265" s="44">
        <f t="shared" ref="AO265:AP272" si="126">IF($A$1=$B$1,B265,IF($A$1=$E$1,E265,IF($A$1=$H$1,H265,IF($A$1=$K$1,K265,IF($A$1=$N$1,N265,IF($A$1=$Q$1,Q265,IF($A$1=$T$1,T265,IF($A$1=$W$1,W265,IF($A$1=$Z$1,Z265,IF($A$1=$AC$1,AC265,IF($A$1=$AF$1,AF265,IF($A$1=$AI$1,AI265))))))))))))</f>
        <v>427699437.96364897</v>
      </c>
      <c r="AP265" s="44">
        <f t="shared" si="126"/>
        <v>831475506.56474304</v>
      </c>
    </row>
    <row r="266" spans="1:42" ht="15.5">
      <c r="A266" s="26" t="s">
        <v>11</v>
      </c>
      <c r="B266" s="7">
        <f t="shared" ref="B266:C272" si="127">B253-B240</f>
        <v>-73494393.261593997</v>
      </c>
      <c r="C266" s="7">
        <f t="shared" si="127"/>
        <v>-59170003.850000001</v>
      </c>
      <c r="D266" s="7"/>
      <c r="E266" s="7">
        <f t="shared" ref="E266:F272" si="128">E253-E240</f>
        <v>-78842994.734060004</v>
      </c>
      <c r="F266" s="7">
        <f t="shared" si="128"/>
        <v>-66361876.350000001</v>
      </c>
      <c r="G266" s="7"/>
      <c r="H266" s="7">
        <f t="shared" ref="H266:I272" si="129">H253-H240</f>
        <v>-77967123.918147996</v>
      </c>
      <c r="I266" s="7">
        <f t="shared" si="129"/>
        <v>-70306687.060000002</v>
      </c>
      <c r="J266" s="7"/>
      <c r="K266" s="7">
        <f t="shared" ref="K266:L272" si="130">K253-K240</f>
        <v>-77204900.367650002</v>
      </c>
      <c r="L266" s="7">
        <f t="shared" si="130"/>
        <v>-248513912.29999998</v>
      </c>
      <c r="M266" s="7"/>
      <c r="N266" s="7">
        <f t="shared" ref="N266:O272" si="131">N253-N240</f>
        <v>-71839040.116971001</v>
      </c>
      <c r="O266" s="7">
        <f t="shared" si="131"/>
        <v>-278500624.69499999</v>
      </c>
      <c r="P266" s="7"/>
      <c r="Q266" s="7">
        <f t="shared" ref="Q266:R272" si="132">Q253-Q240</f>
        <v>-61603386.180188999</v>
      </c>
      <c r="R266" s="7">
        <f t="shared" si="132"/>
        <v>-292119315.32999998</v>
      </c>
      <c r="S266" s="7"/>
      <c r="T266" s="7">
        <f t="shared" ref="T266:U272" si="133">T253-T240</f>
        <v>-54569957.480152003</v>
      </c>
      <c r="U266" s="7">
        <f t="shared" si="133"/>
        <v>-291143544.09500003</v>
      </c>
      <c r="V266" s="7"/>
      <c r="W266" s="7">
        <f t="shared" ref="W266:X272" si="134">W253-W240</f>
        <v>-41389386.672803</v>
      </c>
      <c r="X266" s="7">
        <f t="shared" si="134"/>
        <v>-299644175.3175</v>
      </c>
      <c r="Y266" s="7"/>
      <c r="Z266" s="7">
        <f t="shared" ref="Z266:AA272" si="135">Z253-Z240</f>
        <v>-36035239.066449001</v>
      </c>
      <c r="AA266" s="7">
        <f t="shared" si="135"/>
        <v>-310787076.09999996</v>
      </c>
      <c r="AB266" s="7"/>
      <c r="AC266" s="7">
        <f t="shared" ref="AC266:AD272" si="136">AC253-AC240</f>
        <v>-32525284.477011003</v>
      </c>
      <c r="AD266" s="7">
        <f t="shared" si="136"/>
        <v>0</v>
      </c>
      <c r="AE266" s="7"/>
      <c r="AF266" s="7">
        <f t="shared" ref="AF266:AG272" si="137">AF253-AF240</f>
        <v>-35114404.012774006</v>
      </c>
      <c r="AG266" s="7">
        <f t="shared" si="137"/>
        <v>0</v>
      </c>
      <c r="AH266" s="7"/>
      <c r="AI266" s="7">
        <f t="shared" ref="AI266:AJ272" si="138">AI253-AI240</f>
        <v>-32374126.826203</v>
      </c>
      <c r="AJ266" s="7">
        <f t="shared" si="138"/>
        <v>0</v>
      </c>
      <c r="AK266" s="7"/>
      <c r="AL266" s="21">
        <f t="shared" si="124"/>
        <v>-274751837.03355098</v>
      </c>
      <c r="AM266" s="22">
        <f t="shared" si="125"/>
        <v>7.6245321011165874</v>
      </c>
      <c r="AO266" s="44">
        <f t="shared" si="126"/>
        <v>-36035239.066449001</v>
      </c>
      <c r="AP266" s="44">
        <f t="shared" si="126"/>
        <v>-310787076.09999996</v>
      </c>
    </row>
    <row r="267" spans="1:42" ht="15.5">
      <c r="A267" s="26" t="s">
        <v>12</v>
      </c>
      <c r="B267" s="7">
        <f t="shared" si="127"/>
        <v>-12979245.840063</v>
      </c>
      <c r="C267" s="7">
        <f t="shared" si="127"/>
        <v>5464283</v>
      </c>
      <c r="D267" s="7"/>
      <c r="E267" s="7">
        <f t="shared" si="128"/>
        <v>-26258451.686278999</v>
      </c>
      <c r="F267" s="7">
        <f t="shared" si="128"/>
        <v>-4690393.7111060005</v>
      </c>
      <c r="G267" s="7"/>
      <c r="H267" s="7">
        <f t="shared" si="129"/>
        <v>-20609756.273012999</v>
      </c>
      <c r="I267" s="7">
        <f t="shared" si="129"/>
        <v>9147816</v>
      </c>
      <c r="J267" s="7"/>
      <c r="K267" s="7">
        <f t="shared" si="130"/>
        <v>-23781473.669255</v>
      </c>
      <c r="L267" s="7">
        <f t="shared" si="130"/>
        <v>-9720402.1671660002</v>
      </c>
      <c r="M267" s="7"/>
      <c r="N267" s="7">
        <f t="shared" si="131"/>
        <v>-18298935.109099001</v>
      </c>
      <c r="O267" s="7">
        <f t="shared" si="131"/>
        <v>-13209671.378265001</v>
      </c>
      <c r="P267" s="7"/>
      <c r="Q267" s="7">
        <f t="shared" si="132"/>
        <v>-14459322.732686</v>
      </c>
      <c r="R267" s="7">
        <f t="shared" si="132"/>
        <v>-9823419.0051470008</v>
      </c>
      <c r="S267" s="7"/>
      <c r="T267" s="7">
        <f t="shared" si="133"/>
        <v>-12615089.223751999</v>
      </c>
      <c r="U267" s="7">
        <f t="shared" si="133"/>
        <v>-21082354.092687</v>
      </c>
      <c r="V267" s="7"/>
      <c r="W267" s="7">
        <f t="shared" si="134"/>
        <v>-18225210.721012998</v>
      </c>
      <c r="X267" s="7">
        <f t="shared" si="134"/>
        <v>-10053723.876430001</v>
      </c>
      <c r="Y267" s="7"/>
      <c r="Z267" s="7">
        <f t="shared" si="135"/>
        <v>-12032397.13435</v>
      </c>
      <c r="AA267" s="7">
        <f t="shared" si="135"/>
        <v>-8674026</v>
      </c>
      <c r="AB267" s="7"/>
      <c r="AC267" s="7">
        <f t="shared" si="136"/>
        <v>-13726351.50193</v>
      </c>
      <c r="AD267" s="7">
        <f t="shared" si="136"/>
        <v>0</v>
      </c>
      <c r="AE267" s="7"/>
      <c r="AF267" s="7">
        <f t="shared" si="137"/>
        <v>-13861046.875618</v>
      </c>
      <c r="AG267" s="7">
        <f t="shared" si="137"/>
        <v>0</v>
      </c>
      <c r="AH267" s="7"/>
      <c r="AI267" s="7">
        <f t="shared" si="138"/>
        <v>-18404796.460680999</v>
      </c>
      <c r="AJ267" s="7">
        <f t="shared" si="138"/>
        <v>0</v>
      </c>
      <c r="AK267" s="7"/>
      <c r="AL267" s="21">
        <f t="shared" si="124"/>
        <v>3358371.1343499999</v>
      </c>
      <c r="AM267" s="22">
        <f t="shared" si="125"/>
        <v>-0.27911072888066057</v>
      </c>
      <c r="AO267" s="44">
        <f t="shared" si="126"/>
        <v>-12032397.13435</v>
      </c>
      <c r="AP267" s="44">
        <f t="shared" si="126"/>
        <v>-8674026</v>
      </c>
    </row>
    <row r="268" spans="1:42" ht="15.5">
      <c r="A268" s="26" t="s">
        <v>13</v>
      </c>
      <c r="B268" s="7">
        <f t="shared" si="127"/>
        <v>-1323945204.1910241</v>
      </c>
      <c r="C268" s="7">
        <f t="shared" si="127"/>
        <v>-1430023653.9633598</v>
      </c>
      <c r="D268" s="7"/>
      <c r="E268" s="7">
        <f t="shared" si="128"/>
        <v>-1376251201.0000861</v>
      </c>
      <c r="F268" s="7">
        <f t="shared" si="128"/>
        <v>-1655556508.0575402</v>
      </c>
      <c r="G268" s="7"/>
      <c r="H268" s="7">
        <f t="shared" si="129"/>
        <v>-1416587385.1766319</v>
      </c>
      <c r="I268" s="7">
        <f t="shared" si="129"/>
        <v>-1650467756.41258</v>
      </c>
      <c r="J268" s="7"/>
      <c r="K268" s="7">
        <f t="shared" si="130"/>
        <v>-1454418911.7018108</v>
      </c>
      <c r="L268" s="7">
        <f t="shared" si="130"/>
        <v>-1709429083.0065503</v>
      </c>
      <c r="M268" s="7"/>
      <c r="N268" s="7">
        <f t="shared" si="131"/>
        <v>-1454184763.9384968</v>
      </c>
      <c r="O268" s="7">
        <f t="shared" si="131"/>
        <v>-1918440019.1602001</v>
      </c>
      <c r="P268" s="7"/>
      <c r="Q268" s="7">
        <f t="shared" si="132"/>
        <v>-1474560522.4605799</v>
      </c>
      <c r="R268" s="7">
        <f t="shared" si="132"/>
        <v>-2259655042.0086999</v>
      </c>
      <c r="S268" s="7"/>
      <c r="T268" s="7">
        <f t="shared" si="133"/>
        <v>-1700974967.058275</v>
      </c>
      <c r="U268" s="7">
        <f t="shared" si="133"/>
        <v>-2380314239.2658</v>
      </c>
      <c r="V268" s="7"/>
      <c r="W268" s="7">
        <f t="shared" si="134"/>
        <v>-1670555640.1662309</v>
      </c>
      <c r="X268" s="7">
        <f t="shared" si="134"/>
        <v>-2314268773.5957999</v>
      </c>
      <c r="Y268" s="7"/>
      <c r="Z268" s="7">
        <f t="shared" si="135"/>
        <v>-1797284238.9970789</v>
      </c>
      <c r="AA268" s="7">
        <f t="shared" si="135"/>
        <v>-2483209151.663547</v>
      </c>
      <c r="AB268" s="7"/>
      <c r="AC268" s="7">
        <f t="shared" si="136"/>
        <v>-1747917592.153162</v>
      </c>
      <c r="AD268" s="7">
        <f t="shared" si="136"/>
        <v>0</v>
      </c>
      <c r="AE268" s="7"/>
      <c r="AF268" s="7">
        <f t="shared" si="137"/>
        <v>-1713669742.8606079</v>
      </c>
      <c r="AG268" s="7">
        <f t="shared" si="137"/>
        <v>0</v>
      </c>
      <c r="AH268" s="7"/>
      <c r="AI268" s="7">
        <f t="shared" si="138"/>
        <v>-1664434857.0007248</v>
      </c>
      <c r="AJ268" s="7">
        <f t="shared" si="138"/>
        <v>0</v>
      </c>
      <c r="AK268" s="7"/>
      <c r="AL268" s="21">
        <f t="shared" si="124"/>
        <v>-685924912.66646814</v>
      </c>
      <c r="AM268" s="22">
        <f t="shared" si="125"/>
        <v>0.38164520546245262</v>
      </c>
      <c r="AO268" s="44">
        <f t="shared" si="126"/>
        <v>-1797284238.9970789</v>
      </c>
      <c r="AP268" s="44">
        <f t="shared" si="126"/>
        <v>-2483209151.663547</v>
      </c>
    </row>
    <row r="269" spans="1:42" s="1" customFormat="1" ht="15.5">
      <c r="A269" s="26" t="s">
        <v>14</v>
      </c>
      <c r="B269" s="7">
        <f t="shared" si="127"/>
        <v>60106546.756340005</v>
      </c>
      <c r="C269" s="7">
        <f t="shared" si="127"/>
        <v>29619763.890000004</v>
      </c>
      <c r="D269" s="8"/>
      <c r="E269" s="7">
        <f t="shared" si="128"/>
        <v>72115624.220721006</v>
      </c>
      <c r="F269" s="7">
        <f t="shared" si="128"/>
        <v>24606207.5</v>
      </c>
      <c r="G269" s="8"/>
      <c r="H269" s="7">
        <f t="shared" si="129"/>
        <v>27323845.710997004</v>
      </c>
      <c r="I269" s="7">
        <f t="shared" si="129"/>
        <v>96194091.909999996</v>
      </c>
      <c r="J269" s="8"/>
      <c r="K269" s="7">
        <f t="shared" si="130"/>
        <v>34167646.395328</v>
      </c>
      <c r="L269" s="7">
        <f t="shared" si="130"/>
        <v>109486472.64</v>
      </c>
      <c r="M269" s="7"/>
      <c r="N269" s="7">
        <f t="shared" si="131"/>
        <v>31238114.258673999</v>
      </c>
      <c r="O269" s="7">
        <f t="shared" si="131"/>
        <v>86650288.609999985</v>
      </c>
      <c r="P269" s="8"/>
      <c r="Q269" s="7">
        <f t="shared" si="132"/>
        <v>63678838.925830998</v>
      </c>
      <c r="R269" s="7">
        <f t="shared" si="132"/>
        <v>63252102.200000003</v>
      </c>
      <c r="S269" s="8"/>
      <c r="T269" s="7">
        <f t="shared" si="133"/>
        <v>38662328.649801001</v>
      </c>
      <c r="U269" s="7">
        <f t="shared" si="133"/>
        <v>111445836.23999999</v>
      </c>
      <c r="V269" s="8"/>
      <c r="W269" s="7">
        <f t="shared" si="134"/>
        <v>59220423.434372999</v>
      </c>
      <c r="X269" s="7">
        <f t="shared" si="134"/>
        <v>115142710.5</v>
      </c>
      <c r="Y269" s="8"/>
      <c r="Z269" s="7">
        <f t="shared" si="135"/>
        <v>70746266.064197004</v>
      </c>
      <c r="AA269" s="7">
        <f t="shared" si="135"/>
        <v>77986436.730000004</v>
      </c>
      <c r="AB269" s="8"/>
      <c r="AC269" s="7">
        <f t="shared" si="136"/>
        <v>40140276.797604002</v>
      </c>
      <c r="AD269" s="7">
        <f t="shared" si="136"/>
        <v>0</v>
      </c>
      <c r="AE269" s="8"/>
      <c r="AF269" s="7">
        <f t="shared" si="137"/>
        <v>83124994.016742006</v>
      </c>
      <c r="AG269" s="7">
        <f t="shared" si="137"/>
        <v>0</v>
      </c>
      <c r="AH269" s="8"/>
      <c r="AI269" s="7">
        <f t="shared" si="138"/>
        <v>98478936.128601</v>
      </c>
      <c r="AJ269" s="7">
        <f t="shared" si="138"/>
        <v>0</v>
      </c>
      <c r="AK269" s="8"/>
      <c r="AL269" s="21">
        <f t="shared" si="124"/>
        <v>7240170.6658030003</v>
      </c>
      <c r="AM269" s="22">
        <f t="shared" si="125"/>
        <v>0.10233996885762253</v>
      </c>
      <c r="AO269" s="44">
        <f t="shared" si="126"/>
        <v>70746266.064197004</v>
      </c>
      <c r="AP269" s="44">
        <f t="shared" si="126"/>
        <v>77986436.730000004</v>
      </c>
    </row>
    <row r="270" spans="1:42" ht="15.5">
      <c r="A270" s="26" t="s">
        <v>15</v>
      </c>
      <c r="B270" s="7">
        <f t="shared" si="127"/>
        <v>229829241.09510526</v>
      </c>
      <c r="C270" s="7">
        <f t="shared" si="127"/>
        <v>304031090.46221995</v>
      </c>
      <c r="D270" s="7"/>
      <c r="E270" s="7">
        <f t="shared" si="128"/>
        <v>246316674.76791129</v>
      </c>
      <c r="F270" s="7">
        <f t="shared" si="128"/>
        <v>194547843.52432001</v>
      </c>
      <c r="G270" s="7"/>
      <c r="H270" s="7">
        <f t="shared" si="129"/>
        <v>339885502.0925619</v>
      </c>
      <c r="I270" s="7">
        <f t="shared" si="129"/>
        <v>151282224.50747401</v>
      </c>
      <c r="J270" s="7"/>
      <c r="K270" s="7">
        <f t="shared" si="130"/>
        <v>240021247.30540207</v>
      </c>
      <c r="L270" s="7">
        <f t="shared" si="130"/>
        <v>228532585.85844204</v>
      </c>
      <c r="M270" s="7"/>
      <c r="N270" s="7">
        <f t="shared" si="131"/>
        <v>265752219.36409521</v>
      </c>
      <c r="O270" s="7">
        <f t="shared" si="131"/>
        <v>105647044.190622</v>
      </c>
      <c r="P270" s="7"/>
      <c r="Q270" s="7">
        <f t="shared" si="132"/>
        <v>348598137.04223561</v>
      </c>
      <c r="R270" s="7">
        <f t="shared" si="132"/>
        <v>154748303.38520199</v>
      </c>
      <c r="S270" s="7"/>
      <c r="T270" s="7">
        <f t="shared" si="133"/>
        <v>396276291.52343291</v>
      </c>
      <c r="U270" s="7">
        <f t="shared" si="133"/>
        <v>320371076.25997597</v>
      </c>
      <c r="V270" s="7"/>
      <c r="W270" s="7">
        <f t="shared" si="134"/>
        <v>430068034.8904599</v>
      </c>
      <c r="X270" s="7">
        <f t="shared" si="134"/>
        <v>349158849.71258199</v>
      </c>
      <c r="Y270" s="7"/>
      <c r="Z270" s="7">
        <f t="shared" si="135"/>
        <v>578872513.69342554</v>
      </c>
      <c r="AA270" s="7">
        <f t="shared" si="135"/>
        <v>395743272.01920003</v>
      </c>
      <c r="AB270" s="7"/>
      <c r="AC270" s="7">
        <f t="shared" si="136"/>
        <v>644245099.09759963</v>
      </c>
      <c r="AD270" s="7">
        <f t="shared" si="136"/>
        <v>0</v>
      </c>
      <c r="AE270" s="7"/>
      <c r="AF270" s="7">
        <f t="shared" si="137"/>
        <v>745480753.44279742</v>
      </c>
      <c r="AG270" s="7">
        <f t="shared" si="137"/>
        <v>0</v>
      </c>
      <c r="AH270" s="7"/>
      <c r="AI270" s="7">
        <f t="shared" si="138"/>
        <v>675610826.19287252</v>
      </c>
      <c r="AJ270" s="7">
        <f t="shared" si="138"/>
        <v>0</v>
      </c>
      <c r="AK270" s="7"/>
      <c r="AL270" s="21">
        <f t="shared" si="124"/>
        <v>-183129241.67422551</v>
      </c>
      <c r="AM270" s="22">
        <f t="shared" si="125"/>
        <v>-0.31635504768708345</v>
      </c>
      <c r="AO270" s="44">
        <f t="shared" si="126"/>
        <v>578872513.69342554</v>
      </c>
      <c r="AP270" s="44">
        <f t="shared" si="126"/>
        <v>395743272.01920003</v>
      </c>
    </row>
    <row r="271" spans="1:42" s="1" customFormat="1" ht="15.5">
      <c r="A271" s="26" t="s">
        <v>16</v>
      </c>
      <c r="B271" s="7">
        <f t="shared" si="127"/>
        <v>610140563.02907884</v>
      </c>
      <c r="C271" s="7">
        <f t="shared" si="127"/>
        <v>579578982.95444393</v>
      </c>
      <c r="D271" s="8"/>
      <c r="E271" s="7">
        <f t="shared" si="128"/>
        <v>561810520.91713905</v>
      </c>
      <c r="F271" s="7">
        <f t="shared" si="128"/>
        <v>749169574.14199984</v>
      </c>
      <c r="G271" s="8"/>
      <c r="H271" s="7">
        <f t="shared" si="129"/>
        <v>731610458.77264738</v>
      </c>
      <c r="I271" s="7">
        <f t="shared" si="129"/>
        <v>668411117.67580497</v>
      </c>
      <c r="J271" s="8"/>
      <c r="K271" s="7">
        <f t="shared" si="130"/>
        <v>673173638.90124059</v>
      </c>
      <c r="L271" s="7">
        <f t="shared" si="130"/>
        <v>603623727.76169801</v>
      </c>
      <c r="M271" s="7"/>
      <c r="N271" s="7">
        <f t="shared" si="131"/>
        <v>750118900.36499453</v>
      </c>
      <c r="O271" s="7">
        <f t="shared" si="131"/>
        <v>660674622.86379409</v>
      </c>
      <c r="P271" s="8"/>
      <c r="Q271" s="7">
        <f t="shared" si="132"/>
        <v>924792908.39232361</v>
      </c>
      <c r="R271" s="7">
        <f t="shared" si="132"/>
        <v>886026375.09128213</v>
      </c>
      <c r="S271" s="8"/>
      <c r="T271" s="7">
        <f t="shared" si="133"/>
        <v>936198840.56551373</v>
      </c>
      <c r="U271" s="7">
        <f t="shared" si="133"/>
        <v>595580822.31127203</v>
      </c>
      <c r="V271" s="8"/>
      <c r="W271" s="7">
        <f t="shared" si="134"/>
        <v>1004383479.8128959</v>
      </c>
      <c r="X271" s="7">
        <f t="shared" si="134"/>
        <v>541722449.92047</v>
      </c>
      <c r="Y271" s="8"/>
      <c r="Z271" s="7">
        <f t="shared" si="135"/>
        <v>1174176373.056483</v>
      </c>
      <c r="AA271" s="7">
        <f t="shared" si="135"/>
        <v>694664872.79602706</v>
      </c>
      <c r="AB271" s="8"/>
      <c r="AC271" s="7">
        <f t="shared" si="136"/>
        <v>1084568446.7995081</v>
      </c>
      <c r="AD271" s="7">
        <f t="shared" si="136"/>
        <v>0</v>
      </c>
      <c r="AE271" s="8"/>
      <c r="AF271" s="7">
        <f t="shared" si="137"/>
        <v>908020937.87092865</v>
      </c>
      <c r="AG271" s="7">
        <f t="shared" si="137"/>
        <v>0</v>
      </c>
      <c r="AH271" s="8"/>
      <c r="AI271" s="7">
        <f t="shared" si="138"/>
        <v>1219921003.9244156</v>
      </c>
      <c r="AJ271" s="7">
        <f t="shared" si="138"/>
        <v>0</v>
      </c>
      <c r="AK271" s="8"/>
      <c r="AL271" s="21">
        <f t="shared" si="124"/>
        <v>-479511500.26045597</v>
      </c>
      <c r="AM271" s="22">
        <f t="shared" si="125"/>
        <v>-0.40838115232402938</v>
      </c>
      <c r="AO271" s="44">
        <f t="shared" si="126"/>
        <v>1174176373.056483</v>
      </c>
      <c r="AP271" s="44">
        <f t="shared" si="126"/>
        <v>694664872.79602706</v>
      </c>
    </row>
    <row r="272" spans="1:42" s="1" customFormat="1" ht="15.5">
      <c r="A272" s="26" t="s">
        <v>17</v>
      </c>
      <c r="B272" s="7">
        <f t="shared" si="127"/>
        <v>394182819.98521513</v>
      </c>
      <c r="C272" s="7">
        <f t="shared" si="127"/>
        <v>303932561.47016394</v>
      </c>
      <c r="D272" s="8"/>
      <c r="E272" s="7">
        <f t="shared" si="128"/>
        <v>302881755.40960282</v>
      </c>
      <c r="F272" s="7">
        <f t="shared" si="128"/>
        <v>131377279.15927999</v>
      </c>
      <c r="G272" s="8"/>
      <c r="H272" s="7">
        <f t="shared" si="129"/>
        <v>444661118.19737297</v>
      </c>
      <c r="I272" s="7">
        <f t="shared" si="129"/>
        <v>716797254.73865712</v>
      </c>
      <c r="J272" s="8"/>
      <c r="K272" s="7">
        <f t="shared" si="130"/>
        <v>250121763.0212836</v>
      </c>
      <c r="L272" s="7">
        <f t="shared" si="130"/>
        <v>518704061.87340409</v>
      </c>
      <c r="M272" s="7"/>
      <c r="N272" s="7">
        <f t="shared" si="131"/>
        <v>315457000.10002583</v>
      </c>
      <c r="O272" s="7">
        <f t="shared" si="131"/>
        <v>362613612.47476202</v>
      </c>
      <c r="P272" s="8"/>
      <c r="Q272" s="7">
        <f t="shared" si="132"/>
        <v>548719643.09907067</v>
      </c>
      <c r="R272" s="7">
        <f t="shared" si="132"/>
        <v>620878717.20519805</v>
      </c>
      <c r="S272" s="8"/>
      <c r="T272" s="7">
        <f t="shared" si="133"/>
        <v>429716652.50231838</v>
      </c>
      <c r="U272" s="7">
        <f t="shared" si="133"/>
        <v>552148734.51754808</v>
      </c>
      <c r="V272" s="8"/>
      <c r="W272" s="7">
        <f t="shared" si="134"/>
        <v>381214197.86719847</v>
      </c>
      <c r="X272" s="7">
        <f t="shared" si="134"/>
        <v>538551062.20915997</v>
      </c>
      <c r="Y272" s="8"/>
      <c r="Z272" s="7">
        <f t="shared" si="135"/>
        <v>596526040.80759144</v>
      </c>
      <c r="AA272" s="7">
        <f t="shared" si="135"/>
        <v>582212616.68928409</v>
      </c>
      <c r="AB272" s="8"/>
      <c r="AC272" s="7">
        <f t="shared" si="136"/>
        <v>408200210.25200796</v>
      </c>
      <c r="AD272" s="7">
        <f t="shared" si="136"/>
        <v>0</v>
      </c>
      <c r="AE272" s="8"/>
      <c r="AF272" s="7">
        <f t="shared" si="137"/>
        <v>693596685.99725556</v>
      </c>
      <c r="AG272" s="7">
        <f t="shared" si="137"/>
        <v>0</v>
      </c>
      <c r="AH272" s="8"/>
      <c r="AI272" s="7">
        <f t="shared" si="138"/>
        <v>998136085.80753386</v>
      </c>
      <c r="AJ272" s="7">
        <f t="shared" si="138"/>
        <v>0</v>
      </c>
      <c r="AK272" s="8"/>
      <c r="AL272" s="21">
        <f t="shared" si="124"/>
        <v>-14313424.118307352</v>
      </c>
      <c r="AM272" s="22">
        <f t="shared" si="125"/>
        <v>-2.3994634163714834E-2</v>
      </c>
      <c r="AO272" s="44">
        <f t="shared" si="126"/>
        <v>596526040.80759144</v>
      </c>
      <c r="AP272" s="44">
        <f t="shared" si="126"/>
        <v>582212616.68928409</v>
      </c>
    </row>
    <row r="273" spans="1:42" s="1" customFormat="1" ht="15.5">
      <c r="A273" s="26"/>
      <c r="B273" s="7"/>
      <c r="C273" s="8"/>
      <c r="D273" s="8"/>
      <c r="E273" s="7"/>
      <c r="F273" s="8"/>
      <c r="G273" s="8"/>
      <c r="H273" s="7"/>
      <c r="I273" s="8"/>
      <c r="J273" s="8"/>
      <c r="K273" s="7"/>
      <c r="L273" s="8"/>
      <c r="M273" s="8"/>
      <c r="N273" s="7"/>
      <c r="O273" s="8"/>
      <c r="P273" s="8"/>
      <c r="Q273" s="7"/>
      <c r="R273" s="8"/>
      <c r="S273" s="8"/>
      <c r="T273" s="7"/>
      <c r="U273" s="8"/>
      <c r="V273" s="8"/>
      <c r="W273" s="7"/>
      <c r="X273" s="8"/>
      <c r="Y273" s="8"/>
      <c r="Z273" s="7"/>
      <c r="AA273" s="8"/>
      <c r="AB273" s="8"/>
      <c r="AC273" s="7"/>
      <c r="AD273" s="8"/>
      <c r="AE273" s="8"/>
      <c r="AF273" s="7"/>
      <c r="AG273" s="8"/>
      <c r="AH273" s="8"/>
      <c r="AI273" s="7"/>
      <c r="AJ273" s="8"/>
      <c r="AK273" s="8"/>
      <c r="AL273" s="15"/>
      <c r="AM273" s="16"/>
      <c r="AO273" s="44"/>
      <c r="AP273" s="44"/>
    </row>
    <row r="274" spans="1:42" s="1" customFormat="1" ht="15.5">
      <c r="A274" s="26"/>
      <c r="B274" s="7"/>
      <c r="C274" s="8"/>
      <c r="D274" s="8"/>
      <c r="E274" s="7"/>
      <c r="F274" s="8"/>
      <c r="G274" s="8"/>
      <c r="H274" s="7"/>
      <c r="I274" s="8"/>
      <c r="J274" s="8"/>
      <c r="K274" s="7"/>
      <c r="L274" s="8"/>
      <c r="M274" s="8"/>
      <c r="N274" s="7"/>
      <c r="O274" s="8"/>
      <c r="P274" s="8"/>
      <c r="Q274" s="7"/>
      <c r="R274" s="8"/>
      <c r="S274" s="8"/>
      <c r="T274" s="7"/>
      <c r="U274" s="8"/>
      <c r="V274" s="8"/>
      <c r="W274" s="7"/>
      <c r="X274" s="8"/>
      <c r="Y274" s="8"/>
      <c r="Z274" s="7"/>
      <c r="AA274" s="8"/>
      <c r="AB274" s="8"/>
      <c r="AC274" s="7"/>
      <c r="AD274" s="8"/>
      <c r="AE274" s="8"/>
      <c r="AF274" s="7"/>
      <c r="AG274" s="8"/>
      <c r="AH274" s="8"/>
      <c r="AI274" s="7"/>
      <c r="AJ274" s="8"/>
      <c r="AK274" s="8"/>
      <c r="AL274" s="15"/>
      <c r="AM274" s="16"/>
      <c r="AO274" s="44"/>
      <c r="AP274" s="44"/>
    </row>
    <row r="275" spans="1:42" s="44" customFormat="1" ht="15.5">
      <c r="A275" s="31" t="s">
        <v>90</v>
      </c>
      <c r="B275" s="32">
        <f>'A-TRY'!B275</f>
        <v>17106915.027101252</v>
      </c>
      <c r="C275" s="32">
        <f>'A-TRY'!C275</f>
        <v>9734379.947805794</v>
      </c>
      <c r="D275" s="18"/>
      <c r="E275" s="32">
        <f>B275+'A-TRY'!E275</f>
        <v>36709611.508440956</v>
      </c>
      <c r="F275" s="32">
        <f>C275+'A-TRY'!F275</f>
        <v>17214911.092925172</v>
      </c>
      <c r="G275" s="18"/>
      <c r="H275" s="32">
        <f>E275+'A-TRY'!H275</f>
        <v>60745652.043949932</v>
      </c>
      <c r="I275" s="32">
        <f>F275+'A-TRY'!I275</f>
        <v>31411539.633239578</v>
      </c>
      <c r="J275" s="18"/>
      <c r="K275" s="32">
        <f>H275+'A-TRY'!K275</f>
        <v>87431673.28950882</v>
      </c>
      <c r="L275" s="32">
        <f>I275+'A-TRY'!L275</f>
        <v>107572933.42087901</v>
      </c>
      <c r="M275" s="18"/>
      <c r="N275" s="32">
        <f>K275+'A-TRY'!N275</f>
        <v>112465933.30442387</v>
      </c>
      <c r="O275" s="32">
        <f>L275+'A-TRY'!O275</f>
        <v>145614438.23333907</v>
      </c>
      <c r="P275" s="18"/>
      <c r="Q275" s="32">
        <f>N275+'A-TRY'!Q275</f>
        <v>144458221.46139133</v>
      </c>
      <c r="R275" s="32">
        <f>O275+'A-TRY'!R275</f>
        <v>164571986.4453724</v>
      </c>
      <c r="S275" s="18"/>
      <c r="T275" s="32">
        <f>Q275+'A-TRY'!T275</f>
        <v>171050503.82618603</v>
      </c>
      <c r="U275" s="32">
        <f>R275+'A-TRY'!U275</f>
        <v>88795202.433832213</v>
      </c>
      <c r="V275" s="18"/>
      <c r="W275" s="32">
        <f>T275+'A-TRY'!W275</f>
        <v>200222091.53109962</v>
      </c>
      <c r="X275" s="32">
        <f>U275+'A-TRY'!X275</f>
        <v>138395936.5031845</v>
      </c>
      <c r="Y275" s="18"/>
      <c r="Z275" s="32">
        <f>W275+'A-TRY'!Z275</f>
        <v>232731799.30760413</v>
      </c>
      <c r="AA275" s="32">
        <f>X275+'A-TRY'!AA275</f>
        <v>161523572.76052973</v>
      </c>
      <c r="AB275" s="18"/>
      <c r="AC275" s="32">
        <f>Z275+'A-TRY'!AC275</f>
        <v>259282075.94891533</v>
      </c>
      <c r="AD275" s="32">
        <f>AA275+'A-TRY'!AD275</f>
        <v>161523572.76052973</v>
      </c>
      <c r="AE275" s="18"/>
      <c r="AF275" s="32">
        <f>AC275+'A-TRY'!AF275</f>
        <v>283713147.17370248</v>
      </c>
      <c r="AG275" s="32">
        <f>AD275+'A-TRY'!AG275</f>
        <v>161523572.76052973</v>
      </c>
      <c r="AH275" s="18"/>
      <c r="AI275" s="32">
        <f>AF275+'A-TRY'!AI275</f>
        <v>311648400.68569642</v>
      </c>
      <c r="AJ275" s="32">
        <f>AG275+'A-TRY'!AJ275</f>
        <v>161523572.76052973</v>
      </c>
      <c r="AK275" s="18"/>
      <c r="AL275" s="33">
        <f>AP275-AO275</f>
        <v>-71208226.547074407</v>
      </c>
      <c r="AM275" s="34">
        <f>AP275/AO275-1</f>
        <v>-0.30596689734245441</v>
      </c>
      <c r="AO275" s="44">
        <f>IF($A$1=$B$1,B275,IF($A$1=$E$1,E275,IF($A$1=$H$1,H275,IF($A$1=$K$1,K275,IF($A$1=$N$1,N275,IF($A$1=$Q$1,Q275,IF($A$1=$T$1,T275,IF($A$1=$W$1,W275,IF($A$1=$Z$1,Z275,IF($A$1=$AC$1,AC275,IF($A$1=$AF$1,AF275,IF($A$1=$AI$1,AI275))))))))))))</f>
        <v>232731799.30760413</v>
      </c>
      <c r="AP275" s="44">
        <f>IF($A$1=$B$1,C275,IF($A$1=$E$1,F275,IF($A$1=$H$1,I275,IF($A$1=$K$1,L275,IF($A$1=$N$1,O275,IF($A$1=$Q$1,R275,IF($A$1=$T$1,U275,IF($A$1=$W$1,X275,IF($A$1=$Z$1,AA275,IF($A$1=$AC$1,AD275,IF($A$1=$AF$1,AG275,IF($A$1=$AI$1,AJ275))))))))))))</f>
        <v>161523572.76052973</v>
      </c>
    </row>
    <row r="276" spans="1:42" s="13" customFormat="1" ht="15.5">
      <c r="A276" s="27"/>
      <c r="B276" s="30"/>
      <c r="C276" s="30" t="str">
        <f>IFERROR((C233/#REF!),"")</f>
        <v/>
      </c>
      <c r="D276" s="41"/>
      <c r="E276" s="30"/>
      <c r="F276" s="30" t="str">
        <f>IFERROR((F233/#REF!),"")</f>
        <v/>
      </c>
      <c r="G276" s="41"/>
      <c r="H276" s="30"/>
      <c r="I276" s="30" t="str">
        <f>IFERROR((I233/#REF!),"")</f>
        <v/>
      </c>
      <c r="J276" s="41"/>
      <c r="K276" s="30"/>
      <c r="L276" s="30" t="str">
        <f>IFERROR((L233/#REF!),"")</f>
        <v/>
      </c>
      <c r="M276" s="41"/>
      <c r="N276" s="30"/>
      <c r="O276" s="30" t="str">
        <f>IFERROR((O233/#REF!),"")</f>
        <v/>
      </c>
      <c r="P276" s="41"/>
      <c r="Q276" s="30"/>
      <c r="R276" s="30" t="str">
        <f>IFERROR((R233/#REF!),"")</f>
        <v/>
      </c>
      <c r="S276" s="41"/>
      <c r="T276" s="30"/>
      <c r="U276" s="30" t="str">
        <f>IFERROR((U233/#REF!),"")</f>
        <v/>
      </c>
      <c r="V276" s="41"/>
      <c r="W276" s="30"/>
      <c r="X276" s="30" t="str">
        <f>IFERROR((X233/#REF!),"")</f>
        <v/>
      </c>
      <c r="Y276" s="41"/>
      <c r="Z276" s="30"/>
      <c r="AA276" s="30" t="str">
        <f>IFERROR((AA233/#REF!),"")</f>
        <v/>
      </c>
      <c r="AB276" s="41"/>
      <c r="AC276" s="30"/>
      <c r="AD276" s="30" t="str">
        <f>IFERROR((AD233/#REF!),"")</f>
        <v/>
      </c>
      <c r="AE276" s="41"/>
      <c r="AF276" s="30"/>
      <c r="AG276" s="30" t="str">
        <f>IFERROR((AG233/#REF!),"")</f>
        <v/>
      </c>
      <c r="AH276" s="41"/>
      <c r="AI276" s="30"/>
      <c r="AJ276" s="30" t="str">
        <f>IFERROR((AJ233/#REF!),"")</f>
        <v/>
      </c>
      <c r="AK276" s="41"/>
      <c r="AL276" s="15"/>
      <c r="AM276" s="22"/>
      <c r="AO276" s="44">
        <f>IF($A$1=$B$1,B276,IF($A$1=$E$1,E276,IF($A$1=$H$1,H276,IF($A$1=$K$1,K276,IF($A$1=$N$1,N276,IF($A$1=$Q$1,Q276,IF($A$1=$T$1,T276,IF($A$1=$W$1,W276,IF($A$1=$Z$1,Z276,IF($A$1=$AC$1,AC276,IF($A$1=$AF$1,AF276,IF($A$1=$AI$1,AI276))))))))))))</f>
        <v>0</v>
      </c>
      <c r="AP276" s="44" t="str">
        <f>IF($A$1=$B$1,C276,IF($A$1=$E$1,F276,IF($A$1=$H$1,I276,IF($A$1=$K$1,L276,IF($A$1=$N$1,O276,IF($A$1=$Q$1,R276,IF($A$1=$T$1,U276,IF($A$1=$W$1,X276,IF($A$1=$Z$1,AA276,IF($A$1=$AC$1,AD276,IF($A$1=$AF$1,AG276,IF($A$1=$AI$1,AJ276))))))))))))</f>
        <v/>
      </c>
    </row>
    <row r="277" spans="1:42" s="49" customFormat="1" ht="17">
      <c r="A277" s="47" t="s">
        <v>91</v>
      </c>
      <c r="B277" s="413"/>
      <c r="C277" s="413"/>
      <c r="D277" s="413"/>
      <c r="E277" s="413"/>
      <c r="F277" s="413"/>
      <c r="G277" s="413"/>
      <c r="H277" s="413"/>
      <c r="I277" s="413"/>
      <c r="J277" s="413"/>
      <c r="K277" s="413"/>
      <c r="L277" s="413"/>
      <c r="M277" s="413"/>
      <c r="N277" s="413"/>
      <c r="O277" s="413"/>
      <c r="P277" s="413"/>
      <c r="Q277" s="413"/>
      <c r="R277" s="413"/>
      <c r="S277" s="413"/>
      <c r="T277" s="413"/>
      <c r="U277" s="413"/>
      <c r="V277" s="413"/>
      <c r="W277" s="413"/>
      <c r="X277" s="413"/>
      <c r="Y277" s="413"/>
      <c r="Z277" s="413"/>
      <c r="AA277" s="413"/>
      <c r="AB277" s="413"/>
      <c r="AC277" s="413"/>
      <c r="AD277" s="413"/>
      <c r="AE277" s="413"/>
      <c r="AF277" s="413"/>
      <c r="AG277" s="413"/>
      <c r="AH277" s="413"/>
      <c r="AI277" s="413"/>
      <c r="AJ277" s="413"/>
      <c r="AK277" s="413"/>
      <c r="AL277" s="413"/>
      <c r="AM277" s="48"/>
    </row>
    <row r="278" spans="1:42" ht="15.5">
      <c r="A278" s="26" t="s">
        <v>10</v>
      </c>
      <c r="B278" s="7">
        <f>'A-TRY'!B278</f>
        <v>71458.333333000002</v>
      </c>
      <c r="C278" s="7">
        <f>'A-TRY'!C278</f>
        <v>0</v>
      </c>
      <c r="D278" s="7"/>
      <c r="E278" s="7">
        <f>B278+'A-TRY'!E278</f>
        <v>71458.333333000002</v>
      </c>
      <c r="F278" s="7">
        <f>C278+'A-TRY'!F278</f>
        <v>15416.66</v>
      </c>
      <c r="G278" s="7"/>
      <c r="H278" s="7">
        <f>E278+'A-TRY'!H278</f>
        <v>71458.333333000002</v>
      </c>
      <c r="I278" s="7">
        <f>F278+'A-TRY'!I278</f>
        <v>15416.66</v>
      </c>
      <c r="J278" s="7"/>
      <c r="K278" s="7">
        <f>H278+'A-TRY'!K278</f>
        <v>71458.333333000002</v>
      </c>
      <c r="L278" s="7">
        <f>I278+'A-TRY'!L278</f>
        <v>15416.66</v>
      </c>
      <c r="M278" s="7"/>
      <c r="N278" s="7">
        <f>K278+'A-TRY'!N278</f>
        <v>110104.166666</v>
      </c>
      <c r="O278" s="7">
        <f>L278+'A-TRY'!O278</f>
        <v>15416.66</v>
      </c>
      <c r="P278" s="7"/>
      <c r="Q278" s="7">
        <f>N278+'A-TRY'!Q278</f>
        <v>188854.166666</v>
      </c>
      <c r="R278" s="7">
        <f>O278+'A-TRY'!R278</f>
        <v>338102.66</v>
      </c>
      <c r="S278" s="7"/>
      <c r="T278" s="7">
        <f>Q278+'A-TRY'!T278</f>
        <v>188854.166666</v>
      </c>
      <c r="U278" s="7">
        <f>R278+'A-TRY'!U278</f>
        <v>338102.66</v>
      </c>
      <c r="V278" s="7"/>
      <c r="W278" s="7">
        <f>T278+'A-TRY'!W278</f>
        <v>438854.16666600003</v>
      </c>
      <c r="X278" s="7">
        <f>U278+'A-TRY'!X278</f>
        <v>338102.66</v>
      </c>
      <c r="Y278" s="7"/>
      <c r="Z278" s="7">
        <f>W278+'A-TRY'!Z278</f>
        <v>523854.16666600003</v>
      </c>
      <c r="AA278" s="7">
        <f>X278+'A-TRY'!AA278</f>
        <v>338102.66</v>
      </c>
      <c r="AB278" s="7"/>
      <c r="AC278" s="7">
        <f>Z278+'A-TRY'!AC278</f>
        <v>623854.16666600003</v>
      </c>
      <c r="AD278" s="7">
        <f>AA278+'A-TRY'!AD278</f>
        <v>338102.66</v>
      </c>
      <c r="AE278" s="7"/>
      <c r="AF278" s="7">
        <f>AC278+'A-TRY'!AF278</f>
        <v>623854.16666600003</v>
      </c>
      <c r="AG278" s="7">
        <f>AD278+'A-TRY'!AG278</f>
        <v>338102.66</v>
      </c>
      <c r="AH278" s="7"/>
      <c r="AI278" s="7">
        <f>AF278+'A-TRY'!AI278</f>
        <v>623854.16666600003</v>
      </c>
      <c r="AJ278" s="7">
        <f>AG278+'A-TRY'!AJ278</f>
        <v>338102.66</v>
      </c>
      <c r="AK278" s="7"/>
      <c r="AL278" s="21">
        <f t="shared" ref="AL278:AL285" si="139">AP278-AO278</f>
        <v>-185751.50666600006</v>
      </c>
      <c r="AM278" s="22">
        <f t="shared" ref="AM278:AM285" si="140">AP278/AO278-1</f>
        <v>-0.35458629230381189</v>
      </c>
      <c r="AO278" s="44">
        <f t="shared" ref="AO278:AP285" si="141">IF($A$1=$B$1,B278,IF($A$1=$E$1,E278,IF($A$1=$H$1,H278,IF($A$1=$K$1,K278,IF($A$1=$N$1,N278,IF($A$1=$Q$1,Q278,IF($A$1=$T$1,T278,IF($A$1=$W$1,W278,IF($A$1=$Z$1,Z278,IF($A$1=$AC$1,AC278,IF($A$1=$AF$1,AF278,IF($A$1=$AI$1,AI278))))))))))))</f>
        <v>523854.16666600003</v>
      </c>
      <c r="AP278" s="44">
        <f t="shared" si="141"/>
        <v>338102.66</v>
      </c>
    </row>
    <row r="279" spans="1:42" ht="15.5">
      <c r="A279" s="26" t="s">
        <v>11</v>
      </c>
      <c r="B279" s="7">
        <f>'A-TRY'!B279</f>
        <v>1389547</v>
      </c>
      <c r="C279" s="7">
        <f>'A-TRY'!C279</f>
        <v>1953778.61</v>
      </c>
      <c r="D279" s="7"/>
      <c r="E279" s="7">
        <f>B279+'A-TRY'!E279</f>
        <v>2497347</v>
      </c>
      <c r="F279" s="7">
        <f>C279+'A-TRY'!F279</f>
        <v>4420602.55</v>
      </c>
      <c r="G279" s="7"/>
      <c r="H279" s="7">
        <f>E279+'A-TRY'!H279</f>
        <v>3744650</v>
      </c>
      <c r="I279" s="7">
        <f>F279+'A-TRY'!I279</f>
        <v>7662919.5499999998</v>
      </c>
      <c r="J279" s="7"/>
      <c r="K279" s="7">
        <f>H279+'A-TRY'!K279</f>
        <v>11799150</v>
      </c>
      <c r="L279" s="7">
        <f>I279+'A-TRY'!L279</f>
        <v>10197969.550000001</v>
      </c>
      <c r="M279" s="7"/>
      <c r="N279" s="7">
        <f>K279+'A-TRY'!N279</f>
        <v>14211670</v>
      </c>
      <c r="O279" s="7">
        <f>L279+'A-TRY'!O279</f>
        <v>12411077.550000001</v>
      </c>
      <c r="P279" s="7"/>
      <c r="Q279" s="7">
        <f>N279+'A-TRY'!Q279</f>
        <v>17482670</v>
      </c>
      <c r="R279" s="7">
        <f>O279+'A-TRY'!R279</f>
        <v>15351733.780000001</v>
      </c>
      <c r="S279" s="7"/>
      <c r="T279" s="7">
        <f>Q279+'A-TRY'!T279</f>
        <v>19892670</v>
      </c>
      <c r="U279" s="7">
        <f>R279+'A-TRY'!U279</f>
        <v>17733289.780000001</v>
      </c>
      <c r="V279" s="7"/>
      <c r="W279" s="7">
        <f>T279+'A-TRY'!W279</f>
        <v>20877079</v>
      </c>
      <c r="X279" s="7">
        <f>U279+'A-TRY'!X279</f>
        <v>20219864.780000001</v>
      </c>
      <c r="Y279" s="7"/>
      <c r="Z279" s="7">
        <f>W279+'A-TRY'!Z279</f>
        <v>23237079</v>
      </c>
      <c r="AA279" s="7">
        <f>X279+'A-TRY'!AA279</f>
        <v>22672821.780000001</v>
      </c>
      <c r="AB279" s="7"/>
      <c r="AC279" s="7">
        <f>Z279+'A-TRY'!AC279</f>
        <v>23960646</v>
      </c>
      <c r="AD279" s="7">
        <f>AA279+'A-TRY'!AD279</f>
        <v>22672821.780000001</v>
      </c>
      <c r="AE279" s="7"/>
      <c r="AF279" s="7">
        <f>AC279+'A-TRY'!AF279</f>
        <v>24685462</v>
      </c>
      <c r="AG279" s="7">
        <f>AD279+'A-TRY'!AG279</f>
        <v>22672821.780000001</v>
      </c>
      <c r="AH279" s="7"/>
      <c r="AI279" s="7">
        <f>AF279+'A-TRY'!AI279</f>
        <v>25412066</v>
      </c>
      <c r="AJ279" s="7">
        <f>AG279+'A-TRY'!AJ279</f>
        <v>22672821.780000001</v>
      </c>
      <c r="AK279" s="7"/>
      <c r="AL279" s="21">
        <f t="shared" si="139"/>
        <v>-564257.21999999881</v>
      </c>
      <c r="AM279" s="22">
        <f t="shared" si="140"/>
        <v>-2.4282622613625349E-2</v>
      </c>
      <c r="AO279" s="44">
        <f t="shared" si="141"/>
        <v>23237079</v>
      </c>
      <c r="AP279" s="44">
        <f t="shared" si="141"/>
        <v>22672821.780000001</v>
      </c>
    </row>
    <row r="280" spans="1:42" ht="15.5">
      <c r="A280" s="26" t="s">
        <v>12</v>
      </c>
      <c r="B280" s="7">
        <f>'A-TRY'!B280</f>
        <v>0</v>
      </c>
      <c r="C280" s="7">
        <f>'A-TRY'!C280</f>
        <v>0</v>
      </c>
      <c r="D280" s="7"/>
      <c r="E280" s="7">
        <f>B280+'A-TRY'!E280</f>
        <v>0</v>
      </c>
      <c r="F280" s="7">
        <f>C280+'A-TRY'!F280</f>
        <v>0</v>
      </c>
      <c r="G280" s="7"/>
      <c r="H280" s="7">
        <f>E280+'A-TRY'!H280</f>
        <v>0</v>
      </c>
      <c r="I280" s="7">
        <f>F280+'A-TRY'!I280</f>
        <v>0</v>
      </c>
      <c r="J280" s="7"/>
      <c r="K280" s="7">
        <f>H280+'A-TRY'!K280</f>
        <v>0</v>
      </c>
      <c r="L280" s="7">
        <f>I280+'A-TRY'!L280</f>
        <v>0</v>
      </c>
      <c r="M280" s="7"/>
      <c r="N280" s="7">
        <f>K280+'A-TRY'!N280</f>
        <v>0</v>
      </c>
      <c r="O280" s="7">
        <f>L280+'A-TRY'!O280</f>
        <v>0</v>
      </c>
      <c r="P280" s="7"/>
      <c r="Q280" s="7">
        <f>N280+'A-TRY'!Q280</f>
        <v>0</v>
      </c>
      <c r="R280" s="7">
        <f>O280+'A-TRY'!R280</f>
        <v>0</v>
      </c>
      <c r="S280" s="7"/>
      <c r="T280" s="7">
        <f>Q280+'A-TRY'!T280</f>
        <v>0</v>
      </c>
      <c r="U280" s="7">
        <f>R280+'A-TRY'!U280</f>
        <v>0</v>
      </c>
      <c r="V280" s="7"/>
      <c r="W280" s="7">
        <f>T280+'A-TRY'!W280</f>
        <v>0</v>
      </c>
      <c r="X280" s="7">
        <f>U280+'A-TRY'!X280</f>
        <v>0</v>
      </c>
      <c r="Y280" s="7"/>
      <c r="Z280" s="7">
        <f>W280+'A-TRY'!Z280</f>
        <v>0</v>
      </c>
      <c r="AA280" s="7">
        <f>X280+'A-TRY'!AA280</f>
        <v>0</v>
      </c>
      <c r="AB280" s="7"/>
      <c r="AC280" s="7">
        <f>Z280+'A-TRY'!AC280</f>
        <v>0</v>
      </c>
      <c r="AD280" s="7">
        <f>AA280+'A-TRY'!AD280</f>
        <v>0</v>
      </c>
      <c r="AE280" s="7"/>
      <c r="AF280" s="7">
        <f>AC280+'A-TRY'!AF280</f>
        <v>0</v>
      </c>
      <c r="AG280" s="7">
        <f>AD280+'A-TRY'!AG280</f>
        <v>0</v>
      </c>
      <c r="AH280" s="7"/>
      <c r="AI280" s="7">
        <f>AF280+'A-TRY'!AI280</f>
        <v>0</v>
      </c>
      <c r="AJ280" s="7">
        <f>AG280+'A-TRY'!AJ280</f>
        <v>0</v>
      </c>
      <c r="AK280" s="7"/>
      <c r="AL280" s="21">
        <f t="shared" si="139"/>
        <v>0</v>
      </c>
      <c r="AM280" s="22" t="e">
        <f t="shared" si="140"/>
        <v>#DIV/0!</v>
      </c>
      <c r="AO280" s="44">
        <f t="shared" si="141"/>
        <v>0</v>
      </c>
      <c r="AP280" s="44">
        <f t="shared" si="141"/>
        <v>0</v>
      </c>
    </row>
    <row r="281" spans="1:42" ht="15.5">
      <c r="A281" s="26" t="s">
        <v>13</v>
      </c>
      <c r="B281" s="7">
        <f>'A-TRY'!B281</f>
        <v>11490909.855599999</v>
      </c>
      <c r="C281" s="7">
        <f>'A-TRY'!C281</f>
        <v>6583183.5099999998</v>
      </c>
      <c r="D281" s="7"/>
      <c r="E281" s="7">
        <f>B281+'A-TRY'!E281</f>
        <v>23197389.180091001</v>
      </c>
      <c r="F281" s="7">
        <f>C281+'A-TRY'!F281</f>
        <v>10059628.85</v>
      </c>
      <c r="G281" s="7"/>
      <c r="H281" s="7">
        <f>E281+'A-TRY'!H281</f>
        <v>35123482.056710005</v>
      </c>
      <c r="I281" s="7">
        <f>F281+'A-TRY'!I281</f>
        <v>16711823.989999998</v>
      </c>
      <c r="J281" s="7"/>
      <c r="K281" s="7">
        <f>H281+'A-TRY'!K281</f>
        <v>52133238.987287</v>
      </c>
      <c r="L281" s="7">
        <f>I281+'A-TRY'!L281</f>
        <v>16711823.989999998</v>
      </c>
      <c r="M281" s="7"/>
      <c r="N281" s="7">
        <f>K281+'A-TRY'!N281</f>
        <v>69462098.957882002</v>
      </c>
      <c r="O281" s="7">
        <f>L281+'A-TRY'!O281</f>
        <v>16711823.989999998</v>
      </c>
      <c r="P281" s="7"/>
      <c r="Q281" s="7">
        <f>N281+'A-TRY'!Q281</f>
        <v>90478705.366981</v>
      </c>
      <c r="R281" s="7">
        <f>O281+'A-TRY'!R281</f>
        <v>16711823.989999998</v>
      </c>
      <c r="S281" s="7"/>
      <c r="T281" s="7">
        <f>Q281+'A-TRY'!T281</f>
        <v>111889583.312315</v>
      </c>
      <c r="U281" s="7">
        <f>R281+'A-TRY'!U281</f>
        <v>16711823.989999998</v>
      </c>
      <c r="V281" s="7"/>
      <c r="W281" s="7">
        <f>T281+'A-TRY'!W281</f>
        <v>133702129.327904</v>
      </c>
      <c r="X281" s="7">
        <f>U281+'A-TRY'!X281</f>
        <v>50815207.179999992</v>
      </c>
      <c r="Y281" s="7"/>
      <c r="Z281" s="7">
        <f>W281+'A-TRY'!Z281</f>
        <v>160368228.582513</v>
      </c>
      <c r="AA281" s="7">
        <f>X281+'A-TRY'!AA281</f>
        <v>63743477.43999999</v>
      </c>
      <c r="AB281" s="7"/>
      <c r="AC281" s="7">
        <f>Z281+'A-TRY'!AC281</f>
        <v>187534583.859139</v>
      </c>
      <c r="AD281" s="7">
        <f>AA281+'A-TRY'!AD281</f>
        <v>63743477.43999999</v>
      </c>
      <c r="AE281" s="7"/>
      <c r="AF281" s="7">
        <f>AC281+'A-TRY'!AF281</f>
        <v>220745779.181077</v>
      </c>
      <c r="AG281" s="7">
        <f>AD281+'A-TRY'!AG281</f>
        <v>63743477.43999999</v>
      </c>
      <c r="AH281" s="7"/>
      <c r="AI281" s="7">
        <f>AF281+'A-TRY'!AI281</f>
        <v>260223364.181077</v>
      </c>
      <c r="AJ281" s="7">
        <f>AG281+'A-TRY'!AJ281</f>
        <v>63743477.43999999</v>
      </c>
      <c r="AK281" s="7"/>
      <c r="AL281" s="21">
        <f t="shared" si="139"/>
        <v>-96624751.142513007</v>
      </c>
      <c r="AM281" s="22">
        <f t="shared" si="140"/>
        <v>-0.60251804236147333</v>
      </c>
      <c r="AO281" s="44">
        <f t="shared" si="141"/>
        <v>160368228.582513</v>
      </c>
      <c r="AP281" s="44">
        <f t="shared" si="141"/>
        <v>63743477.43999999</v>
      </c>
    </row>
    <row r="282" spans="1:42" s="1" customFormat="1" ht="15.5">
      <c r="A282" s="26" t="s">
        <v>14</v>
      </c>
      <c r="B282" s="7">
        <f>'A-TRY'!B282</f>
        <v>3865061.1788329999</v>
      </c>
      <c r="C282" s="7">
        <f>'A-TRY'!C282</f>
        <v>4126656.09</v>
      </c>
      <c r="D282" s="8"/>
      <c r="E282" s="7">
        <f>B282+'A-TRY'!E282</f>
        <v>6510635.8576659989</v>
      </c>
      <c r="F282" s="7">
        <f>C282+'A-TRY'!F282</f>
        <v>8111438.6899999995</v>
      </c>
      <c r="G282" s="8"/>
      <c r="H282" s="7">
        <f>E282+'A-TRY'!H282</f>
        <v>9689610.5364989992</v>
      </c>
      <c r="I282" s="7">
        <f>F282+'A-TRY'!I282</f>
        <v>21418420.479999997</v>
      </c>
      <c r="J282" s="8"/>
      <c r="K282" s="7">
        <f>H282+'A-TRY'!K282</f>
        <v>12689610.536498999</v>
      </c>
      <c r="L282" s="7">
        <f>I282+'A-TRY'!L282</f>
        <v>22769556.529999997</v>
      </c>
      <c r="M282" s="8"/>
      <c r="N282" s="7">
        <f>K282+'A-TRY'!N282</f>
        <v>15689610.536498999</v>
      </c>
      <c r="O282" s="7">
        <f>L282+'A-TRY'!O282</f>
        <v>24056512.589999996</v>
      </c>
      <c r="P282" s="8"/>
      <c r="Q282" s="7">
        <f>N282+'A-TRY'!Q282</f>
        <v>18689610.536499001</v>
      </c>
      <c r="R282" s="7">
        <f>O282+'A-TRY'!R282</f>
        <v>28864534.649999995</v>
      </c>
      <c r="S282" s="8"/>
      <c r="T282" s="7">
        <f>Q282+'A-TRY'!T282</f>
        <v>21689610.536499001</v>
      </c>
      <c r="U282" s="7">
        <f>R282+'A-TRY'!U282</f>
        <v>46368491.109999999</v>
      </c>
      <c r="V282" s="8"/>
      <c r="W282" s="7">
        <f>T282+'A-TRY'!W282</f>
        <v>24689610.536499001</v>
      </c>
      <c r="X282" s="7">
        <f>U282+'A-TRY'!X282</f>
        <v>46944286.43</v>
      </c>
      <c r="Y282" s="8"/>
      <c r="Z282" s="7">
        <f>W282+'A-TRY'!Z282</f>
        <v>27689610.536499001</v>
      </c>
      <c r="AA282" s="7">
        <f>X282+'A-TRY'!AA282</f>
        <v>49899298.600000001</v>
      </c>
      <c r="AB282" s="8"/>
      <c r="AC282" s="7">
        <f>Z282+'A-TRY'!AC282</f>
        <v>30689610.536499001</v>
      </c>
      <c r="AD282" s="7">
        <f>AA282+'A-TRY'!AD282</f>
        <v>49899298.600000001</v>
      </c>
      <c r="AE282" s="8"/>
      <c r="AF282" s="7">
        <f>AC282+'A-TRY'!AF282</f>
        <v>33689610.536499001</v>
      </c>
      <c r="AG282" s="7">
        <f>AD282+'A-TRY'!AG282</f>
        <v>49899298.600000001</v>
      </c>
      <c r="AH282" s="8"/>
      <c r="AI282" s="7">
        <f>AF282+'A-TRY'!AI282</f>
        <v>36689610.536499001</v>
      </c>
      <c r="AJ282" s="7">
        <f>AG282+'A-TRY'!AJ282</f>
        <v>49899298.600000001</v>
      </c>
      <c r="AK282" s="8"/>
      <c r="AL282" s="21">
        <f t="shared" si="139"/>
        <v>22209688.063501</v>
      </c>
      <c r="AM282" s="22">
        <f t="shared" si="140"/>
        <v>0.80209463525047942</v>
      </c>
      <c r="AO282" s="44">
        <f t="shared" si="141"/>
        <v>27689610.536499001</v>
      </c>
      <c r="AP282" s="44">
        <f t="shared" si="141"/>
        <v>49899298.600000001</v>
      </c>
    </row>
    <row r="283" spans="1:42" ht="15.5">
      <c r="A283" s="26" t="s">
        <v>15</v>
      </c>
      <c r="B283" s="7">
        <f>'A-TRY'!B283</f>
        <v>10205331.199987624</v>
      </c>
      <c r="C283" s="7">
        <f>'A-TRY'!C283</f>
        <v>4658661.8787744194</v>
      </c>
      <c r="D283" s="7"/>
      <c r="E283" s="7">
        <f>B283+'A-TRY'!E283</f>
        <v>20621074.80001289</v>
      </c>
      <c r="F283" s="7">
        <f>C283+'A-TRY'!F283</f>
        <v>6352374.3723685788</v>
      </c>
      <c r="G283" s="7"/>
      <c r="H283" s="7">
        <f>E283+'A-TRY'!H283</f>
        <v>31247258.283333331</v>
      </c>
      <c r="I283" s="7">
        <f>F283+'A-TRY'!I283</f>
        <v>7365532.6586734913</v>
      </c>
      <c r="J283" s="7"/>
      <c r="K283" s="7">
        <f>H283+'A-TRY'!K283</f>
        <v>42083854.166653521</v>
      </c>
      <c r="L283" s="7">
        <f>I283+'A-TRY'!L283</f>
        <v>17966537.785542883</v>
      </c>
      <c r="M283" s="7"/>
      <c r="N283" s="7">
        <f>K283+'A-TRY'!N283</f>
        <v>53130862.450013645</v>
      </c>
      <c r="O283" s="7">
        <f>L283+'A-TRY'!O283</f>
        <v>29685810.667561166</v>
      </c>
      <c r="P283" s="7"/>
      <c r="Q283" s="7">
        <f>N283+'A-TRY'!Q283</f>
        <v>64388283.133333325</v>
      </c>
      <c r="R283" s="7">
        <f>O283+'A-TRY'!R283</f>
        <v>38585896.889129959</v>
      </c>
      <c r="S283" s="7"/>
      <c r="T283" s="7">
        <f>Q283+'A-TRY'!T283</f>
        <v>75856143.699986085</v>
      </c>
      <c r="U283" s="7">
        <f>R283+'A-TRY'!U283</f>
        <v>34125387.273136452</v>
      </c>
      <c r="V283" s="7"/>
      <c r="W283" s="7">
        <f>T283+'A-TRY'!W283</f>
        <v>87534416.666681066</v>
      </c>
      <c r="X283" s="7">
        <f>U283+'A-TRY'!X283</f>
        <v>96137162.935377285</v>
      </c>
      <c r="Y283" s="7"/>
      <c r="Z283" s="7">
        <f>W283+'A-TRY'!Z283</f>
        <v>99423102.033333316</v>
      </c>
      <c r="AA283" s="7">
        <f>X283+'A-TRY'!AA283</f>
        <v>110416523.03019628</v>
      </c>
      <c r="AB283" s="7"/>
      <c r="AC283" s="7">
        <f>Z283+'A-TRY'!AC283</f>
        <v>111522199.79998532</v>
      </c>
      <c r="AD283" s="7">
        <f>AA283+'A-TRY'!AD283</f>
        <v>110416523.03019628</v>
      </c>
      <c r="AE283" s="7"/>
      <c r="AF283" s="7">
        <f>AC283+'A-TRY'!AF283</f>
        <v>123831737.45001517</v>
      </c>
      <c r="AG283" s="7">
        <f>AD283+'A-TRY'!AG283</f>
        <v>110416523.03019628</v>
      </c>
      <c r="AH283" s="7"/>
      <c r="AI283" s="7">
        <f>AF283+'A-TRY'!AI283</f>
        <v>136351687.5</v>
      </c>
      <c r="AJ283" s="7">
        <f>AG283+'A-TRY'!AJ283</f>
        <v>110416523.03019628</v>
      </c>
      <c r="AK283" s="7"/>
      <c r="AL283" s="21">
        <f t="shared" si="139"/>
        <v>10993420.996862963</v>
      </c>
      <c r="AM283" s="22">
        <f t="shared" si="140"/>
        <v>0.11057209815458413</v>
      </c>
      <c r="AO283" s="44">
        <f t="shared" si="141"/>
        <v>99423102.033333316</v>
      </c>
      <c r="AP283" s="44">
        <f t="shared" si="141"/>
        <v>110416523.03019628</v>
      </c>
    </row>
    <row r="284" spans="1:42" s="1" customFormat="1" ht="15.5">
      <c r="A284" s="26" t="s">
        <v>16</v>
      </c>
      <c r="B284" s="7">
        <f>'A-TRY'!B284</f>
        <v>1113984</v>
      </c>
      <c r="C284" s="7">
        <f>'A-TRY'!C284</f>
        <v>346179.69044177426</v>
      </c>
      <c r="D284" s="8"/>
      <c r="E284" s="7">
        <f>B284+'A-TRY'!E284</f>
        <v>11194958.4</v>
      </c>
      <c r="F284" s="7">
        <f>C284+'A-TRY'!F284</f>
        <v>1111710.861470703</v>
      </c>
      <c r="G284" s="8"/>
      <c r="H284" s="7">
        <f>E284+'A-TRY'!H284</f>
        <v>29173764.899999999</v>
      </c>
      <c r="I284" s="7">
        <f>F284+'A-TRY'!I284</f>
        <v>1328173.9870221249</v>
      </c>
      <c r="J284" s="8"/>
      <c r="K284" s="7">
        <f>H284+'A-TRY'!K284</f>
        <v>39464916.599999994</v>
      </c>
      <c r="L284" s="7">
        <f>I284+'A-TRY'!L284</f>
        <v>138401461.03823978</v>
      </c>
      <c r="M284" s="8"/>
      <c r="N284" s="7">
        <f>K284+'A-TRY'!N284</f>
        <v>50960772.399999991</v>
      </c>
      <c r="O284" s="7">
        <f>L284+'A-TRY'!O284</f>
        <v>203767087.10157135</v>
      </c>
      <c r="P284" s="8"/>
      <c r="Q284" s="7">
        <f>N284+'A-TRY'!Q284</f>
        <v>78773223.5</v>
      </c>
      <c r="R284" s="7">
        <f>O284+'A-TRY'!R284</f>
        <v>224556201.34906977</v>
      </c>
      <c r="S284" s="8"/>
      <c r="T284" s="7">
        <f>Q284+'A-TRY'!T284</f>
        <v>80901280.099999994</v>
      </c>
      <c r="U284" s="7">
        <f>R284+'A-TRY'!U284</f>
        <v>10243251.961236715</v>
      </c>
      <c r="V284" s="8"/>
      <c r="W284" s="7">
        <f>T284+'A-TRY'!W284</f>
        <v>99555355.899999991</v>
      </c>
      <c r="X284" s="7">
        <f>U284+'A-TRY'!X284</f>
        <v>17496300.208956897</v>
      </c>
      <c r="Y284" s="8"/>
      <c r="Z284" s="7">
        <f>W284+'A-TRY'!Z284</f>
        <v>114738843.69999999</v>
      </c>
      <c r="AA284" s="7">
        <f>X284+'A-TRY'!AA284</f>
        <v>29580787.708956897</v>
      </c>
      <c r="AB284" s="8"/>
      <c r="AC284" s="7">
        <f>Z284+'A-TRY'!AC284</f>
        <v>122530985.49999999</v>
      </c>
      <c r="AD284" s="7">
        <f>AA284+'A-TRY'!AD284</f>
        <v>29580787.708956897</v>
      </c>
      <c r="AE284" s="8"/>
      <c r="AF284" s="7">
        <f>AC284+'A-TRY'!AF284</f>
        <v>125039175.09999998</v>
      </c>
      <c r="AG284" s="7">
        <f>AD284+'A-TRY'!AG284</f>
        <v>29580787.708956897</v>
      </c>
      <c r="AH284" s="8"/>
      <c r="AI284" s="7">
        <f>AF284+'A-TRY'!AI284</f>
        <v>126223597.29999998</v>
      </c>
      <c r="AJ284" s="7">
        <f>AG284+'A-TRY'!AJ284</f>
        <v>29580787.708956897</v>
      </c>
      <c r="AK284" s="8"/>
      <c r="AL284" s="21">
        <f t="shared" si="139"/>
        <v>-85158055.991043091</v>
      </c>
      <c r="AM284" s="22">
        <f t="shared" si="140"/>
        <v>-0.74219029271116055</v>
      </c>
      <c r="AO284" s="44">
        <f t="shared" si="141"/>
        <v>114738843.69999999</v>
      </c>
      <c r="AP284" s="44">
        <f t="shared" si="141"/>
        <v>29580787.708956897</v>
      </c>
    </row>
    <row r="285" spans="1:42" s="1" customFormat="1" ht="15.5">
      <c r="A285" s="26" t="s">
        <v>17</v>
      </c>
      <c r="B285" s="7">
        <f>'A-TRY'!B285</f>
        <v>12439488.000000002</v>
      </c>
      <c r="C285" s="7">
        <f>'A-TRY'!C285</f>
        <v>3736822.1752982913</v>
      </c>
      <c r="D285" s="8"/>
      <c r="E285" s="7">
        <f>B285+'A-TRY'!E285</f>
        <v>23827957.200000003</v>
      </c>
      <c r="F285" s="7">
        <f>C285+'A-TRY'!F285</f>
        <v>6312076.9334736485</v>
      </c>
      <c r="G285" s="8"/>
      <c r="H285" s="7">
        <f>E285+'A-TRY'!H285</f>
        <v>37089743.5</v>
      </c>
      <c r="I285" s="7">
        <f>F285+'A-TRY'!I285</f>
        <v>12509057.442403328</v>
      </c>
      <c r="J285" s="8"/>
      <c r="K285" s="7">
        <f>H285+'A-TRY'!K285</f>
        <v>42531042.100000001</v>
      </c>
      <c r="L285" s="7">
        <f>I285+'A-TRY'!L285</f>
        <v>47549488.683414862</v>
      </c>
      <c r="M285" s="8"/>
      <c r="N285" s="7">
        <f>K285+'A-TRY'!N285</f>
        <v>56117053.5</v>
      </c>
      <c r="O285" s="7">
        <f>L285+'A-TRY'!O285</f>
        <v>58748625.709215187</v>
      </c>
      <c r="P285" s="8"/>
      <c r="Q285" s="7">
        <f>N285+'A-TRY'!Q285</f>
        <v>64636920.700000003</v>
      </c>
      <c r="R285" s="7">
        <f>O285+'A-TRY'!R285</f>
        <v>63486918.135231286</v>
      </c>
      <c r="S285" s="8"/>
      <c r="T285" s="7">
        <f>Q285+'A-TRY'!T285</f>
        <v>87085831.5</v>
      </c>
      <c r="U285" s="7">
        <f>R285+'A-TRY'!U285</f>
        <v>69360570.650207415</v>
      </c>
      <c r="V285" s="8"/>
      <c r="W285" s="7">
        <f>T285+'A-TRY'!W285</f>
        <v>101783883.48</v>
      </c>
      <c r="X285" s="7">
        <f>U285+'A-TRY'!X285</f>
        <v>83201965.903627157</v>
      </c>
      <c r="Y285" s="8"/>
      <c r="Z285" s="7">
        <f>W285+'A-TRY'!Z285</f>
        <v>120207380.5</v>
      </c>
      <c r="AA285" s="7">
        <f>X285+'A-TRY'!AA285</f>
        <v>92641534.022171229</v>
      </c>
      <c r="AB285" s="8"/>
      <c r="AC285" s="7">
        <f>Z285+'A-TRY'!AC285</f>
        <v>134466559.75999999</v>
      </c>
      <c r="AD285" s="7">
        <f>AA285+'A-TRY'!AD285</f>
        <v>92641534.022171229</v>
      </c>
      <c r="AE285" s="8"/>
      <c r="AF285" s="7">
        <f>AC285+'A-TRY'!AF285</f>
        <v>142703275.25</v>
      </c>
      <c r="AG285" s="7">
        <f>AD285+'A-TRY'!AG285</f>
        <v>92641534.022171229</v>
      </c>
      <c r="AH285" s="8"/>
      <c r="AI285" s="7">
        <f>AF285+'A-TRY'!AI285</f>
        <v>154542941.78</v>
      </c>
      <c r="AJ285" s="7">
        <f>AG285+'A-TRY'!AJ285</f>
        <v>92641534.022171229</v>
      </c>
      <c r="AK285" s="8"/>
      <c r="AL285" s="21">
        <f t="shared" si="139"/>
        <v>-27565846.477828771</v>
      </c>
      <c r="AM285" s="22">
        <f t="shared" si="140"/>
        <v>-0.22931908476142837</v>
      </c>
      <c r="AO285" s="44">
        <f t="shared" si="141"/>
        <v>120207380.5</v>
      </c>
      <c r="AP285" s="44">
        <f t="shared" si="141"/>
        <v>92641534.022171229</v>
      </c>
    </row>
    <row r="286" spans="1:42" s="1" customFormat="1" ht="15.5">
      <c r="A286" s="26"/>
      <c r="B286" s="7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7"/>
      <c r="R286" s="8"/>
      <c r="S286" s="8"/>
      <c r="T286" s="7"/>
      <c r="U286" s="8"/>
      <c r="V286" s="8"/>
      <c r="W286" s="7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15"/>
      <c r="AM286" s="16"/>
      <c r="AO286" s="44"/>
      <c r="AP286" s="44"/>
    </row>
    <row r="287" spans="1:42" s="1" customFormat="1" ht="15.5">
      <c r="A287" s="26"/>
      <c r="B287" s="7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7"/>
      <c r="R287" s="8"/>
      <c r="S287" s="8"/>
      <c r="T287" s="7"/>
      <c r="U287" s="8"/>
      <c r="V287" s="8"/>
      <c r="W287" s="7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15"/>
      <c r="AM287" s="16"/>
      <c r="AO287" s="44"/>
      <c r="AP287" s="44"/>
    </row>
    <row r="288" spans="1:42" s="44" customFormat="1" ht="15.5">
      <c r="A288" s="31" t="s">
        <v>19</v>
      </c>
      <c r="B288" s="32">
        <f>'A-TRY'!B287</f>
        <v>-169655583.10378695</v>
      </c>
      <c r="C288" s="32">
        <f>'A-TRY'!C287</f>
        <v>-106356016.2250239</v>
      </c>
      <c r="D288" s="18"/>
      <c r="E288" s="32">
        <f>B288+'A-TRY'!E287</f>
        <v>6634140.6780166328</v>
      </c>
      <c r="F288" s="32">
        <f>C288+'A-TRY'!F287</f>
        <v>-211589973.20625851</v>
      </c>
      <c r="G288" s="18"/>
      <c r="H288" s="32">
        <f>E288+'A-TRY'!H287</f>
        <v>273314812.17052758</v>
      </c>
      <c r="I288" s="32">
        <f>F288+'A-TRY'!I287</f>
        <v>-33253336.525567919</v>
      </c>
      <c r="J288" s="18"/>
      <c r="K288" s="32">
        <f>H288+'A-TRY'!K287</f>
        <v>-80975493.474343121</v>
      </c>
      <c r="L288" s="32">
        <f>I288+'A-TRY'!L287</f>
        <v>-468515870.30241144</v>
      </c>
      <c r="M288" s="7"/>
      <c r="N288" s="32">
        <f>K288+'A-TRY'!N287</f>
        <v>141648470.57880554</v>
      </c>
      <c r="O288" s="32">
        <f>L288+'A-TRY'!O287</f>
        <v>-639309902.83046854</v>
      </c>
      <c r="P288" s="18"/>
      <c r="Q288" s="32">
        <f>N288+'A-TRY'!Q287</f>
        <v>228801682.33365825</v>
      </c>
      <c r="R288" s="32">
        <f>O288+'A-TRY'!R287</f>
        <v>-225102775.36688644</v>
      </c>
      <c r="S288" s="18"/>
      <c r="T288" s="32">
        <f>Q288+'A-TRY'!T287</f>
        <v>-63743398.450835139</v>
      </c>
      <c r="U288" s="32">
        <f>R288+'A-TRY'!U287</f>
        <v>198558405.69288659</v>
      </c>
      <c r="V288" s="18"/>
      <c r="W288" s="32">
        <f>T288+'A-TRY'!W287</f>
        <v>157601568.55845711</v>
      </c>
      <c r="X288" s="32">
        <f>U288+'A-TRY'!X287</f>
        <v>304665874.93316412</v>
      </c>
      <c r="Y288" s="18"/>
      <c r="Z288" s="32">
        <f>W288+'A-TRY'!Z287</f>
        <v>265598303.24216312</v>
      </c>
      <c r="AA288" s="32">
        <f>X288+'A-TRY'!AA287</f>
        <v>468419135.22647429</v>
      </c>
      <c r="AB288" s="18"/>
      <c r="AC288" s="32">
        <f>Z288+'A-TRY'!AC287</f>
        <v>-19718108.729017317</v>
      </c>
      <c r="AD288" s="32">
        <f>AA288+'A-TRY'!AD287</f>
        <v>468419135.22647429</v>
      </c>
      <c r="AE288" s="18"/>
      <c r="AF288" s="32">
        <f>AC288+'A-TRY'!AF287</f>
        <v>274936212.58263576</v>
      </c>
      <c r="AG288" s="32">
        <f>AD288+'A-TRY'!AG287</f>
        <v>468419135.22647429</v>
      </c>
      <c r="AH288" s="18"/>
      <c r="AI288" s="32">
        <f>AF288+'A-TRY'!AI287</f>
        <v>302033420.27403629</v>
      </c>
      <c r="AJ288" s="32">
        <f>AG288+'A-TRY'!AJ287</f>
        <v>468419135.22647429</v>
      </c>
      <c r="AK288" s="18"/>
      <c r="AL288" s="33">
        <f>AP288-AO288</f>
        <v>202820831.98431116</v>
      </c>
      <c r="AM288" s="34">
        <f>AP288/AO288-1</f>
        <v>0.76363752896187109</v>
      </c>
      <c r="AO288" s="44">
        <f>IF($A$1=$B$1,B288,IF($A$1=$E$1,E288,IF($A$1=$H$1,H288,IF($A$1=$K$1,K288,IF($A$1=$N$1,N288,IF($A$1=$Q$1,Q288,IF($A$1=$T$1,T288,IF($A$1=$W$1,W288,IF($A$1=$Z$1,Z288,IF($A$1=$AC$1,AC288,IF($A$1=$AF$1,AF288,IF($A$1=$AI$1,AI288))))))))))))</f>
        <v>265598303.24216312</v>
      </c>
      <c r="AP288" s="44">
        <f>IF($A$1=$B$1,C288,IF($A$1=$E$1,F288,IF($A$1=$H$1,I288,IF($A$1=$K$1,L288,IF($A$1=$N$1,O288,IF($A$1=$Q$1,R288,IF($A$1=$T$1,U288,IF($A$1=$W$1,X288,IF($A$1=$Z$1,AA288,IF($A$1=$AC$1,AD288,IF($A$1=$AF$1,AG288,IF($A$1=$AI$1,AJ288))))))))))))</f>
        <v>468419135.22647429</v>
      </c>
    </row>
    <row r="289" spans="1:42" s="13" customFormat="1" ht="15.5">
      <c r="A289" s="27"/>
      <c r="B289" s="30"/>
      <c r="C289" s="30" t="str">
        <f>IFERROR((C246/#REF!),"")</f>
        <v/>
      </c>
      <c r="D289" s="41"/>
      <c r="E289" s="30"/>
      <c r="F289" s="30" t="str">
        <f>IFERROR((F246/#REF!),"")</f>
        <v/>
      </c>
      <c r="G289" s="41"/>
      <c r="H289" s="30"/>
      <c r="I289" s="30" t="str">
        <f>IFERROR((I246/#REF!),"")</f>
        <v/>
      </c>
      <c r="J289" s="41"/>
      <c r="K289" s="30"/>
      <c r="L289" s="30" t="str">
        <f>IFERROR((L246/#REF!),"")</f>
        <v/>
      </c>
      <c r="M289" s="41"/>
      <c r="N289" s="30"/>
      <c r="O289" s="30" t="str">
        <f>IFERROR((O246/#REF!),"")</f>
        <v/>
      </c>
      <c r="P289" s="41"/>
      <c r="Q289" s="30"/>
      <c r="R289" s="30" t="str">
        <f>IFERROR((R246/#REF!),"")</f>
        <v/>
      </c>
      <c r="S289" s="41"/>
      <c r="T289" s="30"/>
      <c r="U289" s="30" t="str">
        <f>IFERROR((U246/#REF!),"")</f>
        <v/>
      </c>
      <c r="V289" s="41"/>
      <c r="W289" s="30"/>
      <c r="X289" s="30" t="str">
        <f>IFERROR((X246/#REF!),"")</f>
        <v/>
      </c>
      <c r="Y289" s="41"/>
      <c r="Z289" s="30"/>
      <c r="AA289" s="30" t="str">
        <f>IFERROR((AA246/#REF!),"")</f>
        <v/>
      </c>
      <c r="AB289" s="41"/>
      <c r="AC289" s="30"/>
      <c r="AD289" s="30" t="str">
        <f>IFERROR((AD246/#REF!),"")</f>
        <v/>
      </c>
      <c r="AE289" s="41"/>
      <c r="AF289" s="30"/>
      <c r="AG289" s="30" t="str">
        <f>IFERROR((AG246/#REF!),"")</f>
        <v/>
      </c>
      <c r="AH289" s="41"/>
      <c r="AI289" s="30"/>
      <c r="AJ289" s="30" t="str">
        <f>IFERROR((AJ246/#REF!),"")</f>
        <v/>
      </c>
      <c r="AK289" s="41"/>
      <c r="AL289" s="15"/>
      <c r="AM289" s="22"/>
      <c r="AO289" s="44">
        <f>IF($A$1=$B$1,B289,IF($A$1=$E$1,E289,IF($A$1=$H$1,H289,IF($A$1=$K$1,K289,IF($A$1=$N$1,N289,IF($A$1=$Q$1,Q289,IF($A$1=$T$1,T289,IF($A$1=$W$1,W289,IF($A$1=$Z$1,Z289,IF($A$1=$AC$1,AC289,IF($A$1=$AF$1,AF289,IF($A$1=$AI$1,AI289))))))))))))</f>
        <v>0</v>
      </c>
      <c r="AP289" s="44" t="str">
        <f>IF($A$1=$B$1,C289,IF($A$1=$E$1,F289,IF($A$1=$H$1,I289,IF($A$1=$K$1,L289,IF($A$1=$N$1,O289,IF($A$1=$Q$1,R289,IF($A$1=$T$1,U289,IF($A$1=$W$1,X289,IF($A$1=$Z$1,AA289,IF($A$1=$AC$1,AD289,IF($A$1=$AF$1,AG289,IF($A$1=$AI$1,AJ289))))))))))))</f>
        <v/>
      </c>
    </row>
    <row r="290" spans="1:42" s="49" customFormat="1" ht="17">
      <c r="A290" s="47" t="s">
        <v>92</v>
      </c>
      <c r="B290" s="413"/>
      <c r="C290" s="413"/>
      <c r="D290" s="413"/>
      <c r="E290" s="413"/>
      <c r="F290" s="413"/>
      <c r="G290" s="413"/>
      <c r="H290" s="413"/>
      <c r="I290" s="413"/>
      <c r="J290" s="413"/>
      <c r="K290" s="413"/>
      <c r="L290" s="413"/>
      <c r="M290" s="413"/>
      <c r="N290" s="413"/>
      <c r="O290" s="413"/>
      <c r="P290" s="413"/>
      <c r="Q290" s="413"/>
      <c r="R290" s="413"/>
      <c r="S290" s="413"/>
      <c r="T290" s="413"/>
      <c r="U290" s="413"/>
      <c r="V290" s="413"/>
      <c r="W290" s="413"/>
      <c r="X290" s="413"/>
      <c r="Y290" s="413"/>
      <c r="Z290" s="413"/>
      <c r="AA290" s="413"/>
      <c r="AB290" s="413"/>
      <c r="AC290" s="413"/>
      <c r="AD290" s="413"/>
      <c r="AE290" s="413"/>
      <c r="AF290" s="413"/>
      <c r="AG290" s="413"/>
      <c r="AH290" s="413"/>
      <c r="AI290" s="413"/>
      <c r="AJ290" s="413"/>
      <c r="AK290" s="413"/>
      <c r="AL290" s="413"/>
      <c r="AM290" s="48"/>
    </row>
    <row r="291" spans="1:42" ht="15.5">
      <c r="A291" s="26" t="s">
        <v>10</v>
      </c>
      <c r="B291" s="7">
        <f>'A-TRY'!B290</f>
        <v>9236421.6993320063</v>
      </c>
      <c r="C291" s="7">
        <f>'A-TRY'!C290</f>
        <v>11764788.871667001</v>
      </c>
      <c r="D291" s="7"/>
      <c r="E291" s="7">
        <f>B291+'A-TRY'!E290</f>
        <v>36655498.486811996</v>
      </c>
      <c r="F291" s="7">
        <f>C291+'A-TRY'!F290</f>
        <v>50826583.319167003</v>
      </c>
      <c r="G291" s="7"/>
      <c r="H291" s="7">
        <f>E291+'A-TRY'!H290</f>
        <v>3099825.4729240015</v>
      </c>
      <c r="I291" s="7">
        <f>F291+'A-TRY'!I290</f>
        <v>37675629.211666994</v>
      </c>
      <c r="J291" s="7"/>
      <c r="K291" s="7">
        <f>H291+'A-TRY'!K290</f>
        <v>9275538.0974170025</v>
      </c>
      <c r="L291" s="7">
        <f>I291+'A-TRY'!L290</f>
        <v>-317193341.10333198</v>
      </c>
      <c r="M291" s="7"/>
      <c r="N291" s="7">
        <f>K291+'A-TRY'!N290</f>
        <v>35476043.111087002</v>
      </c>
      <c r="O291" s="7">
        <f>L291+'A-TRY'!O290</f>
        <v>-292294617.15583301</v>
      </c>
      <c r="P291" s="7"/>
      <c r="Q291" s="7">
        <f>N291+'A-TRY'!Q290</f>
        <v>-31391905.671152994</v>
      </c>
      <c r="R291" s="7">
        <f>O291+'A-TRY'!R290</f>
        <v>-293558282.965832</v>
      </c>
      <c r="S291" s="7"/>
      <c r="T291" s="7">
        <f>Q291+'A-TRY'!T290</f>
        <v>9598087.0943550095</v>
      </c>
      <c r="U291" s="7">
        <f>R291+'A-TRY'!U290</f>
        <v>63140748.356667995</v>
      </c>
      <c r="V291" s="7"/>
      <c r="W291" s="7">
        <f>T291+'A-TRY'!W290</f>
        <v>39281648.200782001</v>
      </c>
      <c r="X291" s="7">
        <f>U291+'A-TRY'!X290</f>
        <v>97669153.754169002</v>
      </c>
      <c r="Y291" s="7"/>
      <c r="Z291" s="7">
        <f>W291+'A-TRY'!Z290</f>
        <v>5834698.2140759937</v>
      </c>
      <c r="AA291" s="7">
        <f>X291+'A-TRY'!AA290</f>
        <v>81072602.061669022</v>
      </c>
      <c r="AB291" s="7"/>
      <c r="AC291" s="7">
        <f>Z291+'A-TRY'!AC290</f>
        <v>10284513.226217002</v>
      </c>
      <c r="AD291" s="7">
        <f>AA291+'A-TRY'!AD290</f>
        <v>81072602.061669022</v>
      </c>
      <c r="AE291" s="7"/>
      <c r="AF291" s="7">
        <f>AC291+'A-TRY'!AF290</f>
        <v>50544292.040437005</v>
      </c>
      <c r="AG291" s="7">
        <f>AD291+'A-TRY'!AG290</f>
        <v>81072602.061669022</v>
      </c>
      <c r="AH291" s="7"/>
      <c r="AI291" s="7">
        <f>AF291+'A-TRY'!AI290</f>
        <v>-61575365.181918986</v>
      </c>
      <c r="AJ291" s="7">
        <f>AG291+'A-TRY'!AJ290</f>
        <v>81072602.061669022</v>
      </c>
      <c r="AK291" s="7"/>
      <c r="AL291" s="21">
        <f t="shared" ref="AL291:AL298" si="142">AP291-AO291</f>
        <v>75237903.847593024</v>
      </c>
      <c r="AM291" s="22">
        <f t="shared" ref="AM291:AM298" si="143">AP291/AO291-1</f>
        <v>12.894909228738577</v>
      </c>
      <c r="AO291" s="44">
        <f t="shared" ref="AO291:AP298" si="144">IF($A$1=$B$1,B291,IF($A$1=$E$1,E291,IF($A$1=$H$1,H291,IF($A$1=$K$1,K291,IF($A$1=$N$1,N291,IF($A$1=$Q$1,Q291,IF($A$1=$T$1,T291,IF($A$1=$W$1,W291,IF($A$1=$Z$1,Z291,IF($A$1=$AC$1,AC291,IF($A$1=$AF$1,AF291,IF($A$1=$AI$1,AI291))))))))))))</f>
        <v>5834698.2140759937</v>
      </c>
      <c r="AP291" s="44">
        <f t="shared" si="144"/>
        <v>81072602.061669022</v>
      </c>
    </row>
    <row r="292" spans="1:42" ht="15.5">
      <c r="A292" s="26" t="s">
        <v>11</v>
      </c>
      <c r="B292" s="7">
        <f>'A-TRY'!B291</f>
        <v>-25741816.887877002</v>
      </c>
      <c r="C292" s="7">
        <f>'A-TRY'!C291</f>
        <v>-10731909.891733989</v>
      </c>
      <c r="D292" s="7"/>
      <c r="E292" s="7">
        <f>B292+'A-TRY'!E291</f>
        <v>-11215934.605193</v>
      </c>
      <c r="F292" s="7">
        <f>C292+'A-TRY'!F291</f>
        <v>-11709165.581601007</v>
      </c>
      <c r="G292" s="7"/>
      <c r="H292" s="7">
        <f>E292+'A-TRY'!H291</f>
        <v>-5846535.8924940163</v>
      </c>
      <c r="I292" s="7">
        <f>F292+'A-TRY'!I291</f>
        <v>-7424283.4579750039</v>
      </c>
      <c r="J292" s="7"/>
      <c r="K292" s="7">
        <f>H292+'A-TRY'!K291</f>
        <v>14721265.495772019</v>
      </c>
      <c r="L292" s="7">
        <f>I292+'A-TRY'!L291</f>
        <v>-14171790.801722983</v>
      </c>
      <c r="M292" s="7"/>
      <c r="N292" s="7">
        <f>K292+'A-TRY'!N291</f>
        <v>5541197.323133003</v>
      </c>
      <c r="O292" s="7">
        <f>L292+'A-TRY'!O291</f>
        <v>-21363541.481748</v>
      </c>
      <c r="P292" s="7"/>
      <c r="Q292" s="7">
        <f>N292+'A-TRY'!Q291</f>
        <v>23582563.126284994</v>
      </c>
      <c r="R292" s="7">
        <f>O292+'A-TRY'!R291</f>
        <v>-22848027.076202985</v>
      </c>
      <c r="S292" s="7"/>
      <c r="T292" s="7">
        <f>Q292+'A-TRY'!T291</f>
        <v>16031259.232413011</v>
      </c>
      <c r="U292" s="7">
        <f>R292+'A-TRY'!U291</f>
        <v>-12465781.809153998</v>
      </c>
      <c r="V292" s="7"/>
      <c r="W292" s="7">
        <f>T292+'A-TRY'!W291</f>
        <v>10862643.863394994</v>
      </c>
      <c r="X292" s="7">
        <f>U292+'A-TRY'!X291</f>
        <v>-17004275.035253994</v>
      </c>
      <c r="Y292" s="7"/>
      <c r="Z292" s="7">
        <f>W292+'A-TRY'!Z291</f>
        <v>9060747.5940829981</v>
      </c>
      <c r="AA292" s="7">
        <f>X292+'A-TRY'!AA291</f>
        <v>-9293745.6343269963</v>
      </c>
      <c r="AB292" s="7"/>
      <c r="AC292" s="7">
        <f>Z292+'A-TRY'!AC291</f>
        <v>8168744.834073999</v>
      </c>
      <c r="AD292" s="7">
        <f>AA292+'A-TRY'!AD291</f>
        <v>-9293745.6343269963</v>
      </c>
      <c r="AE292" s="7"/>
      <c r="AF292" s="7">
        <f>AC292+'A-TRY'!AF291</f>
        <v>-5323762.0960290087</v>
      </c>
      <c r="AG292" s="7">
        <f>AD292+'A-TRY'!AG291</f>
        <v>-9293745.6343269963</v>
      </c>
      <c r="AH292" s="7"/>
      <c r="AI292" s="7">
        <f>AF292+'A-TRY'!AI291</f>
        <v>480089.61249500792</v>
      </c>
      <c r="AJ292" s="7">
        <f>AG292+'A-TRY'!AJ291</f>
        <v>-9293745.6343269963</v>
      </c>
      <c r="AK292" s="7"/>
      <c r="AL292" s="21">
        <f t="shared" si="142"/>
        <v>-18354493.228409994</v>
      </c>
      <c r="AM292" s="22">
        <f t="shared" si="143"/>
        <v>-2.0257151010801975</v>
      </c>
      <c r="AO292" s="44">
        <f t="shared" si="144"/>
        <v>9060747.5940829981</v>
      </c>
      <c r="AP292" s="44">
        <f t="shared" si="144"/>
        <v>-9293745.6343269963</v>
      </c>
    </row>
    <row r="293" spans="1:42" ht="15.5">
      <c r="A293" s="26" t="s">
        <v>12</v>
      </c>
      <c r="B293" s="7">
        <f>'A-TRY'!B292</f>
        <v>-21630091.228491977</v>
      </c>
      <c r="C293" s="7">
        <f>'A-TRY'!C292</f>
        <v>-1118153.8424719735</v>
      </c>
      <c r="D293" s="7"/>
      <c r="E293" s="7">
        <f>B293+'A-TRY'!E292</f>
        <v>-28713558.847461544</v>
      </c>
      <c r="F293" s="7">
        <f>C293+'A-TRY'!F292</f>
        <v>-6634247.7290239949</v>
      </c>
      <c r="G293" s="7"/>
      <c r="H293" s="7">
        <f>E293+'A-TRY'!H292</f>
        <v>-27426542.072049089</v>
      </c>
      <c r="I293" s="7">
        <f>F293+'A-TRY'!I292</f>
        <v>10283141.298100015</v>
      </c>
      <c r="J293" s="7"/>
      <c r="K293" s="7">
        <f>H293+'A-TRY'!K292</f>
        <v>-29885914.71363882</v>
      </c>
      <c r="L293" s="7">
        <f>I293+'A-TRY'!L292</f>
        <v>-11291093.911143975</v>
      </c>
      <c r="M293" s="7"/>
      <c r="N293" s="7">
        <f>K293+'A-TRY'!N292</f>
        <v>-32182154.724300835</v>
      </c>
      <c r="O293" s="7">
        <f>L293+'A-TRY'!O292</f>
        <v>-9753078.3002849631</v>
      </c>
      <c r="P293" s="7"/>
      <c r="Q293" s="7">
        <f>N293+'A-TRY'!Q292</f>
        <v>-26251964.283680063</v>
      </c>
      <c r="R293" s="7">
        <f>O293+'A-TRY'!R292</f>
        <v>-9406838.2810409777</v>
      </c>
      <c r="S293" s="7"/>
      <c r="T293" s="7">
        <f>Q293+'A-TRY'!T292</f>
        <v>-30636105.788999032</v>
      </c>
      <c r="U293" s="7">
        <f>R293+'A-TRY'!U292</f>
        <v>-22765167.393636972</v>
      </c>
      <c r="V293" s="7"/>
      <c r="W293" s="7">
        <f>T293+'A-TRY'!W292</f>
        <v>-23891085.293229848</v>
      </c>
      <c r="X293" s="7">
        <f>U293+'A-TRY'!X292</f>
        <v>-9050287.1031719744</v>
      </c>
      <c r="Y293" s="7"/>
      <c r="Z293" s="7">
        <f>W293+'A-TRY'!Z292</f>
        <v>-17634708.094999272</v>
      </c>
      <c r="AA293" s="7">
        <f>X293+'A-TRY'!AA292</f>
        <v>-7207648.5556429718</v>
      </c>
      <c r="AB293" s="7"/>
      <c r="AC293" s="7">
        <f>Z293+'A-TRY'!AC292</f>
        <v>-28185493.947445374</v>
      </c>
      <c r="AD293" s="7">
        <f>AA293+'A-TRY'!AD292</f>
        <v>-7207648.5556429718</v>
      </c>
      <c r="AE293" s="7"/>
      <c r="AF293" s="7">
        <f>AC293+'A-TRY'!AF292</f>
        <v>-26811486.714631192</v>
      </c>
      <c r="AG293" s="7">
        <f>AD293+'A-TRY'!AG292</f>
        <v>-7207648.5556429718</v>
      </c>
      <c r="AH293" s="7"/>
      <c r="AI293" s="7">
        <f>AF293+'A-TRY'!AI292</f>
        <v>-26243867.01109137</v>
      </c>
      <c r="AJ293" s="7">
        <f>AG293+'A-TRY'!AJ292</f>
        <v>-7207648.5556429718</v>
      </c>
      <c r="AK293" s="7"/>
      <c r="AL293" s="21">
        <f t="shared" si="142"/>
        <v>10427059.539356301</v>
      </c>
      <c r="AM293" s="22">
        <f t="shared" si="143"/>
        <v>-0.59128052946411591</v>
      </c>
      <c r="AO293" s="44">
        <f t="shared" si="144"/>
        <v>-17634708.094999272</v>
      </c>
      <c r="AP293" s="44">
        <f t="shared" si="144"/>
        <v>-7207648.5556429718</v>
      </c>
    </row>
    <row r="294" spans="1:42" ht="15.5">
      <c r="A294" s="26" t="s">
        <v>13</v>
      </c>
      <c r="B294" s="7">
        <f>'A-TRY'!B293</f>
        <v>-161561206.45284414</v>
      </c>
      <c r="C294" s="7">
        <f>'A-TRY'!C293</f>
        <v>-138737083.28825036</v>
      </c>
      <c r="D294" s="7"/>
      <c r="E294" s="7">
        <f>B294+'A-TRY'!E293</f>
        <v>48119189.222606242</v>
      </c>
      <c r="F294" s="7">
        <f>C294+'A-TRY'!F293</f>
        <v>-338981567.0262844</v>
      </c>
      <c r="G294" s="7"/>
      <c r="H294" s="7">
        <f>E294+'A-TRY'!H293</f>
        <v>59675128.348103695</v>
      </c>
      <c r="I294" s="7">
        <f>F294+'A-TRY'!I293</f>
        <v>-276662804.12855524</v>
      </c>
      <c r="J294" s="7"/>
      <c r="K294" s="7">
        <f>H294+'A-TRY'!K293</f>
        <v>82143704.94381009</v>
      </c>
      <c r="L294" s="7">
        <f>I294+'A-TRY'!L293</f>
        <v>-197385157.97386619</v>
      </c>
      <c r="M294" s="7"/>
      <c r="N294" s="7">
        <f>K294+'A-TRY'!N293</f>
        <v>86062991.657606497</v>
      </c>
      <c r="O294" s="7">
        <f>L294+'A-TRY'!O293</f>
        <v>-561839983.25588489</v>
      </c>
      <c r="P294" s="7"/>
      <c r="Q294" s="7">
        <f>N294+'A-TRY'!Q293</f>
        <v>58520480.328743666</v>
      </c>
      <c r="R294" s="7">
        <f>O294+'A-TRY'!R293</f>
        <v>-258075299.95462114</v>
      </c>
      <c r="S294" s="7"/>
      <c r="T294" s="7">
        <f>Q294+'A-TRY'!T293</f>
        <v>-119523901.53950486</v>
      </c>
      <c r="U294" s="7">
        <f>R294+'A-TRY'!U293</f>
        <v>-333598734.84241217</v>
      </c>
      <c r="V294" s="7"/>
      <c r="W294" s="7">
        <f>T294+'A-TRY'!W293</f>
        <v>135558540.8188999</v>
      </c>
      <c r="X294" s="7">
        <f>U294+'A-TRY'!X293</f>
        <v>-300065332.02215713</v>
      </c>
      <c r="Y294" s="7"/>
      <c r="Z294" s="7">
        <f>W294+'A-TRY'!Z293</f>
        <v>-11089676.734232187</v>
      </c>
      <c r="AA294" s="7">
        <f>X294+'A-TRY'!AA293</f>
        <v>-167318723.25574094</v>
      </c>
      <c r="AB294" s="7"/>
      <c r="AC294" s="7">
        <f>Z294+'A-TRY'!AC293</f>
        <v>159565245.42765778</v>
      </c>
      <c r="AD294" s="7">
        <f>AA294+'A-TRY'!AD293</f>
        <v>-167318723.25574094</v>
      </c>
      <c r="AE294" s="7"/>
      <c r="AF294" s="7">
        <f>AC294+'A-TRY'!AF293</f>
        <v>152536788.21972343</v>
      </c>
      <c r="AG294" s="7">
        <f>AD294+'A-TRY'!AG293</f>
        <v>-167318723.25574094</v>
      </c>
      <c r="AH294" s="7"/>
      <c r="AI294" s="7">
        <f>AF294+'A-TRY'!AI293</f>
        <v>173596446.19936907</v>
      </c>
      <c r="AJ294" s="7">
        <f>AG294+'A-TRY'!AJ293</f>
        <v>-167318723.25574094</v>
      </c>
      <c r="AK294" s="7"/>
      <c r="AL294" s="21">
        <f t="shared" si="142"/>
        <v>-156229046.52150875</v>
      </c>
      <c r="AM294" s="22">
        <f t="shared" si="143"/>
        <v>14.087790858614738</v>
      </c>
      <c r="AO294" s="44">
        <f t="shared" si="144"/>
        <v>-11089676.734232187</v>
      </c>
      <c r="AP294" s="44">
        <f t="shared" si="144"/>
        <v>-167318723.25574094</v>
      </c>
    </row>
    <row r="295" spans="1:42" s="1" customFormat="1" ht="15.5">
      <c r="A295" s="26" t="s">
        <v>14</v>
      </c>
      <c r="B295" s="7">
        <f>'A-TRY'!B294</f>
        <v>49635377.608754039</v>
      </c>
      <c r="C295" s="7">
        <f>'A-TRY'!C294</f>
        <v>9715952.3099149019</v>
      </c>
      <c r="D295" s="8"/>
      <c r="E295" s="7">
        <f>B295+'A-TRY'!E294</f>
        <v>14765916.800103985</v>
      </c>
      <c r="F295" s="7">
        <f>C295+'A-TRY'!F294</f>
        <v>6414896.105594947</v>
      </c>
      <c r="G295" s="8"/>
      <c r="H295" s="7">
        <f>E295+'A-TRY'!H294</f>
        <v>43505128.223229066</v>
      </c>
      <c r="I295" s="7">
        <f>F295+'A-TRY'!I294</f>
        <v>81402172.885164991</v>
      </c>
      <c r="J295" s="8"/>
      <c r="K295" s="7">
        <f>H295+'A-TRY'!K294</f>
        <v>31594346.128729004</v>
      </c>
      <c r="L295" s="7">
        <f>I295+'A-TRY'!L294</f>
        <v>102488769.09592603</v>
      </c>
      <c r="M295" s="7"/>
      <c r="N295" s="7">
        <f>K295+'A-TRY'!N294</f>
        <v>32770621.920755006</v>
      </c>
      <c r="O295" s="7">
        <f>L295+'A-TRY'!O294</f>
        <v>68457559.67698893</v>
      </c>
      <c r="P295" s="8"/>
      <c r="Q295" s="7">
        <f>N295+'A-TRY'!Q294</f>
        <v>68051661.309615999</v>
      </c>
      <c r="R295" s="7">
        <f>O295+'A-TRY'!R294</f>
        <v>99168500.661851019</v>
      </c>
      <c r="S295" s="8"/>
      <c r="T295" s="7">
        <f>Q295+'A-TRY'!T294</f>
        <v>47046181.368267</v>
      </c>
      <c r="U295" s="7">
        <f>R295+'A-TRY'!U294</f>
        <v>160778318.77355504</v>
      </c>
      <c r="V295" s="8"/>
      <c r="W295" s="7">
        <f>T295+'A-TRY'!W294</f>
        <v>71847089.638117</v>
      </c>
      <c r="X295" s="7">
        <f>U295+'A-TRY'!X294</f>
        <v>172089829.18512008</v>
      </c>
      <c r="Y295" s="8"/>
      <c r="Z295" s="7">
        <f>W295+'A-TRY'!Z294</f>
        <v>87602245.771935999</v>
      </c>
      <c r="AA295" s="7">
        <f>X295+'A-TRY'!AA294</f>
        <v>160134749.04959503</v>
      </c>
      <c r="AB295" s="8"/>
      <c r="AC295" s="7">
        <f>Z295+'A-TRY'!AC294</f>
        <v>61460768.244254</v>
      </c>
      <c r="AD295" s="7">
        <f>AA295+'A-TRY'!AD294</f>
        <v>160134749.04959503</v>
      </c>
      <c r="AE295" s="8"/>
      <c r="AF295" s="7">
        <f>AC295+'A-TRY'!AF294</f>
        <v>108495313.239214</v>
      </c>
      <c r="AG295" s="7">
        <f>AD295+'A-TRY'!AG294</f>
        <v>160134749.04959503</v>
      </c>
      <c r="AH295" s="8"/>
      <c r="AI295" s="7">
        <f>AF295+'A-TRY'!AI294</f>
        <v>128066002.68508801</v>
      </c>
      <c r="AJ295" s="7">
        <f>AG295+'A-TRY'!AJ294</f>
        <v>160134749.04959503</v>
      </c>
      <c r="AK295" s="8"/>
      <c r="AL295" s="21">
        <f t="shared" si="142"/>
        <v>72532503.277659029</v>
      </c>
      <c r="AM295" s="22">
        <f t="shared" si="143"/>
        <v>0.82797538623028455</v>
      </c>
      <c r="AO295" s="44">
        <f t="shared" si="144"/>
        <v>87602245.771935999</v>
      </c>
      <c r="AP295" s="44">
        <f t="shared" si="144"/>
        <v>160134749.04959503</v>
      </c>
    </row>
    <row r="296" spans="1:42" ht="15.5">
      <c r="A296" s="26" t="s">
        <v>15</v>
      </c>
      <c r="B296" s="7">
        <f>'A-TRY'!B295</f>
        <v>-120058521.77395058</v>
      </c>
      <c r="C296" s="7">
        <f>'A-TRY'!C295</f>
        <v>50521899.707458742</v>
      </c>
      <c r="D296" s="7"/>
      <c r="E296" s="7">
        <f>B296+'A-TRY'!E295</f>
        <v>16950428.961577892</v>
      </c>
      <c r="F296" s="7">
        <f>C296+'A-TRY'!F295</f>
        <v>-57278459.580773883</v>
      </c>
      <c r="G296" s="7"/>
      <c r="H296" s="7">
        <f>E296+'A-TRY'!H295</f>
        <v>65556689.265974246</v>
      </c>
      <c r="I296" s="7">
        <f>F296+'A-TRY'!I295</f>
        <v>-130079704.5773057</v>
      </c>
      <c r="J296" s="7"/>
      <c r="K296" s="7">
        <f>H296+'A-TRY'!K295</f>
        <v>-89078369.500061989</v>
      </c>
      <c r="L296" s="7">
        <f>I296+'A-TRY'!L295</f>
        <v>-192105330.45834368</v>
      </c>
      <c r="M296" s="7"/>
      <c r="N296" s="7">
        <f>K296+'A-TRY'!N295</f>
        <v>38686113.708094358</v>
      </c>
      <c r="O296" s="7">
        <f>L296+'A-TRY'!O295</f>
        <v>-236465387.19536254</v>
      </c>
      <c r="P296" s="7"/>
      <c r="Q296" s="7">
        <f>N296+'A-TRY'!Q295</f>
        <v>84954656.565370619</v>
      </c>
      <c r="R296" s="7">
        <f>O296+'A-TRY'!R295</f>
        <v>-133816047.75750592</v>
      </c>
      <c r="S296" s="7"/>
      <c r="T296" s="7">
        <f>Q296+'A-TRY'!T295</f>
        <v>18725393.502822533</v>
      </c>
      <c r="U296" s="7">
        <f>R296+'A-TRY'!U295</f>
        <v>65856040.707760602</v>
      </c>
      <c r="V296" s="7"/>
      <c r="W296" s="7">
        <f>T296+'A-TRY'!W295</f>
        <v>51180673.849095464</v>
      </c>
      <c r="X296" s="7">
        <f>U296+'A-TRY'!X295</f>
        <v>204818965.47847277</v>
      </c>
      <c r="Y296" s="7"/>
      <c r="Z296" s="7">
        <f>W296+'A-TRY'!Z295</f>
        <v>126044977.57544488</v>
      </c>
      <c r="AA296" s="7">
        <f>X296+'A-TRY'!AA295</f>
        <v>141035127.79134548</v>
      </c>
      <c r="AB296" s="7"/>
      <c r="AC296" s="7">
        <f>Z296+'A-TRY'!AC295</f>
        <v>18796364.122760057</v>
      </c>
      <c r="AD296" s="7">
        <f>AA296+'A-TRY'!AD295</f>
        <v>141035127.79134548</v>
      </c>
      <c r="AE296" s="7"/>
      <c r="AF296" s="7">
        <f>AC296+'A-TRY'!AF295</f>
        <v>94489063.17512466</v>
      </c>
      <c r="AG296" s="7">
        <f>AD296+'A-TRY'!AG295</f>
        <v>141035127.79134548</v>
      </c>
      <c r="AH296" s="7"/>
      <c r="AI296" s="7">
        <f>AF296+'A-TRY'!AI295</f>
        <v>204712554.75192326</v>
      </c>
      <c r="AJ296" s="7">
        <f>AG296+'A-TRY'!AJ295</f>
        <v>141035127.79134548</v>
      </c>
      <c r="AK296" s="7"/>
      <c r="AL296" s="21">
        <f t="shared" si="142"/>
        <v>14990150.2159006</v>
      </c>
      <c r="AM296" s="22">
        <f t="shared" si="143"/>
        <v>0.11892699339748125</v>
      </c>
      <c r="AO296" s="44">
        <f t="shared" si="144"/>
        <v>126044977.57544488</v>
      </c>
      <c r="AP296" s="44">
        <f t="shared" si="144"/>
        <v>141035127.79134548</v>
      </c>
    </row>
    <row r="297" spans="1:42" s="1" customFormat="1" ht="15.5">
      <c r="A297" s="26" t="s">
        <v>16</v>
      </c>
      <c r="B297" s="7">
        <f>'A-TRY'!B296</f>
        <v>142243978.19054344</v>
      </c>
      <c r="C297" s="7">
        <f>'A-TRY'!C296</f>
        <v>3022198.1972638797</v>
      </c>
      <c r="D297" s="8"/>
      <c r="E297" s="7">
        <f>B297+'A-TRY'!E296</f>
        <v>-26098027.257520676</v>
      </c>
      <c r="F297" s="7">
        <f>C297+'A-TRY'!F296</f>
        <v>-55401272.100193575</v>
      </c>
      <c r="G297" s="8"/>
      <c r="H297" s="7">
        <f>E297+'A-TRY'!H296</f>
        <v>280783027.62082922</v>
      </c>
      <c r="I297" s="7">
        <f>F297+'A-TRY'!I296</f>
        <v>50757136.640750617</v>
      </c>
      <c r="J297" s="8"/>
      <c r="K297" s="7">
        <f>H297+'A-TRY'!K296</f>
        <v>-65812307.893956542</v>
      </c>
      <c r="L297" s="7">
        <f>I297+'A-TRY'!L296</f>
        <v>84604484.590845481</v>
      </c>
      <c r="M297" s="7"/>
      <c r="N297" s="7">
        <f>K297+'A-TRY'!N296</f>
        <v>65503064.087270737</v>
      </c>
      <c r="O297" s="7">
        <f>L297+'A-TRY'!O296</f>
        <v>103921820.00378355</v>
      </c>
      <c r="P297" s="8"/>
      <c r="Q297" s="7">
        <f>N297+'A-TRY'!Q296</f>
        <v>167580171.39338726</v>
      </c>
      <c r="R297" s="7">
        <f>O297+'A-TRY'!R296</f>
        <v>318205151.57983822</v>
      </c>
      <c r="S297" s="8"/>
      <c r="T297" s="7">
        <f>Q297+'A-TRY'!T296</f>
        <v>-18601322.892872274</v>
      </c>
      <c r="U297" s="7">
        <f>R297+'A-TRY'!U296</f>
        <v>348017124.24325424</v>
      </c>
      <c r="V297" s="8"/>
      <c r="W297" s="7">
        <f>T297+'A-TRY'!W296</f>
        <v>69381933.702871382</v>
      </c>
      <c r="X297" s="7">
        <f>U297+'A-TRY'!X296</f>
        <v>296469285.42048293</v>
      </c>
      <c r="Y297" s="8"/>
      <c r="Z297" s="7">
        <f>W297+'A-TRY'!Z296</f>
        <v>147484448.0423556</v>
      </c>
      <c r="AA297" s="7">
        <f>X297+'A-TRY'!AA296</f>
        <v>490052830.63062549</v>
      </c>
      <c r="AB297" s="8"/>
      <c r="AC297" s="7">
        <f>Z297+'A-TRY'!AC296</f>
        <v>-117188471.50897717</v>
      </c>
      <c r="AD297" s="7">
        <f>AA297+'A-TRY'!AD296</f>
        <v>490052830.63062549</v>
      </c>
      <c r="AE297" s="8"/>
      <c r="AF297" s="7">
        <f>AC297+'A-TRY'!AF296</f>
        <v>-745623.7568167001</v>
      </c>
      <c r="AG297" s="7">
        <f>AD297+'A-TRY'!AG296</f>
        <v>490052830.63062549</v>
      </c>
      <c r="AH297" s="8"/>
      <c r="AI297" s="7">
        <f>AF297+'A-TRY'!AI296</f>
        <v>127205402.69563639</v>
      </c>
      <c r="AJ297" s="7">
        <f>AG297+'A-TRY'!AJ296</f>
        <v>490052830.63062549</v>
      </c>
      <c r="AK297" s="8"/>
      <c r="AL297" s="21">
        <f t="shared" si="142"/>
        <v>342568382.58826989</v>
      </c>
      <c r="AM297" s="22">
        <f t="shared" si="143"/>
        <v>2.3227424120669911</v>
      </c>
      <c r="AO297" s="44">
        <f t="shared" si="144"/>
        <v>147484448.0423556</v>
      </c>
      <c r="AP297" s="44">
        <f t="shared" si="144"/>
        <v>490052830.63062549</v>
      </c>
    </row>
    <row r="298" spans="1:42" s="1" customFormat="1" ht="15.5">
      <c r="A298" s="26" t="s">
        <v>17</v>
      </c>
      <c r="B298" s="7">
        <f>'A-TRY'!B297</f>
        <v>-239059869.28937766</v>
      </c>
      <c r="C298" s="7">
        <f>'A-TRY'!C297</f>
        <v>-190199820.33259952</v>
      </c>
      <c r="D298" s="8"/>
      <c r="E298" s="7">
        <f>B298+'A-TRY'!E297</f>
        <v>-28967168.617119521</v>
      </c>
      <c r="F298" s="7">
        <f>C298+'A-TRY'!F297</f>
        <v>-164936455.43534431</v>
      </c>
      <c r="G298" s="8"/>
      <c r="H298" s="7">
        <f>E298+'A-TRY'!H297</f>
        <v>309200188.19723046</v>
      </c>
      <c r="I298" s="7">
        <f>F298+'A-TRY'!I297</f>
        <v>90113640.236545593</v>
      </c>
      <c r="J298" s="8"/>
      <c r="K298" s="7">
        <f>H298+'A-TRY'!K297</f>
        <v>-146563329.56325388</v>
      </c>
      <c r="L298" s="7">
        <f>I298+'A-TRY'!L297</f>
        <v>-112251876.47009259</v>
      </c>
      <c r="M298" s="7"/>
      <c r="N298" s="7">
        <f>K298+'A-TRY'!N297</f>
        <v>109010670.79848927</v>
      </c>
      <c r="O298" s="7">
        <f>L298+'A-TRY'!O297</f>
        <v>-163820673.96103126</v>
      </c>
      <c r="P298" s="8"/>
      <c r="Q298" s="7">
        <f>N298+'A-TRY'!Q297</f>
        <v>278050503.30839819</v>
      </c>
      <c r="R298" s="7">
        <f>O298+'A-TRY'!R297</f>
        <v>226293627.86091179</v>
      </c>
      <c r="S298" s="8"/>
      <c r="T298" s="7">
        <f>Q298+'A-TRY'!T297</f>
        <v>-74487947.91022265</v>
      </c>
      <c r="U298" s="7">
        <f>R298+'A-TRY'!U297</f>
        <v>185568767.46536627</v>
      </c>
      <c r="V298" s="8"/>
      <c r="W298" s="7">
        <f>T298+'A-TRY'!W297</f>
        <v>402666.45979110897</v>
      </c>
      <c r="X298" s="7">
        <f>U298+'A-TRY'!X297</f>
        <v>209315460.23163423</v>
      </c>
      <c r="Y298" s="8"/>
      <c r="Z298" s="7">
        <f>W298+'A-TRY'!Z297</f>
        <v>320801919.16700417</v>
      </c>
      <c r="AA298" s="7">
        <f>X298+'A-TRY'!AA297</f>
        <v>385715834.17111319</v>
      </c>
      <c r="AB298" s="8"/>
      <c r="AC298" s="7">
        <f>Z298+'A-TRY'!AC297</f>
        <v>-147598588.39035207</v>
      </c>
      <c r="AD298" s="7">
        <f>AA298+'A-TRY'!AD297</f>
        <v>385715834.17111319</v>
      </c>
      <c r="AE298" s="8"/>
      <c r="AF298" s="7">
        <f>AC298+'A-TRY'!AF297</f>
        <v>286542382.50490195</v>
      </c>
      <c r="AG298" s="7">
        <f>AD298+'A-TRY'!AG297</f>
        <v>385715834.17111319</v>
      </c>
      <c r="AH298" s="8"/>
      <c r="AI298" s="7">
        <f>AF298+'A-TRY'!AI297</f>
        <v>339851000.8043623</v>
      </c>
      <c r="AJ298" s="7">
        <f>AG298+'A-TRY'!AJ297</f>
        <v>385715834.17111319</v>
      </c>
      <c r="AK298" s="8"/>
      <c r="AL298" s="21">
        <f t="shared" si="142"/>
        <v>64913915.004109025</v>
      </c>
      <c r="AM298" s="22">
        <f t="shared" si="143"/>
        <v>0.20234889857474925</v>
      </c>
      <c r="AO298" s="44">
        <f t="shared" si="144"/>
        <v>320801919.16700417</v>
      </c>
      <c r="AP298" s="44">
        <f t="shared" si="144"/>
        <v>385715834.17111319</v>
      </c>
    </row>
    <row r="299" spans="1:42" s="1" customFormat="1" ht="15.5">
      <c r="A299" s="26"/>
      <c r="B299" s="7"/>
      <c r="C299" s="8"/>
      <c r="D299" s="8"/>
      <c r="E299" s="7"/>
      <c r="F299" s="8"/>
      <c r="G299" s="8"/>
      <c r="H299" s="7"/>
      <c r="I299" s="8"/>
      <c r="J299" s="8"/>
      <c r="K299" s="7"/>
      <c r="L299" s="8"/>
      <c r="M299" s="8"/>
      <c r="N299" s="7"/>
      <c r="O299" s="8"/>
      <c r="P299" s="8"/>
      <c r="Q299" s="7"/>
      <c r="R299" s="8"/>
      <c r="S299" s="8"/>
      <c r="T299" s="7"/>
      <c r="U299" s="8"/>
      <c r="V299" s="8"/>
      <c r="W299" s="7"/>
      <c r="X299" s="8"/>
      <c r="Y299" s="8"/>
      <c r="Z299" s="7"/>
      <c r="AA299" s="8"/>
      <c r="AB299" s="8"/>
      <c r="AC299" s="7"/>
      <c r="AD299" s="8"/>
      <c r="AE299" s="8"/>
      <c r="AF299" s="7"/>
      <c r="AG299" s="8"/>
      <c r="AH299" s="8"/>
      <c r="AI299" s="7"/>
      <c r="AJ299" s="8"/>
      <c r="AK299" s="8"/>
      <c r="AL299" s="15"/>
      <c r="AM299" s="16"/>
      <c r="AO299" s="44"/>
      <c r="AP299" s="44"/>
    </row>
    <row r="300" spans="1:42" s="1" customFormat="1" ht="15.5">
      <c r="A300" s="26"/>
      <c r="B300" s="7"/>
      <c r="C300" s="8"/>
      <c r="D300" s="8"/>
      <c r="E300" s="7"/>
      <c r="F300" s="8"/>
      <c r="G300" s="8"/>
      <c r="H300" s="7"/>
      <c r="I300" s="8"/>
      <c r="J300" s="8"/>
      <c r="K300" s="7"/>
      <c r="L300" s="8"/>
      <c r="M300" s="8"/>
      <c r="N300" s="7"/>
      <c r="O300" s="8"/>
      <c r="P300" s="8"/>
      <c r="Q300" s="7"/>
      <c r="R300" s="8"/>
      <c r="S300" s="8"/>
      <c r="T300" s="7"/>
      <c r="U300" s="8"/>
      <c r="V300" s="8"/>
      <c r="W300" s="7"/>
      <c r="X300" s="8"/>
      <c r="Y300" s="8"/>
      <c r="Z300" s="7"/>
      <c r="AA300" s="8"/>
      <c r="AB300" s="8"/>
      <c r="AC300" s="7"/>
      <c r="AD300" s="8"/>
      <c r="AE300" s="8"/>
      <c r="AF300" s="7"/>
      <c r="AG300" s="8"/>
      <c r="AH300" s="8"/>
      <c r="AI300" s="7"/>
      <c r="AJ300" s="8"/>
      <c r="AK300" s="8"/>
      <c r="AL300" s="15"/>
      <c r="AM300" s="16"/>
      <c r="AO300" s="44"/>
      <c r="AP300" s="44"/>
    </row>
    <row r="301" spans="1:42" s="44" customFormat="1" ht="15.5">
      <c r="A301" s="31" t="s">
        <v>20</v>
      </c>
      <c r="B301" s="32">
        <f>'A-TRY'!B300</f>
        <v>-186762498.13088819</v>
      </c>
      <c r="C301" s="32">
        <f>'A-TRY'!C300</f>
        <v>-116090396.1728297</v>
      </c>
      <c r="D301" s="18"/>
      <c r="E301" s="32">
        <f>B301+'A-TRY'!E300</f>
        <v>-12968555.80332306</v>
      </c>
      <c r="F301" s="32">
        <f>C301+'A-TRY'!F300</f>
        <v>-228804884.29918367</v>
      </c>
      <c r="G301" s="18"/>
      <c r="H301" s="32">
        <f>E301+'A-TRY'!H300</f>
        <v>249278771.63501862</v>
      </c>
      <c r="I301" s="32">
        <f>F301+'A-TRY'!I300</f>
        <v>-64664876.158807516</v>
      </c>
      <c r="J301" s="18"/>
      <c r="K301" s="32">
        <f>H301+'A-TRY'!K300</f>
        <v>-108832719.96180525</v>
      </c>
      <c r="L301" s="32">
        <f>I301+'A-TRY'!L300</f>
        <v>-576088803.72329044</v>
      </c>
      <c r="M301" s="18"/>
      <c r="N301" s="32">
        <f>K301+'A-TRY'!N300</f>
        <v>113719598.62484705</v>
      </c>
      <c r="O301" s="32">
        <f>L301+'A-TRY'!O300</f>
        <v>-784924341.06380773</v>
      </c>
      <c r="P301" s="18"/>
      <c r="Q301" s="32">
        <f>N301+'A-TRY'!Q300</f>
        <v>193016139.03856483</v>
      </c>
      <c r="R301" s="32">
        <f>O301+'A-TRY'!R300</f>
        <v>-389674761.81225896</v>
      </c>
      <c r="S301" s="18"/>
      <c r="T301" s="32">
        <f>Q301+'A-TRY'!T300</f>
        <v>-95328935.953755647</v>
      </c>
      <c r="U301" s="32">
        <f>R301+'A-TRY'!U300</f>
        <v>-65255563.94400692</v>
      </c>
      <c r="V301" s="18"/>
      <c r="W301" s="32">
        <f>T301+'A-TRY'!W300</f>
        <v>122236725.71541783</v>
      </c>
      <c r="X301" s="32">
        <f>U301+'A-TRY'!X300</f>
        <v>-8748828.7730816379</v>
      </c>
      <c r="Y301" s="18"/>
      <c r="Z301" s="32">
        <f>W301+'A-TRY'!Z300</f>
        <v>225695340.32753259</v>
      </c>
      <c r="AA301" s="32">
        <f>X301+'A-TRY'!AA300</f>
        <v>131876795.26288328</v>
      </c>
      <c r="AB301" s="18"/>
      <c r="AC301" s="32">
        <f>Z301+'A-TRY'!AC300</f>
        <v>-54861640.50845474</v>
      </c>
      <c r="AD301" s="32">
        <f>AA301+'A-TRY'!AD300</f>
        <v>131876795.26288328</v>
      </c>
      <c r="AE301" s="18"/>
      <c r="AF301" s="32">
        <f>AC301+'A-TRY'!AF300</f>
        <v>240711886.21972221</v>
      </c>
      <c r="AG301" s="32">
        <f>AD301+'A-TRY'!AG300</f>
        <v>131876795.26288328</v>
      </c>
      <c r="AH301" s="18"/>
      <c r="AI301" s="32">
        <f>AF301+'A-TRY'!AI300</f>
        <v>263104911.623916</v>
      </c>
      <c r="AJ301" s="32">
        <f>AG301+'A-TRY'!AJ300</f>
        <v>131876795.26288328</v>
      </c>
      <c r="AK301" s="18"/>
      <c r="AL301" s="33">
        <f>AP301-AO301</f>
        <v>-93818545.064649314</v>
      </c>
      <c r="AM301" s="34">
        <f>AP301/AO301-1</f>
        <v>-0.41568667270001403</v>
      </c>
      <c r="AO301" s="44">
        <f>IF($A$1=$B$1,B301,IF($A$1=$E$1,E301,IF($A$1=$H$1,H301,IF($A$1=$K$1,K301,IF($A$1=$N$1,N301,IF($A$1=$Q$1,Q301,IF($A$1=$T$1,T301,IF($A$1=$W$1,W301,IF($A$1=$Z$1,Z301,IF($A$1=$AC$1,AC301,IF($A$1=$AF$1,AF301,IF($A$1=$AI$1,AI301))))))))))))</f>
        <v>225695340.32753259</v>
      </c>
      <c r="AP301" s="44">
        <f>IF($A$1=$B$1,C301,IF($A$1=$E$1,F301,IF($A$1=$H$1,I301,IF($A$1=$K$1,L301,IF($A$1=$N$1,O301,IF($A$1=$Q$1,R301,IF($A$1=$T$1,U301,IF($A$1=$W$1,X301,IF($A$1=$Z$1,AA301,IF($A$1=$AC$1,AD301,IF($A$1=$AF$1,AG301,IF($A$1=$AI$1,AJ301))))))))))))</f>
        <v>131876795.26288328</v>
      </c>
    </row>
    <row r="302" spans="1:42" s="13" customFormat="1" ht="15.5">
      <c r="A302" s="27"/>
      <c r="B302" s="30"/>
      <c r="C302" s="30" t="str">
        <f>IFERROR((C259/#REF!),"")</f>
        <v/>
      </c>
      <c r="D302" s="41"/>
      <c r="E302" s="30"/>
      <c r="F302" s="30" t="str">
        <f>IFERROR((F259/#REF!),"")</f>
        <v/>
      </c>
      <c r="G302" s="41"/>
      <c r="H302" s="30"/>
      <c r="I302" s="30" t="str">
        <f>IFERROR((I259/#REF!),"")</f>
        <v/>
      </c>
      <c r="J302" s="41"/>
      <c r="K302" s="30"/>
      <c r="L302" s="30" t="str">
        <f>IFERROR((L259/#REF!),"")</f>
        <v/>
      </c>
      <c r="M302" s="41"/>
      <c r="N302" s="30"/>
      <c r="O302" s="30" t="str">
        <f>IFERROR((O259/#REF!),"")</f>
        <v/>
      </c>
      <c r="P302" s="41"/>
      <c r="Q302" s="30"/>
      <c r="R302" s="30" t="str">
        <f>IFERROR((R259/#REF!),"")</f>
        <v/>
      </c>
      <c r="S302" s="41"/>
      <c r="T302" s="30"/>
      <c r="U302" s="30" t="str">
        <f>IFERROR((U259/#REF!),"")</f>
        <v/>
      </c>
      <c r="V302" s="41"/>
      <c r="W302" s="30"/>
      <c r="X302" s="30" t="str">
        <f>IFERROR((X259/#REF!),"")</f>
        <v/>
      </c>
      <c r="Y302" s="41"/>
      <c r="Z302" s="30"/>
      <c r="AA302" s="30" t="str">
        <f>IFERROR((AA259/#REF!),"")</f>
        <v/>
      </c>
      <c r="AB302" s="41"/>
      <c r="AC302" s="30"/>
      <c r="AD302" s="30" t="str">
        <f>IFERROR((AD259/#REF!),"")</f>
        <v/>
      </c>
      <c r="AE302" s="41"/>
      <c r="AF302" s="30"/>
      <c r="AG302" s="30" t="str">
        <f>IFERROR((AG259/#REF!),"")</f>
        <v/>
      </c>
      <c r="AH302" s="41"/>
      <c r="AI302" s="30"/>
      <c r="AJ302" s="30" t="str">
        <f>IFERROR((AJ259/#REF!),"")</f>
        <v/>
      </c>
      <c r="AK302" s="41"/>
      <c r="AL302" s="15"/>
      <c r="AM302" s="22"/>
      <c r="AO302" s="44">
        <f>IF($A$1=$B$1,B302,IF($A$1=$E$1,E302,IF($A$1=$H$1,H302,IF($A$1=$K$1,K302,IF($A$1=$N$1,N302,IF($A$1=$Q$1,Q302,IF($A$1=$T$1,T302,IF($A$1=$W$1,W302,IF($A$1=$Z$1,Z302,IF($A$1=$AC$1,AC302,IF($A$1=$AF$1,AF302,IF($A$1=$AI$1,AI302))))))))))))</f>
        <v>0</v>
      </c>
      <c r="AP302" s="44" t="str">
        <f>IF($A$1=$B$1,C302,IF($A$1=$E$1,F302,IF($A$1=$H$1,I302,IF($A$1=$K$1,L302,IF($A$1=$N$1,O302,IF($A$1=$Q$1,R302,IF($A$1=$T$1,U302,IF($A$1=$W$1,X302,IF($A$1=$Z$1,AA302,IF($A$1=$AC$1,AD302,IF($A$1=$AF$1,AG302,IF($A$1=$AI$1,AJ302))))))))))))</f>
        <v/>
      </c>
    </row>
    <row r="303" spans="1:42" s="49" customFormat="1" ht="17">
      <c r="A303" s="47" t="s">
        <v>93</v>
      </c>
      <c r="B303" s="413"/>
      <c r="C303" s="413"/>
      <c r="D303" s="413"/>
      <c r="E303" s="413"/>
      <c r="F303" s="413"/>
      <c r="G303" s="413"/>
      <c r="H303" s="413"/>
      <c r="I303" s="413"/>
      <c r="J303" s="413"/>
      <c r="K303" s="413"/>
      <c r="L303" s="413"/>
      <c r="M303" s="413"/>
      <c r="N303" s="413"/>
      <c r="O303" s="413"/>
      <c r="P303" s="413"/>
      <c r="Q303" s="413"/>
      <c r="R303" s="413"/>
      <c r="S303" s="413"/>
      <c r="T303" s="413"/>
      <c r="U303" s="413"/>
      <c r="V303" s="413"/>
      <c r="W303" s="413"/>
      <c r="X303" s="413"/>
      <c r="Y303" s="413"/>
      <c r="Z303" s="413"/>
      <c r="AA303" s="413"/>
      <c r="AB303" s="413"/>
      <c r="AC303" s="413"/>
      <c r="AD303" s="413"/>
      <c r="AE303" s="413"/>
      <c r="AF303" s="413"/>
      <c r="AG303" s="413"/>
      <c r="AH303" s="413"/>
      <c r="AI303" s="413"/>
      <c r="AJ303" s="413"/>
      <c r="AK303" s="413"/>
      <c r="AL303" s="413"/>
      <c r="AM303" s="48"/>
    </row>
    <row r="304" spans="1:42" ht="15.5">
      <c r="A304" s="26" t="s">
        <v>10</v>
      </c>
      <c r="B304" s="7">
        <f>'A-TRY'!B303</f>
        <v>9164963.3659990057</v>
      </c>
      <c r="C304" s="7">
        <f>'A-TRY'!C303</f>
        <v>11764788.871667001</v>
      </c>
      <c r="D304" s="7"/>
      <c r="E304" s="7">
        <f>B304+'A-TRY'!E303</f>
        <v>36655498.486811996</v>
      </c>
      <c r="F304" s="7">
        <f>C304+'A-TRY'!F303</f>
        <v>50811166.659167007</v>
      </c>
      <c r="G304" s="7"/>
      <c r="H304" s="7">
        <f>E304+'A-TRY'!H303</f>
        <v>3099825.4729240015</v>
      </c>
      <c r="I304" s="7">
        <f>F304+'A-TRY'!I303</f>
        <v>37660212.551666997</v>
      </c>
      <c r="J304" s="7"/>
      <c r="K304" s="7">
        <f>H304+'A-TRY'!K303</f>
        <v>9275538.0974170025</v>
      </c>
      <c r="L304" s="7">
        <f>I304+'A-TRY'!L303</f>
        <v>-317208757.76333201</v>
      </c>
      <c r="M304" s="7"/>
      <c r="N304" s="7">
        <f>K304+'A-TRY'!N303</f>
        <v>35437397.277754001</v>
      </c>
      <c r="O304" s="7">
        <f>L304+'A-TRY'!O303</f>
        <v>-292310033.81583303</v>
      </c>
      <c r="P304" s="7"/>
      <c r="Q304" s="7">
        <f>N304+'A-TRY'!Q303</f>
        <v>-31470655.671152994</v>
      </c>
      <c r="R304" s="7">
        <f>O304+'A-TRY'!R303</f>
        <v>-293896385.62583202</v>
      </c>
      <c r="S304" s="7"/>
      <c r="T304" s="7">
        <f>Q304+'A-TRY'!T303</f>
        <v>9598087.0943550095</v>
      </c>
      <c r="U304" s="7">
        <f>R304+'A-TRY'!U303</f>
        <v>62802645.696667969</v>
      </c>
      <c r="V304" s="7"/>
      <c r="W304" s="7">
        <f>T304+'A-TRY'!W303</f>
        <v>39031648.200782001</v>
      </c>
      <c r="X304" s="7">
        <f>U304+'A-TRY'!X303</f>
        <v>97331051.094168976</v>
      </c>
      <c r="Y304" s="7"/>
      <c r="Z304" s="7">
        <f>W304+'A-TRY'!Z303</f>
        <v>5749698.2140759937</v>
      </c>
      <c r="AA304" s="7">
        <f>X304+'A-TRY'!AA303</f>
        <v>80734499.401668996</v>
      </c>
      <c r="AB304" s="7"/>
      <c r="AC304" s="7">
        <f>Z304+'A-TRY'!AC303</f>
        <v>10184513.226217002</v>
      </c>
      <c r="AD304" s="7">
        <f>AA304+'A-TRY'!AD303</f>
        <v>80734499.401668996</v>
      </c>
      <c r="AE304" s="7"/>
      <c r="AF304" s="7">
        <f>AC304+'A-TRY'!AF303</f>
        <v>50544292.040437005</v>
      </c>
      <c r="AG304" s="7">
        <f>AD304+'A-TRY'!AG303</f>
        <v>80734499.401668996</v>
      </c>
      <c r="AH304" s="7"/>
      <c r="AI304" s="7">
        <f>AF304+'A-TRY'!AI303</f>
        <v>-61575365.181918986</v>
      </c>
      <c r="AJ304" s="7">
        <f>AG304+'A-TRY'!AJ303</f>
        <v>80734499.401668996</v>
      </c>
      <c r="AK304" s="7"/>
      <c r="AL304" s="21">
        <f t="shared" ref="AL304:AL311" si="145">AP304-AO304</f>
        <v>74984801.187592998</v>
      </c>
      <c r="AM304" s="22">
        <f t="shared" ref="AM304:AM311" si="146">AP304/AO304-1</f>
        <v>13.04151946688622</v>
      </c>
      <c r="AO304" s="44">
        <f t="shared" ref="AO304:AP311" si="147">IF($A$1=$B$1,B304,IF($A$1=$E$1,E304,IF($A$1=$H$1,H304,IF($A$1=$K$1,K304,IF($A$1=$N$1,N304,IF($A$1=$Q$1,Q304,IF($A$1=$T$1,T304,IF($A$1=$W$1,W304,IF($A$1=$Z$1,Z304,IF($A$1=$AC$1,AC304,IF($A$1=$AF$1,AF304,IF($A$1=$AI$1,AI304))))))))))))</f>
        <v>5749698.2140759937</v>
      </c>
      <c r="AP304" s="44">
        <f t="shared" si="147"/>
        <v>80734499.401668996</v>
      </c>
    </row>
    <row r="305" spans="1:42" ht="15.5">
      <c r="A305" s="26" t="s">
        <v>11</v>
      </c>
      <c r="B305" s="7">
        <f>'A-TRY'!B304</f>
        <v>-27131363.887877002</v>
      </c>
      <c r="C305" s="7">
        <f>'A-TRY'!C304</f>
        <v>-12685688.501733989</v>
      </c>
      <c r="D305" s="7"/>
      <c r="E305" s="7">
        <f>B305+'A-TRY'!E304</f>
        <v>-12323734.605193</v>
      </c>
      <c r="F305" s="7">
        <f>C305+'A-TRY'!F304</f>
        <v>-16129768.131601006</v>
      </c>
      <c r="G305" s="7"/>
      <c r="H305" s="7">
        <f>E305+'A-TRY'!H304</f>
        <v>-7093838.8924940163</v>
      </c>
      <c r="I305" s="7">
        <f>F305+'A-TRY'!I304</f>
        <v>-15087203.007975005</v>
      </c>
      <c r="J305" s="7"/>
      <c r="K305" s="7">
        <f>H305+'A-TRY'!K304</f>
        <v>6666765.4957720181</v>
      </c>
      <c r="L305" s="7">
        <f>I305+'A-TRY'!L304</f>
        <v>-24369760.351722986</v>
      </c>
      <c r="M305" s="7"/>
      <c r="N305" s="7">
        <f>K305+'A-TRY'!N304</f>
        <v>3128677.3231330011</v>
      </c>
      <c r="O305" s="7">
        <f>L305+'A-TRY'!O304</f>
        <v>-33774619.031747997</v>
      </c>
      <c r="P305" s="7"/>
      <c r="Q305" s="7">
        <f>N305+'A-TRY'!Q304</f>
        <v>20311563.126284994</v>
      </c>
      <c r="R305" s="7">
        <f>O305+'A-TRY'!R304</f>
        <v>-38199760.85620299</v>
      </c>
      <c r="S305" s="7"/>
      <c r="T305" s="7">
        <f>Q305+'A-TRY'!T304</f>
        <v>13621259.232413011</v>
      </c>
      <c r="U305" s="7">
        <f>R305+'A-TRY'!U304</f>
        <v>-30199071.589153998</v>
      </c>
      <c r="V305" s="7"/>
      <c r="W305" s="7">
        <f>T305+'A-TRY'!W304</f>
        <v>9878234.8633949943</v>
      </c>
      <c r="X305" s="7">
        <f>U305+'A-TRY'!X304</f>
        <v>-37224139.815253995</v>
      </c>
      <c r="Y305" s="7"/>
      <c r="Z305" s="7">
        <f>W305+'A-TRY'!Z304</f>
        <v>6700747.5940829981</v>
      </c>
      <c r="AA305" s="7">
        <f>X305+'A-TRY'!AA304</f>
        <v>-31966567.414326996</v>
      </c>
      <c r="AB305" s="7"/>
      <c r="AC305" s="7">
        <f>Z305+'A-TRY'!AC304</f>
        <v>7445177.834073999</v>
      </c>
      <c r="AD305" s="7">
        <f>AA305+'A-TRY'!AD304</f>
        <v>-31966567.414326996</v>
      </c>
      <c r="AE305" s="7"/>
      <c r="AF305" s="7">
        <f>AC305+'A-TRY'!AF304</f>
        <v>-6048578.0960290087</v>
      </c>
      <c r="AG305" s="7">
        <f>AD305+'A-TRY'!AG304</f>
        <v>-31966567.414326996</v>
      </c>
      <c r="AH305" s="7"/>
      <c r="AI305" s="7">
        <f>AF305+'A-TRY'!AI304</f>
        <v>-246514.38750499208</v>
      </c>
      <c r="AJ305" s="7">
        <f>AG305+'A-TRY'!AJ304</f>
        <v>-31966567.414326996</v>
      </c>
      <c r="AK305" s="7"/>
      <c r="AL305" s="21">
        <f t="shared" si="145"/>
        <v>-38667315.008409992</v>
      </c>
      <c r="AM305" s="22">
        <f t="shared" si="146"/>
        <v>-5.7705971558389439</v>
      </c>
      <c r="AO305" s="44">
        <f t="shared" si="147"/>
        <v>6700747.5940829981</v>
      </c>
      <c r="AP305" s="44">
        <f t="shared" si="147"/>
        <v>-31966567.414326996</v>
      </c>
    </row>
    <row r="306" spans="1:42" ht="15.5">
      <c r="A306" s="26" t="s">
        <v>12</v>
      </c>
      <c r="B306" s="7">
        <f>'A-TRY'!B305</f>
        <v>-21630091.228491977</v>
      </c>
      <c r="C306" s="7">
        <f>'A-TRY'!C305</f>
        <v>-1118153.8424719735</v>
      </c>
      <c r="D306" s="7"/>
      <c r="E306" s="7">
        <f>B306+'A-TRY'!E305</f>
        <v>-28713558.847461544</v>
      </c>
      <c r="F306" s="7">
        <f>C306+'A-TRY'!F305</f>
        <v>-6634247.7290239949</v>
      </c>
      <c r="G306" s="7"/>
      <c r="H306" s="7">
        <f>E306+'A-TRY'!H305</f>
        <v>-27426542.072049089</v>
      </c>
      <c r="I306" s="7">
        <f>F306+'A-TRY'!I305</f>
        <v>10283141.298100015</v>
      </c>
      <c r="J306" s="7"/>
      <c r="K306" s="7">
        <f>H306+'A-TRY'!K305</f>
        <v>-29885914.71363882</v>
      </c>
      <c r="L306" s="7">
        <f>I306+'A-TRY'!L305</f>
        <v>-11291093.911143975</v>
      </c>
      <c r="M306" s="7"/>
      <c r="N306" s="7">
        <f>K306+'A-TRY'!N305</f>
        <v>-32182154.724300835</v>
      </c>
      <c r="O306" s="7">
        <f>L306+'A-TRY'!O305</f>
        <v>-9753078.3002849631</v>
      </c>
      <c r="P306" s="7"/>
      <c r="Q306" s="7">
        <f>N306+'A-TRY'!Q305</f>
        <v>-26251964.283680063</v>
      </c>
      <c r="R306" s="7">
        <f>O306+'A-TRY'!R305</f>
        <v>-9406838.2810409777</v>
      </c>
      <c r="S306" s="7"/>
      <c r="T306" s="7">
        <f>Q306+'A-TRY'!T305</f>
        <v>-30636105.788999032</v>
      </c>
      <c r="U306" s="7">
        <f>R306+'A-TRY'!U305</f>
        <v>-22765167.393636972</v>
      </c>
      <c r="V306" s="7"/>
      <c r="W306" s="7">
        <f>T306+'A-TRY'!W305</f>
        <v>-23891085.293229848</v>
      </c>
      <c r="X306" s="7">
        <f>U306+'A-TRY'!X305</f>
        <v>-9050287.1031719744</v>
      </c>
      <c r="Y306" s="7"/>
      <c r="Z306" s="7">
        <f>W306+'A-TRY'!Z305</f>
        <v>-17634708.094999272</v>
      </c>
      <c r="AA306" s="7">
        <f>X306+'A-TRY'!AA305</f>
        <v>-7207648.5556429718</v>
      </c>
      <c r="AB306" s="7"/>
      <c r="AC306" s="7">
        <f>Z306+'A-TRY'!AC305</f>
        <v>-28185493.947445374</v>
      </c>
      <c r="AD306" s="7">
        <f>AA306+'A-TRY'!AD305</f>
        <v>-7207648.5556429718</v>
      </c>
      <c r="AE306" s="7"/>
      <c r="AF306" s="7">
        <f>AC306+'A-TRY'!AF305</f>
        <v>-26811486.714631192</v>
      </c>
      <c r="AG306" s="7">
        <f>AD306+'A-TRY'!AG305</f>
        <v>-7207648.5556429718</v>
      </c>
      <c r="AH306" s="7"/>
      <c r="AI306" s="7">
        <f>AF306+'A-TRY'!AI305</f>
        <v>-26243867.01109137</v>
      </c>
      <c r="AJ306" s="7">
        <f>AG306+'A-TRY'!AJ305</f>
        <v>-7207648.5556429718</v>
      </c>
      <c r="AK306" s="7"/>
      <c r="AL306" s="21">
        <f t="shared" si="145"/>
        <v>10427059.539356301</v>
      </c>
      <c r="AM306" s="22">
        <f t="shared" si="146"/>
        <v>-0.59128052946411591</v>
      </c>
      <c r="AO306" s="44">
        <f t="shared" si="147"/>
        <v>-17634708.094999272</v>
      </c>
      <c r="AP306" s="44">
        <f t="shared" si="147"/>
        <v>-7207648.5556429718</v>
      </c>
    </row>
    <row r="307" spans="1:42" ht="15.5">
      <c r="A307" s="26" t="s">
        <v>13</v>
      </c>
      <c r="B307" s="7">
        <f>'A-TRY'!B306</f>
        <v>-173052116.30844414</v>
      </c>
      <c r="C307" s="7">
        <f>'A-TRY'!C306</f>
        <v>-145320266.79825038</v>
      </c>
      <c r="D307" s="7"/>
      <c r="E307" s="7">
        <f>B307+'A-TRY'!E306</f>
        <v>36412709.898115277</v>
      </c>
      <c r="F307" s="7">
        <f>C307+'A-TRY'!F306</f>
        <v>-349041195.87628436</v>
      </c>
      <c r="G307" s="7"/>
      <c r="H307" s="7">
        <f>E307+'A-TRY'!H306</f>
        <v>47749035.471484728</v>
      </c>
      <c r="I307" s="7">
        <f>F307+'A-TRY'!I306</f>
        <v>-293374628.11855525</v>
      </c>
      <c r="J307" s="7"/>
      <c r="K307" s="7">
        <f>H307+'A-TRY'!K306</f>
        <v>65133948.013233118</v>
      </c>
      <c r="L307" s="7">
        <f>I307+'A-TRY'!L306</f>
        <v>-214096981.9638662</v>
      </c>
      <c r="M307" s="7"/>
      <c r="N307" s="7">
        <f>K307+'A-TRY'!N306</f>
        <v>68734131.687011525</v>
      </c>
      <c r="O307" s="7">
        <f>L307+'A-TRY'!O306</f>
        <v>-578551807.2458849</v>
      </c>
      <c r="P307" s="7"/>
      <c r="Q307" s="7">
        <f>N307+'A-TRY'!Q306</f>
        <v>37503873.919644691</v>
      </c>
      <c r="R307" s="7">
        <f>O307+'A-TRY'!R306</f>
        <v>-274787123.94462115</v>
      </c>
      <c r="S307" s="7"/>
      <c r="T307" s="7">
        <f>Q307+'A-TRY'!T306</f>
        <v>-140934779.48483884</v>
      </c>
      <c r="U307" s="7">
        <f>R307+'A-TRY'!U306</f>
        <v>-350310558.83241212</v>
      </c>
      <c r="V307" s="7"/>
      <c r="W307" s="7">
        <f>T307+'A-TRY'!W306</f>
        <v>113745994.8033109</v>
      </c>
      <c r="X307" s="7">
        <f>U307+'A-TRY'!X306</f>
        <v>-350880539.20215708</v>
      </c>
      <c r="Y307" s="7"/>
      <c r="Z307" s="7">
        <f>W307+'A-TRY'!Z306</f>
        <v>-37755775.988841206</v>
      </c>
      <c r="AA307" s="7">
        <f>X307+'A-TRY'!AA306</f>
        <v>-231062200.69574094</v>
      </c>
      <c r="AB307" s="7"/>
      <c r="AC307" s="7">
        <f>Z307+'A-TRY'!AC306</f>
        <v>132398890.15103176</v>
      </c>
      <c r="AD307" s="7">
        <f>AA307+'A-TRY'!AD306</f>
        <v>-231062200.69574094</v>
      </c>
      <c r="AE307" s="7"/>
      <c r="AF307" s="7">
        <f>AC307+'A-TRY'!AF306</f>
        <v>119325592.8977854</v>
      </c>
      <c r="AG307" s="7">
        <f>AD307+'A-TRY'!AG306</f>
        <v>-231062200.69574094</v>
      </c>
      <c r="AH307" s="7"/>
      <c r="AI307" s="7">
        <f>AF307+'A-TRY'!AI306</f>
        <v>134118861.19936906</v>
      </c>
      <c r="AJ307" s="7">
        <f>AG307+'A-TRY'!AJ306</f>
        <v>-231062200.69574094</v>
      </c>
      <c r="AK307" s="7"/>
      <c r="AL307" s="21">
        <f t="shared" si="145"/>
        <v>-193306424.70689973</v>
      </c>
      <c r="AM307" s="22">
        <f t="shared" si="146"/>
        <v>5.1199166126007274</v>
      </c>
      <c r="AO307" s="44">
        <f t="shared" si="147"/>
        <v>-37755775.988841206</v>
      </c>
      <c r="AP307" s="44">
        <f t="shared" si="147"/>
        <v>-231062200.69574094</v>
      </c>
    </row>
    <row r="308" spans="1:42" s="1" customFormat="1" ht="15.5">
      <c r="A308" s="26" t="s">
        <v>14</v>
      </c>
      <c r="B308" s="7">
        <f>'A-TRY'!B307</f>
        <v>45770316.429921031</v>
      </c>
      <c r="C308" s="7">
        <f>'A-TRY'!C307</f>
        <v>5589296.219914902</v>
      </c>
      <c r="D308" s="8"/>
      <c r="E308" s="7">
        <f>B308+'A-TRY'!E307</f>
        <v>12120342.121270984</v>
      </c>
      <c r="F308" s="7">
        <f>C308+'A-TRY'!F307</f>
        <v>-1696542.5844050525</v>
      </c>
      <c r="G308" s="8"/>
      <c r="H308" s="7">
        <f>E308+'A-TRY'!H307</f>
        <v>40326153.544396065</v>
      </c>
      <c r="I308" s="7">
        <f>F308+'A-TRY'!I307</f>
        <v>59983752.405164987</v>
      </c>
      <c r="J308" s="8"/>
      <c r="K308" s="7">
        <f>H308+'A-TRY'!K307</f>
        <v>25666333.023970861</v>
      </c>
      <c r="L308" s="7">
        <f>I308+'A-TRY'!L307</f>
        <v>79719212.565926045</v>
      </c>
      <c r="M308" s="8"/>
      <c r="N308" s="7">
        <f>K308+'A-TRY'!N307</f>
        <v>22534092.073146425</v>
      </c>
      <c r="O308" s="7">
        <f>L308+'A-TRY'!O307</f>
        <v>44401047.086988926</v>
      </c>
      <c r="P308" s="8"/>
      <c r="Q308" s="7">
        <f>N308+'A-TRY'!Q307</f>
        <v>55568523.464301087</v>
      </c>
      <c r="R308" s="7">
        <f>O308+'A-TRY'!R307</f>
        <v>70303966.011851013</v>
      </c>
      <c r="S308" s="8"/>
      <c r="T308" s="7">
        <f>Q308+'A-TRY'!T307</f>
        <v>31563043.522952236</v>
      </c>
      <c r="U308" s="7">
        <f>R308+'A-TRY'!U307</f>
        <v>114409827.66355504</v>
      </c>
      <c r="V308" s="8"/>
      <c r="W308" s="7">
        <f>T308+'A-TRY'!W307</f>
        <v>53363951.792802602</v>
      </c>
      <c r="X308" s="7">
        <f>U308+'A-TRY'!X307</f>
        <v>125145542.7551201</v>
      </c>
      <c r="Y308" s="8"/>
      <c r="Z308" s="7">
        <f>W308+'A-TRY'!Z307</f>
        <v>66119107.926620707</v>
      </c>
      <c r="AA308" s="7">
        <f>X308+'A-TRY'!AA307</f>
        <v>110235450.44959503</v>
      </c>
      <c r="AB308" s="8"/>
      <c r="AC308" s="7">
        <f>Z308+'A-TRY'!AC307</f>
        <v>36977630.398938306</v>
      </c>
      <c r="AD308" s="7">
        <f>AA308+'A-TRY'!AD307</f>
        <v>110235450.44959503</v>
      </c>
      <c r="AE308" s="8"/>
      <c r="AF308" s="7">
        <f>AC308+'A-TRY'!AF307</f>
        <v>81012175.393897891</v>
      </c>
      <c r="AG308" s="7">
        <f>AD308+'A-TRY'!AG307</f>
        <v>110235450.44959503</v>
      </c>
      <c r="AH308" s="8"/>
      <c r="AI308" s="7">
        <f>AF308+'A-TRY'!AI307</f>
        <v>97582864.839772016</v>
      </c>
      <c r="AJ308" s="7">
        <f>AG308+'A-TRY'!AJ307</f>
        <v>110235450.44959503</v>
      </c>
      <c r="AK308" s="8"/>
      <c r="AL308" s="21">
        <f t="shared" si="145"/>
        <v>44116342.522974327</v>
      </c>
      <c r="AM308" s="22">
        <f t="shared" si="146"/>
        <v>0.66722531362544779</v>
      </c>
      <c r="AO308" s="44">
        <f t="shared" si="147"/>
        <v>66119107.926620707</v>
      </c>
      <c r="AP308" s="44">
        <f t="shared" si="147"/>
        <v>110235450.44959503</v>
      </c>
    </row>
    <row r="309" spans="1:42" ht="15.5">
      <c r="A309" s="26" t="s">
        <v>15</v>
      </c>
      <c r="B309" s="7">
        <f>'A-TRY'!B308</f>
        <v>-130263852.97393821</v>
      </c>
      <c r="C309" s="7">
        <f>'A-TRY'!C308</f>
        <v>45863237.828684323</v>
      </c>
      <c r="D309" s="7"/>
      <c r="E309" s="7">
        <f>B309+'A-TRY'!E308</f>
        <v>6534685.3615526408</v>
      </c>
      <c r="F309" s="7">
        <f>C309+'A-TRY'!F308</f>
        <v>-63630833.953142472</v>
      </c>
      <c r="G309" s="7"/>
      <c r="H309" s="7">
        <f>E309+'A-TRY'!H308</f>
        <v>54930505.782653816</v>
      </c>
      <c r="I309" s="7">
        <f>F309+'A-TRY'!I308</f>
        <v>-137445237.23597917</v>
      </c>
      <c r="J309" s="7"/>
      <c r="K309" s="7">
        <f>H309+'A-TRY'!K308</f>
        <v>-99914965.383382201</v>
      </c>
      <c r="L309" s="7">
        <f>I309+'A-TRY'!L308</f>
        <v>-210071868.24388656</v>
      </c>
      <c r="M309" s="7"/>
      <c r="N309" s="7">
        <f>K309+'A-TRY'!N308</f>
        <v>27639105.424734235</v>
      </c>
      <c r="O309" s="7">
        <f>L309+'A-TRY'!O308</f>
        <v>-266151197.86292374</v>
      </c>
      <c r="P309" s="7"/>
      <c r="Q309" s="7">
        <f>N309+'A-TRY'!Q308</f>
        <v>73697235.882050931</v>
      </c>
      <c r="R309" s="7">
        <f>O309+'A-TRY'!R308</f>
        <v>-172401944.64663586</v>
      </c>
      <c r="S309" s="7"/>
      <c r="T309" s="7">
        <f>Q309+'A-TRY'!T308</f>
        <v>7257532.9361697733</v>
      </c>
      <c r="U309" s="7">
        <f>R309+'A-TRY'!U308</f>
        <v>22809634.202637136</v>
      </c>
      <c r="V309" s="7"/>
      <c r="W309" s="7">
        <f>T309+'A-TRY'!W308</f>
        <v>39502400.882400468</v>
      </c>
      <c r="X309" s="7">
        <f>U309+'A-TRY'!X308</f>
        <v>99760783.31110847</v>
      </c>
      <c r="Y309" s="7"/>
      <c r="Z309" s="7">
        <f>W309+'A-TRY'!Z308</f>
        <v>114156292.20879263</v>
      </c>
      <c r="AA309" s="7">
        <f>X309+'A-TRY'!AA308</f>
        <v>21697585.529162198</v>
      </c>
      <c r="AB309" s="7"/>
      <c r="AC309" s="7">
        <f>Z309+'A-TRY'!AC308</f>
        <v>6697266.3561080694</v>
      </c>
      <c r="AD309" s="7">
        <f>AA309+'A-TRY'!AD308</f>
        <v>21697585.529162198</v>
      </c>
      <c r="AE309" s="7"/>
      <c r="AF309" s="7">
        <f>AC309+'A-TRY'!AF308</f>
        <v>82179525.525094807</v>
      </c>
      <c r="AG309" s="7">
        <f>AD309+'A-TRY'!AG308</f>
        <v>21697585.529162198</v>
      </c>
      <c r="AH309" s="7"/>
      <c r="AI309" s="7">
        <f>AF309+'A-TRY'!AI308</f>
        <v>192192604.70193845</v>
      </c>
      <c r="AJ309" s="7">
        <f>AG309+'A-TRY'!AJ308</f>
        <v>21697585.529162198</v>
      </c>
      <c r="AK309" s="7"/>
      <c r="AL309" s="21">
        <f t="shared" si="145"/>
        <v>-92458706.679630429</v>
      </c>
      <c r="AM309" s="22">
        <f t="shared" si="146"/>
        <v>-0.80993088414717285</v>
      </c>
      <c r="AO309" s="44">
        <f t="shared" si="147"/>
        <v>114156292.20879263</v>
      </c>
      <c r="AP309" s="44">
        <f t="shared" si="147"/>
        <v>21697585.529162198</v>
      </c>
    </row>
    <row r="310" spans="1:42" s="1" customFormat="1" ht="15.5">
      <c r="A310" s="26" t="s">
        <v>16</v>
      </c>
      <c r="B310" s="7">
        <f>'A-TRY'!B309</f>
        <v>141129994.19054344</v>
      </c>
      <c r="C310" s="7">
        <f>'A-TRY'!C309</f>
        <v>2676018.506822105</v>
      </c>
      <c r="D310" s="8"/>
      <c r="E310" s="7">
        <f>B310+'A-TRY'!E309</f>
        <v>-36179001.657520682</v>
      </c>
      <c r="F310" s="7">
        <f>C310+'A-TRY'!F309</f>
        <v>-56512982.961664274</v>
      </c>
      <c r="G310" s="8"/>
      <c r="H310" s="7">
        <f>E310+'A-TRY'!H309</f>
        <v>262804221.12082919</v>
      </c>
      <c r="I310" s="7">
        <f>F310+'A-TRY'!I309</f>
        <v>49428962.653728485</v>
      </c>
      <c r="J310" s="8"/>
      <c r="K310" s="7">
        <f>H310+'A-TRY'!K309</f>
        <v>-76103459.59395656</v>
      </c>
      <c r="L310" s="7">
        <f>I310+'A-TRY'!L309</f>
        <v>-53796976.447394282</v>
      </c>
      <c r="M310" s="8"/>
      <c r="N310" s="7">
        <f>K310+'A-TRY'!N309</f>
        <v>54007208.28727071</v>
      </c>
      <c r="O310" s="7">
        <f>L310+'A-TRY'!O309</f>
        <v>-99845267.097787783</v>
      </c>
      <c r="P310" s="8"/>
      <c r="Q310" s="7">
        <f>N310+'A-TRY'!Q309</f>
        <v>139767720.2933872</v>
      </c>
      <c r="R310" s="7">
        <f>O310+'A-TRY'!R309</f>
        <v>93648950.230768457</v>
      </c>
      <c r="S310" s="8"/>
      <c r="T310" s="7">
        <f>Q310+'A-TRY'!T309</f>
        <v>-20729379.492872298</v>
      </c>
      <c r="U310" s="7">
        <f>R310+'A-TRY'!U309</f>
        <v>-90852026.493648514</v>
      </c>
      <c r="V310" s="8"/>
      <c r="W310" s="7">
        <f>T310+'A-TRY'!W309</f>
        <v>50727857.90287137</v>
      </c>
      <c r="X310" s="7">
        <f>U310+'A-TRY'!X309</f>
        <v>-149652913.56413996</v>
      </c>
      <c r="Y310" s="8"/>
      <c r="Z310" s="7">
        <f>W310+'A-TRY'!Z309</f>
        <v>132300960.24235559</v>
      </c>
      <c r="AA310" s="7">
        <f>X310+'A-TRY'!AA309</f>
        <v>31846144.146002531</v>
      </c>
      <c r="AB310" s="8"/>
      <c r="AC310" s="7">
        <f>Z310+'A-TRY'!AC309</f>
        <v>-124980613.30897722</v>
      </c>
      <c r="AD310" s="7">
        <f>AA310+'A-TRY'!AD309</f>
        <v>31846144.146002531</v>
      </c>
      <c r="AE310" s="8"/>
      <c r="AF310" s="7">
        <f>AC310+'A-TRY'!AF309</f>
        <v>-3253813.3568167388</v>
      </c>
      <c r="AG310" s="7">
        <f>AD310+'A-TRY'!AG309</f>
        <v>31846144.146002531</v>
      </c>
      <c r="AH310" s="8"/>
      <c r="AI310" s="7">
        <f>AF310+'A-TRY'!AI309</f>
        <v>126020980.49563633</v>
      </c>
      <c r="AJ310" s="7">
        <f>AG310+'A-TRY'!AJ309</f>
        <v>31846144.146002531</v>
      </c>
      <c r="AK310" s="8"/>
      <c r="AL310" s="21">
        <f t="shared" si="145"/>
        <v>-100454816.09635305</v>
      </c>
      <c r="AM310" s="22">
        <f t="shared" si="146"/>
        <v>-0.75929015112463916</v>
      </c>
      <c r="AO310" s="44">
        <f t="shared" si="147"/>
        <v>132300960.24235559</v>
      </c>
      <c r="AP310" s="44">
        <f t="shared" si="147"/>
        <v>31846144.146002531</v>
      </c>
    </row>
    <row r="311" spans="1:42" s="1" customFormat="1" ht="15.5">
      <c r="A311" s="26" t="s">
        <v>17</v>
      </c>
      <c r="B311" s="7">
        <f>'A-TRY'!B310</f>
        <v>-251499357.28937766</v>
      </c>
      <c r="C311" s="7">
        <f>'A-TRY'!C310</f>
        <v>-193936642.50789782</v>
      </c>
      <c r="D311" s="8"/>
      <c r="E311" s="7">
        <f>B311+'A-TRY'!E310</f>
        <v>-40355637.817119509</v>
      </c>
      <c r="F311" s="7">
        <f>C311+'A-TRY'!F310</f>
        <v>-171248532.36881796</v>
      </c>
      <c r="G311" s="8"/>
      <c r="H311" s="7">
        <f>E311+'A-TRY'!H310</f>
        <v>295938401.89723051</v>
      </c>
      <c r="I311" s="7">
        <f>F311+'A-TRY'!I310</f>
        <v>77604582.794142246</v>
      </c>
      <c r="J311" s="8"/>
      <c r="K311" s="7">
        <f>H311+'A-TRY'!K310</f>
        <v>-152004628.16325384</v>
      </c>
      <c r="L311" s="7">
        <f>I311+'A-TRY'!L310</f>
        <v>-159801365.15350747</v>
      </c>
      <c r="M311" s="8"/>
      <c r="N311" s="7">
        <f>K311+'A-TRY'!N310</f>
        <v>95424659.398489296</v>
      </c>
      <c r="O311" s="7">
        <f>L311+'A-TRY'!O310</f>
        <v>-222569299.67024645</v>
      </c>
      <c r="P311" s="8"/>
      <c r="Q311" s="7">
        <f>N311+'A-TRY'!Q310</f>
        <v>269530636.10839826</v>
      </c>
      <c r="R311" s="7">
        <f>O311+'A-TRY'!R310</f>
        <v>162806709.7256805</v>
      </c>
      <c r="S311" s="8"/>
      <c r="T311" s="7">
        <f>Q311+'A-TRY'!T310</f>
        <v>-96936858.710222542</v>
      </c>
      <c r="U311" s="7">
        <f>R311+'A-TRY'!U310</f>
        <v>116208196.81515887</v>
      </c>
      <c r="V311" s="8"/>
      <c r="W311" s="7">
        <f>T311+'A-TRY'!W310</f>
        <v>-14295385.520208776</v>
      </c>
      <c r="X311" s="7">
        <f>U311+'A-TRY'!X310</f>
        <v>126113494.32800707</v>
      </c>
      <c r="Y311" s="8"/>
      <c r="Z311" s="7">
        <f>W311+'A-TRY'!Z310</f>
        <v>302378422.14700431</v>
      </c>
      <c r="AA311" s="7">
        <f>X311+'A-TRY'!AA310</f>
        <v>293074300.14894199</v>
      </c>
      <c r="AB311" s="8"/>
      <c r="AC311" s="7">
        <f>Z311+'A-TRY'!AC310</f>
        <v>-161857767.65035194</v>
      </c>
      <c r="AD311" s="7">
        <f>AA311+'A-TRY'!AD310</f>
        <v>293074300.14894199</v>
      </c>
      <c r="AE311" s="8"/>
      <c r="AF311" s="7">
        <f>AC311+'A-TRY'!AF310</f>
        <v>278305667.01490206</v>
      </c>
      <c r="AG311" s="7">
        <f>AD311+'A-TRY'!AG310</f>
        <v>293074300.14894199</v>
      </c>
      <c r="AH311" s="8"/>
      <c r="AI311" s="7">
        <f>AF311+'A-TRY'!AI310</f>
        <v>328011334.27436239</v>
      </c>
      <c r="AJ311" s="7">
        <f>AG311+'A-TRY'!AJ310</f>
        <v>293074300.14894199</v>
      </c>
      <c r="AK311" s="8"/>
      <c r="AL311" s="21">
        <f t="shared" si="145"/>
        <v>-9304121.9980623126</v>
      </c>
      <c r="AM311" s="22">
        <f t="shared" si="146"/>
        <v>-3.0769794788925164E-2</v>
      </c>
      <c r="AO311" s="44">
        <f t="shared" si="147"/>
        <v>302378422.14700431</v>
      </c>
      <c r="AP311" s="44">
        <f t="shared" si="147"/>
        <v>293074300.14894199</v>
      </c>
    </row>
    <row r="312" spans="1:42" s="1" customFormat="1" ht="15.5">
      <c r="A312" s="26"/>
      <c r="B312" s="7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7"/>
      <c r="R312" s="8"/>
      <c r="S312" s="8"/>
      <c r="T312" s="7"/>
      <c r="U312" s="8"/>
      <c r="V312" s="8"/>
      <c r="W312" s="7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15"/>
      <c r="AM312" s="16"/>
      <c r="AO312" s="44"/>
      <c r="AP312" s="44"/>
    </row>
    <row r="313" spans="1:42" s="1" customFormat="1" ht="15.5">
      <c r="A313" s="26"/>
      <c r="B313" s="7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7"/>
      <c r="R313" s="8"/>
      <c r="S313" s="8"/>
      <c r="T313" s="7"/>
      <c r="U313" s="8"/>
      <c r="V313" s="8"/>
      <c r="W313" s="7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15"/>
      <c r="AM313" s="16"/>
      <c r="AO313" s="44"/>
      <c r="AP313" s="44"/>
    </row>
    <row r="314" spans="1:42" s="1" customFormat="1" ht="15.5">
      <c r="A314" s="26"/>
      <c r="B314" s="7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7"/>
      <c r="R314" s="8"/>
      <c r="S314" s="8"/>
      <c r="T314" s="7"/>
      <c r="U314" s="8"/>
      <c r="V314" s="8"/>
      <c r="W314" s="7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15"/>
      <c r="AM314" s="16"/>
      <c r="AO314" s="44"/>
      <c r="AP314" s="44"/>
    </row>
    <row r="315" spans="1:42" s="1" customFormat="1" ht="15.5">
      <c r="A315" s="26"/>
      <c r="B315" s="7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7"/>
      <c r="R315" s="8"/>
      <c r="S315" s="8"/>
      <c r="T315" s="7"/>
      <c r="U315" s="8"/>
      <c r="V315" s="8"/>
      <c r="W315" s="7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15"/>
      <c r="AM315" s="16"/>
      <c r="AO315" s="44"/>
      <c r="AP315" s="44"/>
    </row>
    <row r="316" spans="1:42" s="1" customFormat="1" ht="15.5">
      <c r="A316" s="26"/>
      <c r="B316" s="7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7"/>
      <c r="R316" s="8"/>
      <c r="S316" s="8"/>
      <c r="T316" s="7"/>
      <c r="U316" s="8"/>
      <c r="V316" s="8"/>
      <c r="W316" s="7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15"/>
      <c r="AM316" s="16"/>
      <c r="AO316" s="44"/>
      <c r="AP316" s="44"/>
    </row>
    <row r="317" spans="1:42" s="1" customFormat="1" ht="15.5">
      <c r="A317" s="26"/>
      <c r="B317" s="7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7"/>
      <c r="R317" s="8"/>
      <c r="S317" s="8"/>
      <c r="T317" s="7"/>
      <c r="U317" s="8"/>
      <c r="V317" s="8"/>
      <c r="W317" s="7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15"/>
      <c r="AM317" s="16"/>
      <c r="AO317" s="44"/>
      <c r="AP317" s="44"/>
    </row>
    <row r="318" spans="1:42" s="1" customFormat="1" ht="15.5">
      <c r="A318" s="26"/>
      <c r="B318" s="7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7"/>
      <c r="R318" s="8"/>
      <c r="S318" s="8"/>
      <c r="T318" s="7"/>
      <c r="U318" s="8"/>
      <c r="V318" s="8"/>
      <c r="W318" s="7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15"/>
      <c r="AM318" s="16"/>
      <c r="AO318" s="44"/>
      <c r="AP318" s="44"/>
    </row>
    <row r="319" spans="1:42" s="1" customFormat="1" ht="15.5">
      <c r="A319" s="26"/>
      <c r="B319" s="7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7"/>
      <c r="R319" s="8"/>
      <c r="S319" s="8"/>
      <c r="T319" s="7"/>
      <c r="U319" s="8"/>
      <c r="V319" s="8"/>
      <c r="W319" s="7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15"/>
      <c r="AM319" s="16"/>
      <c r="AO319" s="44"/>
      <c r="AP319" s="44"/>
    </row>
    <row r="320" spans="1:42" s="1" customFormat="1" ht="15.5">
      <c r="A320" s="26"/>
      <c r="B320" s="7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7"/>
      <c r="R320" s="8"/>
      <c r="S320" s="8"/>
      <c r="T320" s="7"/>
      <c r="U320" s="8"/>
      <c r="V320" s="8"/>
      <c r="W320" s="7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15"/>
      <c r="AM320" s="16"/>
      <c r="AO320" s="44"/>
      <c r="AP320" s="44"/>
    </row>
    <row r="321" spans="1:42" s="1" customFormat="1" ht="15.5">
      <c r="A321" s="26"/>
      <c r="B321" s="7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7"/>
      <c r="R321" s="8"/>
      <c r="S321" s="8"/>
      <c r="T321" s="7"/>
      <c r="U321" s="8"/>
      <c r="V321" s="8"/>
      <c r="W321" s="7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15"/>
      <c r="AM321" s="16"/>
      <c r="AO321" s="44"/>
      <c r="AP321" s="44"/>
    </row>
    <row r="322" spans="1:42" s="1" customFormat="1" ht="15.5">
      <c r="A322" s="26"/>
      <c r="B322" s="7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7"/>
      <c r="R322" s="8"/>
      <c r="S322" s="8"/>
      <c r="T322" s="7"/>
      <c r="U322" s="8"/>
      <c r="V322" s="8"/>
      <c r="W322" s="7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15"/>
      <c r="AM322" s="16"/>
      <c r="AO322" s="44"/>
      <c r="AP322" s="44"/>
    </row>
    <row r="323" spans="1:42" s="1" customFormat="1" ht="15.5">
      <c r="A323" s="26"/>
      <c r="B323" s="7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7"/>
      <c r="R323" s="8"/>
      <c r="S323" s="8"/>
      <c r="T323" s="7"/>
      <c r="U323" s="8"/>
      <c r="V323" s="8"/>
      <c r="W323" s="7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15"/>
      <c r="AM323" s="16"/>
      <c r="AO323" s="44"/>
      <c r="AP323" s="44"/>
    </row>
    <row r="324" spans="1:42" s="1" customFormat="1" ht="15.5">
      <c r="A324" s="26"/>
      <c r="B324" s="7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7"/>
      <c r="R324" s="8"/>
      <c r="S324" s="8"/>
      <c r="T324" s="7"/>
      <c r="U324" s="8"/>
      <c r="V324" s="8"/>
      <c r="W324" s="7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15"/>
      <c r="AM324" s="16"/>
      <c r="AO324" s="44"/>
      <c r="AP324" s="44"/>
    </row>
    <row r="325" spans="1:42" s="1" customFormat="1" ht="15.5">
      <c r="A325" s="26"/>
      <c r="B325" s="7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7"/>
      <c r="R325" s="8"/>
      <c r="S325" s="8"/>
      <c r="T325" s="7"/>
      <c r="U325" s="8"/>
      <c r="V325" s="8"/>
      <c r="W325" s="7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15"/>
      <c r="AM325" s="16"/>
      <c r="AO325" s="44"/>
      <c r="AP325" s="44"/>
    </row>
    <row r="326" spans="1:42" s="1" customFormat="1" ht="15.5">
      <c r="A326" s="26"/>
      <c r="B326" s="7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7"/>
      <c r="R326" s="8"/>
      <c r="S326" s="8"/>
      <c r="T326" s="7"/>
      <c r="U326" s="8"/>
      <c r="V326" s="8"/>
      <c r="W326" s="7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15"/>
      <c r="AM326" s="16"/>
      <c r="AO326" s="44"/>
      <c r="AP326" s="44"/>
    </row>
    <row r="327" spans="1:42" s="1" customFormat="1" ht="15.5">
      <c r="A327" s="26"/>
      <c r="B327" s="7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7"/>
      <c r="R327" s="8"/>
      <c r="S327" s="8"/>
      <c r="T327" s="7"/>
      <c r="U327" s="8"/>
      <c r="V327" s="8"/>
      <c r="W327" s="7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15"/>
      <c r="AM327" s="16"/>
      <c r="AO327" s="44"/>
      <c r="AP327" s="44"/>
    </row>
    <row r="328" spans="1:42" s="1" customFormat="1" ht="15.5">
      <c r="A328" s="26"/>
      <c r="B328" s="7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7"/>
      <c r="R328" s="8"/>
      <c r="S328" s="8"/>
      <c r="T328" s="7"/>
      <c r="U328" s="8"/>
      <c r="V328" s="8"/>
      <c r="W328" s="7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15"/>
      <c r="AM328" s="16"/>
      <c r="AO328" s="44"/>
      <c r="AP328" s="44"/>
    </row>
    <row r="329" spans="1:42" s="1" customFormat="1" ht="15.5">
      <c r="A329" s="26"/>
      <c r="B329" s="7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7"/>
      <c r="R329" s="8"/>
      <c r="S329" s="8"/>
      <c r="T329" s="7"/>
      <c r="U329" s="8"/>
      <c r="V329" s="8"/>
      <c r="W329" s="7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15"/>
      <c r="AM329" s="16"/>
      <c r="AO329" s="44"/>
      <c r="AP329" s="44"/>
    </row>
    <row r="330" spans="1:42" s="1" customFormat="1" ht="15.5">
      <c r="A330" s="26"/>
      <c r="B330" s="7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7"/>
      <c r="R330" s="8"/>
      <c r="S330" s="8"/>
      <c r="T330" s="7"/>
      <c r="U330" s="8"/>
      <c r="V330" s="8"/>
      <c r="W330" s="7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15"/>
      <c r="AM330" s="16"/>
      <c r="AO330" s="44"/>
      <c r="AP330" s="44"/>
    </row>
    <row r="331" spans="1:42" s="1" customFormat="1" ht="15.5">
      <c r="A331" s="26"/>
      <c r="B331" s="7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7"/>
      <c r="R331" s="8"/>
      <c r="S331" s="8"/>
      <c r="T331" s="7"/>
      <c r="U331" s="8"/>
      <c r="V331" s="8"/>
      <c r="W331" s="7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15"/>
      <c r="AM331" s="16"/>
      <c r="AO331" s="44"/>
      <c r="AP331" s="44"/>
    </row>
    <row r="332" spans="1:42" s="1" customFormat="1" ht="15.5">
      <c r="A332" s="26"/>
      <c r="B332" s="7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7"/>
      <c r="R332" s="8"/>
      <c r="S332" s="8"/>
      <c r="T332" s="7"/>
      <c r="U332" s="8"/>
      <c r="V332" s="8"/>
      <c r="W332" s="7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15"/>
      <c r="AM332" s="16"/>
      <c r="AO332" s="44"/>
      <c r="AP332" s="44"/>
    </row>
    <row r="333" spans="1:42" s="1" customFormat="1" ht="15.5">
      <c r="A333" s="26"/>
      <c r="B333" s="7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7"/>
      <c r="R333" s="8"/>
      <c r="S333" s="8"/>
      <c r="T333" s="7"/>
      <c r="U333" s="8"/>
      <c r="V333" s="8"/>
      <c r="W333" s="7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15"/>
      <c r="AM333" s="16"/>
      <c r="AO333" s="44"/>
      <c r="AP333" s="44"/>
    </row>
    <row r="334" spans="1:42" s="1" customFormat="1" ht="15.5">
      <c r="A334" s="26"/>
      <c r="B334" s="7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7"/>
      <c r="R334" s="8"/>
      <c r="S334" s="8"/>
      <c r="T334" s="7"/>
      <c r="U334" s="8"/>
      <c r="V334" s="8"/>
      <c r="W334" s="7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15"/>
      <c r="AM334" s="16"/>
      <c r="AO334" s="44"/>
      <c r="AP334" s="44"/>
    </row>
    <row r="335" spans="1:42" s="1" customFormat="1" ht="15.5">
      <c r="A335" s="26"/>
      <c r="B335" s="7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7"/>
      <c r="R335" s="8"/>
      <c r="S335" s="8"/>
      <c r="T335" s="7"/>
      <c r="U335" s="8"/>
      <c r="V335" s="8"/>
      <c r="W335" s="7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15"/>
      <c r="AM335" s="16"/>
      <c r="AO335" s="44"/>
      <c r="AP335" s="44"/>
    </row>
    <row r="336" spans="1:42" s="1" customFormat="1" ht="15.5">
      <c r="A336" s="26"/>
      <c r="B336" s="7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7"/>
      <c r="R336" s="8"/>
      <c r="S336" s="8"/>
      <c r="T336" s="7"/>
      <c r="U336" s="8"/>
      <c r="V336" s="8"/>
      <c r="W336" s="7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15"/>
      <c r="AM336" s="16"/>
      <c r="AO336" s="44"/>
      <c r="AP336" s="44"/>
    </row>
    <row r="337" spans="1:42" s="1" customFormat="1" ht="15.5">
      <c r="A337" s="26"/>
      <c r="B337" s="7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7"/>
      <c r="R337" s="8"/>
      <c r="S337" s="8"/>
      <c r="T337" s="7"/>
      <c r="U337" s="8"/>
      <c r="V337" s="8"/>
      <c r="W337" s="7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15"/>
      <c r="AM337" s="16"/>
      <c r="AO337" s="44"/>
      <c r="AP337" s="44"/>
    </row>
    <row r="338" spans="1:42" s="1" customFormat="1" ht="15.5">
      <c r="A338" s="26"/>
      <c r="B338" s="7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7"/>
      <c r="R338" s="8"/>
      <c r="S338" s="8"/>
      <c r="T338" s="7"/>
      <c r="U338" s="8"/>
      <c r="V338" s="8"/>
      <c r="W338" s="7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15"/>
      <c r="AM338" s="16"/>
      <c r="AO338" s="44"/>
      <c r="AP338" s="44"/>
    </row>
    <row r="339" spans="1:42" s="1" customFormat="1" ht="15.5">
      <c r="A339" s="26"/>
      <c r="B339" s="7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7"/>
      <c r="R339" s="8"/>
      <c r="S339" s="8"/>
      <c r="T339" s="7"/>
      <c r="U339" s="8"/>
      <c r="V339" s="8"/>
      <c r="W339" s="7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15"/>
      <c r="AM339" s="16"/>
      <c r="AO339" s="44"/>
      <c r="AP339" s="44"/>
    </row>
    <row r="340" spans="1:42" s="1" customFormat="1" ht="15.5">
      <c r="A340" s="26"/>
      <c r="B340" s="7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7"/>
      <c r="R340" s="8"/>
      <c r="S340" s="8"/>
      <c r="T340" s="7"/>
      <c r="U340" s="8"/>
      <c r="V340" s="8"/>
      <c r="W340" s="7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15"/>
      <c r="AM340" s="16"/>
      <c r="AO340" s="44"/>
      <c r="AP340" s="44"/>
    </row>
    <row r="341" spans="1:42" s="1" customFormat="1" ht="15.5">
      <c r="A341" s="26"/>
      <c r="B341" s="7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7"/>
      <c r="R341" s="8"/>
      <c r="S341" s="8"/>
      <c r="T341" s="7"/>
      <c r="U341" s="8"/>
      <c r="V341" s="8"/>
      <c r="W341" s="7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15"/>
      <c r="AM341" s="16"/>
      <c r="AO341" s="44"/>
      <c r="AP341" s="44"/>
    </row>
    <row r="342" spans="1:42" s="1" customFormat="1" ht="15.5">
      <c r="A342" s="26"/>
      <c r="B342" s="7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7"/>
      <c r="R342" s="8"/>
      <c r="S342" s="8"/>
      <c r="T342" s="7"/>
      <c r="U342" s="8"/>
      <c r="V342" s="8"/>
      <c r="W342" s="7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15"/>
      <c r="AM342" s="16"/>
      <c r="AO342" s="44"/>
      <c r="AP342" s="44"/>
    </row>
    <row r="343" spans="1:42" s="1" customFormat="1" ht="15.5">
      <c r="A343" s="26"/>
      <c r="B343" s="7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7"/>
      <c r="R343" s="8"/>
      <c r="S343" s="8"/>
      <c r="T343" s="7"/>
      <c r="U343" s="8"/>
      <c r="V343" s="8"/>
      <c r="W343" s="7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15"/>
      <c r="AM343" s="16"/>
      <c r="AO343" s="44"/>
      <c r="AP343" s="44"/>
    </row>
    <row r="344" spans="1:42" s="1" customFormat="1" ht="15.5">
      <c r="A344" s="26"/>
      <c r="B344" s="7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7"/>
      <c r="R344" s="8"/>
      <c r="S344" s="8"/>
      <c r="T344" s="7"/>
      <c r="U344" s="8"/>
      <c r="V344" s="8"/>
      <c r="W344" s="7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15"/>
      <c r="AM344" s="16"/>
      <c r="AO344" s="44"/>
      <c r="AP344" s="44"/>
    </row>
    <row r="345" spans="1:42" s="1" customFormat="1" ht="15.5">
      <c r="A345" s="26"/>
      <c r="B345" s="7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7"/>
      <c r="R345" s="8"/>
      <c r="S345" s="8"/>
      <c r="T345" s="7"/>
      <c r="U345" s="8"/>
      <c r="V345" s="8"/>
      <c r="W345" s="7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15"/>
      <c r="AM345" s="16"/>
      <c r="AO345" s="44"/>
      <c r="AP345" s="44"/>
    </row>
    <row r="346" spans="1:42" s="1" customFormat="1" ht="15.5">
      <c r="A346" s="26"/>
      <c r="B346" s="7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7"/>
      <c r="R346" s="8"/>
      <c r="S346" s="8"/>
      <c r="T346" s="7"/>
      <c r="U346" s="8"/>
      <c r="V346" s="8"/>
      <c r="W346" s="7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15"/>
      <c r="AM346" s="16"/>
      <c r="AO346" s="44"/>
      <c r="AP346" s="44"/>
    </row>
    <row r="347" spans="1:42" s="1" customFormat="1" ht="15.5">
      <c r="A347" s="26"/>
      <c r="B347" s="7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7"/>
      <c r="R347" s="8"/>
      <c r="S347" s="8"/>
      <c r="T347" s="7"/>
      <c r="U347" s="8"/>
      <c r="V347" s="8"/>
      <c r="W347" s="7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15"/>
      <c r="AM347" s="16"/>
      <c r="AO347" s="44"/>
      <c r="AP347" s="44"/>
    </row>
    <row r="348" spans="1:42" s="1" customFormat="1" ht="15.5">
      <c r="A348" s="26"/>
      <c r="B348" s="7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7"/>
      <c r="R348" s="8"/>
      <c r="S348" s="8"/>
      <c r="T348" s="7"/>
      <c r="U348" s="8"/>
      <c r="V348" s="8"/>
      <c r="W348" s="7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15"/>
      <c r="AM348" s="16"/>
      <c r="AO348" s="44"/>
      <c r="AP348" s="44"/>
    </row>
    <row r="349" spans="1:42" s="1" customFormat="1" ht="15.5">
      <c r="A349" s="26"/>
      <c r="B349" s="7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7"/>
      <c r="R349" s="8"/>
      <c r="S349" s="8"/>
      <c r="T349" s="7"/>
      <c r="U349" s="8"/>
      <c r="V349" s="8"/>
      <c r="W349" s="7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15"/>
      <c r="AM349" s="16"/>
      <c r="AO349" s="44"/>
      <c r="AP349" s="44"/>
    </row>
    <row r="350" spans="1:42" s="1" customFormat="1" ht="15.5">
      <c r="A350" s="26"/>
      <c r="B350" s="7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7"/>
      <c r="R350" s="8"/>
      <c r="S350" s="8"/>
      <c r="T350" s="7"/>
      <c r="U350" s="8"/>
      <c r="V350" s="8"/>
      <c r="W350" s="7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15"/>
      <c r="AM350" s="16"/>
      <c r="AO350" s="44"/>
      <c r="AP350" s="44"/>
    </row>
    <row r="351" spans="1:42" s="1" customFormat="1" ht="15.5">
      <c r="A351" s="26"/>
      <c r="B351" s="7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7"/>
      <c r="R351" s="8"/>
      <c r="S351" s="8"/>
      <c r="T351" s="7"/>
      <c r="U351" s="8"/>
      <c r="V351" s="8"/>
      <c r="W351" s="7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15"/>
      <c r="AM351" s="16"/>
      <c r="AO351" s="44"/>
      <c r="AP351" s="44"/>
    </row>
    <row r="352" spans="1:42" s="1" customFormat="1" ht="15.5">
      <c r="A352" s="26"/>
      <c r="B352" s="7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7"/>
      <c r="R352" s="8"/>
      <c r="S352" s="8"/>
      <c r="T352" s="7"/>
      <c r="U352" s="8"/>
      <c r="V352" s="8"/>
      <c r="W352" s="7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15"/>
      <c r="AM352" s="16"/>
      <c r="AO352" s="44"/>
      <c r="AP352" s="44"/>
    </row>
    <row r="353" spans="1:42" s="1" customFormat="1" ht="15.5">
      <c r="A353" s="26"/>
      <c r="B353" s="7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7"/>
      <c r="R353" s="8"/>
      <c r="S353" s="8"/>
      <c r="T353" s="7"/>
      <c r="U353" s="8"/>
      <c r="V353" s="8"/>
      <c r="W353" s="7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15"/>
      <c r="AM353" s="16"/>
      <c r="AO353" s="44"/>
      <c r="AP353" s="44"/>
    </row>
    <row r="354" spans="1:42" s="1" customFormat="1" ht="15.5">
      <c r="A354" s="26"/>
      <c r="B354" s="7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7"/>
      <c r="R354" s="8"/>
      <c r="S354" s="8"/>
      <c r="T354" s="7"/>
      <c r="U354" s="8"/>
      <c r="V354" s="8"/>
      <c r="W354" s="7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15"/>
      <c r="AM354" s="16"/>
      <c r="AO354" s="44"/>
      <c r="AP354" s="44"/>
    </row>
    <row r="355" spans="1:42" s="1" customFormat="1" ht="15.5">
      <c r="A355" s="26"/>
      <c r="B355" s="7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7"/>
      <c r="R355" s="8"/>
      <c r="S355" s="8"/>
      <c r="T355" s="7"/>
      <c r="U355" s="8"/>
      <c r="V355" s="8"/>
      <c r="W355" s="7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15"/>
      <c r="AM355" s="16"/>
      <c r="AO355" s="44"/>
      <c r="AP355" s="44"/>
    </row>
    <row r="356" spans="1:42" s="1" customFormat="1" ht="15.5">
      <c r="A356" s="26"/>
      <c r="B356" s="7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7"/>
      <c r="R356" s="8"/>
      <c r="S356" s="8"/>
      <c r="T356" s="7"/>
      <c r="U356" s="8"/>
      <c r="V356" s="8"/>
      <c r="W356" s="7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15"/>
      <c r="AM356" s="16"/>
      <c r="AO356" s="44"/>
      <c r="AP356" s="44"/>
    </row>
    <row r="357" spans="1:42" s="1" customFormat="1" ht="15.5">
      <c r="A357" s="26"/>
      <c r="B357" s="7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7"/>
      <c r="R357" s="8"/>
      <c r="S357" s="8"/>
      <c r="T357" s="7"/>
      <c r="U357" s="8"/>
      <c r="V357" s="8"/>
      <c r="W357" s="7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15"/>
      <c r="AM357" s="16"/>
      <c r="AO357" s="44"/>
      <c r="AP357" s="44"/>
    </row>
    <row r="358" spans="1:42" s="1" customFormat="1" ht="15.5">
      <c r="A358" s="26"/>
      <c r="B358" s="7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7"/>
      <c r="R358" s="8"/>
      <c r="S358" s="8"/>
      <c r="T358" s="7"/>
      <c r="U358" s="8"/>
      <c r="V358" s="8"/>
      <c r="W358" s="7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15"/>
      <c r="AM358" s="16"/>
      <c r="AO358" s="44"/>
      <c r="AP358" s="44"/>
    </row>
    <row r="359" spans="1:42" s="1" customFormat="1" ht="15.5">
      <c r="A359" s="26"/>
      <c r="B359" s="7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7"/>
      <c r="R359" s="8"/>
      <c r="S359" s="8"/>
      <c r="T359" s="7"/>
      <c r="U359" s="8"/>
      <c r="V359" s="8"/>
      <c r="W359" s="7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15"/>
      <c r="AM359" s="16"/>
      <c r="AO359" s="44"/>
      <c r="AP359" s="44"/>
    </row>
    <row r="360" spans="1:42" s="1" customFormat="1" ht="15.5">
      <c r="A360" s="26"/>
      <c r="B360" s="7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7"/>
      <c r="R360" s="8"/>
      <c r="S360" s="8"/>
      <c r="T360" s="7"/>
      <c r="U360" s="8"/>
      <c r="V360" s="8"/>
      <c r="W360" s="7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15"/>
      <c r="AM360" s="16"/>
      <c r="AO360" s="44"/>
      <c r="AP360" s="44"/>
    </row>
    <row r="361" spans="1:42" s="1" customFormat="1" ht="15.5">
      <c r="A361" s="26"/>
      <c r="B361" s="7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7"/>
      <c r="R361" s="8"/>
      <c r="S361" s="8"/>
      <c r="T361" s="7"/>
      <c r="U361" s="8"/>
      <c r="V361" s="8"/>
      <c r="W361" s="7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15"/>
      <c r="AM361" s="16"/>
      <c r="AO361" s="44"/>
      <c r="AP361" s="44"/>
    </row>
    <row r="362" spans="1:42" s="1" customFormat="1" ht="15.5">
      <c r="A362" s="26"/>
      <c r="B362" s="7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7"/>
      <c r="R362" s="8"/>
      <c r="S362" s="8"/>
      <c r="T362" s="7"/>
      <c r="U362" s="8"/>
      <c r="V362" s="8"/>
      <c r="W362" s="7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15"/>
      <c r="AM362" s="16"/>
      <c r="AO362" s="44"/>
      <c r="AP362" s="44"/>
    </row>
    <row r="363" spans="1:42" s="1" customFormat="1" ht="15.5">
      <c r="A363" s="26"/>
      <c r="B363" s="7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7"/>
      <c r="R363" s="8"/>
      <c r="S363" s="8"/>
      <c r="T363" s="7"/>
      <c r="U363" s="8"/>
      <c r="V363" s="8"/>
      <c r="W363" s="7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15"/>
      <c r="AM363" s="16"/>
      <c r="AO363" s="44"/>
      <c r="AP363" s="44"/>
    </row>
  </sheetData>
  <mergeCells count="13">
    <mergeCell ref="Q1:R1"/>
    <mergeCell ref="B1:C1"/>
    <mergeCell ref="E1:F1"/>
    <mergeCell ref="H1:I1"/>
    <mergeCell ref="K1:L1"/>
    <mergeCell ref="N1:O1"/>
    <mergeCell ref="AL1:AM1"/>
    <mergeCell ref="T1:U1"/>
    <mergeCell ref="W1:X1"/>
    <mergeCell ref="Z1:AA1"/>
    <mergeCell ref="AC1:AD1"/>
    <mergeCell ref="AF1:AG1"/>
    <mergeCell ref="AI1:AJ1"/>
  </mergeCells>
  <pageMargins left="0.7" right="0.7" top="0.75" bottom="0.75" header="0.3" footer="0.3"/>
  <pageSetup paperSize="9" orientation="portrait" r:id="rId1"/>
  <customProperties>
    <customPr name="_pios_id" r:id="rId2"/>
    <customPr name="EpmWorksheetKeyString_GUID" r:id="rId3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ACAE4-39BB-4AA4-8746-FE90109BE41D}">
  <sheetPr>
    <tabColor rgb="FF92D050"/>
  </sheetPr>
  <dimension ref="A1:AP220"/>
  <sheetViews>
    <sheetView topLeftCell="F1" zoomScale="70" zoomScaleNormal="70" workbookViewId="0">
      <selection activeCell="K2" sqref="K2"/>
    </sheetView>
  </sheetViews>
  <sheetFormatPr defaultColWidth="8.81640625" defaultRowHeight="10"/>
  <cols>
    <col min="1" max="1" width="8.81640625" style="149"/>
    <col min="2" max="2" width="27.54296875" style="149" bestFit="1" customWidth="1"/>
    <col min="3" max="3" width="10.1796875" style="149" bestFit="1" customWidth="1"/>
    <col min="4" max="4" width="11.54296875" style="149" customWidth="1"/>
    <col min="5" max="5" width="9.1796875" style="149" customWidth="1"/>
    <col min="6" max="6" width="3.453125" style="149" customWidth="1"/>
    <col min="7" max="7" width="10.54296875" style="149" bestFit="1" customWidth="1"/>
    <col min="8" max="8" width="13.81640625" style="149" customWidth="1"/>
    <col min="9" max="9" width="8.54296875" style="149" bestFit="1" customWidth="1"/>
    <col min="10" max="10" width="8.1796875" style="149" customWidth="1"/>
    <col min="11" max="11" width="18.453125" style="203" customWidth="1"/>
    <col min="12" max="12" width="12.1796875" style="149" bestFit="1" customWidth="1"/>
    <col min="13" max="15" width="12.1796875" style="149" customWidth="1"/>
    <col min="16" max="17" width="12.1796875" style="149" bestFit="1" customWidth="1"/>
    <col min="18" max="18" width="12.1796875" style="149" customWidth="1"/>
    <col min="19" max="19" width="14.54296875" style="149" bestFit="1" customWidth="1"/>
    <col min="20" max="20" width="14.54296875" style="149" customWidth="1"/>
    <col min="21" max="22" width="12.1796875" style="149" bestFit="1" customWidth="1"/>
    <col min="23" max="23" width="10.54296875" style="155" customWidth="1"/>
    <col min="24" max="24" width="11.81640625" style="149" bestFit="1" customWidth="1"/>
    <col min="25" max="25" width="17.81640625" style="149" bestFit="1" customWidth="1"/>
    <col min="26" max="26" width="10.54296875" style="149" bestFit="1" customWidth="1"/>
    <col min="27" max="27" width="11.7265625" style="149" customWidth="1"/>
    <col min="28" max="28" width="9" style="155" customWidth="1"/>
    <col min="29" max="29" width="7.54296875" style="149" bestFit="1" customWidth="1"/>
    <col min="30" max="31" width="13.453125" style="149" customWidth="1"/>
    <col min="32" max="32" width="8.1796875" style="155" customWidth="1"/>
    <col min="33" max="33" width="5" style="149" customWidth="1"/>
    <col min="34" max="34" width="13.54296875" style="149" customWidth="1"/>
    <col min="35" max="35" width="12.26953125" style="149" bestFit="1" customWidth="1"/>
    <col min="36" max="37" width="11.453125" style="149" bestFit="1" customWidth="1"/>
    <col min="38" max="38" width="8.1796875" style="149" bestFit="1" customWidth="1"/>
    <col min="39" max="39" width="8.81640625" style="149" customWidth="1"/>
    <col min="40" max="40" width="13.81640625" style="149" customWidth="1"/>
    <col min="41" max="42" width="8.81640625" style="149" customWidth="1"/>
    <col min="43" max="16384" width="8.81640625" style="149"/>
  </cols>
  <sheetData>
    <row r="1" spans="1:42" ht="13.5" customHeight="1" thickBot="1">
      <c r="A1" s="146"/>
      <c r="B1" s="146"/>
      <c r="C1" s="146"/>
      <c r="D1" s="146"/>
      <c r="E1" s="146"/>
      <c r="F1" s="146"/>
      <c r="G1" s="146"/>
      <c r="H1" s="146"/>
      <c r="I1" s="146"/>
      <c r="J1" s="146"/>
      <c r="K1" s="199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7"/>
      <c r="Z1" s="147"/>
      <c r="AA1" s="147"/>
      <c r="AB1" s="148"/>
      <c r="AD1" s="147"/>
      <c r="AE1" s="147"/>
      <c r="AF1" s="148"/>
      <c r="AH1" s="452"/>
      <c r="AI1" s="452"/>
      <c r="AJ1" s="452"/>
      <c r="AK1" s="452"/>
      <c r="AL1" s="150"/>
    </row>
    <row r="2" spans="1:42" ht="12.5">
      <c r="A2" s="146"/>
      <c r="B2" s="214" t="s">
        <v>95</v>
      </c>
      <c r="C2" s="454" t="s">
        <v>0</v>
      </c>
      <c r="D2" s="454"/>
      <c r="E2" s="454"/>
      <c r="F2" s="215"/>
      <c r="G2" s="215"/>
      <c r="H2" s="215" t="s">
        <v>36</v>
      </c>
      <c r="I2" s="215"/>
      <c r="J2" s="216"/>
      <c r="K2" s="214" t="s">
        <v>96</v>
      </c>
      <c r="L2" s="214"/>
      <c r="M2" s="214"/>
      <c r="N2" s="214"/>
      <c r="O2" s="215"/>
      <c r="P2" s="215"/>
      <c r="Q2" s="215"/>
      <c r="R2" s="215"/>
      <c r="S2" s="215"/>
      <c r="T2" s="215"/>
      <c r="U2" s="215"/>
      <c r="V2" s="195"/>
      <c r="Y2" s="151" t="str">
        <f>B4</f>
        <v xml:space="preserve">İnci Holding  </v>
      </c>
      <c r="Z2" s="453" t="s">
        <v>0</v>
      </c>
      <c r="AA2" s="453"/>
      <c r="AB2" s="453"/>
      <c r="AC2" s="152"/>
      <c r="AD2" s="151"/>
      <c r="AE2" s="151" t="s">
        <v>36</v>
      </c>
      <c r="AF2" s="151"/>
      <c r="AG2" s="153"/>
      <c r="AH2" s="151" t="str">
        <f>Y2</f>
        <v xml:space="preserve">İnci Holding  </v>
      </c>
      <c r="AI2" s="151"/>
      <c r="AJ2" s="453" t="s">
        <v>97</v>
      </c>
      <c r="AK2" s="453"/>
      <c r="AL2" s="453"/>
      <c r="AN2" s="151" t="s">
        <v>10</v>
      </c>
      <c r="AO2" s="151"/>
      <c r="AP2" s="151"/>
    </row>
    <row r="3" spans="1:42" ht="10.5" customHeight="1" thickBot="1">
      <c r="A3" s="146"/>
      <c r="B3" s="261"/>
      <c r="C3" s="215" t="s">
        <v>98</v>
      </c>
      <c r="D3" s="215" t="s">
        <v>99</v>
      </c>
      <c r="E3" s="215" t="s">
        <v>100</v>
      </c>
      <c r="F3" s="262"/>
      <c r="G3" s="262" t="str">
        <f>C3</f>
        <v>Gerçekleşen</v>
      </c>
      <c r="H3" s="262" t="s">
        <v>99</v>
      </c>
      <c r="I3" s="262" t="s">
        <v>100</v>
      </c>
      <c r="J3" s="217"/>
      <c r="K3" s="218"/>
      <c r="L3" s="219" t="str">
        <f>'Tahmin Data'!G1</f>
        <v>Mart</v>
      </c>
      <c r="M3" s="219" t="str">
        <f>'Tahmin Data'!I1</f>
        <v>Nisan</v>
      </c>
      <c r="N3" s="219" t="str">
        <f>'Tahmin Data'!K1</f>
        <v>Mayıs</v>
      </c>
      <c r="O3" s="219" t="s">
        <v>101</v>
      </c>
      <c r="P3" s="219" t="s">
        <v>102</v>
      </c>
      <c r="Q3" s="219" t="s">
        <v>103</v>
      </c>
      <c r="R3" s="219" t="s">
        <v>104</v>
      </c>
      <c r="S3" s="219" t="s">
        <v>105</v>
      </c>
      <c r="T3" s="219" t="s">
        <v>106</v>
      </c>
      <c r="U3" s="219" t="s">
        <v>98</v>
      </c>
      <c r="V3" s="250" t="s">
        <v>99</v>
      </c>
      <c r="W3" s="262" t="s">
        <v>100</v>
      </c>
      <c r="Y3" s="151" t="s">
        <v>107</v>
      </c>
      <c r="Z3" s="151" t="s">
        <v>98</v>
      </c>
      <c r="AA3" s="151" t="s">
        <v>99</v>
      </c>
      <c r="AB3" s="151" t="s">
        <v>100</v>
      </c>
      <c r="AC3" s="152"/>
      <c r="AD3" s="151" t="s">
        <v>98</v>
      </c>
      <c r="AE3" s="151" t="s">
        <v>99</v>
      </c>
      <c r="AF3" s="151" t="s">
        <v>100</v>
      </c>
      <c r="AG3" s="153"/>
      <c r="AH3" s="151" t="s">
        <v>107</v>
      </c>
      <c r="AI3" s="151" t="s">
        <v>108</v>
      </c>
      <c r="AJ3" s="151" t="s">
        <v>109</v>
      </c>
      <c r="AK3" s="151" t="s">
        <v>99</v>
      </c>
      <c r="AL3" s="151" t="s">
        <v>100</v>
      </c>
      <c r="AN3" s="151" t="s">
        <v>110</v>
      </c>
      <c r="AO3" s="151" t="s">
        <v>99</v>
      </c>
      <c r="AP3" s="151" t="str">
        <f>AJ3</f>
        <v>Haziran YST</v>
      </c>
    </row>
    <row r="4" spans="1:42" ht="10.5" customHeight="1" thickTop="1">
      <c r="A4" s="146"/>
      <c r="B4" s="220" t="s">
        <v>111</v>
      </c>
      <c r="C4" s="221">
        <f>'A -Döviz'!C9</f>
        <v>754597.33410611225</v>
      </c>
      <c r="D4" s="221">
        <f>'A -Döviz'!B9</f>
        <v>714880.86352755502</v>
      </c>
      <c r="E4" s="224">
        <f t="shared" ref="E4:E12" si="0">IF(C4&gt;D4,ABS((C4-D4)/D4),-ABS((D4-C4)/D4))</f>
        <v>5.5556768413939174E-2</v>
      </c>
      <c r="F4" s="222"/>
      <c r="G4" s="223">
        <f>'C-Döviz'!C9</f>
        <v>754597.33410611225</v>
      </c>
      <c r="H4" s="223">
        <f>'C-Döviz'!B9</f>
        <v>714880.86352755502</v>
      </c>
      <c r="I4" s="224">
        <f t="shared" ref="I4:I12" si="1">IF(G4&gt;H4,ABS((G4-H4)/H4),-ABS((H4-G4)/H4))</f>
        <v>5.5556768413939174E-2</v>
      </c>
      <c r="J4" s="225"/>
      <c r="K4" s="226" t="str">
        <f>B4</f>
        <v xml:space="preserve">İnci Holding  </v>
      </c>
      <c r="L4" s="318">
        <f>'Tahmin Data'!G4</f>
        <v>9609600.4809003659</v>
      </c>
      <c r="M4" s="318">
        <f>'Tahmin Data'!I4</f>
        <v>9300912.2599999998</v>
      </c>
      <c r="N4" s="318">
        <f>'Tahmin Data'!K4</f>
        <v>8587722.1868892498</v>
      </c>
      <c r="O4" s="318">
        <f>'Tahmin Data'!M4</f>
        <v>8547561.5419829711</v>
      </c>
      <c r="P4" s="318">
        <f>'Tahmin Data'!O4</f>
        <v>8537105.0286138337</v>
      </c>
      <c r="Q4" s="318">
        <f>'Tahmin Data'!Q4</f>
        <v>8329673.5544907041</v>
      </c>
      <c r="R4" s="318">
        <f>'Tahmin Data'!S4</f>
        <v>8347111.1794086071</v>
      </c>
      <c r="S4" s="318">
        <f>'Tahmin Data'!U4</f>
        <v>0</v>
      </c>
      <c r="T4" s="318">
        <f>'Tahmin Data'!W4</f>
        <v>0</v>
      </c>
      <c r="U4" s="318">
        <f t="shared" ref="U4:U11" si="2">G4</f>
        <v>754597.33410611225</v>
      </c>
      <c r="V4" s="213">
        <f>'Bütçe aylık-Eur'!N5</f>
        <v>9233250.8846085686</v>
      </c>
      <c r="W4" s="224">
        <f>IF(U4&gt;V4,ABS((U4-V4)/V4),-ABS((V4-U4)/V4))</f>
        <v>-0.91827392718592826</v>
      </c>
      <c r="Y4" s="158" t="s">
        <v>112</v>
      </c>
      <c r="Z4" s="159">
        <f>C4</f>
        <v>754597.33410611225</v>
      </c>
      <c r="AA4" s="159">
        <f>D4</f>
        <v>714880.86352755502</v>
      </c>
      <c r="AB4" s="160">
        <f>IF(Z4&gt;AA4,ABS((Z4-AA4)/AA4),-ABS((AA4-Z4)/AA4))</f>
        <v>5.5556768413939174E-2</v>
      </c>
      <c r="AC4" s="161"/>
      <c r="AD4" s="159">
        <f>G4</f>
        <v>754597.33410611225</v>
      </c>
      <c r="AE4" s="159">
        <f>H4</f>
        <v>714880.86352755502</v>
      </c>
      <c r="AF4" s="160">
        <f>IF(AD4&gt;AE4,ABS((AD4-AE4)/AE4),-ABS((AE4-AD4)/AE4))</f>
        <v>5.5556768413939174E-2</v>
      </c>
      <c r="AG4" s="162"/>
      <c r="AH4" s="158" t="s">
        <v>112</v>
      </c>
      <c r="AI4" s="163">
        <f>'Tahmin Data'!L4</f>
        <v>380393056</v>
      </c>
      <c r="AJ4" s="163">
        <f>'Tahmin Data'!N4</f>
        <v>378794226</v>
      </c>
      <c r="AK4" s="163">
        <f>'C-TRY'!AI9</f>
        <v>382350115.97649193</v>
      </c>
      <c r="AL4" s="164">
        <f>IF(AJ4&gt;AK4,ABS((AJ4-AK4)/AK4),-ABS((AK4-AJ4)/AK4))</f>
        <v>-9.3000886567288377E-3</v>
      </c>
      <c r="AN4" s="158" t="s">
        <v>112</v>
      </c>
      <c r="AO4" s="165">
        <f>'Bütçe aylık-Eur'!N5</f>
        <v>9233250.8846085686</v>
      </c>
      <c r="AP4" s="165">
        <f>'Tahmin Data'!M4</f>
        <v>8547561.5419829711</v>
      </c>
    </row>
    <row r="5" spans="1:42" ht="10.5" customHeight="1">
      <c r="A5" s="146"/>
      <c r="B5" s="228" t="s">
        <v>11</v>
      </c>
      <c r="C5" s="227">
        <f>'A -Döviz'!C10</f>
        <v>881940.78190761793</v>
      </c>
      <c r="D5" s="227">
        <f>'A -Döviz'!B10</f>
        <v>834190.48278605426</v>
      </c>
      <c r="E5" s="229">
        <f t="shared" si="0"/>
        <v>5.7241481540386073E-2</v>
      </c>
      <c r="F5" s="230"/>
      <c r="G5" s="227">
        <f>'C-Döviz'!C10</f>
        <v>881940.78190761793</v>
      </c>
      <c r="H5" s="227">
        <f>'C-Döviz'!B10</f>
        <v>834190.48278605426</v>
      </c>
      <c r="I5" s="229">
        <f t="shared" si="1"/>
        <v>5.7241481540386073E-2</v>
      </c>
      <c r="J5" s="225"/>
      <c r="K5" s="226" t="str">
        <f t="shared" ref="K5:K11" si="3">B5</f>
        <v xml:space="preserve">ISM </v>
      </c>
      <c r="L5" s="227">
        <f>'Tahmin Data'!G6</f>
        <v>8940198.4715967253</v>
      </c>
      <c r="M5" s="227">
        <f>'Tahmin Data'!I6</f>
        <v>8217006.71</v>
      </c>
      <c r="N5" s="227">
        <f>'Tahmin Data'!K6</f>
        <v>8808601.4082894791</v>
      </c>
      <c r="O5" s="227">
        <f>'Tahmin Data'!M6</f>
        <v>8223796.5866113976</v>
      </c>
      <c r="P5" s="227">
        <f>'Tahmin Data'!O6</f>
        <v>8341038.5606759712</v>
      </c>
      <c r="Q5" s="227">
        <f>'Tahmin Data'!Q6</f>
        <v>7796076.7526215296</v>
      </c>
      <c r="R5" s="227">
        <f>'Tahmin Data'!S6</f>
        <v>7507536.3060169239</v>
      </c>
      <c r="S5" s="227">
        <f>'Tahmin Data'!U6</f>
        <v>0</v>
      </c>
      <c r="T5" s="227">
        <f>'Tahmin Data'!W6</f>
        <v>0</v>
      </c>
      <c r="U5" s="227">
        <f t="shared" si="2"/>
        <v>881940.78190761793</v>
      </c>
      <c r="V5" s="204">
        <f>'Bütçe aylık-Eur'!N6</f>
        <v>9399688.2440031078</v>
      </c>
      <c r="W5" s="229">
        <f>IF(U5&gt;V5,ABS((U5-V5)/V5),-ABS((V5-U5)/V5))</f>
        <v>-0.90617340075397856</v>
      </c>
      <c r="Y5" s="158" t="s">
        <v>113</v>
      </c>
      <c r="Z5" s="159">
        <f>C82</f>
        <v>380407.00055417459</v>
      </c>
      <c r="AA5" s="159">
        <f>D82</f>
        <v>341165.36249954213</v>
      </c>
      <c r="AB5" s="160">
        <f t="shared" ref="AB5:AB10" si="4">IF(Z5&gt;AA5,ABS((Z5-AA5)/AA5),-ABS((AA5-Z5)/AA5))</f>
        <v>0.11502233921734986</v>
      </c>
      <c r="AC5" s="166"/>
      <c r="AD5" s="159">
        <f>G82</f>
        <v>380407.00055417459</v>
      </c>
      <c r="AE5" s="159">
        <f>H82</f>
        <v>341165.36249954213</v>
      </c>
      <c r="AF5" s="160">
        <f t="shared" ref="AF5:AF10" si="5">IF(AD5&gt;AE5,ABS((AD5-AE5)/AE5),-ABS((AE5-AD5)/AE5))</f>
        <v>0.11502233921734986</v>
      </c>
      <c r="AG5" s="162"/>
      <c r="AH5" s="158" t="s">
        <v>113</v>
      </c>
      <c r="AI5" s="163">
        <f>'Tahmin Data'!L60</f>
        <v>148065984.529331</v>
      </c>
      <c r="AJ5" s="163">
        <f>'Tahmin Data'!N60</f>
        <v>150007881.72</v>
      </c>
      <c r="AK5" s="163">
        <f>'C-TRY'!AI139</f>
        <v>161158705.80341399</v>
      </c>
      <c r="AL5" s="164">
        <f>IF(AJ5&gt;AK5,ABS((AJ5-AK5)/AK5),-ABS((AK5-AJ5)/AK5))</f>
        <v>-6.9191571301249366E-2</v>
      </c>
      <c r="AN5" s="289" t="s">
        <v>114</v>
      </c>
      <c r="AO5" s="290">
        <f>'Bütçe aylık-Eur'!N38</f>
        <v>5346784.8807264464</v>
      </c>
      <c r="AP5" s="290">
        <f>'Tahmin Data'!M28</f>
        <v>-5182296.5727165611</v>
      </c>
    </row>
    <row r="6" spans="1:42" ht="10.5" customHeight="1">
      <c r="A6" s="146"/>
      <c r="B6" s="228" t="s">
        <v>115</v>
      </c>
      <c r="C6" s="227">
        <f>'A -Döviz'!C11</f>
        <v>967950.96851315629</v>
      </c>
      <c r="D6" s="227">
        <f>'A -Döviz'!B11</f>
        <v>994090.61881676037</v>
      </c>
      <c r="E6" s="229">
        <f t="shared" si="0"/>
        <v>-2.6295037704628391E-2</v>
      </c>
      <c r="F6" s="230"/>
      <c r="G6" s="227">
        <f>'C-Döviz'!C11</f>
        <v>967950.96851315629</v>
      </c>
      <c r="H6" s="227">
        <f>'C-Döviz'!B11</f>
        <v>994090.61881676037</v>
      </c>
      <c r="I6" s="229">
        <f t="shared" si="1"/>
        <v>-2.6295037704628391E-2</v>
      </c>
      <c r="J6" s="225"/>
      <c r="K6" s="226" t="str">
        <f t="shared" si="3"/>
        <v xml:space="preserve">İncitaş </v>
      </c>
      <c r="L6" s="227">
        <f>'Tahmin Data'!G5</f>
        <v>16964904.362681448</v>
      </c>
      <c r="M6" s="227">
        <f>'Tahmin Data'!I5</f>
        <v>14327754</v>
      </c>
      <c r="N6" s="227">
        <f>'Tahmin Data'!K5</f>
        <v>13229148.410617307</v>
      </c>
      <c r="O6" s="227">
        <f>'Tahmin Data'!M5</f>
        <v>13116660.723674655</v>
      </c>
      <c r="P6" s="227">
        <f>'Tahmin Data'!O5</f>
        <v>13327052.768462021</v>
      </c>
      <c r="Q6" s="227">
        <f>'Tahmin Data'!Q5</f>
        <v>12990150.871628292</v>
      </c>
      <c r="R6" s="227">
        <f>'Tahmin Data'!S5</f>
        <v>12844341.440322451</v>
      </c>
      <c r="S6" s="227">
        <f>'Tahmin Data'!U5</f>
        <v>0</v>
      </c>
      <c r="T6" s="227">
        <f>'Tahmin Data'!W5</f>
        <v>0</v>
      </c>
      <c r="U6" s="227">
        <f t="shared" si="2"/>
        <v>967950.96851315629</v>
      </c>
      <c r="V6" s="204">
        <f>'Bütçe aylık-Eur'!N7</f>
        <v>16822042.470301583</v>
      </c>
      <c r="W6" s="229">
        <f t="shared" ref="W6:W13" si="6">IF(U6&gt;V6,ABS((U6-V6)/V6),-ABS((V6-U6)/V6))</f>
        <v>-0.94245936721286827</v>
      </c>
      <c r="Y6" s="158" t="s">
        <v>116</v>
      </c>
      <c r="Z6" s="167">
        <f>C69</f>
        <v>0.49761882945180025</v>
      </c>
      <c r="AA6" s="167">
        <f>D69</f>
        <v>0.4703462500951251</v>
      </c>
      <c r="AB6" s="160">
        <f t="shared" si="4"/>
        <v>5.7984047605693499E-2</v>
      </c>
      <c r="AC6" s="167"/>
      <c r="AD6" s="167">
        <f>G69</f>
        <v>0.49761882945180025</v>
      </c>
      <c r="AE6" s="167">
        <f>H69</f>
        <v>0.4703462500951251</v>
      </c>
      <c r="AF6" s="160">
        <f t="shared" si="5"/>
        <v>5.7984047605693499E-2</v>
      </c>
      <c r="AG6" s="168"/>
      <c r="AH6" s="158" t="s">
        <v>117</v>
      </c>
      <c r="AI6" s="163">
        <f>'Tahmin Data'!L84</f>
        <v>175042111.80999994</v>
      </c>
      <c r="AJ6" s="163">
        <f>'Tahmin Data'!N84</f>
        <v>175212503</v>
      </c>
      <c r="AK6" s="163">
        <f>'C-TRY'!AI189</f>
        <v>138891659.66472501</v>
      </c>
      <c r="AL6" s="164">
        <f>IF(AJ6&gt;AK6,ABS((AJ6-AK6)/AK6),-ABS((AK6-AJ6)/AK6))</f>
        <v>0.26150485510037846</v>
      </c>
      <c r="AN6" s="158" t="s">
        <v>118</v>
      </c>
      <c r="AO6" s="165">
        <f>AO4-AO5</f>
        <v>3886466.0038821222</v>
      </c>
      <c r="AP6" s="165">
        <f>AP4-AP5</f>
        <v>13729858.114699531</v>
      </c>
    </row>
    <row r="7" spans="1:42" ht="10.5" customHeight="1" thickBot="1">
      <c r="B7" s="228" t="s">
        <v>119</v>
      </c>
      <c r="C7" s="227">
        <f>'A -Döviz'!C12</f>
        <v>21339706.384310201</v>
      </c>
      <c r="D7" s="227">
        <f>'A -Döviz'!B12</f>
        <v>19103567.880199067</v>
      </c>
      <c r="E7" s="229">
        <f t="shared" si="0"/>
        <v>0.1170534487659188</v>
      </c>
      <c r="F7" s="230"/>
      <c r="G7" s="227">
        <f>'C-Döviz'!C12</f>
        <v>21339706.384310201</v>
      </c>
      <c r="H7" s="227">
        <f>'C-Döviz'!B12</f>
        <v>19103567.880199067</v>
      </c>
      <c r="I7" s="229">
        <f t="shared" si="1"/>
        <v>0.1170534487659188</v>
      </c>
      <c r="J7" s="225"/>
      <c r="K7" s="226" t="str">
        <f t="shared" si="3"/>
        <v xml:space="preserve">İnci GS Yuasa </v>
      </c>
      <c r="L7" s="227">
        <f>'Tahmin Data'!G3/0.4</f>
        <v>602079304.36617434</v>
      </c>
      <c r="M7" s="227">
        <f>'Tahmin Data'!I3/0.4</f>
        <v>548487568.17499995</v>
      </c>
      <c r="N7" s="227">
        <f>'Tahmin Data'!K3/0.4</f>
        <v>462415295.93022501</v>
      </c>
      <c r="O7" s="227">
        <f>'Tahmin Data'!M3/0.4</f>
        <v>453532537.86080968</v>
      </c>
      <c r="P7" s="227">
        <f>'Tahmin Data'!O3/0.4</f>
        <v>471557916.2994917</v>
      </c>
      <c r="Q7" s="227">
        <f>'Tahmin Data'!Q3/0.4</f>
        <v>448826120.17245561</v>
      </c>
      <c r="R7" s="227">
        <f>'Tahmin Data'!S3/0.4</f>
        <v>437577996.93126935</v>
      </c>
      <c r="S7" s="227">
        <f>'Tahmin Data'!U3/0.4</f>
        <v>0</v>
      </c>
      <c r="T7" s="227">
        <f>'Tahmin Data'!W3/0.4</f>
        <v>0</v>
      </c>
      <c r="U7" s="227">
        <f t="shared" si="2"/>
        <v>21339706.384310201</v>
      </c>
      <c r="V7" s="204">
        <f>'Bütçe aylık-Eur'!N8</f>
        <v>258491989.14222342</v>
      </c>
      <c r="W7" s="229">
        <f t="shared" si="6"/>
        <v>-0.91744538600548664</v>
      </c>
      <c r="Y7" s="158" t="s">
        <v>117</v>
      </c>
      <c r="Z7" s="159">
        <f>C134</f>
        <v>182440.18016698389</v>
      </c>
      <c r="AA7" s="159">
        <f>D134</f>
        <v>345823.85472991527</v>
      </c>
      <c r="AB7" s="160">
        <f t="shared" si="4"/>
        <v>-0.47244767047817532</v>
      </c>
      <c r="AC7" s="166"/>
      <c r="AD7" s="159">
        <f>G134</f>
        <v>182440.18016698389</v>
      </c>
      <c r="AE7" s="159">
        <f>H134</f>
        <v>345823.85472991527</v>
      </c>
      <c r="AF7" s="160">
        <f t="shared" si="5"/>
        <v>-0.47244767047817532</v>
      </c>
      <c r="AG7" s="162"/>
      <c r="AH7" s="169" t="s">
        <v>19</v>
      </c>
      <c r="AI7" s="170">
        <f>'Tahmin Data'!L140</f>
        <v>94624029.728664994</v>
      </c>
      <c r="AJ7" s="170">
        <f>'Tahmin Data'!N140</f>
        <v>96088259.621666998</v>
      </c>
      <c r="AK7" s="170">
        <f>'C-TRY'!AI291</f>
        <v>-61575365.181918986</v>
      </c>
      <c r="AL7" s="171">
        <f>IF(AJ7&gt;AK7,ABS((AJ7-AK7)/AK7),-ABS((AK7-AJ7)/AK7))</f>
        <v>2.5604984126002779</v>
      </c>
    </row>
    <row r="8" spans="1:42" ht="10.5" customHeight="1">
      <c r="B8" s="228" t="s">
        <v>120</v>
      </c>
      <c r="C8" s="227">
        <f>'A -Döviz'!C13</f>
        <v>6014583.6999505255</v>
      </c>
      <c r="D8" s="227">
        <f>'A -Döviz'!B13</f>
        <v>6610337.0335660111</v>
      </c>
      <c r="E8" s="229">
        <f t="shared" si="0"/>
        <v>-9.0124502062506884E-2</v>
      </c>
      <c r="F8" s="230"/>
      <c r="G8" s="227">
        <f>'C-Döviz'!C13</f>
        <v>6014583.6999505255</v>
      </c>
      <c r="H8" s="227">
        <f>'C-Döviz'!B13</f>
        <v>6610337.0335660111</v>
      </c>
      <c r="I8" s="229">
        <f t="shared" si="1"/>
        <v>-9.0124502062506884E-2</v>
      </c>
      <c r="J8" s="225"/>
      <c r="K8" s="226" t="str">
        <f t="shared" si="3"/>
        <v xml:space="preserve">Yusen İnci Loj. </v>
      </c>
      <c r="L8" s="227">
        <f>'Tahmin Data'!G10/0.4</f>
        <v>190962683.19887093</v>
      </c>
      <c r="M8" s="227">
        <f>'Tahmin Data'!I10/0.4</f>
        <v>190598893.99999997</v>
      </c>
      <c r="N8" s="227">
        <f>'Tahmin Data'!K10/0.4</f>
        <v>174188131.06237015</v>
      </c>
      <c r="O8" s="227">
        <f>'Tahmin Data'!M10/0.4</f>
        <v>172123010.67251581</v>
      </c>
      <c r="P8" s="227">
        <f>'Tahmin Data'!O10/0.4</f>
        <v>169801883.08589721</v>
      </c>
      <c r="Q8" s="227">
        <f>'Tahmin Data'!Q10/0.4</f>
        <v>163901010.5361388</v>
      </c>
      <c r="R8" s="227">
        <f>'Tahmin Data'!S10/0.4</f>
        <v>165035245.01216969</v>
      </c>
      <c r="S8" s="227">
        <f>'Tahmin Data'!U10/0.4</f>
        <v>0</v>
      </c>
      <c r="T8" s="227">
        <f>'Tahmin Data'!W10/0.4</f>
        <v>0</v>
      </c>
      <c r="U8" s="227">
        <f t="shared" si="2"/>
        <v>6014583.6999505255</v>
      </c>
      <c r="V8" s="204">
        <f>'Bütçe aylık-Eur'!N9</f>
        <v>78667168.347311899</v>
      </c>
      <c r="W8" s="229">
        <f t="shared" si="6"/>
        <v>-0.92354391512611178</v>
      </c>
      <c r="Y8" s="158" t="s">
        <v>19</v>
      </c>
      <c r="Z8" s="159">
        <f>C173</f>
        <v>342118.89949938818</v>
      </c>
      <c r="AA8" s="159">
        <f>D173</f>
        <v>285699.2736404764</v>
      </c>
      <c r="AB8" s="160">
        <f t="shared" si="4"/>
        <v>0.19747906650231867</v>
      </c>
      <c r="AC8" s="166"/>
      <c r="AD8" s="159">
        <f>G173</f>
        <v>342118.89949938818</v>
      </c>
      <c r="AE8" s="159">
        <f>H173</f>
        <v>285699.2736404764</v>
      </c>
      <c r="AF8" s="160">
        <f t="shared" si="5"/>
        <v>0.19747906650231867</v>
      </c>
      <c r="AG8" s="162"/>
      <c r="AO8" s="172"/>
    </row>
    <row r="9" spans="1:42" ht="10.5" customHeight="1">
      <c r="B9" s="228" t="s">
        <v>121</v>
      </c>
      <c r="C9" s="227">
        <f>'A -Döviz'!C14</f>
        <v>11605520.09</v>
      </c>
      <c r="D9" s="227">
        <f>'A -Döviz'!B14</f>
        <v>10048793.329626</v>
      </c>
      <c r="E9" s="229">
        <f t="shared" si="0"/>
        <v>0.15491678545964674</v>
      </c>
      <c r="F9" s="230"/>
      <c r="G9" s="227">
        <f>'C-Döviz'!C14</f>
        <v>11605520.09</v>
      </c>
      <c r="H9" s="227">
        <f>'C-Döviz'!B14</f>
        <v>10048793.329626</v>
      </c>
      <c r="I9" s="229">
        <f t="shared" si="1"/>
        <v>0.15491678545964674</v>
      </c>
      <c r="J9" s="225"/>
      <c r="K9" s="226" t="str">
        <f t="shared" si="3"/>
        <v xml:space="preserve">Jantaş </v>
      </c>
      <c r="L9" s="227">
        <f>'Tahmin Data'!G9/0.4</f>
        <v>351860000</v>
      </c>
      <c r="M9" s="227">
        <f>'Tahmin Data'!I9/0.4</f>
        <v>352052982.52499998</v>
      </c>
      <c r="N9" s="227">
        <f>'Tahmin Data'!K9/0.4</f>
        <v>351490701.97303998</v>
      </c>
      <c r="O9" s="227">
        <f>'Tahmin Data'!M9/0.4</f>
        <v>351855000</v>
      </c>
      <c r="P9" s="227">
        <f>'Tahmin Data'!O9/0.4</f>
        <v>345070211.63933742</v>
      </c>
      <c r="Q9" s="227">
        <f>'Tahmin Data'!Q9/0.4</f>
        <v>337013817.1613425</v>
      </c>
      <c r="R9" s="227">
        <f>'Tahmin Data'!S9/0.4</f>
        <v>339811816.32695246</v>
      </c>
      <c r="S9" s="227">
        <f>'Tahmin Data'!U9/0.4</f>
        <v>0</v>
      </c>
      <c r="T9" s="227">
        <f>'Tahmin Data'!W9/0.4</f>
        <v>0</v>
      </c>
      <c r="U9" s="227">
        <f t="shared" si="2"/>
        <v>11605520.09</v>
      </c>
      <c r="V9" s="204">
        <f>'Bütçe aylık-Eur'!N10</f>
        <v>133999736.311259</v>
      </c>
      <c r="W9" s="229">
        <f t="shared" si="6"/>
        <v>-0.91339147068885029</v>
      </c>
      <c r="Y9" s="158" t="s">
        <v>90</v>
      </c>
      <c r="Z9" s="159">
        <f>C186</f>
        <v>0</v>
      </c>
      <c r="AA9" s="159">
        <f>D186</f>
        <v>1924.399273230136</v>
      </c>
      <c r="AB9" s="160">
        <v>0</v>
      </c>
      <c r="AC9" s="166"/>
      <c r="AD9" s="159">
        <f>G186</f>
        <v>0</v>
      </c>
      <c r="AE9" s="159">
        <f>H186</f>
        <v>1924.399273230136</v>
      </c>
      <c r="AF9" s="160">
        <f t="shared" si="5"/>
        <v>-1</v>
      </c>
      <c r="AG9" s="162"/>
      <c r="AJ9" s="173"/>
    </row>
    <row r="10" spans="1:42" ht="10.5" customHeight="1" thickBot="1">
      <c r="B10" s="228" t="s">
        <v>122</v>
      </c>
      <c r="C10" s="227">
        <f>'A -Döviz'!C15</f>
        <v>7830554.3300000001</v>
      </c>
      <c r="D10" s="227">
        <f>'A -Döviz'!B15</f>
        <v>7577608.2747520003</v>
      </c>
      <c r="E10" s="229">
        <f t="shared" si="0"/>
        <v>3.3380724639830786E-2</v>
      </c>
      <c r="F10" s="230"/>
      <c r="G10" s="227">
        <f>'C-Döviz'!C15</f>
        <v>7830554.3300000001</v>
      </c>
      <c r="H10" s="227">
        <f>'C-Döviz'!B15</f>
        <v>7577608.2747520003</v>
      </c>
      <c r="I10" s="229">
        <f t="shared" si="1"/>
        <v>3.3380724639830786E-2</v>
      </c>
      <c r="J10" s="225"/>
      <c r="K10" s="226" t="str">
        <f t="shared" si="3"/>
        <v xml:space="preserve">Çelik </v>
      </c>
      <c r="L10" s="227">
        <f>'Tahmin Data'!G8/0.4</f>
        <v>237336272.25194249</v>
      </c>
      <c r="M10" s="227">
        <f>'Tahmin Data'!I8/0.4</f>
        <v>235888208.34999999</v>
      </c>
      <c r="N10" s="227">
        <f>'Tahmin Data'!K8/0.4</f>
        <v>235402881.38381249</v>
      </c>
      <c r="O10" s="227">
        <f>'Tahmin Data'!M8/0.4</f>
        <v>235402881.38381249</v>
      </c>
      <c r="P10" s="227">
        <f>'Tahmin Data'!O8/0.4</f>
        <v>236615382.3804625</v>
      </c>
      <c r="Q10" s="227">
        <f>'Tahmin Data'!Q8/0.4</f>
        <v>236455047.2782225</v>
      </c>
      <c r="R10" s="227">
        <f>'Tahmin Data'!S8/0.4</f>
        <v>239409198.65862998</v>
      </c>
      <c r="S10" s="227">
        <f>'Tahmin Data'!U8/0.4</f>
        <v>0</v>
      </c>
      <c r="T10" s="227">
        <f>'Tahmin Data'!W8/0.4</f>
        <v>0</v>
      </c>
      <c r="U10" s="227">
        <f t="shared" si="2"/>
        <v>7830554.3300000001</v>
      </c>
      <c r="V10" s="204">
        <f>'Bütçe aylık-Eur'!N11</f>
        <v>85847861.318379998</v>
      </c>
      <c r="W10" s="229">
        <f t="shared" si="6"/>
        <v>-0.90878567957611456</v>
      </c>
      <c r="Y10" s="169" t="s">
        <v>123</v>
      </c>
      <c r="Z10" s="174">
        <f>C212</f>
        <v>25017917.400184136</v>
      </c>
      <c r="AA10" s="174">
        <f>D212</f>
        <v>23979154.75612228</v>
      </c>
      <c r="AB10" s="160">
        <f t="shared" si="4"/>
        <v>4.3319401981700062E-2</v>
      </c>
      <c r="AC10" s="166"/>
      <c r="AD10" s="174">
        <f>G212</f>
        <v>25017917.400184136</v>
      </c>
      <c r="AE10" s="174">
        <f>H212</f>
        <v>23979154.75612228</v>
      </c>
      <c r="AF10" s="160">
        <f t="shared" si="5"/>
        <v>4.3319401981700062E-2</v>
      </c>
      <c r="AG10" s="162"/>
      <c r="AJ10" s="173"/>
    </row>
    <row r="11" spans="1:42" ht="10.5" customHeight="1" thickBot="1">
      <c r="B11" s="228" t="s">
        <v>124</v>
      </c>
      <c r="C11" s="227">
        <f>'A -Döviz'!C16</f>
        <v>22219414.129999999</v>
      </c>
      <c r="D11" s="227">
        <f>'A -Döviz'!B16</f>
        <v>19304354.307695001</v>
      </c>
      <c r="E11" s="229">
        <f t="shared" si="0"/>
        <v>0.15100530045405411</v>
      </c>
      <c r="F11" s="230"/>
      <c r="G11" s="227">
        <f>'C-Döviz'!C16</f>
        <v>22219414.129999999</v>
      </c>
      <c r="H11" s="227">
        <f>'C-Döviz'!B16</f>
        <v>19304354.307695001</v>
      </c>
      <c r="I11" s="229">
        <f t="shared" si="1"/>
        <v>0.15100530045405411</v>
      </c>
      <c r="J11" s="225"/>
      <c r="K11" s="231" t="str">
        <f t="shared" si="3"/>
        <v xml:space="preserve">Alüminyum </v>
      </c>
      <c r="L11" s="232">
        <f>'Tahmin Data'!G7/0.4</f>
        <v>680669653.46151745</v>
      </c>
      <c r="M11" s="232">
        <f>'Tahmin Data'!I7/0.4</f>
        <v>673620583.875</v>
      </c>
      <c r="N11" s="232">
        <f>'Tahmin Data'!K7/0.4</f>
        <v>674455233.50415242</v>
      </c>
      <c r="O11" s="232">
        <f>'Tahmin Data'!M7/0.4</f>
        <v>660669497.55437493</v>
      </c>
      <c r="P11" s="232">
        <f>'Tahmin Data'!O7/0.4</f>
        <v>641603984.71506751</v>
      </c>
      <c r="Q11" s="232">
        <f>'Tahmin Data'!Q7/0.4</f>
        <v>633995002.16802752</v>
      </c>
      <c r="R11" s="232">
        <f>'Tahmin Data'!S7/0.4</f>
        <v>633363359.06561995</v>
      </c>
      <c r="S11" s="232">
        <f>'Tahmin Data'!U7/0.4</f>
        <v>0</v>
      </c>
      <c r="T11" s="232">
        <f>'Tahmin Data'!W7/0.4</f>
        <v>0</v>
      </c>
      <c r="U11" s="232">
        <f t="shared" si="2"/>
        <v>22219414.129999999</v>
      </c>
      <c r="V11" s="205">
        <f>'Bütçe aylık-Eur'!N12</f>
        <v>247682976.362176</v>
      </c>
      <c r="W11" s="264">
        <f t="shared" si="6"/>
        <v>-0.9102909111625439</v>
      </c>
      <c r="Y11" s="175"/>
      <c r="Z11" s="175"/>
      <c r="AA11" s="175"/>
      <c r="AB11" s="176"/>
      <c r="AD11" s="175"/>
      <c r="AF11" s="176"/>
      <c r="AH11" s="147"/>
      <c r="AI11" s="147"/>
      <c r="AJ11" s="147"/>
      <c r="AK11" s="147"/>
      <c r="AL11" s="147"/>
      <c r="AN11" s="177"/>
    </row>
    <row r="12" spans="1:42" ht="10.5" customHeight="1" thickBot="1">
      <c r="B12" s="233" t="s">
        <v>125</v>
      </c>
      <c r="C12" s="234">
        <f>'A -Döviz'!C6</f>
        <v>30208400.538231172</v>
      </c>
      <c r="D12" s="234">
        <f>'A -Döviz'!B6</f>
        <v>27601026.295465603</v>
      </c>
      <c r="E12" s="246">
        <f t="shared" si="0"/>
        <v>9.4466568556326361E-2</v>
      </c>
      <c r="F12" s="235"/>
      <c r="G12" s="236">
        <f>'C-Döviz'!C6</f>
        <v>30208400.538231172</v>
      </c>
      <c r="H12" s="236">
        <f>'C-Döviz'!B6</f>
        <v>27601026.295465603</v>
      </c>
      <c r="I12" s="260">
        <f t="shared" si="1"/>
        <v>9.4466568556326361E-2</v>
      </c>
      <c r="J12" s="237"/>
      <c r="K12" s="251" t="s">
        <v>125</v>
      </c>
      <c r="L12" s="248">
        <f>SUM('Tahmin Data'!G3:G10)</f>
        <v>860677868.62658072</v>
      </c>
      <c r="M12" s="248">
        <f>SUM('Tahmin Data'!I3:I10)</f>
        <v>832104967.74000001</v>
      </c>
      <c r="N12" s="248">
        <f>SUM('Tahmin Data'!K3:K10)</f>
        <v>789806369.5472362</v>
      </c>
      <c r="O12" s="248">
        <f>SUM('Tahmin Data'!M3:M10)</f>
        <v>779321189.84087431</v>
      </c>
      <c r="P12" s="248">
        <f>SUM('Tahmin Data'!O3:O10)</f>
        <v>776064947.60585451</v>
      </c>
      <c r="Q12" s="248">
        <f>SUM('Tahmin Data'!Q3:Q10)</f>
        <v>757192300.10521531</v>
      </c>
      <c r="R12" s="248">
        <f>SUM('Tahmin Data'!S3:S10)</f>
        <v>754778035.3236047</v>
      </c>
      <c r="S12" s="248">
        <f>SUM('Tahmin Data'!U3:U10)</f>
        <v>0</v>
      </c>
      <c r="T12" s="248">
        <f>SUM('Tahmin Data'!W3:W10)</f>
        <v>0</v>
      </c>
      <c r="U12" s="248" cm="1">
        <f t="array" ref="U12">SUM(U4:U6,(U7:U11)*0.4)</f>
        <v>30208400.538231179</v>
      </c>
      <c r="V12" s="248">
        <f>'Bütçe aylık-Eur'!N4</f>
        <v>357330874.19145346</v>
      </c>
      <c r="W12" s="292">
        <f t="shared" si="6"/>
        <v>-0.91546098386660568</v>
      </c>
      <c r="Y12" s="151" t="str">
        <f>B5</f>
        <v xml:space="preserve">ISM </v>
      </c>
      <c r="Z12" s="453" t="s">
        <v>0</v>
      </c>
      <c r="AA12" s="453"/>
      <c r="AB12" s="453"/>
      <c r="AC12" s="152"/>
      <c r="AD12" s="151"/>
      <c r="AE12" s="151" t="s">
        <v>36</v>
      </c>
      <c r="AF12" s="151"/>
      <c r="AG12" s="153"/>
      <c r="AH12" s="151" t="str">
        <f>Y12</f>
        <v xml:space="preserve">ISM </v>
      </c>
      <c r="AI12" s="151"/>
      <c r="AJ12" s="453" t="s">
        <v>97</v>
      </c>
      <c r="AK12" s="453"/>
      <c r="AL12" s="453"/>
    </row>
    <row r="13" spans="1:42" ht="10.5" customHeight="1" thickTop="1" thickBot="1">
      <c r="B13" s="158"/>
      <c r="C13" s="196"/>
      <c r="D13" s="196"/>
      <c r="E13" s="194"/>
      <c r="F13" s="197"/>
      <c r="G13" s="196"/>
      <c r="H13" s="196"/>
      <c r="I13" s="194"/>
      <c r="J13" s="194"/>
      <c r="K13" s="252" t="s">
        <v>9</v>
      </c>
      <c r="L13" s="239">
        <f>SUM(L4:L11)</f>
        <v>2098422616.5936837</v>
      </c>
      <c r="M13" s="239">
        <f t="shared" ref="M13:V13" si="7">SUM(M4:M11)</f>
        <v>2032493909.895</v>
      </c>
      <c r="N13" s="239">
        <f t="shared" si="7"/>
        <v>1928577715.859396</v>
      </c>
      <c r="O13" s="239">
        <f t="shared" si="7"/>
        <v>1903470946.323782</v>
      </c>
      <c r="P13" s="239">
        <f t="shared" si="7"/>
        <v>1894854574.4780083</v>
      </c>
      <c r="Q13" s="239">
        <f>SUM(Q4:Q11)</f>
        <v>1849306898.4949274</v>
      </c>
      <c r="R13" s="239">
        <f>SUM(R4:R11)</f>
        <v>1843896604.9203894</v>
      </c>
      <c r="S13" s="239">
        <f>SUM(S4:S11)</f>
        <v>0</v>
      </c>
      <c r="T13" s="239">
        <f>SUM(T4:T11)</f>
        <v>0</v>
      </c>
      <c r="U13" s="239">
        <f>SUM(U4:U11)</f>
        <v>71614267.718787611</v>
      </c>
      <c r="V13" s="239">
        <f t="shared" si="7"/>
        <v>840144713.08026361</v>
      </c>
      <c r="W13" s="293">
        <f t="shared" si="6"/>
        <v>-0.91475960438264881</v>
      </c>
      <c r="Y13" s="151" t="s">
        <v>126</v>
      </c>
      <c r="Z13" s="151" t="s">
        <v>98</v>
      </c>
      <c r="AA13" s="151" t="s">
        <v>99</v>
      </c>
      <c r="AB13" s="151" t="s">
        <v>100</v>
      </c>
      <c r="AC13" s="152"/>
      <c r="AD13" s="151" t="s">
        <v>98</v>
      </c>
      <c r="AE13" s="151" t="s">
        <v>99</v>
      </c>
      <c r="AF13" s="151" t="s">
        <v>100</v>
      </c>
      <c r="AG13" s="153"/>
      <c r="AH13" s="151" t="s">
        <v>107</v>
      </c>
      <c r="AI13" s="151" t="str">
        <f>$AI$3</f>
        <v>Mayıs YST</v>
      </c>
      <c r="AJ13" s="151" t="str">
        <f>$AJ$3</f>
        <v>Haziran YST</v>
      </c>
      <c r="AK13" s="151" t="s">
        <v>99</v>
      </c>
      <c r="AL13" s="151" t="s">
        <v>100</v>
      </c>
    </row>
    <row r="14" spans="1:42" ht="10.5" customHeight="1">
      <c r="B14" s="158"/>
      <c r="C14" s="196"/>
      <c r="D14" s="196"/>
      <c r="E14" s="194"/>
      <c r="F14" s="197"/>
      <c r="G14" s="196"/>
      <c r="H14" s="196"/>
      <c r="I14" s="194"/>
      <c r="J14" s="194"/>
      <c r="K14" s="202"/>
      <c r="L14" s="194"/>
      <c r="M14" s="194"/>
      <c r="N14" s="194"/>
      <c r="O14" s="194"/>
      <c r="P14" s="194"/>
      <c r="Q14" s="194"/>
      <c r="R14" s="194"/>
      <c r="S14" s="194"/>
      <c r="T14" s="194"/>
      <c r="U14" s="194"/>
      <c r="V14" s="194"/>
      <c r="Y14" s="158" t="s">
        <v>112</v>
      </c>
      <c r="Z14" s="159">
        <f>C5</f>
        <v>881940.78190761793</v>
      </c>
      <c r="AA14" s="159">
        <f>D5</f>
        <v>834190.48278605426</v>
      </c>
      <c r="AB14" s="160">
        <f t="shared" ref="AB14:AB20" si="8">IF(Z14&gt;AA14,ABS((Z14-AA14)/AA14),-ABS((AA14-Z14)/AA14))</f>
        <v>5.7241481540386073E-2</v>
      </c>
      <c r="AC14" s="166"/>
      <c r="AD14" s="159">
        <f>G5</f>
        <v>881940.78190761793</v>
      </c>
      <c r="AE14" s="159">
        <f>H5</f>
        <v>834190.48278605426</v>
      </c>
      <c r="AF14" s="160">
        <f t="shared" ref="AF14:AF20" si="9">IF(AD14&gt;AE14,ABS((AD14-AE14)/AE14),-ABS((AE14-AD14)/AE14))</f>
        <v>5.7241481540386073E-2</v>
      </c>
      <c r="AG14" s="162"/>
      <c r="AH14" s="158" t="s">
        <v>112</v>
      </c>
      <c r="AI14" s="163">
        <f>'Tahmin Data'!L6</f>
        <v>389504326.791089</v>
      </c>
      <c r="AJ14" s="163">
        <f>'Tahmin Data'!N6</f>
        <v>361981037</v>
      </c>
      <c r="AK14" s="163">
        <f>'C-TRY'!AI10</f>
        <v>382716321.87452096</v>
      </c>
      <c r="AL14" s="164">
        <f>IF(AJ14&gt;AK14,ABS((AJ14-AK14)/AK14),-ABS((AK14-AJ14)/AK14))</f>
        <v>-5.4179254161308851E-2</v>
      </c>
    </row>
    <row r="15" spans="1:42" ht="12.5">
      <c r="B15" s="209" t="s">
        <v>127</v>
      </c>
      <c r="C15" s="451" t="s">
        <v>0</v>
      </c>
      <c r="D15" s="451"/>
      <c r="E15" s="451"/>
      <c r="F15" s="210"/>
      <c r="G15" s="210"/>
      <c r="H15" s="210" t="s">
        <v>36</v>
      </c>
      <c r="I15" s="210"/>
      <c r="J15" s="195"/>
      <c r="K15" s="214" t="s">
        <v>128</v>
      </c>
      <c r="L15" s="214"/>
      <c r="M15" s="214"/>
      <c r="N15" s="214"/>
      <c r="O15" s="210"/>
      <c r="P15" s="210"/>
      <c r="Q15" s="210"/>
      <c r="R15" s="210"/>
      <c r="S15" s="210"/>
      <c r="T15" s="210"/>
      <c r="U15" s="210"/>
      <c r="V15" s="194"/>
      <c r="Y15" s="158" t="s">
        <v>113</v>
      </c>
      <c r="Z15" s="159">
        <f>C83</f>
        <v>-2368.1966064800008</v>
      </c>
      <c r="AA15" s="159">
        <f>D83</f>
        <v>-18617.17053831114</v>
      </c>
      <c r="AB15" s="160">
        <f t="shared" si="8"/>
        <v>0.87279503071604614</v>
      </c>
      <c r="AC15" s="166"/>
      <c r="AD15" s="159">
        <f>G83</f>
        <v>-2368.1966064800008</v>
      </c>
      <c r="AE15" s="159">
        <f>H83</f>
        <v>-18617.17053831114</v>
      </c>
      <c r="AF15" s="160">
        <f t="shared" si="9"/>
        <v>0.87279503071604614</v>
      </c>
      <c r="AG15" s="162"/>
      <c r="AH15" s="158" t="s">
        <v>113</v>
      </c>
      <c r="AI15" s="163">
        <f>'Tahmin Data'!L62</f>
        <v>38743033.378984012</v>
      </c>
      <c r="AJ15" s="163">
        <f>'Tahmin Data'!N62</f>
        <v>26905482</v>
      </c>
      <c r="AK15" s="163">
        <f>'C-TRY'!AI140</f>
        <v>46587443.192728005</v>
      </c>
      <c r="AL15" s="164">
        <f>IF(AJ15&gt;AK15,ABS((AJ15-AK15)/AK15),-ABS((AK15-AJ15)/AK15))</f>
        <v>-0.42247352170209312</v>
      </c>
    </row>
    <row r="16" spans="1:42" ht="10.5" customHeight="1" thickBot="1">
      <c r="B16" s="169"/>
      <c r="C16" s="211" t="s">
        <v>98</v>
      </c>
      <c r="D16" s="211" t="s">
        <v>99</v>
      </c>
      <c r="E16" s="211" t="s">
        <v>100</v>
      </c>
      <c r="F16" s="211"/>
      <c r="G16" s="211" t="s">
        <v>98</v>
      </c>
      <c r="H16" s="211" t="s">
        <v>99</v>
      </c>
      <c r="I16" s="211" t="s">
        <v>100</v>
      </c>
      <c r="J16" s="152"/>
      <c r="K16" s="218"/>
      <c r="L16" s="219" t="s">
        <v>129</v>
      </c>
      <c r="M16" s="219" t="s">
        <v>130</v>
      </c>
      <c r="N16" s="219" t="s">
        <v>131</v>
      </c>
      <c r="O16" s="219" t="s">
        <v>101</v>
      </c>
      <c r="P16" s="219" t="s">
        <v>102</v>
      </c>
      <c r="Q16" s="219" t="s">
        <v>103</v>
      </c>
      <c r="R16" s="219" t="s">
        <v>104</v>
      </c>
      <c r="S16" s="219" t="s">
        <v>105</v>
      </c>
      <c r="T16" s="219" t="s">
        <v>106</v>
      </c>
      <c r="U16" s="219" t="s">
        <v>98</v>
      </c>
      <c r="V16" s="250" t="s">
        <v>99</v>
      </c>
      <c r="W16" s="262" t="s">
        <v>100</v>
      </c>
      <c r="Y16" s="158" t="s">
        <v>116</v>
      </c>
      <c r="Z16" s="167">
        <f>C70</f>
        <v>-1.3101473416769349E-2</v>
      </c>
      <c r="AA16" s="167">
        <f>D70</f>
        <v>-3.5414154934302527E-2</v>
      </c>
      <c r="AB16" s="160">
        <f t="shared" si="8"/>
        <v>0.63004980801958588</v>
      </c>
      <c r="AC16" s="167"/>
      <c r="AD16" s="167">
        <f>G70</f>
        <v>-1.3101473416769349E-2</v>
      </c>
      <c r="AE16" s="167">
        <f>H70</f>
        <v>-3.5414154934302527E-2</v>
      </c>
      <c r="AF16" s="160">
        <f t="shared" si="9"/>
        <v>0.63004980801958588</v>
      </c>
      <c r="AG16" s="168"/>
      <c r="AH16" s="158" t="s">
        <v>117</v>
      </c>
      <c r="AI16" s="163">
        <f>'Tahmin Data'!L86</f>
        <v>8881203.6163899992</v>
      </c>
      <c r="AJ16" s="163">
        <f>'Tahmin Data'!N86</f>
        <v>-54473605.82</v>
      </c>
      <c r="AK16" s="163">
        <f>'C-TRY'!AI190</f>
        <v>35395578.265368998</v>
      </c>
      <c r="AL16" s="164">
        <f>IF(AJ16&gt;AK16,ABS((AJ16-AK16)/AK16),-ABS((AK16-AJ16)/AK16))</f>
        <v>-2.5389946566658277</v>
      </c>
    </row>
    <row r="17" spans="1:38" ht="10.5" customHeight="1" thickTop="1" thickBot="1">
      <c r="B17" s="149" t="s">
        <v>111</v>
      </c>
      <c r="C17" s="156">
        <f>'A -Döviz'!C36</f>
        <v>754597.33410611225</v>
      </c>
      <c r="D17" s="156">
        <f>'A -Döviz'!B36</f>
        <v>714880.86352755502</v>
      </c>
      <c r="E17" s="224">
        <f t="shared" ref="E17:E25" si="10">IF(C17&gt;D17,ABS((C17-D17)/D17),-ABS((D17-C17)/D17))</f>
        <v>5.5556768413939174E-2</v>
      </c>
      <c r="F17" s="155"/>
      <c r="G17" s="156">
        <f>'C-Döviz'!C36</f>
        <v>754597.33410611225</v>
      </c>
      <c r="H17" s="156">
        <f>'C-Döviz'!B36</f>
        <v>714880.86352755502</v>
      </c>
      <c r="I17" s="224">
        <f t="shared" ref="I17:I25" si="11">IF(G17&gt;H17,ABS((G17-H17)/H17),-ABS((H17-G17)/H17))</f>
        <v>5.5556768413939174E-2</v>
      </c>
      <c r="J17" s="157"/>
      <c r="K17" s="226" t="str">
        <f>B17</f>
        <v xml:space="preserve">İnci Holding  </v>
      </c>
      <c r="L17" s="227">
        <f>'Tahmin Data'!G20</f>
        <v>9609600.4809003659</v>
      </c>
      <c r="M17" s="227">
        <f>'Tahmin Data'!I20</f>
        <v>9300912.2599999998</v>
      </c>
      <c r="N17" s="227">
        <f>'Tahmin Data'!K20</f>
        <v>8587722.1868892498</v>
      </c>
      <c r="O17" s="227">
        <f>'Tahmin Data'!M20</f>
        <v>8547561.5419829711</v>
      </c>
      <c r="P17" s="227">
        <f>'Tahmin Data'!O20</f>
        <v>8537105.0286138337</v>
      </c>
      <c r="Q17" s="227">
        <f>'Tahmin Data'!Q20</f>
        <v>8329673.5544907041</v>
      </c>
      <c r="R17" s="227">
        <f>'Tahmin Data'!S20</f>
        <v>8347111.1794086071</v>
      </c>
      <c r="S17" s="227">
        <f>'Tahmin Data'!U20</f>
        <v>0</v>
      </c>
      <c r="T17" s="227">
        <f>'Tahmin Data'!W20</f>
        <v>0</v>
      </c>
      <c r="U17" s="318">
        <f t="shared" ref="U17:U24" si="12">G17</f>
        <v>754597.33410611225</v>
      </c>
      <c r="V17" s="213">
        <f>'Bütçe aylık-Eur'!N27</f>
        <v>9233250.8846085686</v>
      </c>
      <c r="W17" s="224">
        <f>IF(U17&gt;V17,ABS((U17-V17)/V17),-ABS((V17-U17)/V17))</f>
        <v>-0.91827392718592826</v>
      </c>
      <c r="Y17" s="158" t="s">
        <v>117</v>
      </c>
      <c r="Z17" s="159">
        <f>C135</f>
        <v>-73693.558753775273</v>
      </c>
      <c r="AA17" s="159">
        <f>D135</f>
        <v>-36913.046813894987</v>
      </c>
      <c r="AB17" s="160">
        <f t="shared" si="8"/>
        <v>-0.99640953848424096</v>
      </c>
      <c r="AC17" s="166"/>
      <c r="AD17" s="159">
        <f>G135</f>
        <v>-73693.558753775273</v>
      </c>
      <c r="AE17" s="159">
        <f>H135</f>
        <v>-36913.046813894987</v>
      </c>
      <c r="AF17" s="160">
        <f t="shared" si="9"/>
        <v>-0.99640953848424096</v>
      </c>
      <c r="AG17" s="162"/>
      <c r="AH17" s="169" t="s">
        <v>19</v>
      </c>
      <c r="AI17" s="170">
        <f>'Tahmin Data'!L142</f>
        <v>37778926.716108017</v>
      </c>
      <c r="AJ17" s="170">
        <f>'Tahmin Data'!N142</f>
        <v>12668043</v>
      </c>
      <c r="AK17" s="170">
        <f>'C-TRY'!AI292</f>
        <v>480089.61249500792</v>
      </c>
      <c r="AL17" s="171">
        <f>IF(AJ17&gt;AK17,ABS((AJ17-AK17)/AK17),-ABS((AK17-AJ17)/AK17))</f>
        <v>25.386830021513379</v>
      </c>
    </row>
    <row r="18" spans="1:38" ht="10.5" customHeight="1">
      <c r="B18" s="149" t="s">
        <v>11</v>
      </c>
      <c r="C18" s="156">
        <f>'A -Döviz'!C37</f>
        <v>114810.92773067288</v>
      </c>
      <c r="D18" s="156">
        <f>'A -Döviz'!B37</f>
        <v>142793.68868275476</v>
      </c>
      <c r="E18" s="229">
        <f t="shared" si="10"/>
        <v>-0.19596637085446597</v>
      </c>
      <c r="F18" s="155"/>
      <c r="G18" s="156">
        <f>'C-Döviz'!C37</f>
        <v>114810.92773067288</v>
      </c>
      <c r="H18" s="156">
        <f>'C-Döviz'!B37</f>
        <v>142793.68868275476</v>
      </c>
      <c r="I18" s="229">
        <f t="shared" si="11"/>
        <v>-0.19596637085446597</v>
      </c>
      <c r="J18" s="157"/>
      <c r="K18" s="226" t="str">
        <f t="shared" ref="K18:K24" si="13">B18</f>
        <v xml:space="preserve">ISM </v>
      </c>
      <c r="L18" s="227">
        <f>'Tahmin Data'!G22</f>
        <v>2435628.4902596576</v>
      </c>
      <c r="M18" s="227">
        <f>'Tahmin Data'!I22</f>
        <v>1872423.3</v>
      </c>
      <c r="N18" s="227">
        <f>'Tahmin Data'!K22</f>
        <v>2199378.6134518199</v>
      </c>
      <c r="O18" s="227">
        <f>'Tahmin Data'!M22</f>
        <v>2031502.358646662</v>
      </c>
      <c r="P18" s="227">
        <f>'Tahmin Data'!O22</f>
        <v>2061777.389107232</v>
      </c>
      <c r="Q18" s="227">
        <f>'Tahmin Data'!Q22</f>
        <v>1933685.7988610324</v>
      </c>
      <c r="R18" s="227">
        <f>'Tahmin Data'!S22</f>
        <v>1728706.8677638555</v>
      </c>
      <c r="S18" s="227">
        <f>'Tahmin Data'!U22</f>
        <v>0</v>
      </c>
      <c r="T18" s="227">
        <f>'Tahmin Data'!W22</f>
        <v>0</v>
      </c>
      <c r="U18" s="227">
        <f t="shared" si="12"/>
        <v>114810.92773067288</v>
      </c>
      <c r="V18" s="204">
        <f>'Bütçe aylık-Eur'!N28</f>
        <v>2739594.8381665689</v>
      </c>
      <c r="W18" s="229">
        <f>IF(U18&gt;V18,ABS((U18-V18)/V18),-ABS((V18-U18)/V18))</f>
        <v>-0.95809200465295508</v>
      </c>
      <c r="Y18" s="158" t="s">
        <v>19</v>
      </c>
      <c r="Z18" s="159">
        <f>C174</f>
        <v>-276093.95271020074</v>
      </c>
      <c r="AA18" s="159">
        <f>D174</f>
        <v>-664594.88840917335</v>
      </c>
      <c r="AB18" s="160">
        <f t="shared" si="8"/>
        <v>0.58456804660192174</v>
      </c>
      <c r="AC18" s="166"/>
      <c r="AD18" s="159">
        <f>G174</f>
        <v>-276093.95271020074</v>
      </c>
      <c r="AE18" s="159">
        <f>H174</f>
        <v>-664594.88840917335</v>
      </c>
      <c r="AF18" s="160">
        <f t="shared" si="9"/>
        <v>0.58456804660192174</v>
      </c>
      <c r="AG18" s="162"/>
      <c r="AI18" s="173"/>
      <c r="AJ18" s="173"/>
    </row>
    <row r="19" spans="1:38" ht="10.5" customHeight="1">
      <c r="B19" s="149" t="s">
        <v>115</v>
      </c>
      <c r="C19" s="156">
        <f>'A -Döviz'!C38</f>
        <v>155750.77799419372</v>
      </c>
      <c r="D19" s="156">
        <f>'A -Döviz'!B38</f>
        <v>166073.61759417551</v>
      </c>
      <c r="E19" s="229">
        <f t="shared" si="10"/>
        <v>-6.2158214829805859E-2</v>
      </c>
      <c r="F19" s="155"/>
      <c r="G19" s="156">
        <f>'C-Döviz'!C38</f>
        <v>155750.77799419372</v>
      </c>
      <c r="H19" s="156">
        <f>'C-Döviz'!B38</f>
        <v>166073.61759417551</v>
      </c>
      <c r="I19" s="229">
        <f t="shared" si="11"/>
        <v>-6.2158214829805859E-2</v>
      </c>
      <c r="J19" s="157"/>
      <c r="K19" s="226" t="str">
        <f t="shared" si="13"/>
        <v xml:space="preserve">İncitaş </v>
      </c>
      <c r="L19" s="227">
        <f>'Tahmin Data'!G21</f>
        <v>3008973.6026517469</v>
      </c>
      <c r="M19" s="227">
        <f>'Tahmin Data'!I21</f>
        <v>2188776.84</v>
      </c>
      <c r="N19" s="227">
        <f>'Tahmin Data'!K21</f>
        <v>2039697.1004468277</v>
      </c>
      <c r="O19" s="227">
        <f>'Tahmin Data'!M21</f>
        <v>2053477.9388918728</v>
      </c>
      <c r="P19" s="227">
        <f>'Tahmin Data'!O21</f>
        <v>2151043.6143936533</v>
      </c>
      <c r="Q19" s="227">
        <f>'Tahmin Data'!Q21</f>
        <v>2081290.2149534635</v>
      </c>
      <c r="R19" s="227">
        <f>'Tahmin Data'!S21</f>
        <v>2050814.8953136317</v>
      </c>
      <c r="S19" s="227">
        <f>'Tahmin Data'!U21</f>
        <v>0</v>
      </c>
      <c r="T19" s="227">
        <f>'Tahmin Data'!W21</f>
        <v>0</v>
      </c>
      <c r="U19" s="227">
        <f t="shared" si="12"/>
        <v>155750.77799419372</v>
      </c>
      <c r="V19" s="204">
        <f>'Bütçe aylık-Eur'!N29</f>
        <v>3171439.369007091</v>
      </c>
      <c r="W19" s="229">
        <f t="shared" ref="W19:W26" si="14">IF(U19&gt;V19,ABS((U19-V19)/V19),-ABS((V19-U19)/V19))</f>
        <v>-0.95088956152961046</v>
      </c>
      <c r="Y19" s="158" t="s">
        <v>90</v>
      </c>
      <c r="Z19" s="159">
        <f>C187</f>
        <v>53252.056358936352</v>
      </c>
      <c r="AA19" s="159">
        <f>D187</f>
        <v>37421.013228197167</v>
      </c>
      <c r="AB19" s="160">
        <f t="shared" si="8"/>
        <v>0.4230522309537656</v>
      </c>
      <c r="AC19" s="166"/>
      <c r="AD19" s="159">
        <f>G187</f>
        <v>53252.056358936352</v>
      </c>
      <c r="AE19" s="159">
        <f>H187</f>
        <v>37421.013228197167</v>
      </c>
      <c r="AF19" s="160">
        <f t="shared" si="9"/>
        <v>0.4230522309537656</v>
      </c>
      <c r="AG19" s="162"/>
    </row>
    <row r="20" spans="1:38" ht="10.5" customHeight="1" thickBot="1">
      <c r="B20" s="149" t="s">
        <v>119</v>
      </c>
      <c r="C20" s="156">
        <f>'A -Döviz'!C39</f>
        <v>3182076.8322878215</v>
      </c>
      <c r="D20" s="156">
        <f>'A -Döviz'!B39</f>
        <v>3474138.3306522504</v>
      </c>
      <c r="E20" s="229">
        <f t="shared" si="10"/>
        <v>-8.4067319884063463E-2</v>
      </c>
      <c r="F20" s="155"/>
      <c r="G20" s="156">
        <f>'C-Döviz'!C39</f>
        <v>3182076.8322878215</v>
      </c>
      <c r="H20" s="156">
        <f>'C-Döviz'!B39</f>
        <v>3474138.3306522504</v>
      </c>
      <c r="I20" s="229">
        <f t="shared" si="11"/>
        <v>-8.4067319884063463E-2</v>
      </c>
      <c r="J20" s="157"/>
      <c r="K20" s="226" t="str">
        <f t="shared" si="13"/>
        <v xml:space="preserve">İnci GS Yuasa </v>
      </c>
      <c r="L20" s="227">
        <f>'Tahmin Data'!G19/0.4</f>
        <v>122383826.99701534</v>
      </c>
      <c r="M20" s="227">
        <f>'Tahmin Data'!I19/0.4</f>
        <v>95922661.950000003</v>
      </c>
      <c r="N20" s="227">
        <f>'Tahmin Data'!K19/0.4</f>
        <v>79184427.047245577</v>
      </c>
      <c r="O20" s="227">
        <f>'Tahmin Data'!M19/0.4</f>
        <v>76671726.008987144</v>
      </c>
      <c r="P20" s="227">
        <f>'Tahmin Data'!O19/0.4</f>
        <v>77331870.55703187</v>
      </c>
      <c r="Q20" s="227">
        <f>'Tahmin Data'!Q19/0.4</f>
        <v>73039350.479593396</v>
      </c>
      <c r="R20" s="227">
        <f>'Tahmin Data'!S19/0.4</f>
        <v>65065163.90563333</v>
      </c>
      <c r="S20" s="227">
        <f>'Tahmin Data'!U19/0.4</f>
        <v>0</v>
      </c>
      <c r="T20" s="227">
        <f>'Tahmin Data'!W19/0.4</f>
        <v>0</v>
      </c>
      <c r="U20" s="227">
        <f t="shared" si="12"/>
        <v>3182076.8322878215</v>
      </c>
      <c r="V20" s="204">
        <f>'Bütçe aylık-Eur'!N30</f>
        <v>52273164.655342884</v>
      </c>
      <c r="W20" s="229">
        <f t="shared" si="14"/>
        <v>-0.93912599603891445</v>
      </c>
      <c r="Y20" s="169" t="s">
        <v>123</v>
      </c>
      <c r="Z20" s="174">
        <f>C213</f>
        <v>-1591258.8034229409</v>
      </c>
      <c r="AA20" s="174">
        <f>D213</f>
        <v>-1959035.5281961104</v>
      </c>
      <c r="AB20" s="179">
        <f t="shared" si="8"/>
        <v>0.18773356556316267</v>
      </c>
      <c r="AC20" s="166"/>
      <c r="AD20" s="174">
        <f>G213</f>
        <v>-1591258.8034229409</v>
      </c>
      <c r="AE20" s="174">
        <f>H213</f>
        <v>-1959035.5281961104</v>
      </c>
      <c r="AF20" s="179">
        <f t="shared" si="9"/>
        <v>0.18773356556316267</v>
      </c>
      <c r="AG20" s="162"/>
    </row>
    <row r="21" spans="1:38" ht="10.5" customHeight="1">
      <c r="B21" s="149" t="s">
        <v>120</v>
      </c>
      <c r="C21" s="156">
        <f>'A -Döviz'!C40</f>
        <v>1207657.0429060124</v>
      </c>
      <c r="D21" s="156">
        <f>'A -Döviz'!B40</f>
        <v>1305194.2756808002</v>
      </c>
      <c r="E21" s="229">
        <f t="shared" si="10"/>
        <v>-7.473004945866131E-2</v>
      </c>
      <c r="F21" s="155"/>
      <c r="G21" s="156">
        <f>'C-Döviz'!C40</f>
        <v>1207657.0429060124</v>
      </c>
      <c r="H21" s="156">
        <f>'C-Döviz'!B40</f>
        <v>1305194.2756808002</v>
      </c>
      <c r="I21" s="229">
        <f t="shared" si="11"/>
        <v>-7.473004945866131E-2</v>
      </c>
      <c r="J21" s="157"/>
      <c r="K21" s="226" t="str">
        <f>B21</f>
        <v xml:space="preserve">Yusen İnci Loj. </v>
      </c>
      <c r="L21" s="227">
        <f>'Tahmin Data'!G26/0.4</f>
        <v>36890610.80223643</v>
      </c>
      <c r="M21" s="227">
        <f>'Tahmin Data'!I26/0.4</f>
        <v>36907830.625</v>
      </c>
      <c r="N21" s="227">
        <f>'Tahmin Data'!K26/0.4</f>
        <v>32659507.353563931</v>
      </c>
      <c r="O21" s="227">
        <f>'Tahmin Data'!M26/0.4</f>
        <v>32861147.410477813</v>
      </c>
      <c r="P21" s="227">
        <f>'Tahmin Data'!O26/0.4</f>
        <v>33076292.258449316</v>
      </c>
      <c r="Q21" s="227">
        <f>'Tahmin Data'!Q26/0.4</f>
        <v>32598853.869400918</v>
      </c>
      <c r="R21" s="227">
        <f>'Tahmin Data'!S26/0.4</f>
        <v>33317379.064673789</v>
      </c>
      <c r="S21" s="227">
        <f>'Tahmin Data'!U26/0.4</f>
        <v>0</v>
      </c>
      <c r="T21" s="227">
        <f>'Tahmin Data'!W26/0.4</f>
        <v>0</v>
      </c>
      <c r="U21" s="227">
        <f t="shared" si="12"/>
        <v>1207657.0429060124</v>
      </c>
      <c r="V21" s="204">
        <f>'Bütçe aylık-Eur'!N31</f>
        <v>15070440.141994249</v>
      </c>
      <c r="W21" s="229">
        <f t="shared" si="14"/>
        <v>-0.91986584124103721</v>
      </c>
    </row>
    <row r="22" spans="1:38" ht="10.5" customHeight="1">
      <c r="B22" s="149" t="s">
        <v>121</v>
      </c>
      <c r="C22" s="156">
        <f>'A -Döviz'!C41</f>
        <v>1395842.6800000004</v>
      </c>
      <c r="D22" s="156">
        <f>'A -Döviz'!B41</f>
        <v>1290276.9061810011</v>
      </c>
      <c r="E22" s="229">
        <f t="shared" si="10"/>
        <v>8.1816370821869489E-2</v>
      </c>
      <c r="F22" s="155"/>
      <c r="G22" s="156">
        <f>'C-Döviz'!C41</f>
        <v>1395842.6800000004</v>
      </c>
      <c r="H22" s="156">
        <f>'C-Döviz'!B41</f>
        <v>1290276.9061810011</v>
      </c>
      <c r="I22" s="229">
        <f t="shared" si="11"/>
        <v>8.1816370821869489E-2</v>
      </c>
      <c r="J22" s="157"/>
      <c r="K22" s="226" t="str">
        <f t="shared" si="13"/>
        <v xml:space="preserve">Jantaş </v>
      </c>
      <c r="L22" s="227">
        <f>'Tahmin Data'!G25/0.4</f>
        <v>68962500</v>
      </c>
      <c r="M22" s="227">
        <f>'Tahmin Data'!I25/0.4</f>
        <v>72277031.649999991</v>
      </c>
      <c r="N22" s="227">
        <f>'Tahmin Data'!K25/0.4</f>
        <v>72387345.312099993</v>
      </c>
      <c r="O22" s="227">
        <f>'Tahmin Data'!M25/0.4</f>
        <v>73905000</v>
      </c>
      <c r="P22" s="227">
        <f>'Tahmin Data'!O25/0.4</f>
        <v>70783572.838607475</v>
      </c>
      <c r="Q22" s="227">
        <f>'Tahmin Data'!Q25/0.4</f>
        <v>65508522.139259987</v>
      </c>
      <c r="R22" s="227">
        <f>'Tahmin Data'!S25/0.4</f>
        <v>67142000.072127536</v>
      </c>
      <c r="S22" s="227">
        <f>'Tahmin Data'!U25/0.4</f>
        <v>0</v>
      </c>
      <c r="T22" s="227">
        <f>'Tahmin Data'!W25/0.4</f>
        <v>0</v>
      </c>
      <c r="U22" s="227">
        <f t="shared" si="12"/>
        <v>1395842.6800000004</v>
      </c>
      <c r="V22" s="204">
        <f>'Bütçe aylık-Eur'!N32</f>
        <v>22238460.655240998</v>
      </c>
      <c r="W22" s="229">
        <f t="shared" si="14"/>
        <v>-0.93723294513772748</v>
      </c>
      <c r="Y22" s="151" t="str">
        <f>B6</f>
        <v xml:space="preserve">İncitaş </v>
      </c>
      <c r="Z22" s="453" t="s">
        <v>0</v>
      </c>
      <c r="AA22" s="453"/>
      <c r="AB22" s="453"/>
      <c r="AC22" s="152"/>
      <c r="AD22" s="151"/>
      <c r="AE22" s="151" t="s">
        <v>36</v>
      </c>
      <c r="AF22" s="151"/>
      <c r="AG22" s="153"/>
      <c r="AH22" s="151" t="str">
        <f>Y22</f>
        <v xml:space="preserve">İncitaş </v>
      </c>
      <c r="AI22" s="151"/>
      <c r="AJ22" s="453" t="s">
        <v>97</v>
      </c>
      <c r="AK22" s="453"/>
      <c r="AL22" s="453"/>
    </row>
    <row r="23" spans="1:38" ht="10.5" customHeight="1">
      <c r="B23" s="149" t="s">
        <v>122</v>
      </c>
      <c r="C23" s="156">
        <f>'A -Döviz'!C42</f>
        <v>1769605.4200000002</v>
      </c>
      <c r="D23" s="156">
        <f>'A -Döviz'!B42</f>
        <v>1688820.5658540002</v>
      </c>
      <c r="E23" s="229">
        <f t="shared" si="10"/>
        <v>4.7835072463810767E-2</v>
      </c>
      <c r="F23" s="155"/>
      <c r="G23" s="156">
        <f>'C-Döviz'!C42</f>
        <v>1769605.4200000002</v>
      </c>
      <c r="H23" s="156">
        <f>'C-Döviz'!B42</f>
        <v>1688820.5658540002</v>
      </c>
      <c r="I23" s="229">
        <f t="shared" si="11"/>
        <v>4.7835072463810767E-2</v>
      </c>
      <c r="J23" s="157"/>
      <c r="K23" s="226" t="str">
        <f t="shared" si="13"/>
        <v xml:space="preserve">Çelik </v>
      </c>
      <c r="L23" s="227">
        <f>'Tahmin Data'!G24/0.4</f>
        <v>66864759.987250015</v>
      </c>
      <c r="M23" s="227">
        <f>'Tahmin Data'!I24/0.4</f>
        <v>67077450.324999996</v>
      </c>
      <c r="N23" s="227">
        <f>'Tahmin Data'!K24/0.4</f>
        <v>66697258.786957495</v>
      </c>
      <c r="O23" s="227">
        <f>'Tahmin Data'!M24/0.4</f>
        <v>66697258.786957495</v>
      </c>
      <c r="P23" s="227">
        <f>'Tahmin Data'!O24/0.4</f>
        <v>68743409.897327513</v>
      </c>
      <c r="Q23" s="227">
        <f>'Tahmin Data'!Q24/0.4</f>
        <v>68394122.589557514</v>
      </c>
      <c r="R23" s="227">
        <f>'Tahmin Data'!S24/0.4</f>
        <v>69387176.867017493</v>
      </c>
      <c r="S23" s="227">
        <f>'Tahmin Data'!U24/0.4</f>
        <v>0</v>
      </c>
      <c r="T23" s="227">
        <f>'Tahmin Data'!W24/0.4</f>
        <v>0</v>
      </c>
      <c r="U23" s="227">
        <f t="shared" si="12"/>
        <v>1769605.4200000002</v>
      </c>
      <c r="V23" s="204">
        <f>'Bütçe aylık-Eur'!N33</f>
        <v>21762395.079829</v>
      </c>
      <c r="W23" s="229">
        <f t="shared" si="14"/>
        <v>-0.91868517166843444</v>
      </c>
      <c r="Y23" s="151" t="s">
        <v>126</v>
      </c>
      <c r="Z23" s="151" t="s">
        <v>98</v>
      </c>
      <c r="AA23" s="151" t="s">
        <v>99</v>
      </c>
      <c r="AB23" s="151" t="s">
        <v>100</v>
      </c>
      <c r="AC23" s="152"/>
      <c r="AD23" s="151" t="s">
        <v>98</v>
      </c>
      <c r="AE23" s="151" t="s">
        <v>99</v>
      </c>
      <c r="AF23" s="151" t="s">
        <v>100</v>
      </c>
      <c r="AG23" s="153"/>
      <c r="AH23" s="151" t="s">
        <v>107</v>
      </c>
      <c r="AI23" s="151" t="str">
        <f>$AI$3</f>
        <v>Mayıs YST</v>
      </c>
      <c r="AJ23" s="151" t="str">
        <f>$AJ$3</f>
        <v>Haziran YST</v>
      </c>
      <c r="AK23" s="151" t="s">
        <v>99</v>
      </c>
      <c r="AL23" s="151" t="s">
        <v>100</v>
      </c>
    </row>
    <row r="24" spans="1:38" ht="10.5" customHeight="1" thickBot="1">
      <c r="B24" s="149" t="s">
        <v>124</v>
      </c>
      <c r="C24" s="156">
        <f>'A -Döviz'!C43</f>
        <v>2958769.2300000018</v>
      </c>
      <c r="D24" s="156">
        <f>'A -Döviz'!B43</f>
        <v>2912907.5974380039</v>
      </c>
      <c r="E24" s="229">
        <f t="shared" si="10"/>
        <v>1.5744279908615967E-2</v>
      </c>
      <c r="F24" s="155"/>
      <c r="G24" s="156">
        <f>'C-Döviz'!C43</f>
        <v>2958769.2300000018</v>
      </c>
      <c r="H24" s="156">
        <f>'C-Döviz'!B43</f>
        <v>2912907.5974380039</v>
      </c>
      <c r="I24" s="229">
        <f t="shared" si="11"/>
        <v>1.5744279908615967E-2</v>
      </c>
      <c r="J24" s="157"/>
      <c r="K24" s="231" t="str">
        <f t="shared" si="13"/>
        <v xml:space="preserve">Alüminyum </v>
      </c>
      <c r="L24" s="232">
        <f>'Tahmin Data'!G23/0.4</f>
        <v>112210742.68658254</v>
      </c>
      <c r="M24" s="232">
        <f>'Tahmin Data'!I23/0.4</f>
        <v>115252407.675</v>
      </c>
      <c r="N24" s="232">
        <f>'Tahmin Data'!K23/0.4</f>
        <v>115887192.46493</v>
      </c>
      <c r="O24" s="232">
        <f>'Tahmin Data'!M23/0.4</f>
        <v>110832373.61862007</v>
      </c>
      <c r="P24" s="232">
        <f>'Tahmin Data'!O23/0.4</f>
        <v>96959092.339880019</v>
      </c>
      <c r="Q24" s="232">
        <f>'Tahmin Data'!Q23/0.4</f>
        <v>93562899.48315005</v>
      </c>
      <c r="R24" s="232">
        <f>'Tahmin Data'!S23/0.4</f>
        <v>92122386.061165005</v>
      </c>
      <c r="S24" s="232">
        <f>'Tahmin Data'!U23/0.4</f>
        <v>0</v>
      </c>
      <c r="T24" s="232">
        <f>'Tahmin Data'!W23/0.4</f>
        <v>0</v>
      </c>
      <c r="U24" s="232">
        <f t="shared" si="12"/>
        <v>2958769.2300000018</v>
      </c>
      <c r="V24" s="205">
        <f>'Bütçe aylık-Eur'!N34</f>
        <v>37444707.358655989</v>
      </c>
      <c r="W24" s="264">
        <f t="shared" si="14"/>
        <v>-0.92098297893851655</v>
      </c>
      <c r="Y24" s="158" t="s">
        <v>112</v>
      </c>
      <c r="Z24" s="159">
        <f>C6</f>
        <v>967950.96851315629</v>
      </c>
      <c r="AA24" s="159">
        <f>D6</f>
        <v>994090.61881676037</v>
      </c>
      <c r="AB24" s="160">
        <f t="shared" ref="AB24:AB30" si="15">IF(Z24&gt;AA24,ABS((Z24-AA24)/AA24),-ABS((AA24-Z24)/AA24))</f>
        <v>-2.6295037704628391E-2</v>
      </c>
      <c r="AC24" s="166"/>
      <c r="AD24" s="159">
        <f>G6</f>
        <v>967950.96851315629</v>
      </c>
      <c r="AE24" s="159">
        <f>H6</f>
        <v>994090.61881676037</v>
      </c>
      <c r="AF24" s="160">
        <f t="shared" ref="AF24:AF30" si="16">IF(AD24&gt;AE24,ABS((AD24-AE24)/AE24),-ABS((AE24-AD24)/AE24))</f>
        <v>-2.6295037704628391E-2</v>
      </c>
      <c r="AG24" s="180"/>
      <c r="AH24" s="158" t="s">
        <v>112</v>
      </c>
      <c r="AI24" s="163">
        <f>'Tahmin Data'!L5</f>
        <v>587338864.06111598</v>
      </c>
      <c r="AJ24" s="163">
        <f>'Tahmin Data'!N5</f>
        <v>582899685.56488204</v>
      </c>
      <c r="AK24" s="163">
        <f>'C-TRY'!AI11</f>
        <v>700788183.64928198</v>
      </c>
      <c r="AL24" s="181">
        <f>IF(AJ24&gt;AK24,ABS((AJ24-AK24)/AK24),-ABS((AK24-AJ24)/AK24))</f>
        <v>-0.16822272526130189</v>
      </c>
    </row>
    <row r="25" spans="1:38" ht="10.5" customHeight="1" thickBot="1">
      <c r="B25" s="169" t="s">
        <v>125</v>
      </c>
      <c r="C25" s="192">
        <f>'A -Döviz'!C32</f>
        <v>5230739.5219085133</v>
      </c>
      <c r="D25" s="192">
        <f>'A -Döviz'!B32</f>
        <v>5292283.2401269088</v>
      </c>
      <c r="E25" s="246">
        <f t="shared" si="10"/>
        <v>-1.1628953974300074E-2</v>
      </c>
      <c r="F25" s="154"/>
      <c r="G25" s="192">
        <f>'C-Döviz'!C32</f>
        <v>5230739.5219085133</v>
      </c>
      <c r="H25" s="192">
        <f>'C-Döviz'!B32</f>
        <v>5292283.2401269088</v>
      </c>
      <c r="I25" s="260">
        <f t="shared" si="11"/>
        <v>-1.1628953974300074E-2</v>
      </c>
      <c r="J25" s="194"/>
      <c r="K25" s="263" t="s">
        <v>125</v>
      </c>
      <c r="L25" s="248">
        <f>SUM('Tahmin Data'!G19:G26)</f>
        <v>177979178.76304552</v>
      </c>
      <c r="M25" s="248">
        <f>SUM('Tahmin Data'!I19:I26)</f>
        <v>168337065.28999999</v>
      </c>
      <c r="N25" s="248">
        <f>SUM('Tahmin Data'!K19:K26)</f>
        <v>159553090.28670669</v>
      </c>
      <c r="O25" s="248">
        <f>SUM('Tahmin Data'!M19:M26)</f>
        <v>157019544.16953853</v>
      </c>
      <c r="P25" s="248">
        <f>SUM('Tahmin Data'!O19:O26)</f>
        <v>151507621.18863323</v>
      </c>
      <c r="Q25" s="248">
        <f>SUM('Tahmin Data'!Q19:Q26)</f>
        <v>145586148.99268997</v>
      </c>
      <c r="R25" s="248">
        <f>SUM('Tahmin Data'!S19:S26)</f>
        <v>142940275.33073297</v>
      </c>
      <c r="S25" s="248">
        <f>SUM('Tahmin Data'!U19:U26)</f>
        <v>0</v>
      </c>
      <c r="T25" s="248">
        <f>SUM('Tahmin Data'!W19:W26)</f>
        <v>0</v>
      </c>
      <c r="U25" s="248" cm="1">
        <f t="array" ref="U25">SUM(U17:U19,(U20:U24)*0.4)</f>
        <v>5230739.5219085133</v>
      </c>
      <c r="V25" s="248">
        <f>'Bütçe aylık-Eur'!N26</f>
        <v>74659952.24820748</v>
      </c>
      <c r="W25" s="265">
        <f t="shared" si="14"/>
        <v>-0.92993915259255888</v>
      </c>
      <c r="Y25" s="158" t="s">
        <v>113</v>
      </c>
      <c r="Z25" s="159">
        <f>C84</f>
        <v>34113.973260348394</v>
      </c>
      <c r="AA25" s="159">
        <f>D84</f>
        <v>-43556.491670813943</v>
      </c>
      <c r="AB25" s="160">
        <f t="shared" si="15"/>
        <v>1.783212144774444</v>
      </c>
      <c r="AC25" s="166"/>
      <c r="AD25" s="159">
        <f>G84</f>
        <v>34113.973260348394</v>
      </c>
      <c r="AE25" s="159">
        <f>H84</f>
        <v>-43556.491670813943</v>
      </c>
      <c r="AF25" s="160">
        <f t="shared" si="16"/>
        <v>1.783212144774444</v>
      </c>
      <c r="AG25" s="180"/>
      <c r="AH25" s="158" t="s">
        <v>113</v>
      </c>
      <c r="AI25" s="163">
        <f>'Tahmin Data'!L61</f>
        <v>18002267.656549957</v>
      </c>
      <c r="AJ25" s="163">
        <f>'Tahmin Data'!N61</f>
        <v>17927341.684363049</v>
      </c>
      <c r="AK25" s="163">
        <f>'C-TRY'!AI141</f>
        <v>35322857.855618</v>
      </c>
      <c r="AL25" s="164">
        <f>IF(AJ25&gt;AK25,ABS((AJ25-AK25)/AK25),-ABS((AK25-AJ25)/AK25))</f>
        <v>-0.49247193537847461</v>
      </c>
    </row>
    <row r="26" spans="1:38" ht="10.5" thickBot="1">
      <c r="B26" s="158"/>
      <c r="C26" s="196"/>
      <c r="D26" s="196"/>
      <c r="E26" s="194"/>
      <c r="F26" s="197"/>
      <c r="G26" s="196"/>
      <c r="H26" s="196"/>
      <c r="I26" s="194"/>
      <c r="J26" s="194"/>
      <c r="K26" s="249" t="s">
        <v>9</v>
      </c>
      <c r="L26" s="239">
        <f>SUM(L17:L24)</f>
        <v>422366643.0468961</v>
      </c>
      <c r="M26" s="239">
        <f t="shared" ref="M26:V26" si="17">SUM(M17:M24)</f>
        <v>400799494.625</v>
      </c>
      <c r="N26" s="239">
        <f t="shared" si="17"/>
        <v>379642528.86558491</v>
      </c>
      <c r="O26" s="239">
        <f t="shared" si="17"/>
        <v>373600047.66456401</v>
      </c>
      <c r="P26" s="239">
        <f t="shared" si="17"/>
        <v>359644163.92341089</v>
      </c>
      <c r="Q26" s="239">
        <f>SUM(Q17:Q24)</f>
        <v>345448398.1292671</v>
      </c>
      <c r="R26" s="239">
        <f>SUM(R17:R24)</f>
        <v>339160738.91310322</v>
      </c>
      <c r="S26" s="239">
        <f>SUM(S17:S24)</f>
        <v>0</v>
      </c>
      <c r="T26" s="239">
        <f>SUM(T17:T24)</f>
        <v>0</v>
      </c>
      <c r="U26" s="239">
        <f>SUM(U17:U24)</f>
        <v>11539110.245024815</v>
      </c>
      <c r="V26" s="239">
        <f t="shared" si="17"/>
        <v>163933452.98284537</v>
      </c>
      <c r="W26" s="266">
        <f t="shared" si="14"/>
        <v>-0.92961100961966381</v>
      </c>
      <c r="Y26" s="158" t="s">
        <v>116</v>
      </c>
      <c r="Z26" s="167">
        <f>C71</f>
        <v>3.4967674742321202E-2</v>
      </c>
      <c r="AA26" s="167">
        <f>D71</f>
        <v>-4.5122642684353606E-2</v>
      </c>
      <c r="AB26" s="160">
        <f t="shared" si="15"/>
        <v>1.7749474025032299</v>
      </c>
      <c r="AC26" s="167"/>
      <c r="AD26" s="182">
        <f>G71</f>
        <v>3.4967674742321202E-2</v>
      </c>
      <c r="AE26" s="182">
        <f>H71</f>
        <v>-4.5122642684353606E-2</v>
      </c>
      <c r="AF26" s="160">
        <f t="shared" si="16"/>
        <v>1.7749474025032299</v>
      </c>
      <c r="AG26" s="183"/>
      <c r="AH26" s="158" t="s">
        <v>117</v>
      </c>
      <c r="AI26" s="163">
        <f>'Tahmin Data'!L85</f>
        <v>-180922.18306800001</v>
      </c>
      <c r="AJ26" s="163">
        <f>'Tahmin Data'!N85</f>
        <v>-250823.56147300001</v>
      </c>
      <c r="AK26" s="163">
        <f>'C-TRY'!AI191</f>
        <v>11776140.523591999</v>
      </c>
      <c r="AL26" s="164">
        <f>IF(AJ26&gt;AK26,ABS((AJ26-AK26)/AK26),-ABS((AK26-AJ26)/AK26))</f>
        <v>-1.021299300986644</v>
      </c>
    </row>
    <row r="27" spans="1:38" ht="10.5" customHeight="1" thickBot="1">
      <c r="B27" s="158"/>
      <c r="C27" s="196"/>
      <c r="D27" s="196"/>
      <c r="E27" s="194"/>
      <c r="F27" s="197"/>
      <c r="G27" s="196"/>
      <c r="H27" s="196"/>
      <c r="I27" s="194"/>
      <c r="J27" s="194"/>
      <c r="K27" s="202"/>
      <c r="L27" s="194"/>
      <c r="M27" s="194"/>
      <c r="N27" s="194"/>
      <c r="O27" s="194"/>
      <c r="P27" s="194"/>
      <c r="Q27" s="194"/>
      <c r="R27" s="194"/>
      <c r="S27" s="194"/>
      <c r="T27" s="194"/>
      <c r="U27" s="194"/>
      <c r="V27" s="194"/>
      <c r="Y27" s="158" t="s">
        <v>117</v>
      </c>
      <c r="Z27" s="159">
        <f>C136</f>
        <v>1204.6388247031234</v>
      </c>
      <c r="AA27" s="159">
        <f>D136</f>
        <v>-93627.604379739729</v>
      </c>
      <c r="AB27" s="160">
        <f t="shared" si="15"/>
        <v>1.0128662784088471</v>
      </c>
      <c r="AC27" s="166"/>
      <c r="AD27" s="159">
        <f>G136</f>
        <v>1204.6388247031234</v>
      </c>
      <c r="AE27" s="159">
        <f>H136</f>
        <v>-93627.604379739729</v>
      </c>
      <c r="AF27" s="160">
        <f t="shared" si="16"/>
        <v>1.0128662784088471</v>
      </c>
      <c r="AG27" s="180"/>
      <c r="AH27" s="169" t="s">
        <v>19</v>
      </c>
      <c r="AI27" s="170">
        <f>'Tahmin Data'!L141</f>
        <v>17258727.795888986</v>
      </c>
      <c r="AJ27" s="170">
        <f>'Tahmin Data'!N141</f>
        <v>16651559.15183806</v>
      </c>
      <c r="AK27" s="170">
        <f>'C-TRY'!AI293</f>
        <v>-26243867.01109137</v>
      </c>
      <c r="AL27" s="184">
        <f>IF(AJ27&gt;AK27,ABS((AJ27-AK27)/AK27),-ABS((AK27-AJ27)/AK27))</f>
        <v>1.6344933520963454</v>
      </c>
    </row>
    <row r="28" spans="1:38" ht="10.5" customHeight="1">
      <c r="B28" s="209" t="s">
        <v>23</v>
      </c>
      <c r="C28" s="451" t="s">
        <v>0</v>
      </c>
      <c r="D28" s="451"/>
      <c r="E28" s="451"/>
      <c r="F28" s="210"/>
      <c r="G28" s="210"/>
      <c r="H28" s="210" t="s">
        <v>36</v>
      </c>
      <c r="I28" s="210"/>
      <c r="J28" s="195"/>
      <c r="K28" s="214" t="s">
        <v>132</v>
      </c>
      <c r="L28" s="214"/>
      <c r="M28" s="214"/>
      <c r="N28" s="214"/>
      <c r="O28" s="210"/>
      <c r="P28" s="210"/>
      <c r="Q28" s="210"/>
      <c r="R28" s="210"/>
      <c r="S28" s="210"/>
      <c r="T28" s="210"/>
      <c r="U28" s="210"/>
      <c r="V28" s="195"/>
      <c r="Y28" s="158" t="s">
        <v>19</v>
      </c>
      <c r="Z28" s="159">
        <f>C175</f>
        <v>-17760.80919464046</v>
      </c>
      <c r="AA28" s="159">
        <f>D175</f>
        <v>-554871.04796804884</v>
      </c>
      <c r="AB28" s="160">
        <f t="shared" si="15"/>
        <v>0.9679911048527744</v>
      </c>
      <c r="AC28" s="166"/>
      <c r="AD28" s="159">
        <f>G175</f>
        <v>-17760.80919464046</v>
      </c>
      <c r="AE28" s="159">
        <f>H175</f>
        <v>-554871.04796804884</v>
      </c>
      <c r="AF28" s="160">
        <f t="shared" si="16"/>
        <v>0.9679911048527744</v>
      </c>
      <c r="AG28" s="180"/>
    </row>
    <row r="29" spans="1:38" ht="10.5" customHeight="1" thickBot="1">
      <c r="B29" s="169"/>
      <c r="C29" s="211" t="s">
        <v>98</v>
      </c>
      <c r="D29" s="211" t="s">
        <v>99</v>
      </c>
      <c r="E29" s="211" t="s">
        <v>100</v>
      </c>
      <c r="F29" s="211"/>
      <c r="G29" s="211" t="s">
        <v>133</v>
      </c>
      <c r="H29" s="211" t="s">
        <v>99</v>
      </c>
      <c r="I29" s="211" t="s">
        <v>100</v>
      </c>
      <c r="J29" s="152"/>
      <c r="K29" s="169"/>
      <c r="L29" s="211" t="s">
        <v>129</v>
      </c>
      <c r="M29" s="211" t="s">
        <v>130</v>
      </c>
      <c r="N29" s="211" t="s">
        <v>131</v>
      </c>
      <c r="O29" s="219" t="s">
        <v>101</v>
      </c>
      <c r="P29" s="219" t="s">
        <v>102</v>
      </c>
      <c r="Q29" s="219" t="s">
        <v>103</v>
      </c>
      <c r="R29" s="219" t="s">
        <v>104</v>
      </c>
      <c r="S29" s="219" t="s">
        <v>105</v>
      </c>
      <c r="T29" s="219" t="s">
        <v>106</v>
      </c>
      <c r="U29" s="219" t="s">
        <v>98</v>
      </c>
      <c r="V29" s="219" t="s">
        <v>99</v>
      </c>
      <c r="W29" s="262" t="s">
        <v>100</v>
      </c>
      <c r="Y29" s="158" t="s">
        <v>90</v>
      </c>
      <c r="Z29" s="159">
        <f>C188</f>
        <v>0</v>
      </c>
      <c r="AA29" s="159">
        <f>D188</f>
        <v>0</v>
      </c>
      <c r="AB29" s="160">
        <v>0</v>
      </c>
      <c r="AC29" s="166"/>
      <c r="AD29" s="159">
        <f>G188</f>
        <v>0</v>
      </c>
      <c r="AE29" s="159">
        <f>H188</f>
        <v>0</v>
      </c>
      <c r="AF29" s="160">
        <v>0</v>
      </c>
      <c r="AG29" s="180"/>
      <c r="AH29" s="173"/>
    </row>
    <row r="30" spans="1:38" ht="10.5" customHeight="1" thickTop="1" thickBot="1">
      <c r="B30" s="206" t="s">
        <v>111</v>
      </c>
      <c r="C30" s="207"/>
      <c r="D30" s="207"/>
      <c r="E30" s="224"/>
      <c r="F30" s="208"/>
      <c r="G30" s="207"/>
      <c r="H30" s="207"/>
      <c r="I30" s="224"/>
      <c r="J30" s="157"/>
      <c r="K30" s="212" t="str">
        <f>B30</f>
        <v xml:space="preserve">İnci Holding  </v>
      </c>
      <c r="L30" s="213"/>
      <c r="M30" s="213"/>
      <c r="N30" s="213"/>
      <c r="O30" s="227"/>
      <c r="P30" s="227"/>
      <c r="Q30" s="227"/>
      <c r="R30" s="227"/>
      <c r="S30" s="227"/>
      <c r="T30" s="227"/>
      <c r="U30" s="227"/>
      <c r="V30" s="227"/>
      <c r="Y30" s="169" t="s">
        <v>123</v>
      </c>
      <c r="Z30" s="174">
        <f>C214</f>
        <v>146950.95254999411</v>
      </c>
      <c r="AA30" s="174">
        <f>D214</f>
        <v>-345969.2991732239</v>
      </c>
      <c r="AB30" s="179">
        <f t="shared" si="15"/>
        <v>1.4247514241904367</v>
      </c>
      <c r="AC30" s="166"/>
      <c r="AD30" s="174">
        <f>G214</f>
        <v>146950.95254999411</v>
      </c>
      <c r="AE30" s="174">
        <f>H214</f>
        <v>-345969.2991732239</v>
      </c>
      <c r="AF30" s="179">
        <f t="shared" si="16"/>
        <v>1.4247514241904367</v>
      </c>
      <c r="AG30" s="180"/>
    </row>
    <row r="31" spans="1:38" ht="10.5" customHeight="1">
      <c r="A31" s="178"/>
      <c r="B31" s="149" t="s">
        <v>11</v>
      </c>
      <c r="C31" s="157">
        <f t="shared" ref="C31:D38" si="18">C18/C5</f>
        <v>0.13017986024224829</v>
      </c>
      <c r="D31" s="157">
        <f t="shared" si="18"/>
        <v>0.17117635795345942</v>
      </c>
      <c r="E31" s="229">
        <f t="shared" ref="E31:E38" si="19">C31-D31</f>
        <v>-4.0996497711211138E-2</v>
      </c>
      <c r="F31" s="155"/>
      <c r="G31" s="157">
        <f t="shared" ref="G31:H38" si="20">G18/G5</f>
        <v>0.13017986024224829</v>
      </c>
      <c r="H31" s="157">
        <f t="shared" si="20"/>
        <v>0.17117635795345942</v>
      </c>
      <c r="I31" s="229">
        <f t="shared" ref="I31:I38" si="21">G31-H31</f>
        <v>-4.0996497711211138E-2</v>
      </c>
      <c r="J31" s="157"/>
      <c r="K31" s="200" t="str">
        <f t="shared" ref="K31:K37" si="22">B31</f>
        <v xml:space="preserve">ISM </v>
      </c>
      <c r="L31" s="241">
        <f t="shared" ref="L31:P38" si="23">L18/L5</f>
        <v>0.27243561739683086</v>
      </c>
      <c r="M31" s="241">
        <f t="shared" si="23"/>
        <v>0.22787170147023039</v>
      </c>
      <c r="N31" s="241">
        <f t="shared" si="23"/>
        <v>0.24968533726387693</v>
      </c>
      <c r="O31" s="241">
        <f t="shared" si="23"/>
        <v>0.24702731120003776</v>
      </c>
      <c r="P31" s="241">
        <f t="shared" si="23"/>
        <v>0.2471847329453111</v>
      </c>
      <c r="Q31" s="241">
        <f t="shared" ref="Q31:V38" si="24">Q18/Q5</f>
        <v>0.24803319159355455</v>
      </c>
      <c r="R31" s="241">
        <f t="shared" si="24"/>
        <v>0.23026287150664609</v>
      </c>
      <c r="S31" s="241" t="e">
        <f t="shared" si="24"/>
        <v>#DIV/0!</v>
      </c>
      <c r="T31" s="241" t="e">
        <f t="shared" si="24"/>
        <v>#DIV/0!</v>
      </c>
      <c r="U31" s="241">
        <f t="shared" si="24"/>
        <v>0.13017986024224829</v>
      </c>
      <c r="V31" s="241">
        <f t="shared" si="24"/>
        <v>0.29145592567013046</v>
      </c>
      <c r="W31" s="160">
        <f t="shared" ref="W31:W38" si="25">U31-V31</f>
        <v>-0.16127606542788217</v>
      </c>
    </row>
    <row r="32" spans="1:38">
      <c r="B32" s="149" t="s">
        <v>115</v>
      </c>
      <c r="C32" s="157">
        <f t="shared" si="18"/>
        <v>0.160907714399458</v>
      </c>
      <c r="D32" s="157">
        <f t="shared" si="18"/>
        <v>0.16706084380098921</v>
      </c>
      <c r="E32" s="229">
        <f t="shared" si="19"/>
        <v>-6.1531294015312044E-3</v>
      </c>
      <c r="F32" s="155"/>
      <c r="G32" s="157">
        <f t="shared" si="20"/>
        <v>0.160907714399458</v>
      </c>
      <c r="H32" s="157">
        <f t="shared" si="20"/>
        <v>0.16706084380098921</v>
      </c>
      <c r="I32" s="229">
        <f t="shared" si="21"/>
        <v>-6.1531294015312044E-3</v>
      </c>
      <c r="J32" s="157"/>
      <c r="K32" s="200" t="str">
        <f t="shared" si="22"/>
        <v xml:space="preserve">İncitaş </v>
      </c>
      <c r="L32" s="241">
        <f t="shared" si="23"/>
        <v>0.177364607446343</v>
      </c>
      <c r="M32" s="241">
        <f t="shared" si="23"/>
        <v>0.15276482552673643</v>
      </c>
      <c r="N32" s="241">
        <f t="shared" si="23"/>
        <v>0.15418204083414996</v>
      </c>
      <c r="O32" s="241">
        <f t="shared" si="23"/>
        <v>0.15655493285615665</v>
      </c>
      <c r="P32" s="241">
        <f t="shared" si="23"/>
        <v>0.16140429934246367</v>
      </c>
      <c r="Q32" s="241">
        <f t="shared" si="24"/>
        <v>0.16022063450388374</v>
      </c>
      <c r="R32" s="241">
        <f t="shared" si="24"/>
        <v>0.15966679995561897</v>
      </c>
      <c r="S32" s="241" t="e">
        <f t="shared" si="24"/>
        <v>#DIV/0!</v>
      </c>
      <c r="T32" s="241" t="e">
        <f t="shared" si="24"/>
        <v>#DIV/0!</v>
      </c>
      <c r="U32" s="241">
        <f t="shared" si="24"/>
        <v>0.160907714399458</v>
      </c>
      <c r="V32" s="241">
        <f t="shared" si="24"/>
        <v>0.18852879337369988</v>
      </c>
      <c r="W32" s="160">
        <f t="shared" si="25"/>
        <v>-2.7621078974241875E-2</v>
      </c>
      <c r="Y32" s="151" t="str">
        <f>B7</f>
        <v xml:space="preserve">İnci GS Yuasa </v>
      </c>
      <c r="Z32" s="453" t="s">
        <v>0</v>
      </c>
      <c r="AA32" s="453"/>
      <c r="AB32" s="453"/>
      <c r="AC32" s="152"/>
      <c r="AD32" s="151"/>
      <c r="AE32" s="151" t="s">
        <v>36</v>
      </c>
      <c r="AF32" s="151"/>
      <c r="AG32" s="153"/>
      <c r="AH32" s="151" t="str">
        <f>Y32</f>
        <v xml:space="preserve">İnci GS Yuasa </v>
      </c>
      <c r="AI32" s="151"/>
      <c r="AJ32" s="453" t="s">
        <v>97</v>
      </c>
      <c r="AK32" s="453"/>
      <c r="AL32" s="453"/>
    </row>
    <row r="33" spans="2:38" ht="10.5" customHeight="1">
      <c r="B33" s="149" t="s">
        <v>119</v>
      </c>
      <c r="C33" s="157">
        <f t="shared" si="18"/>
        <v>0.14911530528964592</v>
      </c>
      <c r="D33" s="157">
        <f t="shared" si="18"/>
        <v>0.18185808810369974</v>
      </c>
      <c r="E33" s="229">
        <f t="shared" si="19"/>
        <v>-3.2742782814053822E-2</v>
      </c>
      <c r="F33" s="155"/>
      <c r="G33" s="157">
        <f t="shared" si="20"/>
        <v>0.14911530528964592</v>
      </c>
      <c r="H33" s="157">
        <f t="shared" si="20"/>
        <v>0.18185808810369974</v>
      </c>
      <c r="I33" s="229">
        <f t="shared" si="21"/>
        <v>-3.2742782814053822E-2</v>
      </c>
      <c r="J33" s="157"/>
      <c r="K33" s="200" t="str">
        <f t="shared" si="22"/>
        <v xml:space="preserve">İnci GS Yuasa </v>
      </c>
      <c r="L33" s="241">
        <f t="shared" si="23"/>
        <v>0.20326861612666161</v>
      </c>
      <c r="M33" s="241">
        <f t="shared" si="23"/>
        <v>0.17488575405485765</v>
      </c>
      <c r="N33" s="241">
        <f t="shared" si="23"/>
        <v>0.17124093373242114</v>
      </c>
      <c r="O33" s="241">
        <f t="shared" si="23"/>
        <v>0.16905452113893954</v>
      </c>
      <c r="P33" s="241">
        <f t="shared" si="23"/>
        <v>0.16399230695539321</v>
      </c>
      <c r="Q33" s="241">
        <f t="shared" si="24"/>
        <v>0.16273417966746004</v>
      </c>
      <c r="R33" s="241">
        <f t="shared" si="24"/>
        <v>0.14869386569236742</v>
      </c>
      <c r="S33" s="241" t="e">
        <f t="shared" si="24"/>
        <v>#DIV/0!</v>
      </c>
      <c r="T33" s="241" t="e">
        <f t="shared" si="24"/>
        <v>#DIV/0!</v>
      </c>
      <c r="U33" s="241">
        <f t="shared" si="24"/>
        <v>0.14911530528964592</v>
      </c>
      <c r="V33" s="241">
        <f t="shared" si="24"/>
        <v>0.20222353825666126</v>
      </c>
      <c r="W33" s="160">
        <f t="shared" si="25"/>
        <v>-5.3108232967015334E-2</v>
      </c>
      <c r="Y33" s="151" t="s">
        <v>126</v>
      </c>
      <c r="Z33" s="151" t="s">
        <v>98</v>
      </c>
      <c r="AA33" s="151" t="s">
        <v>99</v>
      </c>
      <c r="AB33" s="151" t="s">
        <v>100</v>
      </c>
      <c r="AC33" s="152"/>
      <c r="AD33" s="151" t="s">
        <v>98</v>
      </c>
      <c r="AE33" s="151" t="s">
        <v>99</v>
      </c>
      <c r="AF33" s="151" t="s">
        <v>100</v>
      </c>
      <c r="AG33" s="153"/>
      <c r="AH33" s="151" t="s">
        <v>107</v>
      </c>
      <c r="AI33" s="151" t="str">
        <f>$AI$3</f>
        <v>Mayıs YST</v>
      </c>
      <c r="AJ33" s="151" t="str">
        <f>$AJ$3</f>
        <v>Haziran YST</v>
      </c>
      <c r="AK33" s="151" t="s">
        <v>99</v>
      </c>
      <c r="AL33" s="151" t="s">
        <v>100</v>
      </c>
    </row>
    <row r="34" spans="2:38" ht="10.5" customHeight="1">
      <c r="B34" s="149" t="s">
        <v>120</v>
      </c>
      <c r="C34" s="157">
        <f t="shared" si="18"/>
        <v>0.20078813483233199</v>
      </c>
      <c r="D34" s="157">
        <f t="shared" si="18"/>
        <v>0.19744746282273906</v>
      </c>
      <c r="E34" s="229">
        <f t="shared" si="19"/>
        <v>3.3406720095929265E-3</v>
      </c>
      <c r="F34" s="155"/>
      <c r="G34" s="157">
        <f t="shared" si="20"/>
        <v>0.20078813483233199</v>
      </c>
      <c r="H34" s="157">
        <f t="shared" si="20"/>
        <v>0.19744746282273906</v>
      </c>
      <c r="I34" s="229">
        <f t="shared" si="21"/>
        <v>3.3406720095929265E-3</v>
      </c>
      <c r="J34" s="157"/>
      <c r="K34" s="200" t="str">
        <f t="shared" si="22"/>
        <v xml:space="preserve">Yusen İnci Loj. </v>
      </c>
      <c r="L34" s="241">
        <f t="shared" si="23"/>
        <v>0.19318230234447475</v>
      </c>
      <c r="M34" s="241">
        <f t="shared" si="23"/>
        <v>0.19364136827047909</v>
      </c>
      <c r="N34" s="241">
        <f t="shared" si="23"/>
        <v>0.18749559544829034</v>
      </c>
      <c r="O34" s="241">
        <f t="shared" si="23"/>
        <v>0.19091664317329421</v>
      </c>
      <c r="P34" s="241">
        <f t="shared" si="23"/>
        <v>0.19479343607583613</v>
      </c>
      <c r="Q34" s="241">
        <f t="shared" si="24"/>
        <v>0.19889355021525718</v>
      </c>
      <c r="R34" s="241">
        <f t="shared" si="24"/>
        <v>0.20188038659388768</v>
      </c>
      <c r="S34" s="241" t="e">
        <f t="shared" si="24"/>
        <v>#DIV/0!</v>
      </c>
      <c r="T34" s="241" t="e">
        <f t="shared" si="24"/>
        <v>#DIV/0!</v>
      </c>
      <c r="U34" s="241">
        <f t="shared" si="24"/>
        <v>0.20078813483233199</v>
      </c>
      <c r="V34" s="241">
        <f t="shared" si="24"/>
        <v>0.19157216992302245</v>
      </c>
      <c r="W34" s="160">
        <f t="shared" si="25"/>
        <v>9.2159649093095375E-3</v>
      </c>
      <c r="Y34" s="158" t="s">
        <v>112</v>
      </c>
      <c r="Z34" s="159">
        <f>C7</f>
        <v>21339706.384310201</v>
      </c>
      <c r="AA34" s="159">
        <f>D7</f>
        <v>19103567.880199067</v>
      </c>
      <c r="AB34" s="160">
        <f t="shared" ref="AB34:AB40" si="26">IF(Z34&gt;AA34,ABS((Z34-AA34)/AA34),-ABS((AA34-Z34)/AA34))</f>
        <v>0.1170534487659188</v>
      </c>
      <c r="AC34" s="166"/>
      <c r="AD34" s="159">
        <f>G7</f>
        <v>21339706.384310201</v>
      </c>
      <c r="AE34" s="159">
        <f>H7</f>
        <v>19103567.880199067</v>
      </c>
      <c r="AF34" s="160">
        <f t="shared" ref="AF34:AF40" si="27">IF(AD34&gt;AE34,ABS((AD34-AE34)/AE34),-ABS((AE34-AD34)/AE34))</f>
        <v>0.1170534487659188</v>
      </c>
      <c r="AG34" s="162"/>
      <c r="AH34" s="158" t="s">
        <v>112</v>
      </c>
      <c r="AI34" s="163">
        <f>'Tahmin Data'!L3/0.4</f>
        <v>20493120048.198902</v>
      </c>
      <c r="AJ34" s="163">
        <f>'Tahmin Data'!N3/0.4</f>
        <v>20129018262.566875</v>
      </c>
      <c r="AK34" s="163">
        <f>'C-TRY'!AI12</f>
        <v>10761627798.073826</v>
      </c>
      <c r="AL34" s="181">
        <f>IF(AJ34&gt;AK34,ABS((AJ34-AK34)/AK34),-ABS((AK34-AJ34)/AK34))</f>
        <v>0.87044363922060897</v>
      </c>
    </row>
    <row r="35" spans="2:38" ht="10.5" customHeight="1">
      <c r="B35" s="149" t="s">
        <v>121</v>
      </c>
      <c r="C35" s="157">
        <f t="shared" si="18"/>
        <v>0.12027403073497246</v>
      </c>
      <c r="D35" s="157">
        <f t="shared" si="18"/>
        <v>0.12840117851533356</v>
      </c>
      <c r="E35" s="229">
        <f t="shared" si="19"/>
        <v>-8.1271477803610964E-3</v>
      </c>
      <c r="F35" s="155"/>
      <c r="G35" s="157">
        <f t="shared" si="20"/>
        <v>0.12027403073497246</v>
      </c>
      <c r="H35" s="157">
        <f t="shared" si="20"/>
        <v>0.12840117851533356</v>
      </c>
      <c r="I35" s="229">
        <f t="shared" si="21"/>
        <v>-8.1271477803610964E-3</v>
      </c>
      <c r="J35" s="157"/>
      <c r="K35" s="200" t="str">
        <f t="shared" si="22"/>
        <v xml:space="preserve">Jantaş </v>
      </c>
      <c r="L35" s="241">
        <f t="shared" si="23"/>
        <v>0.19599414539873813</v>
      </c>
      <c r="M35" s="241">
        <f t="shared" si="23"/>
        <v>0.20530157458577264</v>
      </c>
      <c r="N35" s="241">
        <f t="shared" si="23"/>
        <v>0.20594384120480161</v>
      </c>
      <c r="O35" s="241">
        <f t="shared" si="23"/>
        <v>0.21004391013343565</v>
      </c>
      <c r="P35" s="241">
        <f t="shared" si="23"/>
        <v>0.20512803032847551</v>
      </c>
      <c r="Q35" s="241">
        <f t="shared" si="24"/>
        <v>0.19437933640536267</v>
      </c>
      <c r="R35" s="241">
        <f t="shared" si="24"/>
        <v>0.19758583088095549</v>
      </c>
      <c r="S35" s="241" t="e">
        <f t="shared" si="24"/>
        <v>#DIV/0!</v>
      </c>
      <c r="T35" s="241" t="e">
        <f t="shared" si="24"/>
        <v>#DIV/0!</v>
      </c>
      <c r="U35" s="241">
        <f t="shared" si="24"/>
        <v>0.12027403073497246</v>
      </c>
      <c r="V35" s="241">
        <f t="shared" si="24"/>
        <v>0.16595898818475857</v>
      </c>
      <c r="W35" s="160">
        <f t="shared" si="25"/>
        <v>-4.5684957449786109E-2</v>
      </c>
      <c r="Y35" s="158" t="s">
        <v>113</v>
      </c>
      <c r="Z35" s="159">
        <f>C85</f>
        <v>1298860.0260257791</v>
      </c>
      <c r="AA35" s="159">
        <f>D85</f>
        <v>1646454.613105664</v>
      </c>
      <c r="AB35" s="160">
        <f t="shared" si="26"/>
        <v>-0.21111701732501842</v>
      </c>
      <c r="AC35" s="166"/>
      <c r="AD35" s="159">
        <f>G85</f>
        <v>1298860.0260257791</v>
      </c>
      <c r="AE35" s="159">
        <f>H85</f>
        <v>1646454.613105664</v>
      </c>
      <c r="AF35" s="160">
        <f t="shared" si="27"/>
        <v>-0.21111701732501842</v>
      </c>
      <c r="AG35" s="162"/>
      <c r="AH35" s="158" t="s">
        <v>113</v>
      </c>
      <c r="AI35" s="163">
        <f>'Tahmin Data'!L59/0.4</f>
        <v>1247079189.2250144</v>
      </c>
      <c r="AJ35" s="163">
        <f>'Tahmin Data'!N59/0.4</f>
        <v>1137435671.5061705</v>
      </c>
      <c r="AK35" s="163">
        <f>'C-TRY'!AI142</f>
        <v>1202163621.9870999</v>
      </c>
      <c r="AL35" s="164">
        <f>IF(AJ35&gt;AK35,ABS((AJ35-AK35)/AK35),-ABS((AK35-AJ35)/AK35))</f>
        <v>-5.3842879036664071E-2</v>
      </c>
    </row>
    <row r="36" spans="2:38" ht="10.5" customHeight="1">
      <c r="B36" s="149" t="s">
        <v>122</v>
      </c>
      <c r="C36" s="157">
        <f t="shared" si="18"/>
        <v>0.22598724757203748</v>
      </c>
      <c r="D36" s="157">
        <f t="shared" si="18"/>
        <v>0.22286986930705016</v>
      </c>
      <c r="E36" s="229">
        <f t="shared" si="19"/>
        <v>3.1173782649873139E-3</v>
      </c>
      <c r="F36" s="155"/>
      <c r="G36" s="157">
        <f t="shared" si="20"/>
        <v>0.22598724757203748</v>
      </c>
      <c r="H36" s="157">
        <f t="shared" si="20"/>
        <v>0.22286986930705016</v>
      </c>
      <c r="I36" s="229">
        <f t="shared" si="21"/>
        <v>3.1173782649873139E-3</v>
      </c>
      <c r="J36" s="157"/>
      <c r="K36" s="200" t="str">
        <f t="shared" si="22"/>
        <v xml:space="preserve">Çelik </v>
      </c>
      <c r="L36" s="241">
        <f t="shared" si="23"/>
        <v>0.28173005058523143</v>
      </c>
      <c r="M36" s="241">
        <f t="shared" si="23"/>
        <v>0.28436118445341524</v>
      </c>
      <c r="N36" s="241">
        <f t="shared" si="23"/>
        <v>0.28333238061861693</v>
      </c>
      <c r="O36" s="241">
        <f t="shared" si="23"/>
        <v>0.28333238061861693</v>
      </c>
      <c r="P36" s="241">
        <f t="shared" si="23"/>
        <v>0.29052806797992736</v>
      </c>
      <c r="Q36" s="241">
        <f t="shared" si="24"/>
        <v>0.2892478861281495</v>
      </c>
      <c r="R36" s="241">
        <f t="shared" si="24"/>
        <v>0.28982669528064225</v>
      </c>
      <c r="S36" s="241" t="e">
        <f t="shared" si="24"/>
        <v>#DIV/0!</v>
      </c>
      <c r="T36" s="241" t="e">
        <f t="shared" si="24"/>
        <v>#DIV/0!</v>
      </c>
      <c r="U36" s="241">
        <f t="shared" si="24"/>
        <v>0.22598724757203748</v>
      </c>
      <c r="V36" s="241">
        <f t="shared" si="24"/>
        <v>0.25349956010109337</v>
      </c>
      <c r="W36" s="160">
        <f t="shared" si="25"/>
        <v>-2.7512312529055893E-2</v>
      </c>
      <c r="Y36" s="158" t="s">
        <v>116</v>
      </c>
      <c r="Z36" s="182">
        <f>C72</f>
        <v>5.156748865308159E-2</v>
      </c>
      <c r="AA36" s="182">
        <f>D72</f>
        <v>7.3857355960123133E-2</v>
      </c>
      <c r="AB36" s="160">
        <f t="shared" si="26"/>
        <v>-0.30179617205734022</v>
      </c>
      <c r="AC36" s="167"/>
      <c r="AD36" s="182">
        <f>G72</f>
        <v>5.156748865308159E-2</v>
      </c>
      <c r="AE36" s="182">
        <f>H72</f>
        <v>7.3857355960123133E-2</v>
      </c>
      <c r="AF36" s="160">
        <f t="shared" si="27"/>
        <v>-0.30179617205734022</v>
      </c>
      <c r="AG36" s="168"/>
      <c r="AH36" s="158" t="s">
        <v>117</v>
      </c>
      <c r="AI36" s="163">
        <f>'Tahmin Data'!L83/0.4</f>
        <v>-2967166587.7032499</v>
      </c>
      <c r="AJ36" s="163">
        <f>'Tahmin Data'!N83/0.4</f>
        <v>-2641964450.9661498</v>
      </c>
      <c r="AK36" s="163">
        <f>'C-TRY'!AI192</f>
        <v>48175268.32986097</v>
      </c>
      <c r="AL36" s="164">
        <f>IF(AJ36&gt;AK36,ABS((AJ36-AK36)/AK36),-ABS((AK36-AJ36)/AK36))</f>
        <v>-55.840679513736184</v>
      </c>
    </row>
    <row r="37" spans="2:38" ht="10.5" customHeight="1" thickBot="1">
      <c r="B37" s="149" t="s">
        <v>124</v>
      </c>
      <c r="C37" s="157">
        <f t="shared" si="18"/>
        <v>0.13316144218245424</v>
      </c>
      <c r="D37" s="157">
        <f t="shared" si="18"/>
        <v>0.15089381136549465</v>
      </c>
      <c r="E37" s="229">
        <f t="shared" si="19"/>
        <v>-1.7732369183040414E-2</v>
      </c>
      <c r="F37" s="155"/>
      <c r="G37" s="157">
        <f t="shared" si="20"/>
        <v>0.13316144218245424</v>
      </c>
      <c r="H37" s="157">
        <f t="shared" si="20"/>
        <v>0.15089381136549465</v>
      </c>
      <c r="I37" s="229">
        <f t="shared" si="21"/>
        <v>-1.7732369183040414E-2</v>
      </c>
      <c r="J37" s="157"/>
      <c r="K37" s="201" t="str">
        <f t="shared" si="22"/>
        <v xml:space="preserve">Alüminyum </v>
      </c>
      <c r="L37" s="242">
        <f t="shared" si="23"/>
        <v>0.16485345294290621</v>
      </c>
      <c r="M37" s="242">
        <f t="shared" si="23"/>
        <v>0.17109395174953076</v>
      </c>
      <c r="N37" s="242">
        <f t="shared" si="23"/>
        <v>0.17182340162568627</v>
      </c>
      <c r="O37" s="242">
        <f t="shared" si="23"/>
        <v>0.16775766707694606</v>
      </c>
      <c r="P37" s="242">
        <f t="shared" si="23"/>
        <v>0.15111984128798542</v>
      </c>
      <c r="Q37" s="242">
        <f t="shared" si="24"/>
        <v>0.14757671458481483</v>
      </c>
      <c r="R37" s="242">
        <f t="shared" si="24"/>
        <v>0.1454495034210222</v>
      </c>
      <c r="S37" s="242" t="e">
        <f t="shared" si="24"/>
        <v>#DIV/0!</v>
      </c>
      <c r="T37" s="242" t="e">
        <f t="shared" si="24"/>
        <v>#DIV/0!</v>
      </c>
      <c r="U37" s="242">
        <f t="shared" si="24"/>
        <v>0.13316144218245424</v>
      </c>
      <c r="V37" s="242">
        <f t="shared" si="24"/>
        <v>0.15117997978150194</v>
      </c>
      <c r="W37" s="179">
        <f t="shared" si="25"/>
        <v>-1.8018537599047701E-2</v>
      </c>
      <c r="Y37" s="158" t="s">
        <v>117</v>
      </c>
      <c r="Z37" s="159">
        <f>C137</f>
        <v>-1621012.5429157447</v>
      </c>
      <c r="AA37" s="159">
        <f>D137</f>
        <v>-527081.70726080437</v>
      </c>
      <c r="AB37" s="160">
        <f t="shared" si="26"/>
        <v>-2.0754483044763581</v>
      </c>
      <c r="AC37" s="166"/>
      <c r="AD37" s="159">
        <f>G137</f>
        <v>-1621012.5429157447</v>
      </c>
      <c r="AE37" s="159">
        <f>H137</f>
        <v>-527081.70726080437</v>
      </c>
      <c r="AF37" s="160">
        <f t="shared" si="27"/>
        <v>-2.0754483044763581</v>
      </c>
      <c r="AG37" s="162"/>
      <c r="AH37" s="169" t="s">
        <v>19</v>
      </c>
      <c r="AI37" s="170">
        <f>'Tahmin Data'!L139/0.4</f>
        <v>1356232273.1258862</v>
      </c>
      <c r="AJ37" s="170">
        <f>'Tahmin Data'!N139/0.4</f>
        <v>1246588755.4070425</v>
      </c>
      <c r="AK37" s="170">
        <f>'C-TRY'!AI294</f>
        <v>173596446.19936907</v>
      </c>
      <c r="AL37" s="171">
        <f>IF(AJ37&gt;AK37,ABS((AJ37-AK37)/AK37),-ABS((AK37-AJ37)/AK37))</f>
        <v>6.1809578058722563</v>
      </c>
    </row>
    <row r="38" spans="2:38" ht="10.5" thickBot="1">
      <c r="B38" s="169" t="s">
        <v>125</v>
      </c>
      <c r="C38" s="198">
        <f t="shared" si="18"/>
        <v>0.17315512998738844</v>
      </c>
      <c r="D38" s="198">
        <f t="shared" si="18"/>
        <v>0.19174226289535995</v>
      </c>
      <c r="E38" s="246">
        <f t="shared" si="19"/>
        <v>-1.858713290797151E-2</v>
      </c>
      <c r="F38" s="193"/>
      <c r="G38" s="198">
        <f t="shared" si="20"/>
        <v>0.17315512998738844</v>
      </c>
      <c r="H38" s="198">
        <f t="shared" si="20"/>
        <v>0.19174226289535995</v>
      </c>
      <c r="I38" s="260">
        <f t="shared" si="21"/>
        <v>-1.858713290797151E-2</v>
      </c>
      <c r="J38" s="194"/>
      <c r="K38" s="238" t="s">
        <v>125</v>
      </c>
      <c r="L38" s="243">
        <f t="shared" si="23"/>
        <v>0.20678953793369204</v>
      </c>
      <c r="M38" s="243">
        <f t="shared" si="23"/>
        <v>0.20230268033034829</v>
      </c>
      <c r="N38" s="243">
        <f t="shared" si="23"/>
        <v>0.20201545143042082</v>
      </c>
      <c r="O38" s="243">
        <f t="shared" si="23"/>
        <v>0.20148245192922262</v>
      </c>
      <c r="P38" s="243">
        <f t="shared" si="23"/>
        <v>0.19522544041710857</v>
      </c>
      <c r="Q38" s="243">
        <f t="shared" si="24"/>
        <v>0.19227103732098189</v>
      </c>
      <c r="R38" s="243">
        <f t="shared" si="24"/>
        <v>0.18938054453247111</v>
      </c>
      <c r="S38" s="243" t="e">
        <f t="shared" si="24"/>
        <v>#DIV/0!</v>
      </c>
      <c r="T38" s="243" t="e">
        <f t="shared" si="24"/>
        <v>#DIV/0!</v>
      </c>
      <c r="U38" s="243">
        <f t="shared" si="24"/>
        <v>0.17315512998738838</v>
      </c>
      <c r="V38" s="243">
        <f t="shared" si="24"/>
        <v>0.20893787142558973</v>
      </c>
      <c r="W38" s="243">
        <f t="shared" si="25"/>
        <v>-3.5782741438201343E-2</v>
      </c>
      <c r="Y38" s="158" t="s">
        <v>19</v>
      </c>
      <c r="Z38" s="159">
        <f>C176</f>
        <v>-3437595.3209682051</v>
      </c>
      <c r="AA38" s="159">
        <f>D176</f>
        <v>-3810637.8477682825</v>
      </c>
      <c r="AB38" s="160">
        <f t="shared" si="26"/>
        <v>9.7895035346523801E-2</v>
      </c>
      <c r="AC38" s="166"/>
      <c r="AD38" s="159">
        <f>G176</f>
        <v>-3437595.3209682051</v>
      </c>
      <c r="AE38" s="159">
        <f>H176</f>
        <v>-3810637.8477682825</v>
      </c>
      <c r="AF38" s="160">
        <f t="shared" si="27"/>
        <v>9.7895035346523801E-2</v>
      </c>
      <c r="AG38" s="162"/>
    </row>
    <row r="39" spans="2:38" ht="10.5" customHeight="1">
      <c r="B39" s="158"/>
      <c r="C39" s="196"/>
      <c r="D39" s="196"/>
      <c r="E39" s="194"/>
      <c r="F39" s="197"/>
      <c r="G39" s="196"/>
      <c r="H39" s="196"/>
      <c r="I39" s="194"/>
      <c r="J39" s="194"/>
      <c r="K39" s="202"/>
      <c r="L39" s="194"/>
      <c r="M39" s="194"/>
      <c r="N39" s="194"/>
      <c r="O39" s="194"/>
      <c r="P39" s="194"/>
      <c r="Q39" s="194"/>
      <c r="R39" s="194"/>
      <c r="S39" s="194"/>
      <c r="T39" s="194"/>
      <c r="U39" s="194"/>
      <c r="V39" s="194"/>
      <c r="W39" s="160"/>
      <c r="Y39" s="158" t="s">
        <v>90</v>
      </c>
      <c r="Z39" s="159">
        <f>C189</f>
        <v>179430.80014359477</v>
      </c>
      <c r="AA39" s="159">
        <f>D189</f>
        <v>309454.4406993278</v>
      </c>
      <c r="AB39" s="160">
        <f t="shared" si="26"/>
        <v>-0.42017054356013145</v>
      </c>
      <c r="AC39" s="166"/>
      <c r="AD39" s="159">
        <f>G189</f>
        <v>179430.80014359477</v>
      </c>
      <c r="AE39" s="159">
        <f>H189</f>
        <v>309454.4406993278</v>
      </c>
      <c r="AF39" s="160">
        <f t="shared" si="27"/>
        <v>-0.42017054356013145</v>
      </c>
      <c r="AG39" s="162"/>
    </row>
    <row r="40" spans="2:38" ht="10.5" customHeight="1" thickBot="1">
      <c r="B40" s="158"/>
      <c r="C40" s="196"/>
      <c r="D40" s="196"/>
      <c r="E40" s="194"/>
      <c r="F40" s="197"/>
      <c r="G40" s="196"/>
      <c r="H40" s="196"/>
      <c r="I40" s="194"/>
      <c r="J40" s="194"/>
      <c r="K40" s="214"/>
      <c r="L40" s="214"/>
      <c r="M40" s="214"/>
      <c r="N40" s="214"/>
      <c r="O40" s="194"/>
      <c r="P40" s="194"/>
      <c r="Q40" s="194"/>
      <c r="R40" s="194"/>
      <c r="S40" s="194"/>
      <c r="T40" s="194"/>
      <c r="U40" s="194"/>
      <c r="V40" s="194"/>
      <c r="Y40" s="169" t="s">
        <v>123</v>
      </c>
      <c r="Z40" s="174">
        <f>C215</f>
        <v>-38457623.464769095</v>
      </c>
      <c r="AA40" s="174">
        <f>D215</f>
        <v>-35290524.586865842</v>
      </c>
      <c r="AB40" s="179">
        <f t="shared" si="26"/>
        <v>-8.9743604408815153E-2</v>
      </c>
      <c r="AC40" s="166"/>
      <c r="AD40" s="174">
        <f>G215</f>
        <v>-38457623.464769095</v>
      </c>
      <c r="AE40" s="174">
        <f>H215</f>
        <v>-35290524.586865842</v>
      </c>
      <c r="AF40" s="179">
        <f t="shared" si="27"/>
        <v>-8.9743604408815153E-2</v>
      </c>
      <c r="AG40" s="162"/>
    </row>
    <row r="41" spans="2:38" ht="10.5" customHeight="1">
      <c r="B41" s="209" t="s">
        <v>134</v>
      </c>
      <c r="C41" s="210" t="s">
        <v>0</v>
      </c>
      <c r="D41" s="210"/>
      <c r="E41" s="210"/>
      <c r="F41" s="210"/>
      <c r="G41" s="210"/>
      <c r="H41" s="210" t="s">
        <v>36</v>
      </c>
      <c r="I41" s="210"/>
      <c r="J41" s="195"/>
      <c r="K41" s="214" t="s">
        <v>135</v>
      </c>
      <c r="L41" s="214"/>
      <c r="M41" s="214"/>
      <c r="N41" s="214"/>
      <c r="O41" s="210"/>
      <c r="P41" s="210"/>
      <c r="Q41" s="210"/>
      <c r="R41" s="210"/>
      <c r="S41" s="210"/>
      <c r="T41" s="210"/>
      <c r="U41" s="210"/>
      <c r="V41" s="195"/>
    </row>
    <row r="42" spans="2:38" ht="10.5" customHeight="1" thickBot="1">
      <c r="B42" s="169"/>
      <c r="C42" s="211" t="s">
        <v>98</v>
      </c>
      <c r="D42" s="211" t="s">
        <v>99</v>
      </c>
      <c r="E42" s="211" t="s">
        <v>100</v>
      </c>
      <c r="F42" s="211"/>
      <c r="G42" s="211" t="str">
        <f>C42</f>
        <v>Gerçekleşen</v>
      </c>
      <c r="H42" s="211" t="s">
        <v>99</v>
      </c>
      <c r="I42" s="211" t="s">
        <v>100</v>
      </c>
      <c r="J42" s="152"/>
      <c r="K42" s="218"/>
      <c r="L42" s="219" t="str">
        <f>L146</f>
        <v>Mart</v>
      </c>
      <c r="M42" s="219" t="str">
        <f>M146</f>
        <v>Nisan</v>
      </c>
      <c r="N42" s="219" t="str">
        <f>N146</f>
        <v>Mayıs</v>
      </c>
      <c r="O42" s="219" t="s">
        <v>101</v>
      </c>
      <c r="P42" s="219" t="s">
        <v>102</v>
      </c>
      <c r="Q42" s="219" t="s">
        <v>103</v>
      </c>
      <c r="R42" s="219" t="s">
        <v>104</v>
      </c>
      <c r="S42" s="219" t="s">
        <v>105</v>
      </c>
      <c r="T42" s="219" t="s">
        <v>106</v>
      </c>
      <c r="U42" s="219" t="s">
        <v>98</v>
      </c>
      <c r="V42" s="250" t="s">
        <v>99</v>
      </c>
      <c r="W42" s="262" t="s">
        <v>100</v>
      </c>
      <c r="Y42" s="151" t="str">
        <f>B8</f>
        <v xml:space="preserve">Yusen İnci Loj. </v>
      </c>
      <c r="Z42" s="453" t="s">
        <v>0</v>
      </c>
      <c r="AA42" s="453"/>
      <c r="AB42" s="453"/>
      <c r="AC42" s="152"/>
      <c r="AD42" s="151"/>
      <c r="AE42" s="151" t="s">
        <v>36</v>
      </c>
      <c r="AF42" s="151"/>
      <c r="AG42" s="153"/>
      <c r="AH42" s="151" t="str">
        <f>Y42</f>
        <v xml:space="preserve">Yusen İnci Loj. </v>
      </c>
      <c r="AI42" s="151"/>
      <c r="AJ42" s="453" t="s">
        <v>97</v>
      </c>
      <c r="AK42" s="453"/>
      <c r="AL42" s="453"/>
    </row>
    <row r="43" spans="2:38" ht="10.5" customHeight="1" thickTop="1">
      <c r="B43" s="149" t="s">
        <v>111</v>
      </c>
      <c r="C43" s="156">
        <f>'A -Döviz'!C91</f>
        <v>-379095.49200077966</v>
      </c>
      <c r="D43" s="156">
        <f>'A -Döviz'!B91</f>
        <v>-378639.3301026047</v>
      </c>
      <c r="E43" s="224">
        <f>IF(C43&gt;D43,ABS((C43-D43)/D43),-ABS((D43-C43)/D43))</f>
        <v>-1.2047398722455785E-3</v>
      </c>
      <c r="F43" s="155"/>
      <c r="G43" s="156">
        <f>'C-Döviz'!C91</f>
        <v>-379095.49200077966</v>
      </c>
      <c r="H43" s="156">
        <f>'C-Döviz'!B91</f>
        <v>-378639.3301026047</v>
      </c>
      <c r="I43" s="224">
        <f t="shared" ref="I43:I51" si="28">IF(G43&gt;H43,ABS((G43-H43)/H43),-ABS((H43-G43)/H43))</f>
        <v>-1.2047398722455785E-3</v>
      </c>
      <c r="J43" s="157"/>
      <c r="K43" s="226" t="str">
        <f>B43</f>
        <v xml:space="preserve">İnci Holding  </v>
      </c>
      <c r="L43" s="227">
        <f>'Tahmin Data'!G28</f>
        <v>-5503028.0794154853</v>
      </c>
      <c r="M43" s="227">
        <f>'Tahmin Data'!I28</f>
        <v>-5469574.2699999996</v>
      </c>
      <c r="N43" s="227">
        <f>'Tahmin Data'!K28</f>
        <v>-5262523.7144153994</v>
      </c>
      <c r="O43" s="227">
        <f>'Tahmin Data'!M28</f>
        <v>-5182296.5727165611</v>
      </c>
      <c r="P43" s="227">
        <f>'Tahmin Data'!O28</f>
        <v>-5180521.7332052235</v>
      </c>
      <c r="Q43" s="227">
        <f>'Tahmin Data'!Q28</f>
        <v>-5153302.12089343</v>
      </c>
      <c r="R43" s="227">
        <f>'Tahmin Data'!S28</f>
        <v>-5149406.1199711785</v>
      </c>
      <c r="S43" s="227">
        <f>'Tahmin Data'!U28</f>
        <v>0</v>
      </c>
      <c r="T43" s="227">
        <f>'Tahmin Data'!W28</f>
        <v>0</v>
      </c>
      <c r="U43" s="318">
        <f>-G43</f>
        <v>379095.49200077966</v>
      </c>
      <c r="V43" s="213">
        <f>'Bütçe aylık-Eur'!N38</f>
        <v>5346784.8807264464</v>
      </c>
      <c r="W43" s="224">
        <f>IF(U43&gt;V43,ABS((U43-V43)/V43),-ABS((V43-U43)/V43))</f>
        <v>-0.92909842074116256</v>
      </c>
      <c r="Y43" s="151" t="s">
        <v>126</v>
      </c>
      <c r="Z43" s="151" t="s">
        <v>98</v>
      </c>
      <c r="AA43" s="151" t="s">
        <v>99</v>
      </c>
      <c r="AB43" s="151" t="s">
        <v>100</v>
      </c>
      <c r="AC43" s="152"/>
      <c r="AD43" s="151" t="s">
        <v>98</v>
      </c>
      <c r="AE43" s="151" t="s">
        <v>99</v>
      </c>
      <c r="AF43" s="151" t="s">
        <v>100</v>
      </c>
      <c r="AG43" s="153"/>
      <c r="AH43" s="151" t="s">
        <v>107</v>
      </c>
      <c r="AI43" s="151" t="str">
        <f>$AI$3</f>
        <v>Mayıs YST</v>
      </c>
      <c r="AJ43" s="151" t="str">
        <f>$AJ$3</f>
        <v>Haziran YST</v>
      </c>
      <c r="AK43" s="151" t="s">
        <v>99</v>
      </c>
      <c r="AL43" s="151" t="s">
        <v>100</v>
      </c>
    </row>
    <row r="44" spans="2:38" ht="10.5" customHeight="1">
      <c r="B44" s="149" t="s">
        <v>11</v>
      </c>
      <c r="C44" s="156">
        <f>'A -Döviz'!C92</f>
        <v>-126365.65144000031</v>
      </c>
      <c r="D44" s="156">
        <f>'A -Döviz'!B92</f>
        <v>-172335.83968486081</v>
      </c>
      <c r="E44" s="229">
        <f t="shared" ref="E44:E51" si="29">IF(C44&gt;D44,ABS((C44-D44)/D44),-ABS((D44-C44)/D44))</f>
        <v>0.26674769641023688</v>
      </c>
      <c r="F44" s="155"/>
      <c r="G44" s="156">
        <f>'C-Döviz'!C92</f>
        <v>-126365.65144000031</v>
      </c>
      <c r="H44" s="156">
        <f>'C-Döviz'!B92</f>
        <v>-172335.83968486081</v>
      </c>
      <c r="I44" s="229">
        <f t="shared" si="28"/>
        <v>0.26674769641023688</v>
      </c>
      <c r="J44" s="157"/>
      <c r="K44" s="226" t="str">
        <f t="shared" ref="K44:K50" si="30">B44</f>
        <v xml:space="preserve">ISM </v>
      </c>
      <c r="L44" s="227">
        <f>'Tahmin Data'!G30</f>
        <v>-1632114.6087206826</v>
      </c>
      <c r="M44" s="227">
        <f>'Tahmin Data'!I30</f>
        <v>-1616998.71</v>
      </c>
      <c r="N44" s="227">
        <f>'Tahmin Data'!K30</f>
        <v>-1542506.8354390403</v>
      </c>
      <c r="O44" s="227">
        <f>'Tahmin Data'!M30</f>
        <v>-1622952.7944128383</v>
      </c>
      <c r="P44" s="227">
        <f>'Tahmin Data'!O30</f>
        <v>-1631945.7766918787</v>
      </c>
      <c r="Q44" s="227">
        <f>'Tahmin Data'!Q30</f>
        <v>-1604067.9858058225</v>
      </c>
      <c r="R44" s="227">
        <f>'Tahmin Data'!S30</f>
        <v>-1620782.055205316</v>
      </c>
      <c r="S44" s="227">
        <f>'Tahmin Data'!U30</f>
        <v>0</v>
      </c>
      <c r="T44" s="227">
        <f>'Tahmin Data'!W30</f>
        <v>0</v>
      </c>
      <c r="U44" s="227">
        <f t="shared" ref="U44:U50" si="31">-G44</f>
        <v>126365.65144000031</v>
      </c>
      <c r="V44" s="204">
        <f>'Bütçe aylık-Eur'!N39</f>
        <v>1793803.1577145746</v>
      </c>
      <c r="W44" s="229">
        <f>IF(U44&gt;V44,ABS((U44-V44)/V44),-ABS((V44-U44)/V44))</f>
        <v>-0.92955433772287555</v>
      </c>
      <c r="Y44" s="158" t="s">
        <v>112</v>
      </c>
      <c r="Z44" s="159">
        <f>C8</f>
        <v>6014583.6999505255</v>
      </c>
      <c r="AA44" s="159">
        <f>D8</f>
        <v>6610337.0335660111</v>
      </c>
      <c r="AB44" s="160">
        <f t="shared" ref="AB44:AB50" si="32">IF(Z44&gt;AA44,ABS((Z44-AA44)/AA44),-ABS((AA44-Z44)/AA44))</f>
        <v>-9.0124502062506884E-2</v>
      </c>
      <c r="AC44" s="166"/>
      <c r="AD44" s="159">
        <f>G8</f>
        <v>6014583.6999505255</v>
      </c>
      <c r="AE44" s="159">
        <f>H8</f>
        <v>6610337.0335660111</v>
      </c>
      <c r="AF44" s="164">
        <f t="shared" ref="AF44:AF50" si="33">IF(AD44&gt;AE44,ABS((AD44-AE44)/AE44),-ABS((AE44-AD44)/AE44))</f>
        <v>-9.0124502062506884E-2</v>
      </c>
      <c r="AG44" s="162"/>
      <c r="AH44" s="158" t="s">
        <v>112</v>
      </c>
      <c r="AI44" s="163">
        <f>'Tahmin Data'!L10/0.4</f>
        <v>7736132548.6816244</v>
      </c>
      <c r="AJ44" s="163">
        <f>'Tahmin Data'!N10/0.4</f>
        <v>7652508006.2270737</v>
      </c>
      <c r="AK44" s="163">
        <f>'C-TRY'!AI13</f>
        <v>3249823673.9163437</v>
      </c>
      <c r="AL44" s="164">
        <f>IF(AJ44&gt;AK44,ABS((AJ44-AK44)/AK44),-ABS((AK44-AJ44)/AK44))</f>
        <v>1.354745602860687</v>
      </c>
    </row>
    <row r="45" spans="2:38" ht="10.5" customHeight="1">
      <c r="B45" s="149" t="s">
        <v>115</v>
      </c>
      <c r="C45" s="156">
        <f>'A -Döviz'!C93</f>
        <v>-121903.78336071088</v>
      </c>
      <c r="D45" s="156">
        <f>'A -Döviz'!B93</f>
        <v>-210929.61338291212</v>
      </c>
      <c r="E45" s="229">
        <f t="shared" si="29"/>
        <v>0.42206415967106414</v>
      </c>
      <c r="F45" s="155"/>
      <c r="G45" s="156">
        <f>'C-Döviz'!C93</f>
        <v>-121903.78336071088</v>
      </c>
      <c r="H45" s="156">
        <f>'C-Döviz'!B93</f>
        <v>-210929.61338291212</v>
      </c>
      <c r="I45" s="229">
        <f t="shared" si="28"/>
        <v>0.42206415967106414</v>
      </c>
      <c r="J45" s="157"/>
      <c r="K45" s="226" t="str">
        <f t="shared" si="30"/>
        <v xml:space="preserve">İncitaş </v>
      </c>
      <c r="L45" s="227">
        <f>'Tahmin Data'!G29</f>
        <v>-2196653.0261541819</v>
      </c>
      <c r="M45" s="227">
        <f>'Tahmin Data'!I29</f>
        <v>-2060998.22</v>
      </c>
      <c r="N45" s="227">
        <f>'Tahmin Data'!K29</f>
        <v>-1646337.244046893</v>
      </c>
      <c r="O45" s="227">
        <f>'Tahmin Data'!M29</f>
        <v>-1662205.0274226544</v>
      </c>
      <c r="P45" s="227">
        <f>'Tahmin Data'!O29</f>
        <v>-1701133.200014499</v>
      </c>
      <c r="Q45" s="227">
        <f>'Tahmin Data'!Q29</f>
        <v>-1599205.0725990993</v>
      </c>
      <c r="R45" s="227">
        <f>'Tahmin Data'!S29</f>
        <v>-1583631.5916899606</v>
      </c>
      <c r="S45" s="227">
        <f>'Tahmin Data'!U29</f>
        <v>0</v>
      </c>
      <c r="T45" s="227">
        <f>'Tahmin Data'!W29</f>
        <v>0</v>
      </c>
      <c r="U45" s="227">
        <f t="shared" si="31"/>
        <v>121903.78336071088</v>
      </c>
      <c r="V45" s="204">
        <f>'Bütçe aylık-Eur'!N40</f>
        <v>2353642.1923957351</v>
      </c>
      <c r="W45" s="229">
        <f t="shared" ref="W45:W52" si="34">IF(U45&gt;V45,ABS((U45-V45)/V45),-ABS((V45-U45)/V45))</f>
        <v>-0.94820632305345154</v>
      </c>
      <c r="Y45" s="158" t="s">
        <v>113</v>
      </c>
      <c r="Z45" s="159">
        <f>C86</f>
        <v>415753.69021301129</v>
      </c>
      <c r="AA45" s="159">
        <f>D86</f>
        <v>534180.88590141328</v>
      </c>
      <c r="AB45" s="160">
        <f t="shared" si="32"/>
        <v>-0.22169867701005411</v>
      </c>
      <c r="AC45" s="166"/>
      <c r="AD45" s="159">
        <f>G86</f>
        <v>415753.69021301129</v>
      </c>
      <c r="AE45" s="159">
        <f>H86</f>
        <v>534180.88590141328</v>
      </c>
      <c r="AF45" s="164">
        <f t="shared" si="33"/>
        <v>-0.22169867701005411</v>
      </c>
      <c r="AG45" s="162"/>
      <c r="AH45" s="158" t="s">
        <v>113</v>
      </c>
      <c r="AI45" s="163">
        <f>'Tahmin Data'!L66/0.4</f>
        <v>429414194.30013275</v>
      </c>
      <c r="AJ45" s="163">
        <f>'Tahmin Data'!N66/0.4</f>
        <v>435869143.31689644</v>
      </c>
      <c r="AK45" s="163">
        <f>'C-TRY'!AI143</f>
        <v>220752927.73687693</v>
      </c>
      <c r="AL45" s="164">
        <f>IF(AJ45&gt;AK45,ABS((AJ45-AK45)/AK45),-ABS((AK45-AJ45)/AK45))</f>
        <v>0.97446596874322766</v>
      </c>
    </row>
    <row r="46" spans="2:38" ht="10.5" customHeight="1">
      <c r="B46" s="149" t="s">
        <v>119</v>
      </c>
      <c r="C46" s="156">
        <f>'A -Döviz'!C94</f>
        <v>-2081641.7654548122</v>
      </c>
      <c r="D46" s="156">
        <f>'A -Döviz'!B94</f>
        <v>-2063199.3176160427</v>
      </c>
      <c r="E46" s="229">
        <f t="shared" si="29"/>
        <v>-8.9387620872612324E-3</v>
      </c>
      <c r="F46" s="155"/>
      <c r="G46" s="156">
        <f>'C-Döviz'!C94</f>
        <v>-2081641.7654548122</v>
      </c>
      <c r="H46" s="156">
        <f>'C-Döviz'!B94</f>
        <v>-2063199.3176160427</v>
      </c>
      <c r="I46" s="229">
        <f t="shared" si="28"/>
        <v>-8.9387620872612324E-3</v>
      </c>
      <c r="J46" s="157"/>
      <c r="K46" s="226" t="str">
        <f t="shared" si="30"/>
        <v xml:space="preserve">İnci GS Yuasa </v>
      </c>
      <c r="L46" s="227">
        <f>'Tahmin Data'!G27/0.4</f>
        <v>-66806429.205449268</v>
      </c>
      <c r="M46" s="227">
        <f>'Tahmin Data'!I27/0.4</f>
        <v>-68396714.524999991</v>
      </c>
      <c r="N46" s="227">
        <f>'Tahmin Data'!K27/0.4</f>
        <v>-58491870.985852085</v>
      </c>
      <c r="O46" s="227">
        <f>'Tahmin Data'!M27/0.4</f>
        <v>-58429548.229222059</v>
      </c>
      <c r="P46" s="227">
        <f>'Tahmin Data'!O27/0.4</f>
        <v>-57399678.904972762</v>
      </c>
      <c r="Q46" s="227">
        <f>'Tahmin Data'!Q27/0.4</f>
        <v>-56024366.611307994</v>
      </c>
      <c r="R46" s="227">
        <f>'Tahmin Data'!S27/0.4</f>
        <v>-55767241.855799049</v>
      </c>
      <c r="S46" s="227">
        <f>'Tahmin Data'!U27/0.4</f>
        <v>0</v>
      </c>
      <c r="T46" s="227">
        <f>'Tahmin Data'!W27/0.4</f>
        <v>0</v>
      </c>
      <c r="U46" s="227">
        <f t="shared" si="31"/>
        <v>2081641.7654548122</v>
      </c>
      <c r="V46" s="204">
        <f>'Bütçe aylık-Eur'!N41</f>
        <v>26622301.064558748</v>
      </c>
      <c r="W46" s="229">
        <f t="shared" si="34"/>
        <v>-0.92180834555184177</v>
      </c>
      <c r="Y46" s="158" t="s">
        <v>116</v>
      </c>
      <c r="Z46" s="182">
        <f>C73</f>
        <v>4.137442633410561E-2</v>
      </c>
      <c r="AA46" s="182">
        <f>D73</f>
        <v>6.5677490369797975E-2</v>
      </c>
      <c r="AB46" s="160">
        <f t="shared" si="32"/>
        <v>-0.37003642951114063</v>
      </c>
      <c r="AC46" s="167"/>
      <c r="AD46" s="182">
        <f>G73</f>
        <v>4.137442633410561E-2</v>
      </c>
      <c r="AE46" s="182">
        <f>H73</f>
        <v>6.5677490369797975E-2</v>
      </c>
      <c r="AF46" s="160">
        <f t="shared" si="33"/>
        <v>-0.37003642951114063</v>
      </c>
      <c r="AG46" s="168"/>
      <c r="AH46" s="158" t="s">
        <v>117</v>
      </c>
      <c r="AI46" s="163">
        <f>'Tahmin Data'!L90/0.4</f>
        <v>192157264.93267748</v>
      </c>
      <c r="AJ46" s="163">
        <f>'Tahmin Data'!N90/0.4</f>
        <v>185043406.52303749</v>
      </c>
      <c r="AK46" s="163">
        <f>'C-TRY'!AI193</f>
        <v>66489739.328790054</v>
      </c>
      <c r="AL46" s="181">
        <f>IF(AJ46&gt;AK46,ABS((AJ46-AK46)/AK46),-ABS((AK46-AJ46)/AK46))</f>
        <v>1.7830370278337624</v>
      </c>
    </row>
    <row r="47" spans="2:38" ht="10.5" customHeight="1" thickBot="1">
      <c r="B47" s="149" t="s">
        <v>120</v>
      </c>
      <c r="C47" s="156">
        <f>'A -Döviz'!C95</f>
        <v>-958807.09268209711</v>
      </c>
      <c r="D47" s="156">
        <f>'A -Döviz'!B95</f>
        <v>-871043.92881764914</v>
      </c>
      <c r="E47" s="229">
        <f t="shared" si="29"/>
        <v>-0.10075630052731929</v>
      </c>
      <c r="F47" s="155"/>
      <c r="G47" s="156">
        <f>'C-Döviz'!C95</f>
        <v>-958807.09268209711</v>
      </c>
      <c r="H47" s="156">
        <f>'C-Döviz'!B95</f>
        <v>-871043.92881764914</v>
      </c>
      <c r="I47" s="229">
        <f t="shared" si="28"/>
        <v>-0.10075630052731929</v>
      </c>
      <c r="J47" s="157"/>
      <c r="K47" s="226" t="str">
        <f t="shared" si="30"/>
        <v xml:space="preserve">Yusen İnci Loj. </v>
      </c>
      <c r="L47" s="227">
        <f>'Tahmin Data'!G34/0.4</f>
        <v>-29567141.676494878</v>
      </c>
      <c r="M47" s="227">
        <f>'Tahmin Data'!I34/0.4</f>
        <v>-28762963.274999999</v>
      </c>
      <c r="N47" s="227">
        <f>'Tahmin Data'!K34/0.4</f>
        <v>-27700762.888872586</v>
      </c>
      <c r="O47" s="227">
        <f>'Tahmin Data'!M34/0.4</f>
        <v>-27890873.095349941</v>
      </c>
      <c r="P47" s="227">
        <f>'Tahmin Data'!O34/0.4</f>
        <v>-27585313.841876168</v>
      </c>
      <c r="Q47" s="227">
        <f>'Tahmin Data'!Q34/0.4</f>
        <v>-26771570.134007625</v>
      </c>
      <c r="R47" s="227">
        <f>'Tahmin Data'!S34/0.4</f>
        <v>-26724856.308301639</v>
      </c>
      <c r="S47" s="227">
        <f>'Tahmin Data'!U34/0.4</f>
        <v>0</v>
      </c>
      <c r="T47" s="227">
        <f>'Tahmin Data'!W34/0.4</f>
        <v>0</v>
      </c>
      <c r="U47" s="227">
        <f t="shared" si="31"/>
        <v>958807.09268209711</v>
      </c>
      <c r="V47" s="204">
        <f>'Bütçe aylık-Eur'!N42</f>
        <v>11639587.739917068</v>
      </c>
      <c r="W47" s="229">
        <f t="shared" si="34"/>
        <v>-0.91762533913517041</v>
      </c>
      <c r="Y47" s="158" t="s">
        <v>117</v>
      </c>
      <c r="Z47" s="159">
        <f>C138</f>
        <v>163058.72558742377</v>
      </c>
      <c r="AA47" s="159">
        <f>D138</f>
        <v>306036.36138400546</v>
      </c>
      <c r="AB47" s="160">
        <f t="shared" si="32"/>
        <v>-0.46719166033077208</v>
      </c>
      <c r="AC47" s="166"/>
      <c r="AD47" s="159">
        <f>G138</f>
        <v>163058.72558742377</v>
      </c>
      <c r="AE47" s="159">
        <f>H138</f>
        <v>306036.36138400546</v>
      </c>
      <c r="AF47" s="160">
        <f t="shared" si="33"/>
        <v>-0.46719166033077208</v>
      </c>
      <c r="AG47" s="162"/>
      <c r="AH47" s="169" t="s">
        <v>19</v>
      </c>
      <c r="AI47" s="170">
        <f>'Tahmin Data'!L146/0.4</f>
        <v>438448979.81538028</v>
      </c>
      <c r="AJ47" s="170">
        <f>'Tahmin Data'!N146/0.4</f>
        <v>435835824.90112889</v>
      </c>
      <c r="AK47" s="170">
        <f>'C-TRY'!AI295</f>
        <v>128066002.68508801</v>
      </c>
      <c r="AL47" s="185">
        <f>IF(AJ47&gt;AK47,ABS((AJ47-AK47)/AK47),-ABS((AK47-AJ47)/AK47))</f>
        <v>2.4032125291896653</v>
      </c>
    </row>
    <row r="48" spans="2:38" ht="10.5" customHeight="1">
      <c r="B48" s="149" t="s">
        <v>121</v>
      </c>
      <c r="C48" s="156">
        <f>'A -Döviz'!C96</f>
        <v>-671544.15</v>
      </c>
      <c r="D48" s="156">
        <f>'A -Döviz'!B96</f>
        <v>-706181.53968199994</v>
      </c>
      <c r="E48" s="229">
        <f t="shared" si="29"/>
        <v>4.9048846133244228E-2</v>
      </c>
      <c r="F48" s="155"/>
      <c r="G48" s="156">
        <f>'C-Döviz'!C96</f>
        <v>-671544.15</v>
      </c>
      <c r="H48" s="156">
        <f>'C-Döviz'!B96</f>
        <v>-706181.53968199994</v>
      </c>
      <c r="I48" s="229">
        <f t="shared" si="28"/>
        <v>4.9048846133244228E-2</v>
      </c>
      <c r="J48" s="157"/>
      <c r="K48" s="226" t="str">
        <f t="shared" si="30"/>
        <v xml:space="preserve">Jantaş </v>
      </c>
      <c r="L48" s="227">
        <f>'Tahmin Data'!G33/0.4</f>
        <v>-21835000</v>
      </c>
      <c r="M48" s="227">
        <f>'Tahmin Data'!I33/0.4</f>
        <v>-21307365.049999997</v>
      </c>
      <c r="N48" s="227">
        <f>'Tahmin Data'!K33/0.4</f>
        <v>-21302923.402899999</v>
      </c>
      <c r="O48" s="227">
        <f>'Tahmin Data'!M33/0.4</f>
        <v>-20770000</v>
      </c>
      <c r="P48" s="227">
        <f>'Tahmin Data'!O33/0.4</f>
        <v>-19887345.165004998</v>
      </c>
      <c r="Q48" s="227">
        <f>'Tahmin Data'!Q33/0.4</f>
        <v>-19894662.0069125</v>
      </c>
      <c r="R48" s="227">
        <f>'Tahmin Data'!S33/0.4</f>
        <v>-19926842.871719997</v>
      </c>
      <c r="S48" s="227">
        <f>'Tahmin Data'!U33/0.4</f>
        <v>0</v>
      </c>
      <c r="T48" s="227">
        <f>'Tahmin Data'!W33/0.4</f>
        <v>0</v>
      </c>
      <c r="U48" s="227">
        <f t="shared" si="31"/>
        <v>671544.15</v>
      </c>
      <c r="V48" s="204">
        <f>'Bütçe aylık-Eur'!N43</f>
        <v>8458303.1924249995</v>
      </c>
      <c r="W48" s="229">
        <f t="shared" si="34"/>
        <v>-0.92060533481450335</v>
      </c>
      <c r="X48" s="244"/>
      <c r="Y48" s="158" t="s">
        <v>19</v>
      </c>
      <c r="Z48" s="159">
        <f>C177</f>
        <v>334452.51804979035</v>
      </c>
      <c r="AA48" s="159">
        <f>D177</f>
        <v>1442974.5930446924</v>
      </c>
      <c r="AB48" s="160">
        <f t="shared" si="32"/>
        <v>-0.76822009225810983</v>
      </c>
      <c r="AC48" s="166"/>
      <c r="AD48" s="159">
        <f>G177</f>
        <v>334452.51804979035</v>
      </c>
      <c r="AE48" s="159">
        <f>H177</f>
        <v>1442974.5930446924</v>
      </c>
      <c r="AF48" s="164">
        <f t="shared" si="33"/>
        <v>-0.76822009225810983</v>
      </c>
      <c r="AG48" s="162"/>
    </row>
    <row r="49" spans="1:38" ht="10.5" customHeight="1">
      <c r="B49" s="149" t="s">
        <v>122</v>
      </c>
      <c r="C49" s="156">
        <f>'A -Döviz'!C97</f>
        <v>-411416.13</v>
      </c>
      <c r="D49" s="156">
        <f>'A -Döviz'!B97</f>
        <v>-400769.22487699997</v>
      </c>
      <c r="E49" s="229">
        <f t="shared" si="29"/>
        <v>-2.6566174401908414E-2</v>
      </c>
      <c r="F49" s="155"/>
      <c r="G49" s="156">
        <f>'C-Döviz'!C97</f>
        <v>-411416.13</v>
      </c>
      <c r="H49" s="156">
        <f>'C-Döviz'!B97</f>
        <v>-400769.22487699997</v>
      </c>
      <c r="I49" s="229">
        <f t="shared" si="28"/>
        <v>-2.6566174401908414E-2</v>
      </c>
      <c r="J49" s="157"/>
      <c r="K49" s="226" t="str">
        <f t="shared" si="30"/>
        <v xml:space="preserve">Çelik </v>
      </c>
      <c r="L49" s="227">
        <f>'Tahmin Data'!G32/0.4</f>
        <v>-12609790.634757498</v>
      </c>
      <c r="M49" s="227">
        <f>'Tahmin Data'!I32/0.4</f>
        <v>-12232659.025</v>
      </c>
      <c r="N49" s="227">
        <f>'Tahmin Data'!K32/0.4</f>
        <v>-12444436.82284</v>
      </c>
      <c r="O49" s="227">
        <f>'Tahmin Data'!M32/0.4</f>
        <v>-12444436.82284</v>
      </c>
      <c r="P49" s="227">
        <f>'Tahmin Data'!O32/0.4</f>
        <v>-12362105.7239375</v>
      </c>
      <c r="Q49" s="227">
        <f>'Tahmin Data'!Q32/0.4</f>
        <v>-12252788.9325225</v>
      </c>
      <c r="R49" s="227">
        <f>'Tahmin Data'!S32/0.4</f>
        <v>-12509006.718959998</v>
      </c>
      <c r="S49" s="227">
        <f>'Tahmin Data'!U32/0.4</f>
        <v>0</v>
      </c>
      <c r="T49" s="227">
        <f>'Tahmin Data'!W32/0.4</f>
        <v>0</v>
      </c>
      <c r="U49" s="227">
        <f t="shared" si="31"/>
        <v>411416.13</v>
      </c>
      <c r="V49" s="204">
        <f>'Bütçe aylık-Eur'!N44</f>
        <v>4774475.4667079998</v>
      </c>
      <c r="W49" s="229">
        <f t="shared" si="34"/>
        <v>-0.91383008817015221</v>
      </c>
      <c r="Y49" s="158" t="s">
        <v>90</v>
      </c>
      <c r="Z49" s="159">
        <f>C190</f>
        <v>112475.8565550208</v>
      </c>
      <c r="AA49" s="159">
        <f>D190</f>
        <v>104087.52312868946</v>
      </c>
      <c r="AB49" s="160">
        <f t="shared" si="32"/>
        <v>8.0589230814536339E-2</v>
      </c>
      <c r="AC49" s="166"/>
      <c r="AD49" s="159">
        <f>G190</f>
        <v>112475.8565550208</v>
      </c>
      <c r="AE49" s="159">
        <f>H190</f>
        <v>104087.52312868946</v>
      </c>
      <c r="AF49" s="164">
        <f t="shared" si="33"/>
        <v>8.0589230814536339E-2</v>
      </c>
      <c r="AG49" s="162"/>
    </row>
    <row r="50" spans="1:38" ht="10.5" thickBot="1">
      <c r="B50" s="149" t="s">
        <v>124</v>
      </c>
      <c r="C50" s="156">
        <f>'A -Döviz'!C98</f>
        <v>-955273.81</v>
      </c>
      <c r="D50" s="156">
        <f>'A -Döviz'!B98</f>
        <v>-913898.94490999996</v>
      </c>
      <c r="E50" s="229">
        <f t="shared" si="29"/>
        <v>-4.5272910446433064E-2</v>
      </c>
      <c r="F50" s="155"/>
      <c r="G50" s="156">
        <f>'C-Döviz'!C98</f>
        <v>-955273.81</v>
      </c>
      <c r="H50" s="156">
        <f>'C-Döviz'!B98</f>
        <v>-913898.94490999996</v>
      </c>
      <c r="I50" s="229">
        <f t="shared" si="28"/>
        <v>-4.5272910446433064E-2</v>
      </c>
      <c r="J50" s="157"/>
      <c r="K50" s="231" t="str">
        <f t="shared" si="30"/>
        <v xml:space="preserve">Alüminyum </v>
      </c>
      <c r="L50" s="232">
        <f>'Tahmin Data'!G31/0.4</f>
        <v>-31093955.444654997</v>
      </c>
      <c r="M50" s="232">
        <f>'Tahmin Data'!I31/0.4</f>
        <v>-30125731.199999999</v>
      </c>
      <c r="N50" s="232">
        <f>'Tahmin Data'!K31/0.4</f>
        <v>-30435627.817557499</v>
      </c>
      <c r="O50" s="232">
        <f>'Tahmin Data'!M31/0.4</f>
        <v>-29588685.405620001</v>
      </c>
      <c r="P50" s="232">
        <f>'Tahmin Data'!O31/0.4</f>
        <v>-28462880.580542501</v>
      </c>
      <c r="Q50" s="232">
        <f>'Tahmin Data'!Q31/0.4</f>
        <v>-29119610.998177495</v>
      </c>
      <c r="R50" s="232">
        <f>'Tahmin Data'!S31/0.4</f>
        <v>-29189115.916547496</v>
      </c>
      <c r="S50" s="232">
        <f>'Tahmin Data'!U31/0.4</f>
        <v>0</v>
      </c>
      <c r="T50" s="232">
        <f>'Tahmin Data'!W31/0.4</f>
        <v>0</v>
      </c>
      <c r="U50" s="232">
        <f t="shared" si="31"/>
        <v>955273.81</v>
      </c>
      <c r="V50" s="205">
        <f>'Bütçe aylık-Eur'!N45</f>
        <v>11923646.636464</v>
      </c>
      <c r="W50" s="264">
        <f t="shared" si="34"/>
        <v>-0.91988408922831932</v>
      </c>
      <c r="Y50" s="169" t="s">
        <v>123</v>
      </c>
      <c r="Z50" s="174">
        <f>C216</f>
        <v>796564.25517152366</v>
      </c>
      <c r="AA50" s="174">
        <f>D216</f>
        <v>1602174.7421430019</v>
      </c>
      <c r="AB50" s="179">
        <f t="shared" si="32"/>
        <v>-0.50282311022699522</v>
      </c>
      <c r="AC50" s="166"/>
      <c r="AD50" s="174">
        <f>G216</f>
        <v>796564.25517152366</v>
      </c>
      <c r="AE50" s="174">
        <f>H216</f>
        <v>1602174.7421430019</v>
      </c>
      <c r="AF50" s="179">
        <f t="shared" si="33"/>
        <v>-0.50282311022699522</v>
      </c>
      <c r="AG50" s="162"/>
    </row>
    <row r="51" spans="1:38" ht="10.5" customHeight="1" thickBot="1">
      <c r="B51" s="169" t="s">
        <v>125</v>
      </c>
      <c r="C51" s="192">
        <f>'A -Döviz'!C88</f>
        <v>-2658838.1060562544</v>
      </c>
      <c r="D51" s="192">
        <f>'A -Döviz'!B88</f>
        <v>-2743941.9655314544</v>
      </c>
      <c r="E51" s="246">
        <f t="shared" si="29"/>
        <v>3.1015182006124138E-2</v>
      </c>
      <c r="F51" s="154"/>
      <c r="G51" s="192">
        <f>'C-Döviz'!C88</f>
        <v>-2658838.1060562544</v>
      </c>
      <c r="H51" s="192">
        <f>'C-Döviz'!B88</f>
        <v>-2743941.9655314544</v>
      </c>
      <c r="I51" s="260">
        <f t="shared" si="28"/>
        <v>3.1015182006124138E-2</v>
      </c>
      <c r="J51" s="194"/>
      <c r="K51" s="263" t="s">
        <v>125</v>
      </c>
      <c r="L51" s="248">
        <f>SUM('Tahmin Data'!G27:G34)</f>
        <v>-74096722.498833016</v>
      </c>
      <c r="M51" s="248">
        <f>SUM('Tahmin Data'!I27:I34)</f>
        <v>-73477744.429999992</v>
      </c>
      <c r="N51" s="248">
        <f>SUM('Tahmin Data'!K27:K34)</f>
        <v>-68601616.561110198</v>
      </c>
      <c r="O51" s="248">
        <f>SUM('Tahmin Data'!M27:M34)</f>
        <v>-68116871.815764859</v>
      </c>
      <c r="P51" s="248">
        <f>SUM('Tahmin Data'!O27:O34)</f>
        <v>-66792530.39644517</v>
      </c>
      <c r="Q51" s="248">
        <f>SUM('Tahmin Data'!Q27:Q34)</f>
        <v>-65981774.652469598</v>
      </c>
      <c r="R51" s="248">
        <f>SUM('Tahmin Data'!S27:S34)</f>
        <v>-66000645.235397726</v>
      </c>
      <c r="S51" s="248">
        <f>SUM('Tahmin Data'!U27:U34)</f>
        <v>0</v>
      </c>
      <c r="T51" s="248">
        <f>SUM('Tahmin Data'!W27:W34)</f>
        <v>0</v>
      </c>
      <c r="U51" s="248" cm="1">
        <f t="array" ref="U51">SUM(U43:U45,(U46:U50)*0.4)</f>
        <v>2658838.1060562548</v>
      </c>
      <c r="V51" s="248">
        <f>'Bütçe aylık-Eur'!N37</f>
        <v>34861555.870865881</v>
      </c>
      <c r="W51" s="229">
        <f t="shared" si="34"/>
        <v>-0.92373151342111304</v>
      </c>
    </row>
    <row r="52" spans="1:38" ht="10.5" customHeight="1" thickBot="1">
      <c r="K52" s="249" t="s">
        <v>9</v>
      </c>
      <c r="L52" s="239">
        <f>SUM(L43:L50)</f>
        <v>-171244112.67564699</v>
      </c>
      <c r="M52" s="239">
        <f t="shared" ref="M52:V52" si="35">SUM(M43:M50)</f>
        <v>-169973004.27499998</v>
      </c>
      <c r="N52" s="239">
        <f t="shared" si="35"/>
        <v>-158826989.71192351</v>
      </c>
      <c r="O52" s="239">
        <f t="shared" si="35"/>
        <v>-157590997.94758406</v>
      </c>
      <c r="P52" s="239">
        <f t="shared" si="35"/>
        <v>-154210924.92624551</v>
      </c>
      <c r="Q52" s="239">
        <f>SUM(Q43:Q50)</f>
        <v>-152419573.86222646</v>
      </c>
      <c r="R52" s="239">
        <f>SUM(R43:R50)</f>
        <v>-152470883.43819463</v>
      </c>
      <c r="S52" s="239">
        <f>SUM(S43:S50)</f>
        <v>0</v>
      </c>
      <c r="T52" s="239">
        <f>SUM(T43:T50)</f>
        <v>0</v>
      </c>
      <c r="U52" s="239">
        <f>SUM(U43:U50)</f>
        <v>5706047.8749384005</v>
      </c>
      <c r="V52" s="239">
        <f t="shared" si="35"/>
        <v>72912544.33090958</v>
      </c>
      <c r="W52" s="264">
        <f t="shared" si="34"/>
        <v>-0.92174120479129329</v>
      </c>
      <c r="Y52" s="151" t="str">
        <f>B11</f>
        <v xml:space="preserve">Alüminyum </v>
      </c>
      <c r="Z52" s="453" t="s">
        <v>0</v>
      </c>
      <c r="AA52" s="453"/>
      <c r="AB52" s="453"/>
      <c r="AC52" s="152"/>
      <c r="AD52" s="151"/>
      <c r="AE52" s="151" t="s">
        <v>36</v>
      </c>
      <c r="AF52" s="151"/>
      <c r="AG52" s="153"/>
      <c r="AH52" s="151" t="str">
        <f>Y52</f>
        <v xml:space="preserve">Alüminyum </v>
      </c>
      <c r="AI52" s="151"/>
      <c r="AJ52" s="453" t="s">
        <v>97</v>
      </c>
      <c r="AK52" s="453"/>
      <c r="AL52" s="453"/>
    </row>
    <row r="53" spans="1:38" ht="10.5" customHeight="1">
      <c r="V53" s="194"/>
      <c r="Y53" s="151" t="s">
        <v>110</v>
      </c>
      <c r="Z53" s="151" t="s">
        <v>98</v>
      </c>
      <c r="AA53" s="151" t="s">
        <v>99</v>
      </c>
      <c r="AB53" s="151" t="s">
        <v>100</v>
      </c>
      <c r="AC53" s="152"/>
      <c r="AD53" s="151" t="s">
        <v>98</v>
      </c>
      <c r="AE53" s="151" t="s">
        <v>99</v>
      </c>
      <c r="AF53" s="151" t="s">
        <v>100</v>
      </c>
      <c r="AG53" s="153"/>
      <c r="AH53" s="151" t="s">
        <v>110</v>
      </c>
      <c r="AI53" s="151" t="str">
        <f>$AI$3</f>
        <v>Mayıs YST</v>
      </c>
      <c r="AJ53" s="151" t="str">
        <f>$AJ$3</f>
        <v>Haziran YST</v>
      </c>
      <c r="AK53" s="151" t="s">
        <v>99</v>
      </c>
      <c r="AL53" s="151" t="s">
        <v>100</v>
      </c>
    </row>
    <row r="54" spans="1:38" ht="10.5" customHeight="1">
      <c r="B54" s="209" t="s">
        <v>136</v>
      </c>
      <c r="C54" s="451" t="s">
        <v>0</v>
      </c>
      <c r="D54" s="451"/>
      <c r="E54" s="451"/>
      <c r="F54" s="210"/>
      <c r="G54" s="210"/>
      <c r="H54" s="210" t="s">
        <v>36</v>
      </c>
      <c r="I54" s="210"/>
      <c r="J54" s="195"/>
      <c r="K54" s="214" t="s">
        <v>137</v>
      </c>
      <c r="L54" s="214"/>
      <c r="M54" s="214"/>
      <c r="N54" s="214"/>
      <c r="O54" s="210"/>
      <c r="P54" s="210"/>
      <c r="Q54" s="210"/>
      <c r="R54" s="210"/>
      <c r="S54" s="210"/>
      <c r="T54" s="210"/>
      <c r="U54" s="210"/>
      <c r="V54" s="195"/>
      <c r="Y54" s="158" t="s">
        <v>112</v>
      </c>
      <c r="Z54" s="186">
        <f>C11</f>
        <v>22219414.129999999</v>
      </c>
      <c r="AA54" s="186">
        <f>D11</f>
        <v>19304354.307695001</v>
      </c>
      <c r="AB54" s="160">
        <f t="shared" ref="AB54:AB60" si="36">IF(Z54&gt;AA54,ABS((Z54-AA54)/AA54),-ABS((AA54-Z54)/AA54))</f>
        <v>0.15100530045405411</v>
      </c>
      <c r="AC54" s="166"/>
      <c r="AD54" s="186">
        <f>G11</f>
        <v>22219414.129999999</v>
      </c>
      <c r="AE54" s="186">
        <f>H11</f>
        <v>19304354.307695001</v>
      </c>
      <c r="AF54" s="160">
        <f t="shared" ref="AF54:AF60" si="37">IF(AD54&gt;AE54,ABS((AD54-AE54)/AE54),-ABS((AE54-AD54)/AE54))</f>
        <v>0.15100530045405411</v>
      </c>
      <c r="AG54" s="162"/>
      <c r="AH54" s="158" t="s">
        <v>112</v>
      </c>
      <c r="AI54" s="187">
        <f>'Tahmin Data'!K7/0.4</f>
        <v>674455233.50415242</v>
      </c>
      <c r="AJ54" s="187">
        <f>'Tahmin Data'!M7/0.4</f>
        <v>660669497.55437493</v>
      </c>
      <c r="AK54" s="187">
        <f>'C-Döviz'!AI16</f>
        <v>247682976.362176</v>
      </c>
      <c r="AL54" s="181">
        <f>IF(AJ54&gt;AK54,ABS((AJ54-AK54)/AK54),-ABS((AK54-AJ54)/AK54))</f>
        <v>1.6673997028697958</v>
      </c>
    </row>
    <row r="55" spans="1:38" ht="10.5" customHeight="1" thickBot="1">
      <c r="B55" s="169"/>
      <c r="C55" s="211" t="s">
        <v>98</v>
      </c>
      <c r="D55" s="211" t="s">
        <v>99</v>
      </c>
      <c r="E55" s="211" t="s">
        <v>100</v>
      </c>
      <c r="F55" s="211"/>
      <c r="G55" s="211" t="str">
        <f>C55</f>
        <v>Gerçekleşen</v>
      </c>
      <c r="H55" s="211" t="s">
        <v>99</v>
      </c>
      <c r="I55" s="211" t="s">
        <v>100</v>
      </c>
      <c r="J55" s="152"/>
      <c r="K55" s="218"/>
      <c r="L55" s="219" t="str">
        <f>L3</f>
        <v>Mart</v>
      </c>
      <c r="M55" s="219" t="str">
        <f>M3</f>
        <v>Nisan</v>
      </c>
      <c r="N55" s="219" t="str">
        <f>N3</f>
        <v>Mayıs</v>
      </c>
      <c r="O55" s="219" t="s">
        <v>101</v>
      </c>
      <c r="P55" s="219" t="s">
        <v>102</v>
      </c>
      <c r="Q55" s="219" t="s">
        <v>103</v>
      </c>
      <c r="R55" s="219" t="s">
        <v>104</v>
      </c>
      <c r="S55" s="219" t="s">
        <v>105</v>
      </c>
      <c r="T55" s="219" t="s">
        <v>106</v>
      </c>
      <c r="U55" s="219" t="s">
        <v>98</v>
      </c>
      <c r="V55" s="250" t="s">
        <v>99</v>
      </c>
      <c r="W55" s="262" t="s">
        <v>100</v>
      </c>
      <c r="Y55" s="158" t="s">
        <v>113</v>
      </c>
      <c r="Z55" s="186">
        <f>C89</f>
        <v>2751017.8999999994</v>
      </c>
      <c r="AA55" s="186">
        <f>D89</f>
        <v>2576618.37414</v>
      </c>
      <c r="AB55" s="160">
        <f>IF(Z55&gt;AA55,ABS((Z55-AA55)/AA55),-ABS((AA55-Z55)/AA55))</f>
        <v>6.7685431265392157E-2</v>
      </c>
      <c r="AC55" s="166"/>
      <c r="AD55" s="186">
        <f>G89</f>
        <v>2751017.8999999994</v>
      </c>
      <c r="AE55" s="186">
        <f>H89</f>
        <v>2576618.37414</v>
      </c>
      <c r="AF55" s="160">
        <f t="shared" si="37"/>
        <v>6.7685431265392157E-2</v>
      </c>
      <c r="AG55" s="162"/>
      <c r="AH55" s="158" t="s">
        <v>113</v>
      </c>
      <c r="AI55" s="187">
        <f>'Tahmin Data'!K63/0.4</f>
        <v>105351409.6898625</v>
      </c>
      <c r="AJ55" s="187">
        <f>'Tahmin Data'!M63/0.4</f>
        <v>101294708.77725758</v>
      </c>
      <c r="AK55" s="187">
        <f>'C-Döviz'!AI146</f>
        <v>31929951.103298001</v>
      </c>
      <c r="AL55" s="164">
        <f>IF(AJ55&gt;AK55,ABS((AJ55-AK55)/AK55),-ABS((AK55-AJ55)/AK55))</f>
        <v>2.1724041308285935</v>
      </c>
    </row>
    <row r="56" spans="1:38" ht="10.5" customHeight="1" thickTop="1">
      <c r="B56" s="149" t="s">
        <v>111</v>
      </c>
      <c r="C56" s="156">
        <f>'A -Döviz'!C115</f>
        <v>375501.84210533259</v>
      </c>
      <c r="D56" s="156">
        <f>'A -Döviz'!B115</f>
        <v>336241.53342495038</v>
      </c>
      <c r="E56" s="224">
        <f t="shared" ref="E56:E64" si="38">IF(C56&gt;D56,ABS((C56-D56)/D56),-ABS((D56-C56)/D56))</f>
        <v>0.11676222232416499</v>
      </c>
      <c r="F56" s="155"/>
      <c r="G56" s="156">
        <f>'C-Döviz'!C115</f>
        <v>375501.84210533259</v>
      </c>
      <c r="H56" s="156">
        <f>'C-Döviz'!B115</f>
        <v>336241.53342495038</v>
      </c>
      <c r="I56" s="224">
        <f t="shared" ref="I56:I64" si="39">IF(G56&gt;H56,ABS((G56-H56)/H56),-ABS((H56-G56)/H56))</f>
        <v>0.11676222232416499</v>
      </c>
      <c r="J56" s="157"/>
      <c r="K56" s="226" t="str">
        <f>B56</f>
        <v xml:space="preserve">İnci Holding  </v>
      </c>
      <c r="L56" s="227">
        <f>'Tahmin Data'!G44</f>
        <v>4106572.4014848806</v>
      </c>
      <c r="M56" s="227">
        <f>'Tahmin Data'!I44</f>
        <v>3831337.99</v>
      </c>
      <c r="N56" s="227">
        <f>'Tahmin Data'!K44</f>
        <v>3325198.4724738505</v>
      </c>
      <c r="O56" s="227">
        <f>'Tahmin Data'!M44</f>
        <v>3365264.96926641</v>
      </c>
      <c r="P56" s="227">
        <f>'Tahmin Data'!O44</f>
        <v>3356583.2954086103</v>
      </c>
      <c r="Q56" s="227">
        <f>'Tahmin Data'!Q44</f>
        <v>3176371.4335972741</v>
      </c>
      <c r="R56" s="227">
        <f>'Tahmin Data'!S44</f>
        <v>3197705.0594374286</v>
      </c>
      <c r="S56" s="227">
        <f>'Tahmin Data'!U44</f>
        <v>0</v>
      </c>
      <c r="T56" s="227">
        <f>'Tahmin Data'!W44</f>
        <v>0</v>
      </c>
      <c r="U56" s="318">
        <f t="shared" ref="U56:U63" si="40">G56</f>
        <v>375501.84210533259</v>
      </c>
      <c r="V56" s="213">
        <f>'Bütçe aylık-Eur'!N60</f>
        <v>3886466.0038821218</v>
      </c>
      <c r="W56" s="224">
        <f>IF(U56&gt;V56,ABS((U56-V56)/V56),-ABS((V56-U56)/V56))</f>
        <v>-0.9033821878976297</v>
      </c>
      <c r="Y56" s="158" t="s">
        <v>116</v>
      </c>
      <c r="Z56" s="182">
        <f>C76</f>
        <v>9.0168687989614513E-2</v>
      </c>
      <c r="AA56" s="182">
        <f>D76</f>
        <v>0.10355221524975666</v>
      </c>
      <c r="AB56" s="160">
        <f t="shared" si="36"/>
        <v>-0.12924423903305729</v>
      </c>
      <c r="AC56" s="167"/>
      <c r="AD56" s="182">
        <f>G76</f>
        <v>9.0168687989614513E-2</v>
      </c>
      <c r="AE56" s="182">
        <f>H76</f>
        <v>0.10355221524975666</v>
      </c>
      <c r="AF56" s="160">
        <f t="shared" si="37"/>
        <v>-0.12924423903305729</v>
      </c>
      <c r="AG56" s="168"/>
      <c r="AH56" s="158" t="s">
        <v>117</v>
      </c>
      <c r="AI56" s="187">
        <f>'Tahmin Data'!K87/0.4</f>
        <v>82680232.513732508</v>
      </c>
      <c r="AJ56" s="187">
        <f>'Tahmin Data'!M87/0.4</f>
        <v>78547092.191310003</v>
      </c>
      <c r="AK56" s="187">
        <f>'C-Döviz'!AI196</f>
        <v>24978524.282191999</v>
      </c>
      <c r="AL56" s="164">
        <f>IF(AJ56&gt;AK56,ABS((AJ56-AK56)/AK56),-ABS((AK56-AJ56)/AK56))</f>
        <v>2.1445849764354885</v>
      </c>
    </row>
    <row r="57" spans="1:38" ht="10.5" customHeight="1" thickBot="1">
      <c r="B57" s="149" t="s">
        <v>11</v>
      </c>
      <c r="C57" s="156">
        <f>'A -Döviz'!C116</f>
        <v>-11554.723709327431</v>
      </c>
      <c r="D57" s="156">
        <f>'A -Döviz'!B116</f>
        <v>-29542.151002105951</v>
      </c>
      <c r="E57" s="229">
        <f t="shared" si="38"/>
        <v>0.60887331093447672</v>
      </c>
      <c r="F57" s="155"/>
      <c r="G57" s="156">
        <f>'C-Döviz'!C116</f>
        <v>-11554.723709327431</v>
      </c>
      <c r="H57" s="156">
        <f>'C-Döviz'!B116</f>
        <v>-29542.151002105951</v>
      </c>
      <c r="I57" s="229">
        <f t="shared" si="39"/>
        <v>0.60887331093447672</v>
      </c>
      <c r="J57" s="157"/>
      <c r="K57" s="226" t="str">
        <f t="shared" ref="K57:K63" si="41">B57</f>
        <v xml:space="preserve">ISM </v>
      </c>
      <c r="L57" s="227">
        <f>'Tahmin Data'!G46</f>
        <v>803513.88153897505</v>
      </c>
      <c r="M57" s="227">
        <f>'Tahmin Data'!I46</f>
        <v>255424.59</v>
      </c>
      <c r="N57" s="227">
        <f>'Tahmin Data'!K46</f>
        <v>656871.77801277954</v>
      </c>
      <c r="O57" s="227">
        <f>'Tahmin Data'!M46</f>
        <v>408549.56423382368</v>
      </c>
      <c r="P57" s="227">
        <f>'Tahmin Data'!O46</f>
        <v>429831.6124153533</v>
      </c>
      <c r="Q57" s="227">
        <f>'Tahmin Data'!Q46</f>
        <v>329617.81305520982</v>
      </c>
      <c r="R57" s="227">
        <f>'Tahmin Data'!S46</f>
        <v>107924.81255853944</v>
      </c>
      <c r="S57" s="227">
        <f>'Tahmin Data'!U46</f>
        <v>0</v>
      </c>
      <c r="T57" s="227">
        <f>'Tahmin Data'!W46</f>
        <v>0</v>
      </c>
      <c r="U57" s="227">
        <f t="shared" si="40"/>
        <v>-11554.723709327431</v>
      </c>
      <c r="V57" s="204">
        <f>'Bütçe aylık-Eur'!N61</f>
        <v>945791.68045199174</v>
      </c>
      <c r="W57" s="229">
        <f>IF(U57&gt;V57,ABS((U57-V57)/V57),-ABS((V57-U57)/V57))</f>
        <v>-1.0122169859897747</v>
      </c>
      <c r="Y57" s="158" t="s">
        <v>117</v>
      </c>
      <c r="Z57" s="186">
        <f>C141</f>
        <v>1823346.88</v>
      </c>
      <c r="AA57" s="186">
        <f>D141</f>
        <v>1953797.282528</v>
      </c>
      <c r="AB57" s="160">
        <f t="shared" si="36"/>
        <v>-6.6767624100291259E-2</v>
      </c>
      <c r="AC57" s="166"/>
      <c r="AD57" s="186">
        <f>G141</f>
        <v>1823346.88</v>
      </c>
      <c r="AE57" s="186">
        <f>H141</f>
        <v>1953797.282528</v>
      </c>
      <c r="AF57" s="160">
        <f t="shared" si="37"/>
        <v>-6.6767624100291259E-2</v>
      </c>
      <c r="AG57" s="162"/>
      <c r="AH57" s="169" t="s">
        <v>19</v>
      </c>
      <c r="AI57" s="188">
        <f>'Tahmin Data'!K143/0.4</f>
        <v>91483706.377605006</v>
      </c>
      <c r="AJ57" s="188">
        <f>'Tahmin Data'!M143/0.4</f>
        <v>92681513.719805077</v>
      </c>
      <c r="AK57" s="188">
        <f>'C-Döviz'!AI298</f>
        <v>28095742.518737007</v>
      </c>
      <c r="AL57" s="189">
        <f>IF(AJ57&gt;AK57,ABS((AJ57-AK57)/AK57),-ABS((AK57-AJ57)/AK57))</f>
        <v>2.2987743127983156</v>
      </c>
    </row>
    <row r="58" spans="1:38" ht="10.5" customHeight="1">
      <c r="B58" s="149" t="s">
        <v>115</v>
      </c>
      <c r="C58" s="156">
        <f>'A -Döviz'!C117</f>
        <v>33846.994633482842</v>
      </c>
      <c r="D58" s="156">
        <f>'A -Döviz'!B117</f>
        <v>-44855.99578873664</v>
      </c>
      <c r="E58" s="229">
        <f t="shared" si="38"/>
        <v>1.7545701313353037</v>
      </c>
      <c r="F58" s="155"/>
      <c r="G58" s="156">
        <f>'C-Döviz'!C117</f>
        <v>33846.994633482842</v>
      </c>
      <c r="H58" s="156">
        <f>'C-Döviz'!B117</f>
        <v>-44855.99578873664</v>
      </c>
      <c r="I58" s="229">
        <f t="shared" si="39"/>
        <v>1.7545701313353037</v>
      </c>
      <c r="J58" s="157"/>
      <c r="K58" s="226" t="str">
        <f t="shared" si="41"/>
        <v xml:space="preserve">İncitaş </v>
      </c>
      <c r="L58" s="227">
        <f>'Tahmin Data'!G45</f>
        <v>812320.57649756502</v>
      </c>
      <c r="M58" s="227">
        <f>'Tahmin Data'!I45</f>
        <v>127778.62</v>
      </c>
      <c r="N58" s="227">
        <f>'Tahmin Data'!K45</f>
        <v>393359.85639993474</v>
      </c>
      <c r="O58" s="227">
        <f>'Tahmin Data'!M45</f>
        <v>391272.91146921832</v>
      </c>
      <c r="P58" s="227">
        <f>'Tahmin Data'!O45</f>
        <v>449910.41437915433</v>
      </c>
      <c r="Q58" s="227">
        <f>'Tahmin Data'!Q45</f>
        <v>482085.14235436427</v>
      </c>
      <c r="R58" s="227">
        <f>'Tahmin Data'!S45</f>
        <v>467183.30362367118</v>
      </c>
      <c r="S58" s="227">
        <f>'Tahmin Data'!U45</f>
        <v>0</v>
      </c>
      <c r="T58" s="227">
        <f>'Tahmin Data'!W45</f>
        <v>0</v>
      </c>
      <c r="U58" s="227">
        <f t="shared" si="40"/>
        <v>33846.994633482842</v>
      </c>
      <c r="V58" s="204">
        <f>'Bütçe aylık-Eur'!N62</f>
        <v>817797.17661133676</v>
      </c>
      <c r="W58" s="229">
        <f t="shared" ref="W58:W65" si="42">IF(U58&gt;V58,ABS((U58-V58)/V58),-ABS((V58-U58)/V58))</f>
        <v>-0.95861199377853945</v>
      </c>
      <c r="Y58" s="158" t="s">
        <v>19</v>
      </c>
      <c r="Z58" s="186">
        <f>C180</f>
        <v>-4904927.105737987</v>
      </c>
      <c r="AA58" s="186">
        <f>D180</f>
        <v>-6034748.7347063422</v>
      </c>
      <c r="AB58" s="160">
        <f t="shared" si="36"/>
        <v>0.18721933234281271</v>
      </c>
      <c r="AC58" s="166"/>
      <c r="AD58" s="186">
        <f>G180</f>
        <v>-4904927.105737987</v>
      </c>
      <c r="AE58" s="186">
        <f>H180</f>
        <v>-6034748.7347063422</v>
      </c>
      <c r="AF58" s="160">
        <f t="shared" si="37"/>
        <v>0.18721933234281271</v>
      </c>
      <c r="AG58" s="162"/>
    </row>
    <row r="59" spans="1:38" ht="10.5" customHeight="1">
      <c r="B59" s="149" t="s">
        <v>119</v>
      </c>
      <c r="C59" s="156">
        <f>'A -Döviz'!C118</f>
        <v>1100435.066833009</v>
      </c>
      <c r="D59" s="156">
        <f>'A -Döviz'!B118</f>
        <v>1410939.0130362373</v>
      </c>
      <c r="E59" s="229">
        <f t="shared" si="38"/>
        <v>-0.22006900605508567</v>
      </c>
      <c r="F59" s="155"/>
      <c r="G59" s="156">
        <f>'C-Döviz'!C118</f>
        <v>1100435.066833009</v>
      </c>
      <c r="H59" s="156">
        <f>'C-Döviz'!B118</f>
        <v>1410939.0130362373</v>
      </c>
      <c r="I59" s="229">
        <f t="shared" si="39"/>
        <v>-0.22006900605508567</v>
      </c>
      <c r="J59" s="157"/>
      <c r="K59" s="226" t="str">
        <f t="shared" si="41"/>
        <v xml:space="preserve">İnci GS Yuasa </v>
      </c>
      <c r="L59" s="227">
        <f>'Tahmin Data'!G43/0.4</f>
        <v>55577397.791566066</v>
      </c>
      <c r="M59" s="227">
        <f>'Tahmin Data'!I43/0.4</f>
        <v>27525947.425000001</v>
      </c>
      <c r="N59" s="227">
        <f>'Tahmin Data'!K43/0.4</f>
        <v>20692556.061393488</v>
      </c>
      <c r="O59" s="227">
        <f>'Tahmin Data'!M43/0.4</f>
        <v>18242177.779765077</v>
      </c>
      <c r="P59" s="227">
        <f>'Tahmin Data'!O43/0.4</f>
        <v>19932191.652059101</v>
      </c>
      <c r="Q59" s="227">
        <f>'Tahmin Data'!Q43/0.4</f>
        <v>17014983.868285406</v>
      </c>
      <c r="R59" s="227">
        <f>'Tahmin Data'!S43/0.4</f>
        <v>9297922.0498342756</v>
      </c>
      <c r="S59" s="227">
        <f>'Tahmin Data'!U43/0.4</f>
        <v>0</v>
      </c>
      <c r="T59" s="227">
        <f>'Tahmin Data'!W43/0.4</f>
        <v>0</v>
      </c>
      <c r="U59" s="227">
        <f t="shared" si="40"/>
        <v>1100435.066833009</v>
      </c>
      <c r="V59" s="204">
        <f>'Bütçe aylık-Eur'!N63</f>
        <v>25650863.590784047</v>
      </c>
      <c r="W59" s="229">
        <f t="shared" si="42"/>
        <v>-0.95709949246198567</v>
      </c>
      <c r="Y59" s="158" t="s">
        <v>90</v>
      </c>
      <c r="Z59" s="186">
        <f>C193</f>
        <v>101850.57</v>
      </c>
      <c r="AA59" s="186">
        <f>D193</f>
        <v>335000</v>
      </c>
      <c r="AB59" s="160">
        <f t="shared" si="36"/>
        <v>-0.69596844776119404</v>
      </c>
      <c r="AC59" s="166"/>
      <c r="AD59" s="186">
        <f>G193</f>
        <v>101850.57</v>
      </c>
      <c r="AE59" s="186">
        <f>H193</f>
        <v>335000</v>
      </c>
      <c r="AF59" s="160">
        <f t="shared" si="37"/>
        <v>-0.69596844776119404</v>
      </c>
      <c r="AG59" s="162"/>
    </row>
    <row r="60" spans="1:38" ht="10.5" customHeight="1" thickBot="1">
      <c r="A60" s="157"/>
      <c r="B60" s="149" t="s">
        <v>120</v>
      </c>
      <c r="C60" s="156">
        <f>'A -Döviz'!C119</f>
        <v>248849.95022391537</v>
      </c>
      <c r="D60" s="156">
        <f>'A -Döviz'!B119</f>
        <v>434150.3468631506</v>
      </c>
      <c r="E60" s="229">
        <f t="shared" si="38"/>
        <v>-0.42681158261896801</v>
      </c>
      <c r="F60" s="155"/>
      <c r="G60" s="156">
        <f>'C-Döviz'!C119</f>
        <v>248849.95022391537</v>
      </c>
      <c r="H60" s="156">
        <f>'C-Döviz'!B119</f>
        <v>434150.3468631506</v>
      </c>
      <c r="I60" s="229">
        <f t="shared" si="39"/>
        <v>-0.42681158261896801</v>
      </c>
      <c r="J60" s="157"/>
      <c r="K60" s="226" t="str">
        <f t="shared" si="41"/>
        <v xml:space="preserve">Yusen İnci Loj. </v>
      </c>
      <c r="L60" s="227">
        <f>'Tahmin Data'!G50/0.4</f>
        <v>7323469.1257415507</v>
      </c>
      <c r="M60" s="227">
        <f>'Tahmin Data'!I50/0.4</f>
        <v>8144867.3499999996</v>
      </c>
      <c r="N60" s="227">
        <f>'Tahmin Data'!K50/0.4</f>
        <v>4958744.4646913437</v>
      </c>
      <c r="O60" s="227">
        <f>'Tahmin Data'!M50/0.4</f>
        <v>4970274.3151278701</v>
      </c>
      <c r="P60" s="227">
        <f>'Tahmin Data'!O50/0.4</f>
        <v>5490978.4165731454</v>
      </c>
      <c r="Q60" s="227">
        <f>'Tahmin Data'!Q50/0.4</f>
        <v>5827283.7353932904</v>
      </c>
      <c r="R60" s="227">
        <f>'Tahmin Data'!S50/0.4</f>
        <v>6592522.7563721472</v>
      </c>
      <c r="S60" s="227">
        <f>'Tahmin Data'!U50/0.4</f>
        <v>0</v>
      </c>
      <c r="T60" s="227">
        <f>'Tahmin Data'!W50/0.4</f>
        <v>0</v>
      </c>
      <c r="U60" s="227">
        <f t="shared" si="40"/>
        <v>248849.95022391537</v>
      </c>
      <c r="V60" s="204">
        <f>'Bütçe aylık-Eur'!N64</f>
        <v>3430852.402077178</v>
      </c>
      <c r="W60" s="229">
        <f t="shared" si="42"/>
        <v>-0.92746701954498212</v>
      </c>
      <c r="Y60" s="169" t="s">
        <v>123</v>
      </c>
      <c r="Z60" s="190">
        <f>C219</f>
        <v>8173657.8099999996</v>
      </c>
      <c r="AA60" s="190">
        <f>D219</f>
        <v>10507170.883184999</v>
      </c>
      <c r="AB60" s="179">
        <f t="shared" si="36"/>
        <v>-0.22208766747283076</v>
      </c>
      <c r="AC60" s="166"/>
      <c r="AD60" s="190">
        <f>G219</f>
        <v>8173657.8099999996</v>
      </c>
      <c r="AE60" s="190">
        <f>H219</f>
        <v>10507170.883184999</v>
      </c>
      <c r="AF60" s="179">
        <f t="shared" si="37"/>
        <v>-0.22208766747283076</v>
      </c>
      <c r="AG60" s="162"/>
    </row>
    <row r="61" spans="1:38" ht="10.5" customHeight="1">
      <c r="A61" s="157"/>
      <c r="B61" s="149" t="s">
        <v>121</v>
      </c>
      <c r="C61" s="156">
        <f>'A -Döviz'!C120</f>
        <v>724298.53000000026</v>
      </c>
      <c r="D61" s="156">
        <f>'A -Döviz'!B120</f>
        <v>584095.366499</v>
      </c>
      <c r="E61" s="229">
        <f t="shared" si="38"/>
        <v>0.24003471272398855</v>
      </c>
      <c r="F61" s="155"/>
      <c r="G61" s="156">
        <f>'C-Döviz'!C120</f>
        <v>724298.53000000026</v>
      </c>
      <c r="H61" s="156">
        <f>'C-Döviz'!B120</f>
        <v>584095.366499</v>
      </c>
      <c r="I61" s="229">
        <f t="shared" si="39"/>
        <v>0.24003471272398855</v>
      </c>
      <c r="J61" s="157"/>
      <c r="K61" s="226" t="str">
        <f t="shared" si="41"/>
        <v xml:space="preserve">Jantaş </v>
      </c>
      <c r="L61" s="227">
        <f>'Tahmin Data'!G49/0.4</f>
        <v>47127500</v>
      </c>
      <c r="M61" s="227">
        <f>'Tahmin Data'!I49/0.4</f>
        <v>50969666.600000001</v>
      </c>
      <c r="N61" s="227">
        <f>'Tahmin Data'!K49/0.4</f>
        <v>51084421.90919999</v>
      </c>
      <c r="O61" s="227">
        <f>'Tahmin Data'!M49/0.4</f>
        <v>53135000</v>
      </c>
      <c r="P61" s="227">
        <f>'Tahmin Data'!O49/0.4</f>
        <v>50896227.673602477</v>
      </c>
      <c r="Q61" s="227">
        <f>'Tahmin Data'!Q49/0.4</f>
        <v>45613860.132347479</v>
      </c>
      <c r="R61" s="227">
        <f>'Tahmin Data'!S49/0.4</f>
        <v>47215157.200407535</v>
      </c>
      <c r="S61" s="227">
        <f>'Tahmin Data'!U49/0.4</f>
        <v>0</v>
      </c>
      <c r="T61" s="227">
        <f>'Tahmin Data'!W49/0.4</f>
        <v>0</v>
      </c>
      <c r="U61" s="227">
        <f t="shared" si="40"/>
        <v>724298.53000000026</v>
      </c>
      <c r="V61" s="204">
        <f>'Bütçe aylık-Eur'!N65</f>
        <v>13780157.462817</v>
      </c>
      <c r="W61" s="229">
        <f t="shared" si="42"/>
        <v>-0.94743902368645827</v>
      </c>
    </row>
    <row r="62" spans="1:38">
      <c r="A62" s="157"/>
      <c r="B62" s="149" t="s">
        <v>122</v>
      </c>
      <c r="C62" s="156">
        <f>'A -Döviz'!C121</f>
        <v>1358189.29</v>
      </c>
      <c r="D62" s="156">
        <f>'A -Döviz'!B121</f>
        <v>1288051.3409770001</v>
      </c>
      <c r="E62" s="229">
        <f t="shared" si="38"/>
        <v>5.4452758823883229E-2</v>
      </c>
      <c r="F62" s="155"/>
      <c r="G62" s="156">
        <f>'C-Döviz'!C121</f>
        <v>1358189.29</v>
      </c>
      <c r="H62" s="156">
        <f>'C-Döviz'!B121</f>
        <v>1288051.3409770001</v>
      </c>
      <c r="I62" s="229">
        <f t="shared" si="39"/>
        <v>5.4452758823883229E-2</v>
      </c>
      <c r="J62" s="157"/>
      <c r="K62" s="226" t="str">
        <f t="shared" si="41"/>
        <v xml:space="preserve">Çelik </v>
      </c>
      <c r="L62" s="227">
        <f>'Tahmin Data'!G48/0.4</f>
        <v>54254969.352492511</v>
      </c>
      <c r="M62" s="227">
        <f>'Tahmin Data'!I48/0.4</f>
        <v>54844791.299999997</v>
      </c>
      <c r="N62" s="227">
        <f>'Tahmin Data'!K48/0.4</f>
        <v>54252821.96411749</v>
      </c>
      <c r="O62" s="227">
        <f>'Tahmin Data'!M48/0.4</f>
        <v>54252821.96411749</v>
      </c>
      <c r="P62" s="227">
        <f>'Tahmin Data'!O48/0.4</f>
        <v>56381304.173390009</v>
      </c>
      <c r="Q62" s="227">
        <f>'Tahmin Data'!Q48/0.4</f>
        <v>56141333.657035016</v>
      </c>
      <c r="R62" s="227">
        <f>'Tahmin Data'!S48/0.4</f>
        <v>56878170.148057498</v>
      </c>
      <c r="S62" s="227">
        <f>'Tahmin Data'!U48/0.4</f>
        <v>0</v>
      </c>
      <c r="T62" s="227">
        <f>'Tahmin Data'!W48/0.4</f>
        <v>0</v>
      </c>
      <c r="U62" s="227">
        <f t="shared" si="40"/>
        <v>1358189.29</v>
      </c>
      <c r="V62" s="204">
        <f>'Bütçe aylık-Eur'!N66</f>
        <v>16987919.613120001</v>
      </c>
      <c r="W62" s="229">
        <f t="shared" si="42"/>
        <v>-0.92004969879001242</v>
      </c>
      <c r="Y62" s="151" t="str">
        <f>B10</f>
        <v xml:space="preserve">Çelik </v>
      </c>
      <c r="Z62" s="453" t="s">
        <v>0</v>
      </c>
      <c r="AA62" s="453"/>
      <c r="AB62" s="453"/>
      <c r="AC62" s="152"/>
      <c r="AD62" s="151"/>
      <c r="AE62" s="151" t="s">
        <v>36</v>
      </c>
      <c r="AF62" s="151"/>
      <c r="AG62" s="153"/>
      <c r="AH62" s="151" t="str">
        <f>Y62</f>
        <v xml:space="preserve">Çelik </v>
      </c>
      <c r="AI62" s="151"/>
      <c r="AJ62" s="453" t="s">
        <v>97</v>
      </c>
      <c r="AK62" s="453"/>
      <c r="AL62" s="453"/>
    </row>
    <row r="63" spans="1:38" ht="10.5" thickBot="1">
      <c r="A63" s="157"/>
      <c r="B63" s="149" t="s">
        <v>124</v>
      </c>
      <c r="C63" s="156">
        <f>'A -Döviz'!C122</f>
        <v>2003495.4200000018</v>
      </c>
      <c r="D63" s="156">
        <f>'A -Döviz'!B122</f>
        <v>1999008.6525280001</v>
      </c>
      <c r="E63" s="229">
        <f t="shared" si="38"/>
        <v>2.2444962738543614E-3</v>
      </c>
      <c r="F63" s="155"/>
      <c r="G63" s="156">
        <f>'C-Döviz'!C122</f>
        <v>2003495.4200000018</v>
      </c>
      <c r="H63" s="156">
        <f>'C-Döviz'!B122</f>
        <v>1999008.6525280001</v>
      </c>
      <c r="I63" s="229">
        <f t="shared" si="39"/>
        <v>2.2444962738543614E-3</v>
      </c>
      <c r="J63" s="157"/>
      <c r="K63" s="231" t="str">
        <f t="shared" si="41"/>
        <v xml:space="preserve">Alüminyum </v>
      </c>
      <c r="L63" s="232">
        <f>'Tahmin Data'!G47/0.4</f>
        <v>81116787.241927534</v>
      </c>
      <c r="M63" s="232">
        <f>'Tahmin Data'!I47/0.4</f>
        <v>85126676.475000009</v>
      </c>
      <c r="N63" s="232">
        <f>'Tahmin Data'!K47/0.4</f>
        <v>85451564.647372484</v>
      </c>
      <c r="O63" s="232">
        <f>'Tahmin Data'!M47/0.4</f>
        <v>81243688.213000074</v>
      </c>
      <c r="P63" s="232">
        <f>'Tahmin Data'!O47/0.4</f>
        <v>68496211.759337515</v>
      </c>
      <c r="Q63" s="232">
        <f>'Tahmin Data'!Q47/0.4</f>
        <v>64443288.484972544</v>
      </c>
      <c r="R63" s="232">
        <f>'Tahmin Data'!S47/0.4</f>
        <v>62933270.144617505</v>
      </c>
      <c r="S63" s="232">
        <f>'Tahmin Data'!U47/0.4</f>
        <v>0</v>
      </c>
      <c r="T63" s="232">
        <f>'Tahmin Data'!W47/0.4</f>
        <v>0</v>
      </c>
      <c r="U63" s="232">
        <f t="shared" si="40"/>
        <v>2003495.4200000018</v>
      </c>
      <c r="V63" s="205">
        <f>'Bütçe aylık-Eur'!N67</f>
        <v>25521060.722192001</v>
      </c>
      <c r="W63" s="264">
        <f t="shared" si="42"/>
        <v>-0.92149638912704557</v>
      </c>
      <c r="Y63" s="151" t="s">
        <v>110</v>
      </c>
      <c r="Z63" s="151" t="s">
        <v>98</v>
      </c>
      <c r="AA63" s="151" t="s">
        <v>99</v>
      </c>
      <c r="AB63" s="151" t="s">
        <v>100</v>
      </c>
      <c r="AC63" s="152"/>
      <c r="AD63" s="151" t="s">
        <v>98</v>
      </c>
      <c r="AE63" s="151" t="s">
        <v>99</v>
      </c>
      <c r="AF63" s="151" t="s">
        <v>100</v>
      </c>
      <c r="AG63" s="153"/>
      <c r="AH63" s="151" t="s">
        <v>110</v>
      </c>
      <c r="AI63" s="151" t="str">
        <f>$AI$3</f>
        <v>Mayıs YST</v>
      </c>
      <c r="AJ63" s="151" t="str">
        <f>$AJ$3</f>
        <v>Haziran YST</v>
      </c>
      <c r="AK63" s="151" t="s">
        <v>99</v>
      </c>
      <c r="AL63" s="151" t="s">
        <v>100</v>
      </c>
    </row>
    <row r="64" spans="1:38" ht="10.5" customHeight="1" thickBot="1">
      <c r="A64" s="157"/>
      <c r="B64" s="169" t="s">
        <v>125</v>
      </c>
      <c r="C64" s="192">
        <f>'A -Döviz'!C112</f>
        <v>2571901.4158522584</v>
      </c>
      <c r="D64" s="192">
        <f>'A -Döviz'!B112</f>
        <v>2548341.2745954632</v>
      </c>
      <c r="E64" s="246">
        <f t="shared" si="38"/>
        <v>9.2452849591487009E-3</v>
      </c>
      <c r="F64" s="154"/>
      <c r="G64" s="192">
        <f>'C-Döviz'!C112</f>
        <v>2571901.4158522584</v>
      </c>
      <c r="H64" s="192">
        <f>'C-Döviz'!B112</f>
        <v>2548341.2745954632</v>
      </c>
      <c r="I64" s="260">
        <f t="shared" si="39"/>
        <v>9.2452849591487009E-3</v>
      </c>
      <c r="J64" s="194"/>
      <c r="K64" s="263" t="s">
        <v>138</v>
      </c>
      <c r="L64" s="248">
        <f>SUM('Tahmin Data'!G43:G50)</f>
        <v>103882456.26421247</v>
      </c>
      <c r="M64" s="248">
        <f>SUM('Tahmin Data'!I43:I50)</f>
        <v>94859320.859999999</v>
      </c>
      <c r="N64" s="248">
        <f>SUM('Tahmin Data'!K43:K50)</f>
        <v>90951473.725596502</v>
      </c>
      <c r="O64" s="248">
        <f>SUM('Tahmin Data'!M43:M50)</f>
        <v>88902672.353773654</v>
      </c>
      <c r="P64" s="248">
        <f>SUM('Tahmin Data'!O43:O50)</f>
        <v>84715090.792188004</v>
      </c>
      <c r="Q64" s="248">
        <f>SUM('Tahmin Data'!Q43:Q50)</f>
        <v>79604374.340220347</v>
      </c>
      <c r="R64" s="248">
        <f>SUM('Tahmin Data'!S43:S50)</f>
        <v>76939630.095335215</v>
      </c>
      <c r="S64" s="248">
        <f>SUM('Tahmin Data'!U43:U50)</f>
        <v>0</v>
      </c>
      <c r="T64" s="248">
        <f>SUM('Tahmin Data'!W43:W50)</f>
        <v>0</v>
      </c>
      <c r="U64" s="248" cm="1">
        <f t="array" ref="U64">SUM(U56:U58,(U59:U63)*0.4)</f>
        <v>2571901.4158522589</v>
      </c>
      <c r="V64" s="248">
        <f>'Bütçe aylık-Eur'!N59</f>
        <v>39798396.377341546</v>
      </c>
      <c r="W64" s="229">
        <f t="shared" si="42"/>
        <v>-0.93537675760934635</v>
      </c>
      <c r="Y64" s="158" t="s">
        <v>112</v>
      </c>
      <c r="Z64" s="186">
        <f>C10</f>
        <v>7830554.3300000001</v>
      </c>
      <c r="AA64" s="186">
        <f>D10</f>
        <v>7577608.2747520003</v>
      </c>
      <c r="AB64" s="160">
        <f t="shared" ref="AB64:AB70" si="43">IF(Z64&gt;AA64,ABS((Z64-AA64)/AA64),-ABS((AA64-Z64)/AA64))</f>
        <v>3.3380724639830786E-2</v>
      </c>
      <c r="AC64" s="166"/>
      <c r="AD64" s="186">
        <f>G10</f>
        <v>7830554.3300000001</v>
      </c>
      <c r="AE64" s="186">
        <f>H10</f>
        <v>7577608.2747520003</v>
      </c>
      <c r="AF64" s="160">
        <f t="shared" ref="AF64:AF70" si="44">IF(AD64&gt;AE64,ABS((AD64-AE64)/AE64),-ABS((AE64-AD64)/AE64))</f>
        <v>3.3380724639830786E-2</v>
      </c>
      <c r="AG64" s="162"/>
      <c r="AH64" s="158" t="s">
        <v>112</v>
      </c>
      <c r="AI64" s="187">
        <f>'Tahmin Data'!K8/0.4</f>
        <v>235402881.38381249</v>
      </c>
      <c r="AJ64" s="187">
        <f>'Tahmin Data'!M8/0.4</f>
        <v>235402881.38381249</v>
      </c>
      <c r="AK64" s="187">
        <f>'C-Döviz'!AI15</f>
        <v>85847861.318379998</v>
      </c>
      <c r="AL64" s="164">
        <f>IF(AJ64&gt;AK64,ABS((AJ64-AK64)/AK64),-ABS((AK64-AJ64)/AK64))</f>
        <v>1.7420937198515021</v>
      </c>
    </row>
    <row r="65" spans="1:38" ht="10.5" customHeight="1" thickBot="1">
      <c r="A65" s="157"/>
      <c r="K65" s="249" t="s">
        <v>9</v>
      </c>
      <c r="L65" s="239">
        <f>SUM(L56:L63)</f>
        <v>251122530.37124908</v>
      </c>
      <c r="M65" s="239">
        <f>SUM(M56:M63)</f>
        <v>230826490.35000002</v>
      </c>
      <c r="N65" s="239">
        <f>SUM(N56:N63)</f>
        <v>220815539.15366137</v>
      </c>
      <c r="O65" s="239">
        <f>SUM(O56:O63)</f>
        <v>216009049.71697998</v>
      </c>
      <c r="P65" s="239">
        <f>SUM(P56:P63)</f>
        <v>205433238.99716535</v>
      </c>
      <c r="Q65" s="239">
        <f t="shared" ref="Q65:V65" si="45">SUM(Q56:Q63)</f>
        <v>193028824.26704058</v>
      </c>
      <c r="R65" s="239">
        <f t="shared" si="45"/>
        <v>186689855.47490859</v>
      </c>
      <c r="S65" s="239">
        <f>SUM(S56:S63)</f>
        <v>0</v>
      </c>
      <c r="T65" s="239">
        <f>SUM(T56:T63)</f>
        <v>0</v>
      </c>
      <c r="U65" s="239">
        <f>SUM(U56:U63)</f>
        <v>5833062.3700864147</v>
      </c>
      <c r="V65" s="239">
        <f t="shared" si="45"/>
        <v>91020908.651935682</v>
      </c>
      <c r="W65" s="264">
        <f t="shared" si="42"/>
        <v>-0.93591513799986248</v>
      </c>
      <c r="Y65" s="158" t="s">
        <v>113</v>
      </c>
      <c r="Z65" s="186">
        <f>C88</f>
        <v>1609449.64</v>
      </c>
      <c r="AA65" s="186">
        <f>D88</f>
        <v>1547501.2063069998</v>
      </c>
      <c r="AB65" s="160">
        <f t="shared" si="43"/>
        <v>4.003126681938788E-2</v>
      </c>
      <c r="AC65" s="166"/>
      <c r="AD65" s="186">
        <f>G88</f>
        <v>1609449.64</v>
      </c>
      <c r="AE65" s="186">
        <f>H88</f>
        <v>1547501.2063069998</v>
      </c>
      <c r="AF65" s="160">
        <f t="shared" si="44"/>
        <v>4.003126681938788E-2</v>
      </c>
      <c r="AG65" s="162"/>
      <c r="AH65" s="158" t="s">
        <v>113</v>
      </c>
      <c r="AI65" s="187">
        <f>'Tahmin Data'!K64/0.4</f>
        <v>61986215.150132492</v>
      </c>
      <c r="AJ65" s="187">
        <f>'Tahmin Data'!M64/0.4</f>
        <v>61986215.150132492</v>
      </c>
      <c r="AK65" s="187">
        <f>'C-Döviz'!AI145</f>
        <v>20140251.283611</v>
      </c>
      <c r="AL65" s="181">
        <f>IF(AJ65&gt;AK65,ABS((AJ65-AK65)/AK65),-ABS((AK65-AJ65)/AK65))</f>
        <v>2.0777279924294381</v>
      </c>
    </row>
    <row r="66" spans="1:38" ht="10.5" customHeight="1">
      <c r="A66" s="157"/>
      <c r="V66" s="194"/>
      <c r="Y66" s="158" t="s">
        <v>116</v>
      </c>
      <c r="Z66" s="182">
        <f>C75</f>
        <v>0.17344740011528662</v>
      </c>
      <c r="AA66" s="182">
        <f>D75</f>
        <v>0.1699812519035441</v>
      </c>
      <c r="AB66" s="160">
        <f t="shared" si="43"/>
        <v>2.0391355946180353E-2</v>
      </c>
      <c r="AC66" s="167"/>
      <c r="AD66" s="182">
        <f>G75</f>
        <v>0.17344740011528662</v>
      </c>
      <c r="AE66" s="182">
        <f>H75</f>
        <v>0.1699812519035441</v>
      </c>
      <c r="AF66" s="160">
        <f t="shared" si="44"/>
        <v>2.0391355946180353E-2</v>
      </c>
      <c r="AG66" s="168"/>
      <c r="AH66" s="158" t="s">
        <v>117</v>
      </c>
      <c r="AI66" s="187">
        <f>'Tahmin Data'!K88/0.4</f>
        <v>45208479.0342125</v>
      </c>
      <c r="AJ66" s="187">
        <f>'Tahmin Data'!M88/0.4</f>
        <v>45208479.0342125</v>
      </c>
      <c r="AK66" s="187">
        <f>'C-Döviz'!AI195</f>
        <v>16673463.679524001</v>
      </c>
      <c r="AL66" s="181">
        <f>IF(AJ66&gt;AK66,ABS((AJ66-AK66)/AK66),-ABS((AK66-AJ66)/AK66))</f>
        <v>1.7114029755995561</v>
      </c>
    </row>
    <row r="67" spans="1:38" ht="10.5" customHeight="1" thickBot="1">
      <c r="A67" s="157"/>
      <c r="B67" s="209" t="s">
        <v>139</v>
      </c>
      <c r="C67" s="451" t="s">
        <v>0</v>
      </c>
      <c r="D67" s="451"/>
      <c r="E67" s="451"/>
      <c r="F67" s="210"/>
      <c r="G67" s="210"/>
      <c r="H67" s="210" t="s">
        <v>36</v>
      </c>
      <c r="I67" s="210"/>
      <c r="J67" s="195"/>
      <c r="K67" s="214" t="s">
        <v>140</v>
      </c>
      <c r="L67" s="214"/>
      <c r="M67" s="214"/>
      <c r="N67" s="214"/>
      <c r="O67" s="210"/>
      <c r="P67" s="210"/>
      <c r="Q67" s="210"/>
      <c r="R67" s="210"/>
      <c r="S67" s="210"/>
      <c r="T67" s="210"/>
      <c r="U67" s="210"/>
      <c r="V67" s="195"/>
      <c r="Y67" s="158" t="s">
        <v>117</v>
      </c>
      <c r="Z67" s="186">
        <f>C140</f>
        <v>1072976.3999999999</v>
      </c>
      <c r="AA67" s="186">
        <f>D140</f>
        <v>1228099.1459580001</v>
      </c>
      <c r="AB67" s="160">
        <f t="shared" si="43"/>
        <v>-0.12631125627645803</v>
      </c>
      <c r="AC67" s="166"/>
      <c r="AD67" s="186">
        <f>G140</f>
        <v>1072976.3999999999</v>
      </c>
      <c r="AE67" s="186">
        <f>H140</f>
        <v>1228099.1459580001</v>
      </c>
      <c r="AF67" s="160">
        <f t="shared" si="44"/>
        <v>-0.12631125627645803</v>
      </c>
      <c r="AG67" s="162"/>
      <c r="AH67" s="169" t="s">
        <v>19</v>
      </c>
      <c r="AI67" s="188">
        <f>'Tahmin Data'!K144/0.4</f>
        <v>66812758.004294984</v>
      </c>
      <c r="AJ67" s="188">
        <f>'Tahmin Data'!M144/0.4</f>
        <v>66812758.004294984</v>
      </c>
      <c r="AK67" s="188">
        <f>'C-Döviz'!AI297</f>
        <v>21555498.662085995</v>
      </c>
      <c r="AL67" s="189">
        <f>IF(AJ67&gt;AK67,ABS((AJ67-AK67)/AK67),-ABS((AK67-AJ67)/AK67))</f>
        <v>2.0995691193083861</v>
      </c>
    </row>
    <row r="68" spans="1:38" ht="10.5" customHeight="1" thickBot="1">
      <c r="A68" s="157"/>
      <c r="B68" s="169"/>
      <c r="C68" s="211" t="s">
        <v>98</v>
      </c>
      <c r="D68" s="211" t="s">
        <v>99</v>
      </c>
      <c r="E68" s="211" t="s">
        <v>100</v>
      </c>
      <c r="F68" s="211"/>
      <c r="G68" s="211" t="str">
        <f>C68</f>
        <v>Gerçekleşen</v>
      </c>
      <c r="H68" s="211" t="s">
        <v>99</v>
      </c>
      <c r="I68" s="211" t="s">
        <v>100</v>
      </c>
      <c r="J68" s="152"/>
      <c r="K68" s="169"/>
      <c r="L68" s="211" t="str">
        <f>L81</f>
        <v>Mart</v>
      </c>
      <c r="M68" s="211" t="str">
        <f>M81</f>
        <v>Nisan</v>
      </c>
      <c r="N68" s="211" t="str">
        <f>N81</f>
        <v>Mayıs</v>
      </c>
      <c r="O68" s="219" t="s">
        <v>101</v>
      </c>
      <c r="P68" s="219" t="s">
        <v>102</v>
      </c>
      <c r="Q68" s="219" t="s">
        <v>103</v>
      </c>
      <c r="R68" s="219" t="s">
        <v>104</v>
      </c>
      <c r="S68" s="219" t="s">
        <v>105</v>
      </c>
      <c r="T68" s="219" t="s">
        <v>106</v>
      </c>
      <c r="U68" s="219" t="s">
        <v>98</v>
      </c>
      <c r="V68" s="219" t="s">
        <v>99</v>
      </c>
      <c r="W68" s="262" t="s">
        <v>100</v>
      </c>
      <c r="Y68" s="158" t="s">
        <v>19</v>
      </c>
      <c r="Z68" s="186">
        <f>C179</f>
        <v>275897.4500000017</v>
      </c>
      <c r="AA68" s="186">
        <f>D179</f>
        <v>4111678.8193519996</v>
      </c>
      <c r="AB68" s="160">
        <f t="shared" si="43"/>
        <v>-0.93289907550622275</v>
      </c>
      <c r="AC68" s="166"/>
      <c r="AD68" s="186">
        <f>G179</f>
        <v>275897.4500000017</v>
      </c>
      <c r="AE68" s="186">
        <f>H179</f>
        <v>4111678.8193519996</v>
      </c>
      <c r="AF68" s="160">
        <f t="shared" si="44"/>
        <v>-0.93289907550622275</v>
      </c>
      <c r="AG68" s="162"/>
    </row>
    <row r="69" spans="1:38" ht="10.5" customHeight="1" thickTop="1">
      <c r="B69" s="149" t="s">
        <v>111</v>
      </c>
      <c r="C69" s="255">
        <f t="shared" ref="C69:D77" si="46">C56/C4</f>
        <v>0.49761882945180025</v>
      </c>
      <c r="D69" s="255">
        <f t="shared" si="46"/>
        <v>0.4703462500951251</v>
      </c>
      <c r="E69" s="256">
        <f>C69-D69</f>
        <v>2.7272579356675153E-2</v>
      </c>
      <c r="F69" s="255"/>
      <c r="G69" s="255">
        <f t="shared" ref="G69:H77" si="47">G56/G4</f>
        <v>0.49761882945180025</v>
      </c>
      <c r="H69" s="255">
        <f t="shared" si="47"/>
        <v>0.4703462500951251</v>
      </c>
      <c r="I69" s="256">
        <f>G69-H69</f>
        <v>2.7272579356675153E-2</v>
      </c>
      <c r="J69" s="157"/>
      <c r="K69" s="200" t="str">
        <f>B69</f>
        <v xml:space="preserve">İnci Holding  </v>
      </c>
      <c r="L69" s="240">
        <f t="shared" ref="L69:P77" si="48">L56/L4</f>
        <v>0.42734059648441469</v>
      </c>
      <c r="M69" s="240">
        <f t="shared" si="48"/>
        <v>0.4119314195100256</v>
      </c>
      <c r="N69" s="240">
        <f t="shared" si="48"/>
        <v>0.38720377768512149</v>
      </c>
      <c r="O69" s="240">
        <f t="shared" si="48"/>
        <v>0.39371052817078556</v>
      </c>
      <c r="P69" s="240">
        <f t="shared" si="48"/>
        <v>0.39317582297023906</v>
      </c>
      <c r="Q69" s="240">
        <f t="shared" ref="Q69:V77" si="49">Q56/Q4</f>
        <v>0.38133204294480721</v>
      </c>
      <c r="R69" s="240">
        <f t="shared" si="49"/>
        <v>0.38309122649831362</v>
      </c>
      <c r="S69" s="240" t="e">
        <f t="shared" si="49"/>
        <v>#DIV/0!</v>
      </c>
      <c r="T69" s="240" t="e">
        <f t="shared" si="49"/>
        <v>#DIV/0!</v>
      </c>
      <c r="U69" s="240">
        <f t="shared" si="49"/>
        <v>0.49761882945180025</v>
      </c>
      <c r="V69" s="240">
        <f t="shared" si="49"/>
        <v>0.42092065432346187</v>
      </c>
      <c r="W69" s="240">
        <f>U69-V69</f>
        <v>7.6698175128338375E-2</v>
      </c>
      <c r="Y69" s="158" t="s">
        <v>90</v>
      </c>
      <c r="Z69" s="186">
        <f>C192</f>
        <v>9435.4500000000007</v>
      </c>
      <c r="AA69" s="186">
        <f>D192</f>
        <v>30000</v>
      </c>
      <c r="AB69" s="160">
        <f t="shared" si="43"/>
        <v>-0.68548500000000001</v>
      </c>
      <c r="AC69" s="166"/>
      <c r="AD69" s="186">
        <f>G192</f>
        <v>9435.4500000000007</v>
      </c>
      <c r="AE69" s="186">
        <f>H192</f>
        <v>30000</v>
      </c>
      <c r="AF69" s="160">
        <f t="shared" si="44"/>
        <v>-0.68548500000000001</v>
      </c>
      <c r="AG69" s="162"/>
    </row>
    <row r="70" spans="1:38" ht="10.5" customHeight="1" thickBot="1">
      <c r="B70" s="149" t="s">
        <v>11</v>
      </c>
      <c r="C70" s="255">
        <f t="shared" si="46"/>
        <v>-1.3101473416769349E-2</v>
      </c>
      <c r="D70" s="255">
        <f t="shared" si="46"/>
        <v>-3.5414154934302527E-2</v>
      </c>
      <c r="E70" s="257">
        <f t="shared" ref="E70:E77" si="50">C70-D70</f>
        <v>2.2312681517533177E-2</v>
      </c>
      <c r="F70" s="255"/>
      <c r="G70" s="255">
        <f t="shared" si="47"/>
        <v>-1.3101473416769349E-2</v>
      </c>
      <c r="H70" s="255">
        <f t="shared" si="47"/>
        <v>-3.5414154934302527E-2</v>
      </c>
      <c r="I70" s="257">
        <f t="shared" ref="I70:I77" si="51">G70-H70</f>
        <v>2.2312681517533177E-2</v>
      </c>
      <c r="J70" s="157"/>
      <c r="K70" s="200" t="str">
        <f t="shared" ref="K70:K76" si="52">B70</f>
        <v xml:space="preserve">ISM </v>
      </c>
      <c r="L70" s="241">
        <f t="shared" si="48"/>
        <v>8.987651494446823E-2</v>
      </c>
      <c r="M70" s="241">
        <f t="shared" si="48"/>
        <v>3.1084870563529089E-2</v>
      </c>
      <c r="N70" s="241">
        <f t="shared" si="48"/>
        <v>7.4571631473143912E-2</v>
      </c>
      <c r="O70" s="241">
        <f t="shared" si="48"/>
        <v>4.9678948151387327E-2</v>
      </c>
      <c r="P70" s="241">
        <f t="shared" si="48"/>
        <v>5.1532145462293497E-2</v>
      </c>
      <c r="Q70" s="241">
        <f t="shared" si="49"/>
        <v>4.2279959974017914E-2</v>
      </c>
      <c r="R70" s="241">
        <f t="shared" si="49"/>
        <v>1.4375529888818916E-2</v>
      </c>
      <c r="S70" s="241" t="e">
        <f t="shared" si="49"/>
        <v>#DIV/0!</v>
      </c>
      <c r="T70" s="241" t="e">
        <f t="shared" si="49"/>
        <v>#DIV/0!</v>
      </c>
      <c r="U70" s="241">
        <f t="shared" si="49"/>
        <v>-1.3101473416769349E-2</v>
      </c>
      <c r="V70" s="241">
        <f t="shared" si="49"/>
        <v>0.10061947331661728</v>
      </c>
      <c r="W70" s="241">
        <f t="shared" ref="W70:W77" si="53">U70-V70</f>
        <v>-0.11372094673338662</v>
      </c>
      <c r="Y70" s="169" t="s">
        <v>123</v>
      </c>
      <c r="Z70" s="190">
        <f>C218</f>
        <v>15586616.51</v>
      </c>
      <c r="AA70" s="190">
        <f>D218</f>
        <v>16263649.335984999</v>
      </c>
      <c r="AB70" s="179">
        <f t="shared" si="43"/>
        <v>-4.1628592205747737E-2</v>
      </c>
      <c r="AC70" s="166"/>
      <c r="AD70" s="190">
        <f>G218</f>
        <v>15586616.51</v>
      </c>
      <c r="AE70" s="190">
        <f>H218</f>
        <v>16263649.335984999</v>
      </c>
      <c r="AF70" s="179">
        <f t="shared" si="44"/>
        <v>-4.1628592205747737E-2</v>
      </c>
      <c r="AG70" s="162"/>
    </row>
    <row r="71" spans="1:38" ht="10.5" customHeight="1">
      <c r="B71" s="149" t="s">
        <v>115</v>
      </c>
      <c r="C71" s="255">
        <f t="shared" si="46"/>
        <v>3.4967674742321202E-2</v>
      </c>
      <c r="D71" s="255">
        <f t="shared" si="46"/>
        <v>-4.5122642684353606E-2</v>
      </c>
      <c r="E71" s="257">
        <f t="shared" si="50"/>
        <v>8.0090317426674801E-2</v>
      </c>
      <c r="F71" s="255"/>
      <c r="G71" s="255">
        <f t="shared" si="47"/>
        <v>3.4967674742321202E-2</v>
      </c>
      <c r="H71" s="255">
        <f t="shared" si="47"/>
        <v>-4.5122642684353606E-2</v>
      </c>
      <c r="I71" s="257">
        <f t="shared" si="51"/>
        <v>8.0090317426674801E-2</v>
      </c>
      <c r="J71" s="157"/>
      <c r="K71" s="200" t="str">
        <f t="shared" si="52"/>
        <v xml:space="preserve">İncitaş </v>
      </c>
      <c r="L71" s="241">
        <f t="shared" si="48"/>
        <v>4.7882414137533684E-2</v>
      </c>
      <c r="M71" s="241">
        <f t="shared" si="48"/>
        <v>8.9182589259977525E-3</v>
      </c>
      <c r="N71" s="241">
        <f t="shared" si="48"/>
        <v>2.9734329390713937E-2</v>
      </c>
      <c r="O71" s="241">
        <f t="shared" si="48"/>
        <v>2.9830222776365489E-2</v>
      </c>
      <c r="P71" s="241">
        <f t="shared" si="48"/>
        <v>3.3759183083888637E-2</v>
      </c>
      <c r="Q71" s="241">
        <f t="shared" si="49"/>
        <v>3.711158916616461E-2</v>
      </c>
      <c r="R71" s="241">
        <f t="shared" si="49"/>
        <v>3.6372694216694909E-2</v>
      </c>
      <c r="S71" s="241" t="e">
        <f t="shared" si="49"/>
        <v>#DIV/0!</v>
      </c>
      <c r="T71" s="241" t="e">
        <f t="shared" si="49"/>
        <v>#DIV/0!</v>
      </c>
      <c r="U71" s="241">
        <f t="shared" si="49"/>
        <v>3.4967674742321202E-2</v>
      </c>
      <c r="V71" s="241">
        <f t="shared" si="49"/>
        <v>4.8614618471871887E-2</v>
      </c>
      <c r="W71" s="241">
        <f t="shared" si="53"/>
        <v>-1.3646943729550685E-2</v>
      </c>
    </row>
    <row r="72" spans="1:38" ht="10.5" customHeight="1">
      <c r="B72" s="149" t="s">
        <v>119</v>
      </c>
      <c r="C72" s="255">
        <f t="shared" si="46"/>
        <v>5.156748865308159E-2</v>
      </c>
      <c r="D72" s="255">
        <f t="shared" si="46"/>
        <v>7.3857355960123133E-2</v>
      </c>
      <c r="E72" s="257">
        <f t="shared" si="50"/>
        <v>-2.2289867307041543E-2</v>
      </c>
      <c r="F72" s="255"/>
      <c r="G72" s="255">
        <f t="shared" si="47"/>
        <v>5.156748865308159E-2</v>
      </c>
      <c r="H72" s="255">
        <f t="shared" si="47"/>
        <v>7.3857355960123133E-2</v>
      </c>
      <c r="I72" s="257">
        <f t="shared" si="51"/>
        <v>-2.2289867307041543E-2</v>
      </c>
      <c r="J72" s="157"/>
      <c r="K72" s="200" t="str">
        <f t="shared" si="52"/>
        <v xml:space="preserve">İnci GS Yuasa </v>
      </c>
      <c r="L72" s="241">
        <f t="shared" si="48"/>
        <v>9.230909846681068E-2</v>
      </c>
      <c r="M72" s="241">
        <f t="shared" si="48"/>
        <v>5.0185180161125539E-2</v>
      </c>
      <c r="N72" s="241">
        <f t="shared" si="48"/>
        <v>4.4748857236149554E-2</v>
      </c>
      <c r="O72" s="241">
        <f t="shared" si="48"/>
        <v>4.0222423435832183E-2</v>
      </c>
      <c r="P72" s="241">
        <f t="shared" si="48"/>
        <v>4.2268809329880794E-2</v>
      </c>
      <c r="Q72" s="241">
        <f t="shared" si="49"/>
        <v>3.7909968033383659E-2</v>
      </c>
      <c r="R72" s="241">
        <f t="shared" si="49"/>
        <v>2.1248605083072095E-2</v>
      </c>
      <c r="S72" s="241" t="e">
        <f t="shared" si="49"/>
        <v>#DIV/0!</v>
      </c>
      <c r="T72" s="241" t="e">
        <f t="shared" si="49"/>
        <v>#DIV/0!</v>
      </c>
      <c r="U72" s="241">
        <f t="shared" si="49"/>
        <v>5.156748865308159E-2</v>
      </c>
      <c r="V72" s="241">
        <f t="shared" si="49"/>
        <v>9.9232721586086869E-2</v>
      </c>
      <c r="W72" s="241">
        <f t="shared" si="53"/>
        <v>-4.7665232933005279E-2</v>
      </c>
      <c r="Y72" s="151" t="str">
        <f>B9</f>
        <v xml:space="preserve">Jantaş </v>
      </c>
      <c r="Z72" s="453" t="s">
        <v>0</v>
      </c>
      <c r="AA72" s="453"/>
      <c r="AB72" s="453"/>
      <c r="AC72" s="152"/>
      <c r="AD72" s="151"/>
      <c r="AE72" s="151" t="s">
        <v>36</v>
      </c>
      <c r="AF72" s="151"/>
      <c r="AG72" s="153"/>
      <c r="AH72" s="151" t="str">
        <f>Y72</f>
        <v xml:space="preserve">Jantaş </v>
      </c>
      <c r="AI72" s="151"/>
      <c r="AJ72" s="453" t="s">
        <v>97</v>
      </c>
      <c r="AK72" s="453"/>
      <c r="AL72" s="453"/>
    </row>
    <row r="73" spans="1:38" ht="10.5" customHeight="1">
      <c r="B73" s="149" t="s">
        <v>120</v>
      </c>
      <c r="C73" s="255">
        <f t="shared" si="46"/>
        <v>4.137442633410561E-2</v>
      </c>
      <c r="D73" s="255">
        <f t="shared" si="46"/>
        <v>6.5677490369797975E-2</v>
      </c>
      <c r="E73" s="257">
        <f t="shared" si="50"/>
        <v>-2.4303064035692365E-2</v>
      </c>
      <c r="F73" s="255"/>
      <c r="G73" s="255">
        <f t="shared" si="47"/>
        <v>4.137442633410561E-2</v>
      </c>
      <c r="H73" s="255">
        <f t="shared" si="47"/>
        <v>6.5677490369797975E-2</v>
      </c>
      <c r="I73" s="257">
        <f t="shared" si="51"/>
        <v>-2.4303064035692365E-2</v>
      </c>
      <c r="J73" s="157"/>
      <c r="K73" s="200" t="str">
        <f t="shared" si="52"/>
        <v xml:space="preserve">Yusen İnci Loj. </v>
      </c>
      <c r="L73" s="241">
        <f t="shared" si="48"/>
        <v>3.8350263009840506E-2</v>
      </c>
      <c r="M73" s="241">
        <f t="shared" si="48"/>
        <v>4.2733025250398363E-2</v>
      </c>
      <c r="N73" s="241">
        <f t="shared" si="48"/>
        <v>2.8467751702989486E-2</v>
      </c>
      <c r="O73" s="241">
        <f t="shared" si="48"/>
        <v>2.8876291994359773E-2</v>
      </c>
      <c r="P73" s="241">
        <f t="shared" si="48"/>
        <v>3.2337559023391041E-2</v>
      </c>
      <c r="Q73" s="241">
        <f t="shared" si="49"/>
        <v>3.5553677895771262E-2</v>
      </c>
      <c r="R73" s="241">
        <f t="shared" si="49"/>
        <v>3.9946150629133884E-2</v>
      </c>
      <c r="S73" s="241" t="e">
        <f t="shared" si="49"/>
        <v>#DIV/0!</v>
      </c>
      <c r="T73" s="241" t="e">
        <f t="shared" si="49"/>
        <v>#DIV/0!</v>
      </c>
      <c r="U73" s="241">
        <f t="shared" si="49"/>
        <v>4.137442633410561E-2</v>
      </c>
      <c r="V73" s="241">
        <f t="shared" si="49"/>
        <v>4.3612252406621831E-2</v>
      </c>
      <c r="W73" s="241">
        <f t="shared" si="53"/>
        <v>-2.2378260725162205E-3</v>
      </c>
      <c r="Y73" s="151" t="s">
        <v>110</v>
      </c>
      <c r="Z73" s="151" t="s">
        <v>98</v>
      </c>
      <c r="AA73" s="151" t="s">
        <v>99</v>
      </c>
      <c r="AB73" s="151" t="s">
        <v>100</v>
      </c>
      <c r="AC73" s="152"/>
      <c r="AD73" s="151" t="s">
        <v>98</v>
      </c>
      <c r="AE73" s="151" t="s">
        <v>99</v>
      </c>
      <c r="AF73" s="151" t="s">
        <v>100</v>
      </c>
      <c r="AG73" s="153"/>
      <c r="AH73" s="151" t="s">
        <v>110</v>
      </c>
      <c r="AI73" s="151" t="str">
        <f>$AI$3</f>
        <v>Mayıs YST</v>
      </c>
      <c r="AJ73" s="151" t="str">
        <f>$AJ$3</f>
        <v>Haziran YST</v>
      </c>
      <c r="AK73" s="151" t="s">
        <v>99</v>
      </c>
      <c r="AL73" s="151" t="s">
        <v>100</v>
      </c>
    </row>
    <row r="74" spans="1:38">
      <c r="B74" s="149" t="s">
        <v>121</v>
      </c>
      <c r="C74" s="255">
        <f t="shared" si="46"/>
        <v>6.2409829493475143E-2</v>
      </c>
      <c r="D74" s="255">
        <f t="shared" si="46"/>
        <v>5.8125920927934852E-2</v>
      </c>
      <c r="E74" s="257">
        <f t="shared" si="50"/>
        <v>4.2839085655402911E-3</v>
      </c>
      <c r="F74" s="255"/>
      <c r="G74" s="255">
        <f t="shared" si="47"/>
        <v>6.2409829493475143E-2</v>
      </c>
      <c r="H74" s="255">
        <f t="shared" si="47"/>
        <v>5.8125920927934852E-2</v>
      </c>
      <c r="I74" s="257">
        <f t="shared" si="51"/>
        <v>4.2839085655402911E-3</v>
      </c>
      <c r="J74" s="157"/>
      <c r="K74" s="200" t="str">
        <f t="shared" si="52"/>
        <v xml:space="preserve">Jantaş </v>
      </c>
      <c r="L74" s="241">
        <f t="shared" si="48"/>
        <v>0.13393821406241119</v>
      </c>
      <c r="M74" s="241">
        <f t="shared" si="48"/>
        <v>0.14477839737199369</v>
      </c>
      <c r="N74" s="241">
        <f t="shared" si="48"/>
        <v>0.14533648151272652</v>
      </c>
      <c r="O74" s="241">
        <f t="shared" si="48"/>
        <v>0.15101391198078754</v>
      </c>
      <c r="P74" s="241">
        <f t="shared" si="48"/>
        <v>0.14749528054539376</v>
      </c>
      <c r="Q74" s="241">
        <f t="shared" si="49"/>
        <v>0.1353471513914524</v>
      </c>
      <c r="R74" s="241">
        <f t="shared" si="49"/>
        <v>0.13894501289201527</v>
      </c>
      <c r="S74" s="241" t="e">
        <f t="shared" si="49"/>
        <v>#DIV/0!</v>
      </c>
      <c r="T74" s="241" t="e">
        <f t="shared" si="49"/>
        <v>#DIV/0!</v>
      </c>
      <c r="U74" s="241">
        <f t="shared" si="49"/>
        <v>6.2409829493475143E-2</v>
      </c>
      <c r="V74" s="241">
        <f t="shared" si="49"/>
        <v>0.10283719835692808</v>
      </c>
      <c r="W74" s="241">
        <f>U74-V74</f>
        <v>-4.0427368863452932E-2</v>
      </c>
      <c r="Y74" s="158" t="s">
        <v>112</v>
      </c>
      <c r="Z74" s="186">
        <f>C9</f>
        <v>11605520.09</v>
      </c>
      <c r="AA74" s="186">
        <f>D9</f>
        <v>10048793.329626</v>
      </c>
      <c r="AB74" s="160">
        <f t="shared" ref="AB74:AB80" si="54">IF(Z74&gt;AA74,ABS((Z74-AA74)/AA74),-ABS((AA74-Z74)/AA74))</f>
        <v>0.15491678545964674</v>
      </c>
      <c r="AC74" s="166"/>
      <c r="AD74" s="186">
        <f>G9</f>
        <v>11605520.09</v>
      </c>
      <c r="AE74" s="186">
        <f>H9</f>
        <v>10048793.329626</v>
      </c>
      <c r="AF74" s="160">
        <f t="shared" ref="AF74:AF80" si="55">IF(AD74&gt;AE74,ABS((AD74-AE74)/AE74),-ABS((AE74-AD74)/AE74))</f>
        <v>0.15491678545964674</v>
      </c>
      <c r="AG74" s="162"/>
      <c r="AH74" s="158" t="s">
        <v>112</v>
      </c>
      <c r="AI74" s="187">
        <f>'Tahmin Data'!K9/0.4</f>
        <v>351490701.97303998</v>
      </c>
      <c r="AJ74" s="187">
        <f>'Tahmin Data'!M9/0.4</f>
        <v>351855000</v>
      </c>
      <c r="AK74" s="187">
        <f>'C-Döviz'!AI14</f>
        <v>133999736.311259</v>
      </c>
      <c r="AL74" s="164">
        <f>IF(AJ74&gt;AK74,ABS((AJ74-AK74)/AK74),-ABS((AK74-AJ74)/AK74))</f>
        <v>1.6257887491860403</v>
      </c>
    </row>
    <row r="75" spans="1:38" ht="10.5" customHeight="1">
      <c r="B75" s="149" t="s">
        <v>122</v>
      </c>
      <c r="C75" s="255">
        <f t="shared" si="46"/>
        <v>0.17344740011528662</v>
      </c>
      <c r="D75" s="255">
        <f t="shared" si="46"/>
        <v>0.1699812519035441</v>
      </c>
      <c r="E75" s="257">
        <f t="shared" si="50"/>
        <v>3.4661482117425146E-3</v>
      </c>
      <c r="F75" s="255"/>
      <c r="G75" s="255">
        <f t="shared" si="47"/>
        <v>0.17344740011528662</v>
      </c>
      <c r="H75" s="255">
        <f t="shared" si="47"/>
        <v>0.1699812519035441</v>
      </c>
      <c r="I75" s="257">
        <f t="shared" si="51"/>
        <v>3.4661482117425146E-3</v>
      </c>
      <c r="J75" s="157"/>
      <c r="K75" s="200" t="str">
        <f t="shared" si="52"/>
        <v xml:space="preserve">Çelik </v>
      </c>
      <c r="L75" s="241">
        <f t="shared" si="48"/>
        <v>0.22859956818946986</v>
      </c>
      <c r="M75" s="241">
        <f t="shared" si="48"/>
        <v>0.23250331876964295</v>
      </c>
      <c r="N75" s="241">
        <f t="shared" si="48"/>
        <v>0.23046796048201726</v>
      </c>
      <c r="O75" s="241">
        <f t="shared" si="48"/>
        <v>0.23046796048201726</v>
      </c>
      <c r="P75" s="241">
        <f t="shared" si="48"/>
        <v>0.23828249713170571</v>
      </c>
      <c r="Q75" s="241">
        <f t="shared" si="49"/>
        <v>0.23742920399993353</v>
      </c>
      <c r="R75" s="241">
        <f t="shared" si="49"/>
        <v>0.23757721285036854</v>
      </c>
      <c r="S75" s="241" t="e">
        <f t="shared" si="49"/>
        <v>#DIV/0!</v>
      </c>
      <c r="T75" s="241" t="e">
        <f t="shared" si="49"/>
        <v>#DIV/0!</v>
      </c>
      <c r="U75" s="241">
        <f t="shared" si="49"/>
        <v>0.17344740011528662</v>
      </c>
      <c r="V75" s="241">
        <f t="shared" si="49"/>
        <v>0.19788401658741023</v>
      </c>
      <c r="W75" s="241">
        <f t="shared" si="53"/>
        <v>-2.4436616472123612E-2</v>
      </c>
      <c r="Y75" s="158" t="s">
        <v>113</v>
      </c>
      <c r="Z75" s="186">
        <f>C87</f>
        <v>1167511.44</v>
      </c>
      <c r="AA75" s="186">
        <f>D87</f>
        <v>1012467.2781730001</v>
      </c>
      <c r="AB75" s="160">
        <f t="shared" si="54"/>
        <v>0.15313498536641842</v>
      </c>
      <c r="AC75" s="166"/>
      <c r="AD75" s="186">
        <f>G87</f>
        <v>1167511.44</v>
      </c>
      <c r="AE75" s="186">
        <f>H87</f>
        <v>1012467.2781730001</v>
      </c>
      <c r="AF75" s="160">
        <f t="shared" si="55"/>
        <v>0.15313498536641842</v>
      </c>
      <c r="AG75" s="162"/>
      <c r="AH75" s="158" t="s">
        <v>113</v>
      </c>
      <c r="AI75" s="187">
        <f>'Tahmin Data'!K65/0.4</f>
        <v>64140176.544857487</v>
      </c>
      <c r="AJ75" s="187">
        <f>'Tahmin Data'!M65/0.4</f>
        <v>66210000</v>
      </c>
      <c r="AK75" s="187">
        <f>'C-Döviz'!AI144</f>
        <v>21162418.113028001</v>
      </c>
      <c r="AL75" s="164">
        <f>IF(AJ75&gt;AK75,ABS((AJ75-AK75)/AK75),-ABS((AK75-AJ75)/AK75))</f>
        <v>2.12865947768227</v>
      </c>
    </row>
    <row r="76" spans="1:38" ht="10.5" customHeight="1" thickBot="1">
      <c r="B76" s="149" t="s">
        <v>124</v>
      </c>
      <c r="C76" s="255">
        <f t="shared" si="46"/>
        <v>9.0168687989614513E-2</v>
      </c>
      <c r="D76" s="255">
        <f t="shared" si="46"/>
        <v>0.10355221524975666</v>
      </c>
      <c r="E76" s="257">
        <f t="shared" si="50"/>
        <v>-1.338352726014215E-2</v>
      </c>
      <c r="F76" s="255"/>
      <c r="G76" s="255">
        <f t="shared" si="47"/>
        <v>9.0168687989614513E-2</v>
      </c>
      <c r="H76" s="255">
        <f t="shared" si="47"/>
        <v>0.10355221524975666</v>
      </c>
      <c r="I76" s="257">
        <f t="shared" si="51"/>
        <v>-1.338352726014215E-2</v>
      </c>
      <c r="J76" s="157"/>
      <c r="K76" s="201" t="str">
        <f t="shared" si="52"/>
        <v xml:space="preserve">Alüminyum </v>
      </c>
      <c r="L76" s="242">
        <f t="shared" si="48"/>
        <v>0.11917203423042508</v>
      </c>
      <c r="M76" s="242">
        <f t="shared" si="48"/>
        <v>0.12637184568397405</v>
      </c>
      <c r="N76" s="242">
        <f t="shared" si="48"/>
        <v>0.12669716298798114</v>
      </c>
      <c r="O76" s="242">
        <f t="shared" si="48"/>
        <v>0.1229717559441489</v>
      </c>
      <c r="P76" s="242">
        <f t="shared" si="48"/>
        <v>0.10675777175816056</v>
      </c>
      <c r="Q76" s="242">
        <f t="shared" si="49"/>
        <v>0.10164636671361828</v>
      </c>
      <c r="R76" s="242">
        <f t="shared" si="49"/>
        <v>9.9363610546497172E-2</v>
      </c>
      <c r="S76" s="242" t="e">
        <f t="shared" si="49"/>
        <v>#DIV/0!</v>
      </c>
      <c r="T76" s="242" t="e">
        <f t="shared" si="49"/>
        <v>#DIV/0!</v>
      </c>
      <c r="U76" s="242">
        <f t="shared" si="49"/>
        <v>9.0168687989614513E-2</v>
      </c>
      <c r="V76" s="242">
        <f t="shared" si="49"/>
        <v>0.10303922012336313</v>
      </c>
      <c r="W76" s="242">
        <f t="shared" si="53"/>
        <v>-1.2870532133748613E-2</v>
      </c>
      <c r="Y76" s="158" t="s">
        <v>116</v>
      </c>
      <c r="Z76" s="182">
        <f>C74</f>
        <v>6.2409829493475143E-2</v>
      </c>
      <c r="AA76" s="182">
        <f>D74</f>
        <v>5.8125920927934852E-2</v>
      </c>
      <c r="AB76" s="160">
        <f t="shared" si="54"/>
        <v>7.3700485035781665E-2</v>
      </c>
      <c r="AC76" s="167"/>
      <c r="AD76" s="182">
        <f>G74</f>
        <v>6.2409829493475143E-2</v>
      </c>
      <c r="AE76" s="182">
        <f>H74</f>
        <v>5.8125920927934852E-2</v>
      </c>
      <c r="AF76" s="160">
        <f t="shared" si="55"/>
        <v>7.3700485035781665E-2</v>
      </c>
      <c r="AG76" s="168"/>
      <c r="AH76" s="158" t="s">
        <v>117</v>
      </c>
      <c r="AI76" s="187">
        <f>'Tahmin Data'!K89/0.4</f>
        <v>51697947.7743375</v>
      </c>
      <c r="AJ76" s="187">
        <f>'Tahmin Data'!M89/0.4</f>
        <v>52105000</v>
      </c>
      <c r="AK76" s="187">
        <f>'C-Döviz'!AI194</f>
        <v>13599859.416231999</v>
      </c>
      <c r="AL76" s="164">
        <f>IF(AJ76&gt;AK76,ABS((AJ76-AK76)/AK76),-ABS((AK76-AJ76)/AK76))</f>
        <v>2.8312896042006517</v>
      </c>
    </row>
    <row r="77" spans="1:38" ht="10.5" customHeight="1" thickBot="1">
      <c r="B77" s="169" t="s">
        <v>125</v>
      </c>
      <c r="C77" s="258">
        <f t="shared" si="46"/>
        <v>8.5138616081222487E-2</v>
      </c>
      <c r="D77" s="258">
        <f t="shared" si="46"/>
        <v>9.2327772428306906E-2</v>
      </c>
      <c r="E77" s="259">
        <f t="shared" si="50"/>
        <v>-7.1891563470844189E-3</v>
      </c>
      <c r="F77" s="258"/>
      <c r="G77" s="258">
        <f t="shared" si="47"/>
        <v>8.5138616081222487E-2</v>
      </c>
      <c r="H77" s="258">
        <f t="shared" si="47"/>
        <v>9.2327772428306906E-2</v>
      </c>
      <c r="I77" s="259">
        <f t="shared" si="51"/>
        <v>-7.1891563470844189E-3</v>
      </c>
      <c r="J77" s="194"/>
      <c r="K77" s="238" t="s">
        <v>125</v>
      </c>
      <c r="L77" s="243">
        <f t="shared" si="48"/>
        <v>0.12069841696984961</v>
      </c>
      <c r="M77" s="243">
        <f t="shared" si="48"/>
        <v>0.11399922430175877</v>
      </c>
      <c r="N77" s="243">
        <f t="shared" si="48"/>
        <v>0.11515667286620551</v>
      </c>
      <c r="O77" s="243">
        <f t="shared" si="48"/>
        <v>0.11407706284994797</v>
      </c>
      <c r="P77" s="243">
        <f t="shared" si="48"/>
        <v>0.10915979526395624</v>
      </c>
      <c r="Q77" s="243">
        <f t="shared" si="49"/>
        <v>0.10513098763571546</v>
      </c>
      <c r="R77" s="243">
        <f t="shared" si="49"/>
        <v>0.10193676351796327</v>
      </c>
      <c r="S77" s="243" t="e">
        <f t="shared" si="49"/>
        <v>#DIV/0!</v>
      </c>
      <c r="T77" s="243" t="e">
        <f t="shared" si="49"/>
        <v>#DIV/0!</v>
      </c>
      <c r="U77" s="243">
        <f t="shared" si="49"/>
        <v>8.5138616081222487E-2</v>
      </c>
      <c r="V77" s="243">
        <f t="shared" si="49"/>
        <v>0.11137687575246592</v>
      </c>
      <c r="W77" s="243">
        <f t="shared" si="53"/>
        <v>-2.6238259671243436E-2</v>
      </c>
      <c r="Y77" s="158" t="s">
        <v>117</v>
      </c>
      <c r="Z77" s="186">
        <f>C139</f>
        <v>933953.90000000014</v>
      </c>
      <c r="AA77" s="186">
        <f>D139</f>
        <v>395421.97810800001</v>
      </c>
      <c r="AB77" s="160">
        <f t="shared" si="54"/>
        <v>1.3619170195565433</v>
      </c>
      <c r="AC77" s="166"/>
      <c r="AD77" s="186">
        <f>G139</f>
        <v>933953.90000000014</v>
      </c>
      <c r="AE77" s="186">
        <f>H139</f>
        <v>395421.97810800001</v>
      </c>
      <c r="AF77" s="160">
        <f t="shared" si="55"/>
        <v>1.3619170195565433</v>
      </c>
      <c r="AG77" s="162"/>
      <c r="AH77" s="169" t="s">
        <v>19</v>
      </c>
      <c r="AI77" s="188">
        <f>'Tahmin Data'!K145/0.4</f>
        <v>47345784.815044984</v>
      </c>
      <c r="AJ77" s="188">
        <f>'Tahmin Data'!M145/0.4</f>
        <v>51549201.674999982</v>
      </c>
      <c r="AK77" s="188">
        <f>'C-Döviz'!AI296</f>
        <v>15590942.397215003</v>
      </c>
      <c r="AL77" s="189">
        <f>IF(AJ77&gt;AK77,ABS((AJ77-AK77)/AK77),-ABS((AK77-AJ77)/AK77))</f>
        <v>2.3063557263997185</v>
      </c>
    </row>
    <row r="78" spans="1:38" ht="10.5" customHeight="1">
      <c r="V78" s="194"/>
      <c r="Y78" s="158" t="s">
        <v>19</v>
      </c>
      <c r="Z78" s="186">
        <f>C178</f>
        <v>1559763.9099999962</v>
      </c>
      <c r="AA78" s="186">
        <f>D178</f>
        <v>-2899301.0186640024</v>
      </c>
      <c r="AB78" s="160">
        <f t="shared" si="54"/>
        <v>1.5379792922360078</v>
      </c>
      <c r="AC78" s="166"/>
      <c r="AD78" s="186">
        <f>G178</f>
        <v>1559763.9099999962</v>
      </c>
      <c r="AE78" s="186">
        <f>H178</f>
        <v>-2899301.0186640024</v>
      </c>
      <c r="AF78" s="160">
        <f t="shared" si="55"/>
        <v>1.5379792922360078</v>
      </c>
      <c r="AG78" s="162"/>
    </row>
    <row r="79" spans="1:38" ht="10.5" customHeight="1">
      <c r="V79" s="194"/>
      <c r="Y79" s="158" t="s">
        <v>90</v>
      </c>
      <c r="Z79" s="186">
        <f>C191</f>
        <v>126976.17</v>
      </c>
      <c r="AA79" s="186">
        <f>D191</f>
        <v>274833.33333300002</v>
      </c>
      <c r="AB79" s="160">
        <f t="shared" si="54"/>
        <v>-0.53798846573624992</v>
      </c>
      <c r="AC79" s="166"/>
      <c r="AD79" s="186">
        <f>G191</f>
        <v>126976.17</v>
      </c>
      <c r="AE79" s="186">
        <f>H191</f>
        <v>274833.33333300002</v>
      </c>
      <c r="AF79" s="160">
        <f t="shared" si="55"/>
        <v>-0.53798846573624992</v>
      </c>
      <c r="AG79" s="162"/>
    </row>
    <row r="80" spans="1:38" ht="13" thickBot="1">
      <c r="B80" s="209" t="s">
        <v>141</v>
      </c>
      <c r="C80" s="451" t="s">
        <v>0</v>
      </c>
      <c r="D80" s="451"/>
      <c r="E80" s="451"/>
      <c r="F80" s="210"/>
      <c r="G80" s="210"/>
      <c r="H80" s="210" t="s">
        <v>36</v>
      </c>
      <c r="I80" s="210"/>
      <c r="J80" s="195"/>
      <c r="K80" s="214" t="s">
        <v>142</v>
      </c>
      <c r="L80" s="214"/>
      <c r="M80" s="214"/>
      <c r="N80" s="214"/>
      <c r="O80" s="210"/>
      <c r="P80" s="210"/>
      <c r="Q80" s="210"/>
      <c r="R80" s="210"/>
      <c r="S80" s="210"/>
      <c r="T80" s="210"/>
      <c r="U80" s="210"/>
      <c r="V80" s="195"/>
      <c r="Y80" s="169" t="s">
        <v>123</v>
      </c>
      <c r="Z80" s="190">
        <f>C217</f>
        <v>8176307.5499999998</v>
      </c>
      <c r="AA80" s="190">
        <f>D217</f>
        <v>6126231.2503359998</v>
      </c>
      <c r="AB80" s="179">
        <f t="shared" si="54"/>
        <v>0.33463906533916121</v>
      </c>
      <c r="AC80" s="166"/>
      <c r="AD80" s="190">
        <f>G217</f>
        <v>8176307.5499999998</v>
      </c>
      <c r="AE80" s="190">
        <f>H217</f>
        <v>6126231.2503359998</v>
      </c>
      <c r="AF80" s="179">
        <f t="shared" si="55"/>
        <v>0.33463906533916121</v>
      </c>
      <c r="AG80" s="162"/>
    </row>
    <row r="81" spans="2:38" ht="10.5" customHeight="1" thickBot="1">
      <c r="B81" s="169"/>
      <c r="C81" s="211" t="s">
        <v>98</v>
      </c>
      <c r="D81" s="211" t="s">
        <v>99</v>
      </c>
      <c r="E81" s="211" t="s">
        <v>100</v>
      </c>
      <c r="F81" s="211"/>
      <c r="G81" s="211" t="str">
        <f>C81</f>
        <v>Gerçekleşen</v>
      </c>
      <c r="H81" s="211" t="s">
        <v>99</v>
      </c>
      <c r="I81" s="211" t="s">
        <v>100</v>
      </c>
      <c r="J81" s="152"/>
      <c r="K81" s="218"/>
      <c r="L81" s="253" t="str">
        <f>L29</f>
        <v>Mart</v>
      </c>
      <c r="M81" s="253" t="str">
        <f>M29</f>
        <v>Nisan</v>
      </c>
      <c r="N81" s="253" t="str">
        <f>N29</f>
        <v>Mayıs</v>
      </c>
      <c r="O81" s="253" t="s">
        <v>101</v>
      </c>
      <c r="P81" s="253" t="s">
        <v>102</v>
      </c>
      <c r="Q81" s="253" t="s">
        <v>103</v>
      </c>
      <c r="R81" s="219" t="s">
        <v>104</v>
      </c>
      <c r="S81" s="219" t="s">
        <v>105</v>
      </c>
      <c r="T81" s="219" t="s">
        <v>106</v>
      </c>
      <c r="U81" s="219" t="s">
        <v>98</v>
      </c>
      <c r="V81" s="254" t="s">
        <v>99</v>
      </c>
      <c r="W81" s="262" t="s">
        <v>100</v>
      </c>
    </row>
    <row r="82" spans="2:38" ht="10.5" customHeight="1" thickTop="1">
      <c r="B82" s="149" t="s">
        <v>111</v>
      </c>
      <c r="C82" s="156">
        <f>'A -Döviz'!C139</f>
        <v>380407.00055417459</v>
      </c>
      <c r="D82" s="156">
        <f>'A -Döviz'!B139</f>
        <v>341165.36249954213</v>
      </c>
      <c r="E82" s="224">
        <f t="shared" ref="E82:E90" si="56">IF(C82&gt;D82,ABS((C82-D82)/D82),-ABS((D82-C82)/D82))</f>
        <v>0.11502233921734986</v>
      </c>
      <c r="F82" s="155"/>
      <c r="G82" s="156">
        <f>'C-Döviz'!C139</f>
        <v>380407.00055417459</v>
      </c>
      <c r="H82" s="156">
        <f>'C-Döviz'!B139</f>
        <v>341165.36249954213</v>
      </c>
      <c r="I82" s="224">
        <f t="shared" ref="I82:I90" si="57">IF(G82&gt;H82,ABS((G82-H82)/H82),-ABS((H82-G82)/H82))</f>
        <v>0.11502233921734986</v>
      </c>
      <c r="J82" s="157"/>
      <c r="K82" s="226" t="str">
        <f>B82</f>
        <v xml:space="preserve">İnci Holding  </v>
      </c>
      <c r="L82" s="227">
        <f>'Tahmin Data'!G60</f>
        <v>4159796.3874849966</v>
      </c>
      <c r="M82" s="227">
        <f>'Tahmin Data'!I60</f>
        <v>3884207.55</v>
      </c>
      <c r="N82" s="227">
        <f>'Tahmin Data'!K60</f>
        <v>3374972.6961104465</v>
      </c>
      <c r="O82" s="227">
        <f>'Tahmin Data'!M60</f>
        <v>3415084.9397032969</v>
      </c>
      <c r="P82" s="227">
        <f>'Tahmin Data'!O60</f>
        <v>3406403.2418280994</v>
      </c>
      <c r="Q82" s="227">
        <f>'Tahmin Data'!Q60</f>
        <v>3225641.098358952</v>
      </c>
      <c r="R82" s="227">
        <f>'Tahmin Data'!S60</f>
        <v>3247080.0284650824</v>
      </c>
      <c r="S82" s="227">
        <f>'Tahmin Data'!U60</f>
        <v>0</v>
      </c>
      <c r="T82" s="227">
        <f>'Tahmin Data'!W60</f>
        <v>0</v>
      </c>
      <c r="U82" s="318">
        <f t="shared" ref="U82:U89" si="58">G82</f>
        <v>380407.00055417459</v>
      </c>
      <c r="V82" s="213">
        <f>'Bütçe aylık-Eur'!N82</f>
        <v>3939752.3865551464</v>
      </c>
      <c r="W82" s="224">
        <f>IF(U82&gt;V82,ABS((U82-V82)/V82),-ABS((V82-U82)/V82))</f>
        <v>-0.90344393169165738</v>
      </c>
      <c r="Y82" s="151" t="s">
        <v>143</v>
      </c>
      <c r="Z82" s="453" t="s">
        <v>0</v>
      </c>
      <c r="AA82" s="453"/>
      <c r="AB82" s="453"/>
      <c r="AC82" s="152"/>
      <c r="AD82" s="151"/>
      <c r="AE82" s="151" t="s">
        <v>36</v>
      </c>
      <c r="AF82" s="151"/>
      <c r="AG82" s="153"/>
      <c r="AH82" s="151" t="str">
        <f>Y82</f>
        <v>Maxion</v>
      </c>
      <c r="AI82" s="151"/>
      <c r="AJ82" s="453" t="s">
        <v>97</v>
      </c>
      <c r="AK82" s="453"/>
      <c r="AL82" s="453"/>
    </row>
    <row r="83" spans="2:38" ht="10.5" customHeight="1">
      <c r="B83" s="149" t="s">
        <v>11</v>
      </c>
      <c r="C83" s="156">
        <f>'A -Döviz'!C140</f>
        <v>-2368.1966064800008</v>
      </c>
      <c r="D83" s="156">
        <f>'A -Döviz'!B140</f>
        <v>-18617.17053831114</v>
      </c>
      <c r="E83" s="229">
        <f t="shared" si="56"/>
        <v>0.87279503071604614</v>
      </c>
      <c r="F83" s="155"/>
      <c r="G83" s="156">
        <f>'C-Döviz'!C140</f>
        <v>-2368.1966064800008</v>
      </c>
      <c r="H83" s="156">
        <f>'C-Döviz'!B140</f>
        <v>-18617.17053831114</v>
      </c>
      <c r="I83" s="229">
        <f t="shared" si="57"/>
        <v>0.87279503071604614</v>
      </c>
      <c r="J83" s="157"/>
      <c r="K83" s="226" t="str">
        <f t="shared" ref="K83:K89" si="59">B83</f>
        <v xml:space="preserve">ISM </v>
      </c>
      <c r="L83" s="227">
        <f>'Tahmin Data'!G62</f>
        <v>1001857.3824242168</v>
      </c>
      <c r="M83" s="227">
        <f>'Tahmin Data'!I62</f>
        <v>449436.84</v>
      </c>
      <c r="N83" s="227">
        <f>'Tahmin Data'!K62</f>
        <v>833510.61749220057</v>
      </c>
      <c r="O83" s="227">
        <f>'Tahmin Data'!M62</f>
        <v>582146.49493365851</v>
      </c>
      <c r="P83" s="227">
        <f>'Tahmin Data'!O62</f>
        <v>596766.43504968844</v>
      </c>
      <c r="Q83" s="227">
        <f>'Tahmin Data'!Q62</f>
        <v>490552.85031380254</v>
      </c>
      <c r="R83" s="227">
        <f>'Tahmin Data'!S62</f>
        <v>263006.78816949134</v>
      </c>
      <c r="S83" s="227">
        <f>'Tahmin Data'!U62</f>
        <v>0</v>
      </c>
      <c r="T83" s="227">
        <f>'Tahmin Data'!W62</f>
        <v>0</v>
      </c>
      <c r="U83" s="227">
        <f t="shared" si="58"/>
        <v>-2368.1966064800008</v>
      </c>
      <c r="V83" s="204">
        <f>'Bütçe aylık-Eur'!N83</f>
        <v>1151061.2455388152</v>
      </c>
      <c r="W83" s="229">
        <f>IF(U83&gt;V83,ABS((U83-V83)/V83),-ABS((V83-U83)/V83))</f>
        <v>-1.0020574027799638</v>
      </c>
      <c r="Y83" s="151" t="s">
        <v>110</v>
      </c>
      <c r="Z83" s="151" t="s">
        <v>98</v>
      </c>
      <c r="AA83" s="151" t="s">
        <v>99</v>
      </c>
      <c r="AB83" s="151" t="s">
        <v>100</v>
      </c>
      <c r="AC83" s="152"/>
      <c r="AD83" s="151" t="s">
        <v>98</v>
      </c>
      <c r="AE83" s="151" t="s">
        <v>99</v>
      </c>
      <c r="AF83" s="151" t="s">
        <v>100</v>
      </c>
      <c r="AG83" s="153"/>
      <c r="AH83" s="151" t="s">
        <v>110</v>
      </c>
      <c r="AI83" s="151" t="str">
        <f>$AI$3</f>
        <v>Mayıs YST</v>
      </c>
      <c r="AJ83" s="151" t="str">
        <f>$AJ$3</f>
        <v>Haziran YST</v>
      </c>
      <c r="AK83" s="151" t="s">
        <v>99</v>
      </c>
      <c r="AL83" s="151" t="s">
        <v>100</v>
      </c>
    </row>
    <row r="84" spans="2:38" ht="10.5" customHeight="1">
      <c r="B84" s="149" t="s">
        <v>115</v>
      </c>
      <c r="C84" s="156">
        <f>'A -Döviz'!C141</f>
        <v>34113.973260348394</v>
      </c>
      <c r="D84" s="156">
        <f>'A -Döviz'!B141</f>
        <v>-43556.491670813943</v>
      </c>
      <c r="E84" s="229">
        <f t="shared" si="56"/>
        <v>1.783212144774444</v>
      </c>
      <c r="F84" s="155"/>
      <c r="G84" s="156">
        <f>'C-Döviz'!C141</f>
        <v>34113.973260348394</v>
      </c>
      <c r="H84" s="156">
        <f>'C-Döviz'!B141</f>
        <v>-43556.491670813943</v>
      </c>
      <c r="I84" s="229">
        <f t="shared" si="57"/>
        <v>1.783212144774444</v>
      </c>
      <c r="J84" s="157"/>
      <c r="K84" s="226" t="str">
        <f t="shared" si="59"/>
        <v xml:space="preserve">İncitaş </v>
      </c>
      <c r="L84" s="227">
        <f>'Tahmin Data'!G61</f>
        <v>818683.67867341801</v>
      </c>
      <c r="M84" s="227">
        <f>'Tahmin Data'!I61</f>
        <v>134282.98000000001</v>
      </c>
      <c r="N84" s="227">
        <f>'Tahmin Data'!K61</f>
        <v>399835.85961912473</v>
      </c>
      <c r="O84" s="227">
        <f>'Tahmin Data'!M61</f>
        <v>396722.97965108324</v>
      </c>
      <c r="P84" s="227">
        <f>'Tahmin Data'!O61</f>
        <v>455378.39869438496</v>
      </c>
      <c r="Q84" s="227">
        <f>'Tahmin Data'!Q61</f>
        <v>488725.35133516346</v>
      </c>
      <c r="R84" s="227">
        <f>'Tahmin Data'!S61</f>
        <v>473829.75475790573</v>
      </c>
      <c r="S84" s="227">
        <f>'Tahmin Data'!U61</f>
        <v>0</v>
      </c>
      <c r="T84" s="227">
        <f>'Tahmin Data'!W61</f>
        <v>0</v>
      </c>
      <c r="U84" s="227">
        <f t="shared" si="58"/>
        <v>34113.973260348394</v>
      </c>
      <c r="V84" s="204">
        <f>'Bütçe aylık-Eur'!N84</f>
        <v>831860.59608920862</v>
      </c>
      <c r="W84" s="229">
        <f t="shared" ref="W84:W91" si="60">IF(U84&gt;V84,ABS((U84-V84)/V84),-ABS((V84-U84)/V84))</f>
        <v>-0.95899075708030046</v>
      </c>
      <c r="Y84" s="158" t="s">
        <v>112</v>
      </c>
      <c r="Z84" s="186">
        <f>Z54+Z64+Z74</f>
        <v>41655488.549999997</v>
      </c>
      <c r="AA84" s="186">
        <f>AA54+AA64+AA74</f>
        <v>36930755.912073001</v>
      </c>
      <c r="AB84" s="160">
        <f t="shared" ref="AB84:AB90" si="61">IF(Z84&gt;AA84,ABS((Z84-AA84)/AA84),-ABS((AA84-Z84)/AA84))</f>
        <v>0.12793490198727392</v>
      </c>
      <c r="AC84" s="166"/>
      <c r="AD84" s="186">
        <f>AD54+AD64+AD74</f>
        <v>41655488.549999997</v>
      </c>
      <c r="AE84" s="186">
        <f>AE54+AE64+AE74</f>
        <v>36930755.912073001</v>
      </c>
      <c r="AF84" s="160">
        <f t="shared" ref="AF84:AF90" si="62">IF(AD84&gt;AE84,ABS((AD84-AE84)/AE84),-ABS((AE84-AD84)/AE84))</f>
        <v>0.12793490198727392</v>
      </c>
      <c r="AG84" s="162"/>
      <c r="AH84" s="158" t="s">
        <v>112</v>
      </c>
      <c r="AI84" s="187">
        <f>AI64+AI74+AI54</f>
        <v>1261348816.8610048</v>
      </c>
      <c r="AJ84" s="187">
        <f>AJ64+AJ74+AJ54</f>
        <v>1247927378.9381874</v>
      </c>
      <c r="AK84" s="187">
        <f>AK64+AK74+AK54</f>
        <v>467530573.99181497</v>
      </c>
      <c r="AL84" s="164">
        <f>IF(AJ84&gt;AK84,ABS((AJ84-AK84)/AK84),-ABS((AK84-AJ84)/AK84))</f>
        <v>1.6691888153608425</v>
      </c>
    </row>
    <row r="85" spans="2:38" ht="10.5" customHeight="1">
      <c r="B85" s="149" t="s">
        <v>119</v>
      </c>
      <c r="C85" s="156">
        <f>'A -Döviz'!C142</f>
        <v>1298860.0260257791</v>
      </c>
      <c r="D85" s="156">
        <f>'A -Döviz'!B142</f>
        <v>1646454.613105664</v>
      </c>
      <c r="E85" s="229">
        <f t="shared" si="56"/>
        <v>-0.21111701732501842</v>
      </c>
      <c r="F85" s="155"/>
      <c r="G85" s="156">
        <f>'C-Döviz'!C142</f>
        <v>1298860.0260257791</v>
      </c>
      <c r="H85" s="156">
        <f>'C-Döviz'!B142</f>
        <v>1646454.613105664</v>
      </c>
      <c r="I85" s="229">
        <f t="shared" si="57"/>
        <v>-0.21111701732501842</v>
      </c>
      <c r="J85" s="157"/>
      <c r="K85" s="226" t="str">
        <f t="shared" si="59"/>
        <v xml:space="preserve">İnci GS Yuasa </v>
      </c>
      <c r="L85" s="227">
        <f>'Tahmin Data'!G59/0.4</f>
        <v>62005246.739994697</v>
      </c>
      <c r="M85" s="227">
        <f>'Tahmin Data'!I59/0.4</f>
        <v>33875220.524999999</v>
      </c>
      <c r="N85" s="227">
        <f>'Tahmin Data'!K59/0.4</f>
        <v>27143848.135955501</v>
      </c>
      <c r="O85" s="227">
        <f>'Tahmin Data'!M59/0.4</f>
        <v>24554629.82005034</v>
      </c>
      <c r="P85" s="227">
        <f>'Tahmin Data'!O59/0.4</f>
        <v>26439688.761877947</v>
      </c>
      <c r="Q85" s="227">
        <f>'Tahmin Data'!Q59/0.4</f>
        <v>23186302.18760971</v>
      </c>
      <c r="R85" s="227">
        <f>'Tahmin Data'!S59/0.4</f>
        <v>15510436.884138202</v>
      </c>
      <c r="S85" s="227">
        <f>'Tahmin Data'!U59/0.4</f>
        <v>0</v>
      </c>
      <c r="T85" s="227">
        <f>'Tahmin Data'!W59/0.4</f>
        <v>0</v>
      </c>
      <c r="U85" s="227">
        <f t="shared" si="58"/>
        <v>1298860.0260257791</v>
      </c>
      <c r="V85" s="204">
        <f>'Bütçe aylık-Eur'!N85</f>
        <v>28374000.816196986</v>
      </c>
      <c r="W85" s="229">
        <f t="shared" si="60"/>
        <v>-0.95422358537170626</v>
      </c>
      <c r="Y85" s="158" t="s">
        <v>113</v>
      </c>
      <c r="Z85" s="186">
        <f>Z55+Z65+Z75</f>
        <v>5527978.9799999986</v>
      </c>
      <c r="AA85" s="186">
        <f>AA55+AA65+AA75</f>
        <v>5136586.8586199991</v>
      </c>
      <c r="AB85" s="160">
        <f t="shared" si="61"/>
        <v>7.6196924563473906E-2</v>
      </c>
      <c r="AC85" s="166"/>
      <c r="AD85" s="186">
        <f>AD55+AD65+AD75</f>
        <v>5527978.9799999986</v>
      </c>
      <c r="AE85" s="186">
        <f>AE55+AE65+AE75</f>
        <v>5136586.8586199991</v>
      </c>
      <c r="AF85" s="160">
        <f t="shared" si="62"/>
        <v>7.6196924563473906E-2</v>
      </c>
      <c r="AG85" s="162"/>
      <c r="AH85" s="158" t="s">
        <v>113</v>
      </c>
      <c r="AI85" s="187">
        <f t="shared" ref="AI85:AJ87" si="63">AI65+AI75+AI55</f>
        <v>231477801.38485247</v>
      </c>
      <c r="AJ85" s="187">
        <f t="shared" si="63"/>
        <v>229490923.92739007</v>
      </c>
      <c r="AK85" s="187">
        <f>AK65+AK75+AK55</f>
        <v>73232620.499936998</v>
      </c>
      <c r="AL85" s="164">
        <f>IF(AJ85&gt;AK85,ABS((AJ85-AK85)/AK85),-ABS((AK85-AJ85)/AK85))</f>
        <v>2.1337254130840164</v>
      </c>
    </row>
    <row r="86" spans="2:38">
      <c r="B86" s="149" t="s">
        <v>120</v>
      </c>
      <c r="C86" s="156">
        <f>'A -Döviz'!C143</f>
        <v>415753.69021301129</v>
      </c>
      <c r="D86" s="156">
        <f>'A -Döviz'!B143</f>
        <v>534180.88590141328</v>
      </c>
      <c r="E86" s="229">
        <f t="shared" si="56"/>
        <v>-0.22169867701005411</v>
      </c>
      <c r="F86" s="155"/>
      <c r="G86" s="156">
        <f>'C-Döviz'!C143</f>
        <v>415753.69021301129</v>
      </c>
      <c r="H86" s="156">
        <f>'C-Döviz'!B143</f>
        <v>534180.88590141328</v>
      </c>
      <c r="I86" s="229">
        <f t="shared" si="57"/>
        <v>-0.22169867701005411</v>
      </c>
      <c r="J86" s="157"/>
      <c r="K86" s="226" t="str">
        <f t="shared" si="59"/>
        <v xml:space="preserve">Yusen İnci Loj. </v>
      </c>
      <c r="L86" s="227">
        <f>'Tahmin Data'!G66/0.4</f>
        <v>12578652.728651576</v>
      </c>
      <c r="M86" s="227">
        <f>'Tahmin Data'!I66/0.4</f>
        <v>13074740.024999999</v>
      </c>
      <c r="N86" s="227">
        <f>'Tahmin Data'!K66/0.4</f>
        <v>9924845.1028923411</v>
      </c>
      <c r="O86" s="227">
        <f>'Tahmin Data'!M66/0.4</f>
        <v>10020761.791453116</v>
      </c>
      <c r="P86" s="227">
        <f>'Tahmin Data'!O66/0.4</f>
        <v>10631392.876970332</v>
      </c>
      <c r="Q86" s="227">
        <f>'Tahmin Data'!Q66/0.4</f>
        <v>11040326.885105949</v>
      </c>
      <c r="R86" s="227">
        <f>'Tahmin Data'!S66/0.4</f>
        <v>11979685.986398185</v>
      </c>
      <c r="S86" s="227">
        <f>'Tahmin Data'!U66/0.4</f>
        <v>0</v>
      </c>
      <c r="T86" s="227">
        <f>'Tahmin Data'!W66/0.4</f>
        <v>0</v>
      </c>
      <c r="U86" s="227">
        <f t="shared" si="58"/>
        <v>415753.69021301129</v>
      </c>
      <c r="V86" s="204">
        <f>'Bütçe aylık-Eur'!N86</f>
        <v>5337118.2203704314</v>
      </c>
      <c r="W86" s="229">
        <f t="shared" si="60"/>
        <v>-0.92210146505164814</v>
      </c>
      <c r="Y86" s="158" t="s">
        <v>116</v>
      </c>
      <c r="Z86" s="182">
        <f>Z85/Z84</f>
        <v>0.1327070974900377</v>
      </c>
      <c r="AA86" s="182">
        <f>AA85/AA84</f>
        <v>0.13908696780671098</v>
      </c>
      <c r="AB86" s="160">
        <f t="shared" si="61"/>
        <v>-4.5869648445707581E-2</v>
      </c>
      <c r="AC86" s="167"/>
      <c r="AD86" s="182">
        <f>AD85/AD84</f>
        <v>0.1327070974900377</v>
      </c>
      <c r="AE86" s="182">
        <f>AE85/AE84</f>
        <v>0.13908696780671098</v>
      </c>
      <c r="AF86" s="160">
        <f t="shared" si="62"/>
        <v>-4.5869648445707581E-2</v>
      </c>
      <c r="AG86" s="168"/>
      <c r="AH86" s="158" t="s">
        <v>117</v>
      </c>
      <c r="AI86" s="187">
        <f t="shared" si="63"/>
        <v>179586659.32228249</v>
      </c>
      <c r="AJ86" s="187">
        <f t="shared" si="63"/>
        <v>175860571.22552252</v>
      </c>
      <c r="AK86" s="187">
        <f>AK66+AK76+AK56</f>
        <v>55251847.377948001</v>
      </c>
      <c r="AL86" s="181">
        <f>IF(AJ86&gt;AK86,ABS((AJ86-AK86)/AK86),-ABS((AK86-AJ86)/AK86))</f>
        <v>2.182890338897729</v>
      </c>
    </row>
    <row r="87" spans="2:38" ht="10.5" customHeight="1" thickBot="1">
      <c r="B87" s="149" t="s">
        <v>121</v>
      </c>
      <c r="C87" s="156">
        <f>'A -Döviz'!C144</f>
        <v>1167511.44</v>
      </c>
      <c r="D87" s="156">
        <f>'A -Döviz'!B144</f>
        <v>1012467.2781730001</v>
      </c>
      <c r="E87" s="229">
        <f t="shared" si="56"/>
        <v>0.15313498536641842</v>
      </c>
      <c r="F87" s="155"/>
      <c r="G87" s="156">
        <f>'C-Döviz'!C144</f>
        <v>1167511.44</v>
      </c>
      <c r="H87" s="156">
        <f>'C-Döviz'!B144</f>
        <v>1012467.2781730001</v>
      </c>
      <c r="I87" s="229">
        <f t="shared" si="57"/>
        <v>0.15313498536641842</v>
      </c>
      <c r="J87" s="157"/>
      <c r="K87" s="226" t="str">
        <f t="shared" si="59"/>
        <v xml:space="preserve">Jantaş </v>
      </c>
      <c r="L87" s="227">
        <f>'Tahmin Data'!G65/0.4</f>
        <v>60242500</v>
      </c>
      <c r="M87" s="227">
        <f>'Tahmin Data'!I65/0.4</f>
        <v>64032240.899999999</v>
      </c>
      <c r="N87" s="227">
        <f>'Tahmin Data'!K65/0.4</f>
        <v>64140176.544857487</v>
      </c>
      <c r="O87" s="227">
        <f>'Tahmin Data'!M65/0.4</f>
        <v>66210000</v>
      </c>
      <c r="P87" s="227">
        <f>'Tahmin Data'!O65/0.4</f>
        <v>64043510.666407473</v>
      </c>
      <c r="Q87" s="227">
        <f>'Tahmin Data'!Q65/0.4</f>
        <v>58662756.872727484</v>
      </c>
      <c r="R87" s="227">
        <f>'Tahmin Data'!S65/0.4</f>
        <v>60353809.27354002</v>
      </c>
      <c r="S87" s="227">
        <f>'Tahmin Data'!U65/0.4</f>
        <v>0</v>
      </c>
      <c r="T87" s="227">
        <f>'Tahmin Data'!W65/0.4</f>
        <v>0</v>
      </c>
      <c r="U87" s="227">
        <f t="shared" si="58"/>
        <v>1167511.44</v>
      </c>
      <c r="V87" s="204">
        <f>'Bütçe aylık-Eur'!N87</f>
        <v>21162418.113028001</v>
      </c>
      <c r="W87" s="229">
        <f t="shared" si="60"/>
        <v>-0.94483090572332762</v>
      </c>
      <c r="Y87" s="158" t="s">
        <v>117</v>
      </c>
      <c r="Z87" s="186">
        <f t="shared" ref="Z87:AA90" si="64">Z57+Z67+Z77</f>
        <v>3830277.1799999997</v>
      </c>
      <c r="AA87" s="186">
        <f t="shared" si="64"/>
        <v>3577318.4065939998</v>
      </c>
      <c r="AB87" s="160">
        <f t="shared" si="61"/>
        <v>7.0711841847716436E-2</v>
      </c>
      <c r="AC87" s="166"/>
      <c r="AD87" s="186">
        <f t="shared" ref="AD87:AE90" si="65">AD57+AD67+AD77</f>
        <v>3830277.1799999997</v>
      </c>
      <c r="AE87" s="186">
        <f t="shared" si="65"/>
        <v>3577318.4065939998</v>
      </c>
      <c r="AF87" s="160">
        <f t="shared" si="62"/>
        <v>7.0711841847716436E-2</v>
      </c>
      <c r="AG87" s="162"/>
      <c r="AH87" s="169" t="s">
        <v>19</v>
      </c>
      <c r="AI87" s="188">
        <f t="shared" si="63"/>
        <v>205642249.19694495</v>
      </c>
      <c r="AJ87" s="188">
        <f t="shared" si="63"/>
        <v>211043473.39910007</v>
      </c>
      <c r="AK87" s="188">
        <f>AK67+AK77+AK57</f>
        <v>65242183.578038007</v>
      </c>
      <c r="AL87" s="184">
        <f>IF(AJ87&gt;AK87,ABS((AJ87-AK87)/AK87),-ABS((AK87-AJ87)/AK87))</f>
        <v>2.2347702333822879</v>
      </c>
    </row>
    <row r="88" spans="2:38" ht="10.5" customHeight="1">
      <c r="B88" s="149" t="s">
        <v>122</v>
      </c>
      <c r="C88" s="156">
        <f>'A -Döviz'!C145</f>
        <v>1609449.64</v>
      </c>
      <c r="D88" s="156">
        <f>'A -Döviz'!B145</f>
        <v>1547501.2063069998</v>
      </c>
      <c r="E88" s="229">
        <f t="shared" si="56"/>
        <v>4.003126681938788E-2</v>
      </c>
      <c r="F88" s="155"/>
      <c r="G88" s="156">
        <f>'C-Döviz'!C145</f>
        <v>1609449.64</v>
      </c>
      <c r="H88" s="156">
        <f>'C-Döviz'!B145</f>
        <v>1547501.2063069998</v>
      </c>
      <c r="I88" s="229">
        <f t="shared" si="57"/>
        <v>4.003126681938788E-2</v>
      </c>
      <c r="J88" s="157"/>
      <c r="K88" s="226" t="str">
        <f t="shared" si="59"/>
        <v xml:space="preserve">Çelik </v>
      </c>
      <c r="L88" s="227">
        <f>'Tahmin Data'!G64/0.4</f>
        <v>62053431.224332511</v>
      </c>
      <c r="M88" s="227">
        <f>'Tahmin Data'!I64/0.4</f>
        <v>62608947.524999999</v>
      </c>
      <c r="N88" s="227">
        <f>'Tahmin Data'!K64/0.4</f>
        <v>61986215.150132492</v>
      </c>
      <c r="O88" s="227">
        <f>'Tahmin Data'!M64/0.4</f>
        <v>61986215.150132492</v>
      </c>
      <c r="P88" s="227">
        <f>'Tahmin Data'!O64/0.4</f>
        <v>64018683.406877495</v>
      </c>
      <c r="Q88" s="227">
        <f>'Tahmin Data'!Q64/0.4</f>
        <v>63734857.12380752</v>
      </c>
      <c r="R88" s="227">
        <f>'Tahmin Data'!S64/0.4</f>
        <v>64409680.336612485</v>
      </c>
      <c r="S88" s="227">
        <f>'Tahmin Data'!U64/0.4</f>
        <v>0</v>
      </c>
      <c r="T88" s="227">
        <f>'Tahmin Data'!W64/0.4</f>
        <v>0</v>
      </c>
      <c r="U88" s="227">
        <f t="shared" si="58"/>
        <v>1609449.64</v>
      </c>
      <c r="V88" s="204">
        <f>'Bütçe aylık-Eur'!N88</f>
        <v>20140251.283611</v>
      </c>
      <c r="W88" s="229">
        <f t="shared" si="60"/>
        <v>-0.92008790668318619</v>
      </c>
      <c r="Y88" s="158" t="s">
        <v>19</v>
      </c>
      <c r="Z88" s="186">
        <f t="shared" si="64"/>
        <v>-3069265.7457379885</v>
      </c>
      <c r="AA88" s="186">
        <f t="shared" si="64"/>
        <v>-4822370.9340183455</v>
      </c>
      <c r="AB88" s="160">
        <f t="shared" si="61"/>
        <v>0.36353594782878801</v>
      </c>
      <c r="AC88" s="166"/>
      <c r="AD88" s="186">
        <f t="shared" si="65"/>
        <v>-3069265.7457379885</v>
      </c>
      <c r="AE88" s="186">
        <f t="shared" si="65"/>
        <v>-4822370.9340183455</v>
      </c>
      <c r="AF88" s="160">
        <f t="shared" si="62"/>
        <v>0.36353594782878801</v>
      </c>
      <c r="AG88" s="162"/>
    </row>
    <row r="89" spans="2:38" ht="10.5" customHeight="1" thickBot="1">
      <c r="B89" s="149" t="s">
        <v>124</v>
      </c>
      <c r="C89" s="156">
        <f>'A -Döviz'!C146</f>
        <v>2751017.8999999994</v>
      </c>
      <c r="D89" s="156">
        <f>'A -Döviz'!B146</f>
        <v>2576618.37414</v>
      </c>
      <c r="E89" s="229">
        <f t="shared" si="56"/>
        <v>6.7685431265392157E-2</v>
      </c>
      <c r="F89" s="155"/>
      <c r="G89" s="156">
        <f>'C-Döviz'!C146</f>
        <v>2751017.8999999994</v>
      </c>
      <c r="H89" s="156">
        <f>'C-Döviz'!B146</f>
        <v>2576618.37414</v>
      </c>
      <c r="I89" s="229">
        <f t="shared" si="57"/>
        <v>6.7685431265392157E-2</v>
      </c>
      <c r="J89" s="157"/>
      <c r="K89" s="231" t="str">
        <f t="shared" si="59"/>
        <v xml:space="preserve">Alüminyum </v>
      </c>
      <c r="L89" s="232">
        <f>'Tahmin Data'!G63/0.4</f>
        <v>100747956.37392253</v>
      </c>
      <c r="M89" s="232">
        <f>'Tahmin Data'!I63/0.4</f>
        <v>104810787.69999999</v>
      </c>
      <c r="N89" s="232">
        <f>'Tahmin Data'!K63/0.4</f>
        <v>105351409.6898625</v>
      </c>
      <c r="O89" s="232">
        <f>'Tahmin Data'!M63/0.4</f>
        <v>101294708.77725758</v>
      </c>
      <c r="P89" s="232">
        <f>'Tahmin Data'!O63/0.4</f>
        <v>88794632.016382515</v>
      </c>
      <c r="Q89" s="232">
        <f>'Tahmin Data'!Q63/0.4</f>
        <v>85016710.598965034</v>
      </c>
      <c r="R89" s="232">
        <f>'Tahmin Data'!S63/0.4</f>
        <v>83665656.647522509</v>
      </c>
      <c r="S89" s="232">
        <f>'Tahmin Data'!U63/0.4</f>
        <v>0</v>
      </c>
      <c r="T89" s="232">
        <f>'Tahmin Data'!W63/0.4</f>
        <v>0</v>
      </c>
      <c r="U89" s="232">
        <f t="shared" si="58"/>
        <v>2751017.8999999994</v>
      </c>
      <c r="V89" s="205">
        <f>'Bütçe aylık-Eur'!N89</f>
        <v>31929951.103298001</v>
      </c>
      <c r="W89" s="264">
        <f t="shared" si="60"/>
        <v>-0.91384208854250804</v>
      </c>
      <c r="Y89" s="158" t="s">
        <v>90</v>
      </c>
      <c r="Z89" s="186">
        <f t="shared" si="64"/>
        <v>238262.19</v>
      </c>
      <c r="AA89" s="186">
        <f t="shared" si="64"/>
        <v>639833.33333300008</v>
      </c>
      <c r="AB89" s="160">
        <f t="shared" si="61"/>
        <v>-0.62761835373775865</v>
      </c>
      <c r="AC89" s="166"/>
      <c r="AD89" s="186">
        <f t="shared" si="65"/>
        <v>238262.19</v>
      </c>
      <c r="AE89" s="186">
        <f t="shared" si="65"/>
        <v>639833.33333300008</v>
      </c>
      <c r="AF89" s="160">
        <f t="shared" si="62"/>
        <v>-0.62761835373775865</v>
      </c>
      <c r="AG89" s="162"/>
    </row>
    <row r="90" spans="2:38" ht="10.5" customHeight="1" thickBot="1">
      <c r="B90" s="169" t="s">
        <v>125</v>
      </c>
      <c r="C90" s="192">
        <f>'A -Döviz'!C136</f>
        <v>3309189.8557035588</v>
      </c>
      <c r="D90" s="192">
        <f>'A -Döviz'!B136</f>
        <v>3205880.6433412479</v>
      </c>
      <c r="E90" s="246">
        <f t="shared" si="56"/>
        <v>3.2224909114095854E-2</v>
      </c>
      <c r="F90" s="154"/>
      <c r="G90" s="192">
        <f>'C-Döviz'!C136</f>
        <v>3309189.8557035588</v>
      </c>
      <c r="H90" s="192">
        <f>'C-Döviz'!B136</f>
        <v>3205880.6433412479</v>
      </c>
      <c r="I90" s="260">
        <f t="shared" si="57"/>
        <v>3.2224909114095854E-2</v>
      </c>
      <c r="J90" s="194"/>
      <c r="K90" s="263" t="s">
        <v>138</v>
      </c>
      <c r="L90" s="248">
        <f>SUM('Tahmin Data'!G59:G66)</f>
        <v>125031452.27534316</v>
      </c>
      <c r="M90" s="248">
        <f>SUM('Tahmin Data'!I59:I66)</f>
        <v>115828702.04000001</v>
      </c>
      <c r="N90" s="248">
        <f>SUM('Tahmin Data'!K59:K66)</f>
        <v>112026917.0227019</v>
      </c>
      <c r="O90" s="248">
        <f>SUM('Tahmin Data'!M59:M66)</f>
        <v>110020480.62984546</v>
      </c>
      <c r="P90" s="248">
        <f>SUM('Tahmin Data'!O59:O66)</f>
        <v>106029711.16697848</v>
      </c>
      <c r="Q90" s="248">
        <f>SUM('Tahmin Data'!Q59:Q66)</f>
        <v>100861300.7672942</v>
      </c>
      <c r="R90" s="248">
        <f>SUM('Tahmin Data'!S59:S66)</f>
        <v>98351624.222677067</v>
      </c>
      <c r="S90" s="248">
        <f>SUM('Tahmin Data'!U59:U66)</f>
        <v>0</v>
      </c>
      <c r="T90" s="248">
        <f>SUM('Tahmin Data'!W59:W66)</f>
        <v>0</v>
      </c>
      <c r="U90" s="248" cm="1">
        <f t="array" ref="U90">SUM(U82:U84,(U85:U89)*0.4)</f>
        <v>3309189.8557035588</v>
      </c>
      <c r="V90" s="248">
        <f>'Bütçe aylık-Eur'!N81</f>
        <v>48700170.042784944</v>
      </c>
      <c r="W90" s="229">
        <f t="shared" si="60"/>
        <v>-0.93204972687371901</v>
      </c>
      <c r="Y90" s="169" t="s">
        <v>123</v>
      </c>
      <c r="Z90" s="190">
        <f t="shared" si="64"/>
        <v>31936581.870000001</v>
      </c>
      <c r="AA90" s="190">
        <f t="shared" si="64"/>
        <v>32897051.469505996</v>
      </c>
      <c r="AB90" s="179">
        <f t="shared" si="61"/>
        <v>-2.9196221442408118E-2</v>
      </c>
      <c r="AC90" s="166"/>
      <c r="AD90" s="190">
        <f t="shared" si="65"/>
        <v>31936581.870000001</v>
      </c>
      <c r="AE90" s="190">
        <f t="shared" si="65"/>
        <v>32897051.469505996</v>
      </c>
      <c r="AF90" s="179">
        <f t="shared" si="62"/>
        <v>-2.9196221442408118E-2</v>
      </c>
      <c r="AG90" s="162"/>
    </row>
    <row r="91" spans="2:38" ht="10.5" customHeight="1" thickBot="1">
      <c r="K91" s="249" t="s">
        <v>9</v>
      </c>
      <c r="L91" s="239">
        <f>SUM(L82:L89)</f>
        <v>303608124.51548398</v>
      </c>
      <c r="M91" s="239">
        <f>SUM(M82:M89)</f>
        <v>282869864.04499996</v>
      </c>
      <c r="N91" s="239">
        <f>SUM(N82:N89)</f>
        <v>273154813.79692209</v>
      </c>
      <c r="O91" s="239">
        <f>SUM(O82:O89)</f>
        <v>268460269.95318156</v>
      </c>
      <c r="P91" s="239">
        <f>SUM(P82:P89)</f>
        <v>258386455.80408794</v>
      </c>
      <c r="Q91" s="239">
        <f t="shared" ref="Q91:V91" si="66">SUM(Q82:Q89)</f>
        <v>245845872.96822363</v>
      </c>
      <c r="R91" s="239">
        <f t="shared" si="66"/>
        <v>239903185.69960389</v>
      </c>
      <c r="S91" s="239">
        <f>SUM(S82:S89)</f>
        <v>0</v>
      </c>
      <c r="T91" s="239">
        <f>SUM(T82:T89)</f>
        <v>0</v>
      </c>
      <c r="U91" s="239">
        <f>SUM(U82:U89)</f>
        <v>7654745.473446833</v>
      </c>
      <c r="V91" s="239">
        <f t="shared" si="66"/>
        <v>112866413.7646876</v>
      </c>
      <c r="W91" s="264">
        <f t="shared" si="60"/>
        <v>-0.93217871270893726</v>
      </c>
    </row>
    <row r="92" spans="2:38" ht="10.5" customHeight="1">
      <c r="V92" s="194"/>
      <c r="Y92" s="151" t="s">
        <v>125</v>
      </c>
      <c r="Z92" s="453" t="s">
        <v>0</v>
      </c>
      <c r="AA92" s="453"/>
      <c r="AB92" s="453"/>
      <c r="AC92" s="152"/>
      <c r="AD92" s="151"/>
      <c r="AE92" s="151" t="s">
        <v>36</v>
      </c>
      <c r="AF92" s="151"/>
      <c r="AG92" s="153"/>
      <c r="AH92" s="151" t="s">
        <v>138</v>
      </c>
      <c r="AI92" s="151"/>
      <c r="AJ92" s="453" t="s">
        <v>97</v>
      </c>
      <c r="AK92" s="453"/>
      <c r="AL92" s="453"/>
    </row>
    <row r="93" spans="2:38" ht="10.5" customHeight="1">
      <c r="B93" s="209" t="s">
        <v>24</v>
      </c>
      <c r="C93" s="451" t="s">
        <v>0</v>
      </c>
      <c r="D93" s="451"/>
      <c r="E93" s="451"/>
      <c r="F93" s="210"/>
      <c r="G93" s="210"/>
      <c r="H93" s="210" t="s">
        <v>36</v>
      </c>
      <c r="I93" s="210"/>
      <c r="J93" s="195"/>
      <c r="K93" s="214" t="s">
        <v>144</v>
      </c>
      <c r="L93" s="214"/>
      <c r="M93" s="214"/>
      <c r="N93" s="214"/>
      <c r="O93" s="210"/>
      <c r="P93" s="210"/>
      <c r="Q93" s="210"/>
      <c r="R93" s="210"/>
      <c r="S93" s="210"/>
      <c r="T93" s="210"/>
      <c r="U93" s="210"/>
      <c r="V93" s="195"/>
      <c r="Y93" s="151" t="s">
        <v>110</v>
      </c>
      <c r="Z93" s="151" t="s">
        <v>98</v>
      </c>
      <c r="AA93" s="151" t="s">
        <v>99</v>
      </c>
      <c r="AB93" s="151" t="s">
        <v>100</v>
      </c>
      <c r="AC93" s="152"/>
      <c r="AD93" s="151" t="s">
        <v>98</v>
      </c>
      <c r="AE93" s="151" t="s">
        <v>99</v>
      </c>
      <c r="AF93" s="151" t="s">
        <v>100</v>
      </c>
      <c r="AG93" s="153"/>
      <c r="AH93" s="151" t="s">
        <v>110</v>
      </c>
      <c r="AI93" s="151" t="str">
        <f>AI3</f>
        <v>Mayıs YST</v>
      </c>
      <c r="AJ93" s="151" t="str">
        <f>AJ3</f>
        <v>Haziran YST</v>
      </c>
      <c r="AK93" s="151" t="s">
        <v>99</v>
      </c>
      <c r="AL93" s="151" t="s">
        <v>100</v>
      </c>
    </row>
    <row r="94" spans="2:38" ht="10.5" customHeight="1" thickBot="1">
      <c r="B94" s="169"/>
      <c r="C94" s="211" t="s">
        <v>98</v>
      </c>
      <c r="D94" s="211" t="s">
        <v>99</v>
      </c>
      <c r="E94" s="211" t="s">
        <v>100</v>
      </c>
      <c r="F94" s="211"/>
      <c r="G94" s="211" t="str">
        <f>C94</f>
        <v>Gerçekleşen</v>
      </c>
      <c r="H94" s="211" t="s">
        <v>99</v>
      </c>
      <c r="I94" s="211" t="s">
        <v>100</v>
      </c>
      <c r="J94" s="152"/>
      <c r="K94" s="169"/>
      <c r="L94" s="211" t="str">
        <f>L107</f>
        <v>Mart</v>
      </c>
      <c r="M94" s="211" t="str">
        <f>M107</f>
        <v>Nisan</v>
      </c>
      <c r="N94" s="211" t="str">
        <f>N107</f>
        <v>Mayıs</v>
      </c>
      <c r="O94" s="219" t="s">
        <v>101</v>
      </c>
      <c r="P94" s="219" t="s">
        <v>102</v>
      </c>
      <c r="Q94" s="219" t="s">
        <v>103</v>
      </c>
      <c r="R94" s="219" t="s">
        <v>104</v>
      </c>
      <c r="S94" s="219" t="s">
        <v>105</v>
      </c>
      <c r="T94" s="219" t="s">
        <v>106</v>
      </c>
      <c r="U94" s="219" t="s">
        <v>98</v>
      </c>
      <c r="V94" s="219" t="s">
        <v>99</v>
      </c>
      <c r="W94" s="262" t="s">
        <v>100</v>
      </c>
      <c r="Y94" s="158" t="s">
        <v>112</v>
      </c>
      <c r="Z94" s="186">
        <f>C12</f>
        <v>30208400.538231172</v>
      </c>
      <c r="AA94" s="186">
        <f>D12</f>
        <v>27601026.295465603</v>
      </c>
      <c r="AB94" s="160">
        <f>IF(Z94&gt;AA94,ABS((Z94-AA94)/AA94),-ABS((AA94-Z94)/AA94))</f>
        <v>9.4466568556326361E-2</v>
      </c>
      <c r="AC94" s="166"/>
      <c r="AD94" s="186">
        <f>G12</f>
        <v>30208400.538231172</v>
      </c>
      <c r="AE94" s="186">
        <f>H12</f>
        <v>27601026.295465603</v>
      </c>
      <c r="AF94" s="160">
        <f t="shared" ref="AF94:AF100" si="67">IF(AD94&gt;AE94,ABS((AD94-AE94)/AE94),-ABS((AE94-AD94)/AE94))</f>
        <v>9.4466568556326361E-2</v>
      </c>
      <c r="AG94" s="162"/>
      <c r="AH94" s="158" t="s">
        <v>112</v>
      </c>
      <c r="AI94" s="187">
        <f>SUM('Tahmin Data'!K3:K10)</f>
        <v>789806369.5472362</v>
      </c>
      <c r="AJ94" s="187">
        <f>SUM('Tahmin Data'!M3:M10)</f>
        <v>779321189.84087431</v>
      </c>
      <c r="AK94" s="187">
        <f>'C-Döviz'!AI6</f>
        <v>357330874.1914534</v>
      </c>
      <c r="AL94" s="164">
        <f>IF(AJ94&gt;AK94,ABS((AJ94-AK94)/AK94),-ABS((AK94-AJ94)/AK94))</f>
        <v>1.1809511747460248</v>
      </c>
    </row>
    <row r="95" spans="2:38" ht="10.5" customHeight="1">
      <c r="B95" s="149" t="s">
        <v>111</v>
      </c>
      <c r="C95" s="157">
        <f t="shared" ref="C95:D103" si="68">C82/C4</f>
        <v>0.50411919491446466</v>
      </c>
      <c r="D95" s="157">
        <f t="shared" si="68"/>
        <v>0.47723387197144063</v>
      </c>
      <c r="E95" s="207">
        <f>C95-D95</f>
        <v>2.6885322943024037E-2</v>
      </c>
      <c r="F95" s="155"/>
      <c r="G95" s="157">
        <f t="shared" ref="G95:H103" si="69">G82/G4</f>
        <v>0.50411919491446466</v>
      </c>
      <c r="H95" s="157">
        <f t="shared" si="69"/>
        <v>0.47723387197144063</v>
      </c>
      <c r="I95" s="207">
        <f>G95-H95</f>
        <v>2.6885322943024037E-2</v>
      </c>
      <c r="J95" s="157"/>
      <c r="K95" s="200" t="str">
        <f>B95</f>
        <v xml:space="preserve">İnci Holding  </v>
      </c>
      <c r="L95" s="240">
        <f t="shared" ref="L95:P103" si="70">L82/L4</f>
        <v>0.43287922278900476</v>
      </c>
      <c r="M95" s="240">
        <f t="shared" si="70"/>
        <v>0.41761576084365726</v>
      </c>
      <c r="N95" s="240">
        <f t="shared" si="70"/>
        <v>0.3929997527473546</v>
      </c>
      <c r="O95" s="240">
        <f t="shared" si="70"/>
        <v>0.39953908760170476</v>
      </c>
      <c r="P95" s="240">
        <f t="shared" si="70"/>
        <v>0.3990115185898323</v>
      </c>
      <c r="Q95" s="240">
        <f t="shared" ref="Q95:V103" si="71">Q82/Q4</f>
        <v>0.38724700040855026</v>
      </c>
      <c r="R95" s="240">
        <f t="shared" si="71"/>
        <v>0.38900644290868763</v>
      </c>
      <c r="S95" s="240" t="e">
        <f t="shared" si="71"/>
        <v>#DIV/0!</v>
      </c>
      <c r="T95" s="240" t="e">
        <f t="shared" si="71"/>
        <v>#DIV/0!</v>
      </c>
      <c r="U95" s="240">
        <f t="shared" si="71"/>
        <v>0.50411919491446466</v>
      </c>
      <c r="V95" s="240">
        <f t="shared" si="71"/>
        <v>0.42669179423279224</v>
      </c>
      <c r="W95" s="160">
        <f t="shared" ref="W95:W103" si="72">U95-V95</f>
        <v>7.742740068167242E-2</v>
      </c>
      <c r="Y95" s="158" t="s">
        <v>113</v>
      </c>
      <c r="Z95" s="186">
        <f>C90</f>
        <v>3309189.8557035588</v>
      </c>
      <c r="AA95" s="186">
        <f>D90</f>
        <v>3205880.6433412479</v>
      </c>
      <c r="AB95" s="160">
        <f t="shared" ref="AB95:AB100" si="73">IF(Z95&gt;AA95,ABS((Z95-AA95)/AA95),-ABS((AA95-Z95)/AA95))</f>
        <v>3.2224909114095854E-2</v>
      </c>
      <c r="AC95" s="166"/>
      <c r="AD95" s="186">
        <f>G90</f>
        <v>3309189.8557035588</v>
      </c>
      <c r="AE95" s="186">
        <f>H90</f>
        <v>3205880.6433412479</v>
      </c>
      <c r="AF95" s="160">
        <f t="shared" si="67"/>
        <v>3.2224909114095854E-2</v>
      </c>
      <c r="AG95" s="162"/>
      <c r="AH95" s="158" t="s">
        <v>113</v>
      </c>
      <c r="AI95" s="187">
        <f>SUM('Tahmin Data'!K59:K66)</f>
        <v>112026917.0227019</v>
      </c>
      <c r="AJ95" s="187">
        <f>SUM('Tahmin Data'!M59:M66)</f>
        <v>110020480.62984546</v>
      </c>
      <c r="AK95" s="187">
        <f>'C-Döviz'!AI136</f>
        <v>48700170.042784944</v>
      </c>
      <c r="AL95" s="164">
        <f>IF(AJ95&gt;AK95,ABS((AJ95-AK95)/AK95),-ABS((AK95-AJ95)/AK95))</f>
        <v>1.2591395580998648</v>
      </c>
    </row>
    <row r="96" spans="2:38" ht="10.5" customHeight="1">
      <c r="B96" s="149" t="s">
        <v>11</v>
      </c>
      <c r="C96" s="157">
        <f t="shared" si="68"/>
        <v>-2.6852104529712815E-3</v>
      </c>
      <c r="D96" s="157">
        <f t="shared" si="68"/>
        <v>-2.2317649173043737E-2</v>
      </c>
      <c r="E96" s="157">
        <f t="shared" ref="E96:E103" si="74">C96-D96</f>
        <v>1.9632438720072455E-2</v>
      </c>
      <c r="F96" s="155"/>
      <c r="G96" s="157">
        <f t="shared" si="69"/>
        <v>-2.6852104529712815E-3</v>
      </c>
      <c r="H96" s="157">
        <f t="shared" si="69"/>
        <v>-2.2317649173043737E-2</v>
      </c>
      <c r="I96" s="157">
        <f t="shared" ref="I96:I103" si="75">G96-H96</f>
        <v>1.9632438720072455E-2</v>
      </c>
      <c r="J96" s="157"/>
      <c r="K96" s="200" t="str">
        <f t="shared" ref="K96:K102" si="76">B96</f>
        <v xml:space="preserve">ISM </v>
      </c>
      <c r="L96" s="241">
        <f t="shared" si="70"/>
        <v>0.11206209634015926</v>
      </c>
      <c r="M96" s="241">
        <f t="shared" si="70"/>
        <v>5.4695931969124562E-2</v>
      </c>
      <c r="N96" s="241">
        <f t="shared" si="70"/>
        <v>9.4624626414337665E-2</v>
      </c>
      <c r="O96" s="241">
        <f t="shared" si="70"/>
        <v>7.0788046470095276E-2</v>
      </c>
      <c r="P96" s="241">
        <f t="shared" si="70"/>
        <v>7.1545818989874749E-2</v>
      </c>
      <c r="Q96" s="241">
        <f t="shared" si="71"/>
        <v>6.2923040123847931E-2</v>
      </c>
      <c r="R96" s="241">
        <f t="shared" si="71"/>
        <v>3.5032369801356038E-2</v>
      </c>
      <c r="S96" s="241" t="e">
        <f t="shared" si="71"/>
        <v>#DIV/0!</v>
      </c>
      <c r="T96" s="241" t="e">
        <f t="shared" si="71"/>
        <v>#DIV/0!</v>
      </c>
      <c r="U96" s="241">
        <f t="shared" si="71"/>
        <v>-2.6852104529712815E-3</v>
      </c>
      <c r="V96" s="241">
        <f t="shared" si="71"/>
        <v>0.12245738535777279</v>
      </c>
      <c r="W96" s="160">
        <f t="shared" si="72"/>
        <v>-0.12514259581074408</v>
      </c>
      <c r="Y96" s="158" t="s">
        <v>116</v>
      </c>
      <c r="Z96" s="182">
        <f>C77</f>
        <v>8.5138616081222487E-2</v>
      </c>
      <c r="AA96" s="182">
        <f>D77</f>
        <v>9.2327772428306906E-2</v>
      </c>
      <c r="AB96" s="160">
        <f t="shared" si="73"/>
        <v>-7.7865588630624052E-2</v>
      </c>
      <c r="AC96" s="167"/>
      <c r="AD96" s="182">
        <f>G77</f>
        <v>8.5138616081222487E-2</v>
      </c>
      <c r="AE96" s="182">
        <f>H77</f>
        <v>9.2327772428306906E-2</v>
      </c>
      <c r="AF96" s="160">
        <f t="shared" si="67"/>
        <v>-7.7865588630624052E-2</v>
      </c>
      <c r="AG96" s="168"/>
      <c r="AH96" s="158" t="s">
        <v>117</v>
      </c>
      <c r="AI96" s="187">
        <f>SUM('Tahmin Data'!K83:K90)</f>
        <v>50703565.880402721</v>
      </c>
      <c r="AJ96" s="187">
        <f>SUM('Tahmin Data'!M83:M90)</f>
        <v>50421946.091267429</v>
      </c>
      <c r="AK96" s="187">
        <f>'C-Döviz'!AI186</f>
        <v>27464834.076917421</v>
      </c>
      <c r="AL96" s="164">
        <f>IF(AJ96&gt;AK96,ABS((AJ96-AK96)/AK96),-ABS((AK96-AJ96)/AK96))</f>
        <v>0.83587295485043955</v>
      </c>
    </row>
    <row r="97" spans="2:40" ht="10.5" customHeight="1" thickBot="1">
      <c r="B97" s="149" t="s">
        <v>115</v>
      </c>
      <c r="C97" s="157">
        <f t="shared" si="68"/>
        <v>3.5243493079768241E-2</v>
      </c>
      <c r="D97" s="157">
        <f t="shared" si="68"/>
        <v>-4.3815413651783652E-2</v>
      </c>
      <c r="E97" s="157">
        <f t="shared" si="74"/>
        <v>7.9058906731551887E-2</v>
      </c>
      <c r="F97" s="155"/>
      <c r="G97" s="157">
        <f t="shared" si="69"/>
        <v>3.5243493079768241E-2</v>
      </c>
      <c r="H97" s="157">
        <f t="shared" si="69"/>
        <v>-4.3815413651783652E-2</v>
      </c>
      <c r="I97" s="157">
        <f t="shared" si="75"/>
        <v>7.9058906731551887E-2</v>
      </c>
      <c r="J97" s="157"/>
      <c r="K97" s="200" t="str">
        <f t="shared" si="76"/>
        <v xml:space="preserve">İncitaş </v>
      </c>
      <c r="L97" s="241">
        <f t="shared" si="70"/>
        <v>4.8257488587693874E-2</v>
      </c>
      <c r="M97" s="241">
        <f t="shared" si="70"/>
        <v>9.372228194314337E-3</v>
      </c>
      <c r="N97" s="241">
        <f t="shared" si="70"/>
        <v>3.0223854719040631E-2</v>
      </c>
      <c r="O97" s="241">
        <f t="shared" si="70"/>
        <v>3.0245730068707656E-2</v>
      </c>
      <c r="P97" s="241">
        <f t="shared" si="70"/>
        <v>3.4169475172486835E-2</v>
      </c>
      <c r="Q97" s="241">
        <f t="shared" si="71"/>
        <v>3.7622761749641069E-2</v>
      </c>
      <c r="R97" s="241">
        <f t="shared" si="71"/>
        <v>3.6890155634636448E-2</v>
      </c>
      <c r="S97" s="241" t="e">
        <f t="shared" si="71"/>
        <v>#DIV/0!</v>
      </c>
      <c r="T97" s="241" t="e">
        <f t="shared" si="71"/>
        <v>#DIV/0!</v>
      </c>
      <c r="U97" s="241">
        <f t="shared" si="71"/>
        <v>3.5243493079768241E-2</v>
      </c>
      <c r="V97" s="241">
        <f t="shared" si="71"/>
        <v>4.9450629883845201E-2</v>
      </c>
      <c r="W97" s="160">
        <f t="shared" si="72"/>
        <v>-1.420713680407696E-2</v>
      </c>
      <c r="Y97" s="158" t="s">
        <v>117</v>
      </c>
      <c r="Z97" s="186">
        <f>C142</f>
        <v>1058880.6053065835</v>
      </c>
      <c r="AA97" s="186">
        <f>D142</f>
        <v>1557792.4278231608</v>
      </c>
      <c r="AB97" s="160">
        <f t="shared" si="73"/>
        <v>-0.32026848609974973</v>
      </c>
      <c r="AC97" s="166"/>
      <c r="AD97" s="186">
        <f>G142</f>
        <v>1058880.6053065835</v>
      </c>
      <c r="AE97" s="186">
        <f>H142</f>
        <v>1557792.4278231608</v>
      </c>
      <c r="AF97" s="160">
        <f t="shared" si="67"/>
        <v>-0.32026848609974973</v>
      </c>
      <c r="AG97" s="162"/>
      <c r="AH97" s="169" t="s">
        <v>19</v>
      </c>
      <c r="AI97" s="188">
        <f>SUM('Tahmin Data'!K139:K146)</f>
        <v>110640363.47168906</v>
      </c>
      <c r="AJ97" s="188">
        <f>SUM('Tahmin Data'!M139:M146)</f>
        <v>111139836.32498279</v>
      </c>
      <c r="AK97" s="188">
        <f>'C-Döviz'!AI288</f>
        <v>40926965.045080028</v>
      </c>
      <c r="AL97" s="184">
        <f>IF(AJ97&gt;AK97,ABS((AJ97-AK97)/AK97),-ABS((AK97-AJ97)/AK97))</f>
        <v>1.7155650608972601</v>
      </c>
      <c r="AN97" s="191"/>
    </row>
    <row r="98" spans="2:40">
      <c r="B98" s="149" t="s">
        <v>119</v>
      </c>
      <c r="C98" s="157">
        <f t="shared" si="68"/>
        <v>6.0865880843644249E-2</v>
      </c>
      <c r="D98" s="157">
        <f t="shared" si="68"/>
        <v>8.6185712712452081E-2</v>
      </c>
      <c r="E98" s="157">
        <f t="shared" si="74"/>
        <v>-2.5319831868807832E-2</v>
      </c>
      <c r="F98" s="155"/>
      <c r="G98" s="157">
        <f t="shared" si="69"/>
        <v>6.0865880843644249E-2</v>
      </c>
      <c r="H98" s="157">
        <f t="shared" si="69"/>
        <v>8.6185712712452081E-2</v>
      </c>
      <c r="I98" s="157">
        <f t="shared" si="75"/>
        <v>-2.5319831868807832E-2</v>
      </c>
      <c r="J98" s="157"/>
      <c r="K98" s="200" t="str">
        <f t="shared" si="76"/>
        <v xml:space="preserve">İnci GS Yuasa </v>
      </c>
      <c r="L98" s="241">
        <f t="shared" si="70"/>
        <v>0.10298518200234327</v>
      </c>
      <c r="M98" s="241">
        <f t="shared" si="70"/>
        <v>6.1761145540115144E-2</v>
      </c>
      <c r="N98" s="241">
        <f t="shared" si="70"/>
        <v>5.8700151951831855E-2</v>
      </c>
      <c r="O98" s="241">
        <f t="shared" si="70"/>
        <v>5.414083394295785E-2</v>
      </c>
      <c r="P98" s="241">
        <f t="shared" si="70"/>
        <v>5.6068804802093079E-2</v>
      </c>
      <c r="Q98" s="241">
        <f t="shared" si="71"/>
        <v>5.1659877055953596E-2</v>
      </c>
      <c r="R98" s="241">
        <f t="shared" si="71"/>
        <v>3.5446107877710395E-2</v>
      </c>
      <c r="S98" s="241" t="e">
        <f t="shared" si="71"/>
        <v>#DIV/0!</v>
      </c>
      <c r="T98" s="241" t="e">
        <f t="shared" si="71"/>
        <v>#DIV/0!</v>
      </c>
      <c r="U98" s="241">
        <f t="shared" si="71"/>
        <v>6.0865880843644249E-2</v>
      </c>
      <c r="V98" s="241">
        <f t="shared" si="71"/>
        <v>0.10976742803656281</v>
      </c>
      <c r="W98" s="160">
        <f t="shared" si="72"/>
        <v>-4.890154719291856E-2</v>
      </c>
      <c r="Y98" s="158" t="s">
        <v>19</v>
      </c>
      <c r="Z98" s="186">
        <f>C181</f>
        <v>-2420699.2818680145</v>
      </c>
      <c r="AA98" s="186">
        <f>D181</f>
        <v>-3809780.3382335203</v>
      </c>
      <c r="AB98" s="160">
        <f t="shared" si="73"/>
        <v>0.36460922495326348</v>
      </c>
      <c r="AC98" s="166"/>
      <c r="AD98" s="186">
        <f>G181</f>
        <v>-2420699.2818680145</v>
      </c>
      <c r="AE98" s="186">
        <f>H181</f>
        <v>-3809780.3382335203</v>
      </c>
      <c r="AF98" s="160">
        <f t="shared" si="67"/>
        <v>0.36460922495326348</v>
      </c>
      <c r="AG98" s="162"/>
    </row>
    <row r="99" spans="2:40" ht="10.5" customHeight="1">
      <c r="B99" s="149" t="s">
        <v>120</v>
      </c>
      <c r="C99" s="157">
        <f t="shared" si="68"/>
        <v>6.9124267107037049E-2</v>
      </c>
      <c r="D99" s="157">
        <f t="shared" si="68"/>
        <v>8.0809931957923811E-2</v>
      </c>
      <c r="E99" s="157">
        <f t="shared" si="74"/>
        <v>-1.1685664850886762E-2</v>
      </c>
      <c r="F99" s="155"/>
      <c r="G99" s="157">
        <f t="shared" si="69"/>
        <v>6.9124267107037049E-2</v>
      </c>
      <c r="H99" s="157">
        <f t="shared" si="69"/>
        <v>8.0809931957923811E-2</v>
      </c>
      <c r="I99" s="157">
        <f t="shared" si="75"/>
        <v>-1.1685664850886762E-2</v>
      </c>
      <c r="J99" s="157"/>
      <c r="K99" s="200" t="str">
        <f t="shared" si="76"/>
        <v xml:space="preserve">Yusen İnci Loj. </v>
      </c>
      <c r="L99" s="241">
        <f t="shared" si="70"/>
        <v>6.5869689920265775E-2</v>
      </c>
      <c r="M99" s="241">
        <f t="shared" si="70"/>
        <v>6.8598194620163963E-2</v>
      </c>
      <c r="N99" s="241">
        <f t="shared" si="70"/>
        <v>5.6977734604309126E-2</v>
      </c>
      <c r="O99" s="241">
        <f t="shared" si="70"/>
        <v>5.8218606288027282E-2</v>
      </c>
      <c r="P99" s="241">
        <f t="shared" si="70"/>
        <v>6.261057111829707E-2</v>
      </c>
      <c r="Q99" s="241">
        <f t="shared" si="71"/>
        <v>6.7359724317695088E-2</v>
      </c>
      <c r="R99" s="241">
        <f t="shared" si="71"/>
        <v>7.2588652111946164E-2</v>
      </c>
      <c r="S99" s="241" t="e">
        <f t="shared" si="71"/>
        <v>#DIV/0!</v>
      </c>
      <c r="T99" s="241" t="e">
        <f t="shared" si="71"/>
        <v>#DIV/0!</v>
      </c>
      <c r="U99" s="241">
        <f t="shared" si="71"/>
        <v>6.9124267107037049E-2</v>
      </c>
      <c r="V99" s="241">
        <f t="shared" si="71"/>
        <v>6.7844290477156899E-2</v>
      </c>
      <c r="W99" s="160">
        <f t="shared" si="72"/>
        <v>1.2799766298801502E-3</v>
      </c>
      <c r="Y99" s="158" t="s">
        <v>90</v>
      </c>
      <c r="Z99" s="186">
        <f>C194</f>
        <v>265319.59503838257</v>
      </c>
      <c r="AA99" s="186">
        <f>D194</f>
        <v>460695.53136583423</v>
      </c>
      <c r="AB99" s="160">
        <f t="shared" si="73"/>
        <v>-0.4240890632218991</v>
      </c>
      <c r="AC99" s="166"/>
      <c r="AD99" s="186">
        <f>G194</f>
        <v>265319.59503838257</v>
      </c>
      <c r="AE99" s="186">
        <f>H194</f>
        <v>460695.53136583423</v>
      </c>
      <c r="AF99" s="160">
        <f t="shared" si="67"/>
        <v>-0.4240890632218991</v>
      </c>
      <c r="AG99" s="162"/>
    </row>
    <row r="100" spans="2:40" ht="10.5" customHeight="1" thickBot="1">
      <c r="B100" s="149" t="s">
        <v>121</v>
      </c>
      <c r="C100" s="157">
        <f t="shared" si="68"/>
        <v>0.10059966558551707</v>
      </c>
      <c r="D100" s="157">
        <f t="shared" si="68"/>
        <v>0.10075511008749968</v>
      </c>
      <c r="E100" s="157">
        <f t="shared" si="74"/>
        <v>-1.5544450198261284E-4</v>
      </c>
      <c r="F100" s="155"/>
      <c r="G100" s="157">
        <f t="shared" si="69"/>
        <v>0.10059966558551707</v>
      </c>
      <c r="H100" s="157">
        <f t="shared" si="69"/>
        <v>0.10075511008749968</v>
      </c>
      <c r="I100" s="157">
        <f t="shared" si="75"/>
        <v>-1.5544450198261284E-4</v>
      </c>
      <c r="J100" s="157"/>
      <c r="K100" s="200" t="str">
        <f t="shared" si="76"/>
        <v xml:space="preserve">Jantaş </v>
      </c>
      <c r="L100" s="241">
        <f t="shared" si="70"/>
        <v>0.17121156141647245</v>
      </c>
      <c r="M100" s="241">
        <f t="shared" si="70"/>
        <v>0.18188239861155825</v>
      </c>
      <c r="N100" s="241">
        <f t="shared" si="70"/>
        <v>0.18248043599678823</v>
      </c>
      <c r="O100" s="241">
        <f t="shared" si="70"/>
        <v>0.18817410581063221</v>
      </c>
      <c r="P100" s="241">
        <f t="shared" si="70"/>
        <v>0.18559559332042505</v>
      </c>
      <c r="Q100" s="241">
        <f t="shared" si="71"/>
        <v>0.17406632572765759</v>
      </c>
      <c r="R100" s="241">
        <f t="shared" si="71"/>
        <v>0.17760950730291897</v>
      </c>
      <c r="S100" s="241" t="e">
        <f t="shared" si="71"/>
        <v>#DIV/0!</v>
      </c>
      <c r="T100" s="241" t="e">
        <f t="shared" si="71"/>
        <v>#DIV/0!</v>
      </c>
      <c r="U100" s="241">
        <f t="shared" si="71"/>
        <v>0.10059966558551707</v>
      </c>
      <c r="V100" s="241">
        <f t="shared" si="71"/>
        <v>0.15792880415728011</v>
      </c>
      <c r="W100" s="160">
        <f t="shared" si="72"/>
        <v>-5.7329138571763041E-2</v>
      </c>
      <c r="Y100" s="169" t="s">
        <v>123</v>
      </c>
      <c r="Z100" s="190">
        <f>C220</f>
        <v>21283818.613472156</v>
      </c>
      <c r="AA100" s="190">
        <f>D220</f>
        <v>21357630.57866621</v>
      </c>
      <c r="AB100" s="179">
        <f t="shared" si="73"/>
        <v>-3.4559997150518896E-3</v>
      </c>
      <c r="AC100" s="166"/>
      <c r="AD100" s="190">
        <f>G220</f>
        <v>21283818.613472156</v>
      </c>
      <c r="AE100" s="190">
        <f>H220</f>
        <v>21357630.57866621</v>
      </c>
      <c r="AF100" s="179">
        <f t="shared" si="67"/>
        <v>-3.4559997150518896E-3</v>
      </c>
      <c r="AG100" s="162"/>
    </row>
    <row r="101" spans="2:40" ht="10.5" customHeight="1">
      <c r="B101" s="149" t="s">
        <v>122</v>
      </c>
      <c r="C101" s="157">
        <f t="shared" si="68"/>
        <v>0.20553457292722721</v>
      </c>
      <c r="D101" s="157">
        <f t="shared" si="68"/>
        <v>0.2042202697997933</v>
      </c>
      <c r="E101" s="157">
        <f t="shared" si="74"/>
        <v>1.3143031274339134E-3</v>
      </c>
      <c r="F101" s="155"/>
      <c r="G101" s="157">
        <f t="shared" si="69"/>
        <v>0.20553457292722721</v>
      </c>
      <c r="H101" s="157">
        <f t="shared" si="69"/>
        <v>0.2042202697997933</v>
      </c>
      <c r="I101" s="157">
        <f t="shared" si="75"/>
        <v>1.3143031274339134E-3</v>
      </c>
      <c r="J101" s="157"/>
      <c r="K101" s="200" t="str">
        <f t="shared" si="76"/>
        <v xml:space="preserve">Çelik </v>
      </c>
      <c r="L101" s="241">
        <f t="shared" si="70"/>
        <v>0.26145784896486524</v>
      </c>
      <c r="M101" s="241">
        <f t="shared" si="70"/>
        <v>0.26541787723489657</v>
      </c>
      <c r="N101" s="241">
        <f t="shared" si="70"/>
        <v>0.26331969594317373</v>
      </c>
      <c r="O101" s="241">
        <f t="shared" si="70"/>
        <v>0.26331969594317373</v>
      </c>
      <c r="P101" s="241">
        <f t="shared" si="70"/>
        <v>0.27056010798122804</v>
      </c>
      <c r="Q101" s="241">
        <f t="shared" si="71"/>
        <v>0.26954322970663647</v>
      </c>
      <c r="R101" s="241">
        <f t="shared" si="71"/>
        <v>0.26903594639424566</v>
      </c>
      <c r="S101" s="241" t="e">
        <f t="shared" si="71"/>
        <v>#DIV/0!</v>
      </c>
      <c r="T101" s="241" t="e">
        <f t="shared" si="71"/>
        <v>#DIV/0!</v>
      </c>
      <c r="U101" s="241">
        <f t="shared" si="71"/>
        <v>0.20553457292722721</v>
      </c>
      <c r="V101" s="241">
        <f t="shared" si="71"/>
        <v>0.23460399565363405</v>
      </c>
      <c r="W101" s="160">
        <f t="shared" si="72"/>
        <v>-2.9069422726406835E-2</v>
      </c>
    </row>
    <row r="102" spans="2:40" ht="10.5" customHeight="1" thickBot="1">
      <c r="B102" s="149" t="s">
        <v>124</v>
      </c>
      <c r="C102" s="157">
        <f t="shared" si="68"/>
        <v>0.12381145082874422</v>
      </c>
      <c r="D102" s="157">
        <f t="shared" si="68"/>
        <v>0.13347342952117916</v>
      </c>
      <c r="E102" s="157">
        <f t="shared" si="74"/>
        <v>-9.6619786924349443E-3</v>
      </c>
      <c r="F102" s="155"/>
      <c r="G102" s="157">
        <f t="shared" si="69"/>
        <v>0.12381145082874422</v>
      </c>
      <c r="H102" s="157">
        <f t="shared" si="69"/>
        <v>0.13347342952117916</v>
      </c>
      <c r="I102" s="157">
        <f t="shared" si="75"/>
        <v>-9.6619786924349443E-3</v>
      </c>
      <c r="J102" s="157"/>
      <c r="K102" s="201" t="str">
        <f t="shared" si="76"/>
        <v xml:space="preserve">Alüminyum </v>
      </c>
      <c r="L102" s="242">
        <f t="shared" si="70"/>
        <v>0.14801299846639696</v>
      </c>
      <c r="M102" s="242">
        <f t="shared" si="70"/>
        <v>0.15559320811884386</v>
      </c>
      <c r="N102" s="242">
        <f t="shared" si="70"/>
        <v>0.15620222730351738</v>
      </c>
      <c r="O102" s="242">
        <f t="shared" si="70"/>
        <v>0.15332130384742143</v>
      </c>
      <c r="P102" s="242">
        <f t="shared" si="70"/>
        <v>0.13839476395368036</v>
      </c>
      <c r="Q102" s="242">
        <f t="shared" si="71"/>
        <v>0.13409681512983454</v>
      </c>
      <c r="R102" s="242">
        <f t="shared" si="71"/>
        <v>0.1320974057781803</v>
      </c>
      <c r="S102" s="242" t="e">
        <f t="shared" si="71"/>
        <v>#DIV/0!</v>
      </c>
      <c r="T102" s="242" t="e">
        <f t="shared" si="71"/>
        <v>#DIV/0!</v>
      </c>
      <c r="U102" s="242">
        <f t="shared" si="71"/>
        <v>0.12381145082874422</v>
      </c>
      <c r="V102" s="242">
        <f t="shared" si="71"/>
        <v>0.12891459708804626</v>
      </c>
      <c r="W102" s="179">
        <f t="shared" si="72"/>
        <v>-5.103146259302041E-3</v>
      </c>
    </row>
    <row r="103" spans="2:40" ht="10.5" customHeight="1" thickBot="1">
      <c r="B103" s="169" t="s">
        <v>125</v>
      </c>
      <c r="C103" s="193">
        <f t="shared" si="68"/>
        <v>0.10954535151622846</v>
      </c>
      <c r="D103" s="193">
        <f t="shared" si="68"/>
        <v>0.11615077675093269</v>
      </c>
      <c r="E103" s="193">
        <f t="shared" si="74"/>
        <v>-6.6054252347042264E-3</v>
      </c>
      <c r="F103" s="154"/>
      <c r="G103" s="193">
        <f t="shared" si="69"/>
        <v>0.10954535151622846</v>
      </c>
      <c r="H103" s="193">
        <f t="shared" si="69"/>
        <v>0.11615077675093269</v>
      </c>
      <c r="I103" s="193">
        <f t="shared" si="75"/>
        <v>-6.6054252347042264E-3</v>
      </c>
      <c r="J103" s="194"/>
      <c r="K103" s="238" t="s">
        <v>125</v>
      </c>
      <c r="L103" s="243">
        <f t="shared" si="70"/>
        <v>0.14527090428717659</v>
      </c>
      <c r="M103" s="243">
        <f t="shared" si="70"/>
        <v>0.13919962808849845</v>
      </c>
      <c r="N103" s="243">
        <f t="shared" si="70"/>
        <v>0.14184098956674959</v>
      </c>
      <c r="O103" s="243">
        <f t="shared" si="70"/>
        <v>0.14117475832051993</v>
      </c>
      <c r="P103" s="243">
        <f t="shared" si="70"/>
        <v>0.13662479086844226</v>
      </c>
      <c r="Q103" s="243">
        <f t="shared" si="71"/>
        <v>0.13320434023599959</v>
      </c>
      <c r="R103" s="273">
        <f t="shared" si="71"/>
        <v>0.13030536080784286</v>
      </c>
      <c r="S103" s="273" t="e">
        <f t="shared" si="71"/>
        <v>#DIV/0!</v>
      </c>
      <c r="T103" s="273" t="e">
        <f t="shared" si="71"/>
        <v>#DIV/0!</v>
      </c>
      <c r="U103" s="273">
        <f t="shared" si="71"/>
        <v>0.10954535151622843</v>
      </c>
      <c r="V103" s="273">
        <f t="shared" si="71"/>
        <v>0.13628872722789689</v>
      </c>
      <c r="W103" s="243">
        <f t="shared" si="72"/>
        <v>-2.674337571166846E-2</v>
      </c>
    </row>
    <row r="104" spans="2:40" ht="10.5" customHeight="1" thickBot="1">
      <c r="K104" s="249"/>
      <c r="L104" s="239"/>
      <c r="M104" s="239"/>
      <c r="N104" s="239"/>
      <c r="O104" s="239"/>
      <c r="P104" s="239"/>
      <c r="Q104" s="239"/>
      <c r="R104" s="239"/>
      <c r="S104" s="239"/>
      <c r="T104" s="239"/>
      <c r="U104" s="239"/>
      <c r="V104" s="239"/>
    </row>
    <row r="105" spans="2:40" ht="10.5" customHeight="1">
      <c r="V105" s="194"/>
    </row>
    <row r="106" spans="2:40" ht="10.5" customHeight="1">
      <c r="B106" s="209" t="s">
        <v>145</v>
      </c>
      <c r="C106" s="451" t="s">
        <v>0</v>
      </c>
      <c r="D106" s="451"/>
      <c r="E106" s="451"/>
      <c r="F106" s="210"/>
      <c r="G106" s="210"/>
      <c r="H106" s="210" t="s">
        <v>36</v>
      </c>
      <c r="I106" s="210"/>
      <c r="J106" s="195"/>
      <c r="K106" s="214" t="s">
        <v>146</v>
      </c>
      <c r="L106" s="214"/>
      <c r="M106" s="214"/>
      <c r="N106" s="214"/>
      <c r="O106" s="210"/>
      <c r="P106" s="210"/>
      <c r="Q106" s="210"/>
      <c r="R106" s="210"/>
      <c r="S106" s="210"/>
      <c r="T106" s="210"/>
      <c r="U106" s="210"/>
      <c r="V106" s="157"/>
    </row>
    <row r="107" spans="2:40" ht="10.5" customHeight="1" thickBot="1">
      <c r="B107" s="169"/>
      <c r="C107" s="211" t="s">
        <v>98</v>
      </c>
      <c r="D107" s="211" t="s">
        <v>99</v>
      </c>
      <c r="E107" s="211" t="s">
        <v>100</v>
      </c>
      <c r="F107" s="211"/>
      <c r="G107" s="211" t="str">
        <f>C107</f>
        <v>Gerçekleşen</v>
      </c>
      <c r="H107" s="211" t="s">
        <v>99</v>
      </c>
      <c r="I107" s="211" t="s">
        <v>100</v>
      </c>
      <c r="J107" s="152"/>
      <c r="K107" s="218"/>
      <c r="L107" s="219" t="str">
        <f>L42</f>
        <v>Mart</v>
      </c>
      <c r="M107" s="219" t="str">
        <f>M42</f>
        <v>Nisan</v>
      </c>
      <c r="N107" s="219" t="str">
        <f>N42</f>
        <v>Mayıs</v>
      </c>
      <c r="O107" s="219" t="s">
        <v>101</v>
      </c>
      <c r="P107" s="219" t="s">
        <v>102</v>
      </c>
      <c r="Q107" s="219" t="s">
        <v>103</v>
      </c>
      <c r="R107" s="219" t="s">
        <v>104</v>
      </c>
      <c r="S107" s="219" t="s">
        <v>105</v>
      </c>
      <c r="T107" s="219" t="s">
        <v>106</v>
      </c>
      <c r="U107" s="219" t="s">
        <v>98</v>
      </c>
      <c r="V107" s="250" t="s">
        <v>99</v>
      </c>
      <c r="W107" s="262" t="s">
        <v>100</v>
      </c>
    </row>
    <row r="108" spans="2:40" ht="10.5" customHeight="1" thickTop="1">
      <c r="B108" s="149" t="s">
        <v>111</v>
      </c>
      <c r="C108" s="156">
        <f>'A -Döviz'!C163</f>
        <v>-242607.01270504482</v>
      </c>
      <c r="D108" s="156">
        <f>'A -Döviz'!B163</f>
        <v>-192358.10779165587</v>
      </c>
      <c r="E108" s="224">
        <f>IF(C108&gt;D108,ABS((C108-D108)/D108),-ABS((D108-C108)/D108))</f>
        <v>-0.26122582245305626</v>
      </c>
      <c r="F108" s="155"/>
      <c r="G108" s="156">
        <f>'C-Döviz'!C163</f>
        <v>-242607.01270504482</v>
      </c>
      <c r="H108" s="156">
        <f>'C-Döviz'!B163</f>
        <v>-192358.10779165587</v>
      </c>
      <c r="I108" s="224">
        <f t="shared" ref="I108:I116" si="77">IF(G108&gt;H108,ABS((G108-H108)/H108),-ABS((H108-G108)/H108))</f>
        <v>-0.26122582245305626</v>
      </c>
      <c r="J108" s="157"/>
      <c r="K108" s="226" t="str">
        <f>B108</f>
        <v xml:space="preserve">İnci Holding  </v>
      </c>
      <c r="L108" s="227">
        <f>'Tahmin Data'!G68</f>
        <v>-1009376.9009340681</v>
      </c>
      <c r="M108" s="227">
        <f>'Tahmin Data'!I68</f>
        <v>-931315.22</v>
      </c>
      <c r="N108" s="227">
        <f>'Tahmin Data'!K68</f>
        <v>-1040833.5605349664</v>
      </c>
      <c r="O108" s="227">
        <f>'Tahmin Data'!M68</f>
        <v>-933934.37800177513</v>
      </c>
      <c r="P108" s="227">
        <f>'Tahmin Data'!O68</f>
        <v>-1014322.616420994</v>
      </c>
      <c r="Q108" s="227">
        <f>'Tahmin Data'!Q68</f>
        <v>-1129121.0169710016</v>
      </c>
      <c r="R108" s="227">
        <f>'Tahmin Data'!S68</f>
        <v>-1129121.0169710016</v>
      </c>
      <c r="S108" s="227">
        <f>'Tahmin Data'!U68</f>
        <v>0</v>
      </c>
      <c r="T108" s="227">
        <f>'Tahmin Data'!W68</f>
        <v>0</v>
      </c>
      <c r="U108" s="318">
        <f t="shared" ref="U108:U115" si="78">G108</f>
        <v>-242607.01270504482</v>
      </c>
      <c r="V108" s="213">
        <f>'Bütçe aylık-Eur'!N93</f>
        <v>-1010869.2727950161</v>
      </c>
      <c r="W108" s="224">
        <f>IF(U108&gt;V108,ABS((U108-V108)/V108),-ABS((V108-U108)/V108))</f>
        <v>0.76000159542465329</v>
      </c>
      <c r="X108" s="162"/>
      <c r="Y108" s="162"/>
    </row>
    <row r="109" spans="2:40" ht="10.5" customHeight="1">
      <c r="B109" s="149" t="s">
        <v>11</v>
      </c>
      <c r="C109" s="156">
        <f>'A -Döviz'!C164</f>
        <v>-57620.057316542741</v>
      </c>
      <c r="D109" s="156">
        <f>'A -Döviz'!B164</f>
        <v>-8742.9981041020328</v>
      </c>
      <c r="E109" s="229">
        <f t="shared" ref="E109:E116" si="79">IF(C109&gt;D109,ABS((C109-D109)/D109),-ABS((D109-C109)/D109))</f>
        <v>-5.5904231741178823</v>
      </c>
      <c r="F109" s="155"/>
      <c r="G109" s="156">
        <f>'C-Döviz'!C164</f>
        <v>-57620.057316542741</v>
      </c>
      <c r="H109" s="156">
        <f>'C-Döviz'!B164</f>
        <v>-8742.9981041020328</v>
      </c>
      <c r="I109" s="229">
        <f t="shared" si="77"/>
        <v>-5.5904231741178823</v>
      </c>
      <c r="J109" s="157"/>
      <c r="K109" s="226" t="str">
        <f t="shared" ref="K109:K115" si="80">B109</f>
        <v xml:space="preserve">ISM </v>
      </c>
      <c r="L109" s="227">
        <f>'Tahmin Data'!G70</f>
        <v>-259826.94093538393</v>
      </c>
      <c r="M109" s="227">
        <f>'Tahmin Data'!I70</f>
        <v>-611685.69999999995</v>
      </c>
      <c r="N109" s="227">
        <f>'Tahmin Data'!K70</f>
        <v>-626513.158178841</v>
      </c>
      <c r="O109" s="227">
        <f>'Tahmin Data'!M70</f>
        <v>-1414242.1527011131</v>
      </c>
      <c r="P109" s="227">
        <f>'Tahmin Data'!O70</f>
        <v>-1414783.295336436</v>
      </c>
      <c r="Q109" s="227">
        <f>'Tahmin Data'!Q70</f>
        <v>-1430587.1771982142</v>
      </c>
      <c r="R109" s="227">
        <f>'Tahmin Data'!S70</f>
        <v>-1441478.7097789692</v>
      </c>
      <c r="S109" s="227">
        <f>'Tahmin Data'!U70</f>
        <v>0</v>
      </c>
      <c r="T109" s="227">
        <f>'Tahmin Data'!W70</f>
        <v>0</v>
      </c>
      <c r="U109" s="227">
        <f t="shared" si="78"/>
        <v>-57620.057316542741</v>
      </c>
      <c r="V109" s="204">
        <f>'Bütçe aylık-Eur'!N94</f>
        <v>-79988.997384414164</v>
      </c>
      <c r="W109" s="229">
        <f>IF(U109&gt;V109,ABS((U109-V109)/V109),-ABS((V109-U109)/V109))</f>
        <v>0.2796502118956426</v>
      </c>
      <c r="X109" s="162"/>
      <c r="Y109" s="162"/>
    </row>
    <row r="110" spans="2:40">
      <c r="B110" s="149" t="s">
        <v>115</v>
      </c>
      <c r="C110" s="156">
        <f>'A -Döviz'!C165</f>
        <v>-40504.931081618233</v>
      </c>
      <c r="D110" s="156">
        <f>'A -Döviz'!B165</f>
        <v>-54921.727124563724</v>
      </c>
      <c r="E110" s="229">
        <f t="shared" si="79"/>
        <v>0.26249713542780384</v>
      </c>
      <c r="F110" s="155"/>
      <c r="G110" s="156">
        <f>'C-Döviz'!C165</f>
        <v>-40504.931081618233</v>
      </c>
      <c r="H110" s="156">
        <f>'C-Döviz'!B165</f>
        <v>-54921.727124563724</v>
      </c>
      <c r="I110" s="229">
        <f t="shared" si="77"/>
        <v>0.26249713542780384</v>
      </c>
      <c r="J110" s="157"/>
      <c r="K110" s="226" t="str">
        <f t="shared" si="80"/>
        <v xml:space="preserve">İncitaş </v>
      </c>
      <c r="L110" s="227">
        <f>'Tahmin Data'!G69</f>
        <v>-519559.25083887612</v>
      </c>
      <c r="M110" s="227">
        <f>'Tahmin Data'!I69</f>
        <v>-518971.38</v>
      </c>
      <c r="N110" s="227">
        <f>'Tahmin Data'!K69</f>
        <v>-487859.71919553849</v>
      </c>
      <c r="O110" s="227">
        <f>'Tahmin Data'!M69</f>
        <v>-490902.92895479669</v>
      </c>
      <c r="P110" s="227">
        <f>'Tahmin Data'!O69</f>
        <v>-542280.87542388518</v>
      </c>
      <c r="Q110" s="227">
        <f>'Tahmin Data'!Q69</f>
        <v>-549949.61783702031</v>
      </c>
      <c r="R110" s="227">
        <f>'Tahmin Data'!S69</f>
        <v>-537933.03228872456</v>
      </c>
      <c r="S110" s="227">
        <f>'Tahmin Data'!U69</f>
        <v>0</v>
      </c>
      <c r="T110" s="227">
        <f>'Tahmin Data'!W69</f>
        <v>0</v>
      </c>
      <c r="U110" s="227">
        <f t="shared" si="78"/>
        <v>-40504.931081618233</v>
      </c>
      <c r="V110" s="204">
        <f>'Bütçe aylık-Eur'!N95</f>
        <v>-639240.49499120121</v>
      </c>
      <c r="W110" s="229">
        <f t="shared" ref="W110:W117" si="81">IF(U110&gt;V110,ABS((U110-V110)/V110),-ABS((V110-U110)/V110))</f>
        <v>0.936635849263311</v>
      </c>
      <c r="X110" s="162"/>
      <c r="Y110" s="162"/>
    </row>
    <row r="111" spans="2:40" ht="10.5" customHeight="1">
      <c r="B111" s="149" t="s">
        <v>119</v>
      </c>
      <c r="C111" s="156">
        <f>'A -Döviz'!C166</f>
        <v>-1710891.8970401026</v>
      </c>
      <c r="D111" s="156">
        <f>'A -Döviz'!B166</f>
        <v>-2054274.6206661761</v>
      </c>
      <c r="E111" s="229">
        <f t="shared" si="79"/>
        <v>0.1671552187675466</v>
      </c>
      <c r="F111" s="155"/>
      <c r="G111" s="156">
        <f>'C-Döviz'!C166</f>
        <v>-1710891.8970401026</v>
      </c>
      <c r="H111" s="156">
        <f>'C-Döviz'!B166</f>
        <v>-2054274.6206661761</v>
      </c>
      <c r="I111" s="229">
        <f t="shared" si="77"/>
        <v>0.1671552187675466</v>
      </c>
      <c r="J111" s="157"/>
      <c r="K111" s="226" t="str">
        <f t="shared" si="80"/>
        <v xml:space="preserve">İnci GS Yuasa </v>
      </c>
      <c r="L111" s="227">
        <f>'Tahmin Data'!G67/0.4</f>
        <v>-53993010.964618161</v>
      </c>
      <c r="M111" s="227">
        <f>'Tahmin Data'!I67/0.4</f>
        <v>-69458205.774999991</v>
      </c>
      <c r="N111" s="227">
        <f>'Tahmin Data'!K67/0.4</f>
        <v>-62600564.616909072</v>
      </c>
      <c r="O111" s="227">
        <f>'Tahmin Data'!M67/0.4</f>
        <v>-51021103.620761976</v>
      </c>
      <c r="P111" s="227">
        <f>'Tahmin Data'!O67/0.4</f>
        <v>-58103744.845497102</v>
      </c>
      <c r="Q111" s="227">
        <f>'Tahmin Data'!Q67/0.4</f>
        <v>-58907349.606770709</v>
      </c>
      <c r="R111" s="227">
        <f>'Tahmin Data'!S67/0.4</f>
        <v>-60117396.71208632</v>
      </c>
      <c r="S111" s="227">
        <f>'Tahmin Data'!U67/0.4</f>
        <v>0</v>
      </c>
      <c r="T111" s="227">
        <f>'Tahmin Data'!W67/0.4</f>
        <v>0</v>
      </c>
      <c r="U111" s="227">
        <f t="shared" si="78"/>
        <v>-1710891.8970401026</v>
      </c>
      <c r="V111" s="204">
        <f>'Bütçe aylık-Eur'!N96</f>
        <v>-22966779.360933263</v>
      </c>
      <c r="W111" s="229">
        <f t="shared" si="81"/>
        <v>0.92550579817254008</v>
      </c>
      <c r="X111" s="162"/>
      <c r="Y111" s="162"/>
    </row>
    <row r="112" spans="2:40" ht="10.5" customHeight="1">
      <c r="B112" s="149" t="s">
        <v>120</v>
      </c>
      <c r="C112" s="156">
        <f>'A -Döviz'!C167</f>
        <v>-131887.19687799565</v>
      </c>
      <c r="D112" s="156">
        <f>'A -Döviz'!B167</f>
        <v>-128113.98547914512</v>
      </c>
      <c r="E112" s="229">
        <f t="shared" si="79"/>
        <v>-2.9451986719004595E-2</v>
      </c>
      <c r="F112" s="155"/>
      <c r="G112" s="156">
        <f>'C-Döviz'!C167</f>
        <v>-131887.19687799565</v>
      </c>
      <c r="H112" s="156">
        <f>'C-Döviz'!B167</f>
        <v>-128113.98547914512</v>
      </c>
      <c r="I112" s="229">
        <f t="shared" si="77"/>
        <v>-2.9451986719004595E-2</v>
      </c>
      <c r="J112" s="157"/>
      <c r="K112" s="226" t="str">
        <f t="shared" si="80"/>
        <v xml:space="preserve">Yusen İnci Loj. </v>
      </c>
      <c r="L112" s="227">
        <f>'Tahmin Data'!G74/0.4</f>
        <v>-1351691.3426451602</v>
      </c>
      <c r="M112" s="227">
        <f>'Tahmin Data'!I74/0.4</f>
        <v>-4334757.6499999994</v>
      </c>
      <c r="N112" s="227">
        <f>'Tahmin Data'!K74/0.4</f>
        <v>-1635921.4590582554</v>
      </c>
      <c r="O112" s="227">
        <f>'Tahmin Data'!M74/0.4</f>
        <v>-2101320.585062827</v>
      </c>
      <c r="P112" s="227">
        <f>'Tahmin Data'!O74/0.4</f>
        <v>-2531586.0926389582</v>
      </c>
      <c r="Q112" s="227">
        <f>'Tahmin Data'!Q74/0.4</f>
        <v>-2986115.6548728505</v>
      </c>
      <c r="R112" s="227">
        <f>'Tahmin Data'!S74/0.4</f>
        <v>-3491408.4309029812</v>
      </c>
      <c r="S112" s="227">
        <f>'Tahmin Data'!U74/0.4</f>
        <v>0</v>
      </c>
      <c r="T112" s="227">
        <f>'Tahmin Data'!W74/0.4</f>
        <v>0</v>
      </c>
      <c r="U112" s="227">
        <f t="shared" si="78"/>
        <v>-131887.19687799565</v>
      </c>
      <c r="V112" s="204">
        <f>'Bütçe aylık-Eur'!N97</f>
        <v>-1804084.0867052393</v>
      </c>
      <c r="W112" s="229">
        <f t="shared" si="81"/>
        <v>0.92689520524574964</v>
      </c>
      <c r="X112" s="162"/>
      <c r="Y112" s="162"/>
    </row>
    <row r="113" spans="2:25">
      <c r="B113" s="149" t="s">
        <v>121</v>
      </c>
      <c r="C113" s="156">
        <f>'A -Döviz'!C168</f>
        <v>-43741.61</v>
      </c>
      <c r="D113" s="156">
        <f>'A -Döviz'!B168</f>
        <v>-39037.112421999998</v>
      </c>
      <c r="E113" s="229">
        <f t="shared" si="79"/>
        <v>-0.12051346234688984</v>
      </c>
      <c r="F113" s="155"/>
      <c r="G113" s="156">
        <f>'C-Döviz'!C168</f>
        <v>-43741.61</v>
      </c>
      <c r="H113" s="156">
        <f>'C-Döviz'!B168</f>
        <v>-39037.112421999998</v>
      </c>
      <c r="I113" s="229">
        <f t="shared" si="77"/>
        <v>-0.12051346234688984</v>
      </c>
      <c r="J113" s="157"/>
      <c r="K113" s="226" t="str">
        <f t="shared" si="80"/>
        <v xml:space="preserve">Jantaş </v>
      </c>
      <c r="L113" s="227">
        <f>'Tahmin Data'!G73/0.4</f>
        <v>-1197500.0212708889</v>
      </c>
      <c r="M113" s="227">
        <f>'Tahmin Data'!I73/0.4</f>
        <v>-1175000.625</v>
      </c>
      <c r="N113" s="227">
        <f>'Tahmin Data'!K73/0.4</f>
        <v>-1140802.8174500812</v>
      </c>
      <c r="O113" s="227">
        <f>'Tahmin Data'!M73/0.4</f>
        <v>-1237500.021981711</v>
      </c>
      <c r="P113" s="227">
        <f>'Tahmin Data'!O73/0.4</f>
        <v>-1335946.7694995091</v>
      </c>
      <c r="Q113" s="227">
        <f>'Tahmin Data'!Q73/0.4</f>
        <v>-1207005.619809201</v>
      </c>
      <c r="R113" s="227">
        <f>'Tahmin Data'!S73/0.4</f>
        <v>-1164498.803823082</v>
      </c>
      <c r="S113" s="227">
        <f>'Tahmin Data'!U73/0.4</f>
        <v>0</v>
      </c>
      <c r="T113" s="227">
        <f>'Tahmin Data'!W73/0.4</f>
        <v>0</v>
      </c>
      <c r="U113" s="227">
        <f t="shared" si="78"/>
        <v>-43741.61</v>
      </c>
      <c r="V113" s="204">
        <f>'Bütçe aylık-Eur'!N98</f>
        <v>-365713.93384200003</v>
      </c>
      <c r="W113" s="229">
        <f t="shared" si="81"/>
        <v>0.88039392007716677</v>
      </c>
      <c r="X113" s="162"/>
      <c r="Y113" s="162"/>
    </row>
    <row r="114" spans="2:25">
      <c r="B114" s="149" t="s">
        <v>122</v>
      </c>
      <c r="C114" s="156">
        <f>'A -Döviz'!C169</f>
        <v>86412.27</v>
      </c>
      <c r="D114" s="156">
        <f>'A -Döviz'!B169</f>
        <v>-32514.232259</v>
      </c>
      <c r="E114" s="229">
        <f t="shared" si="79"/>
        <v>3.6576752393124989</v>
      </c>
      <c r="F114" s="155"/>
      <c r="G114" s="156">
        <f>'C-Döviz'!C169</f>
        <v>86412.27</v>
      </c>
      <c r="H114" s="156">
        <f>'C-Döviz'!B169</f>
        <v>-32514.232259</v>
      </c>
      <c r="I114" s="229">
        <f t="shared" si="77"/>
        <v>3.6576752393124989</v>
      </c>
      <c r="J114" s="157"/>
      <c r="K114" s="226" t="str">
        <f t="shared" si="80"/>
        <v xml:space="preserve">Çelik </v>
      </c>
      <c r="L114" s="227">
        <f>'Tahmin Data'!G72/0.4</f>
        <v>-433145.46453142789</v>
      </c>
      <c r="M114" s="227">
        <f>'Tahmin Data'!I72/0.4</f>
        <v>-130964.59999999999</v>
      </c>
      <c r="N114" s="227">
        <f>'Tahmin Data'!K72/0.4</f>
        <v>270717.52659761166</v>
      </c>
      <c r="O114" s="227">
        <f>'Tahmin Data'!M72/0.4</f>
        <v>270717.52659761166</v>
      </c>
      <c r="P114" s="227">
        <f>'Tahmin Data'!O72/0.4</f>
        <v>1028667.8731089118</v>
      </c>
      <c r="Q114" s="227">
        <f>'Tahmin Data'!Q72/0.4</f>
        <v>1136064.4006585504</v>
      </c>
      <c r="R114" s="227">
        <f>'Tahmin Data'!S72/0.4</f>
        <v>1394159.7180233363</v>
      </c>
      <c r="S114" s="227">
        <f>'Tahmin Data'!U72/0.4</f>
        <v>0</v>
      </c>
      <c r="T114" s="227">
        <f>'Tahmin Data'!W72/0.4</f>
        <v>0</v>
      </c>
      <c r="U114" s="227">
        <f t="shared" si="78"/>
        <v>86412.27</v>
      </c>
      <c r="V114" s="204">
        <f>'Bütçe aylık-Eur'!N99</f>
        <v>-306972.90994300001</v>
      </c>
      <c r="W114" s="229">
        <f t="shared" si="81"/>
        <v>1.2814980319144298</v>
      </c>
      <c r="X114" s="162"/>
      <c r="Y114" s="162"/>
    </row>
    <row r="115" spans="2:25" ht="10.5" thickBot="1">
      <c r="B115" s="149" t="s">
        <v>124</v>
      </c>
      <c r="C115" s="156">
        <f>'A -Döviz'!C170</f>
        <v>-66598.38</v>
      </c>
      <c r="D115" s="156">
        <f>'A -Döviz'!B170</f>
        <v>-45211.37</v>
      </c>
      <c r="E115" s="229">
        <f t="shared" si="79"/>
        <v>-0.47304494422531324</v>
      </c>
      <c r="F115" s="155"/>
      <c r="G115" s="156">
        <f>'C-Döviz'!C170</f>
        <v>-66598.38</v>
      </c>
      <c r="H115" s="156">
        <f>'C-Döviz'!B170</f>
        <v>-45211.37</v>
      </c>
      <c r="I115" s="229">
        <f t="shared" si="77"/>
        <v>-0.47304494422531324</v>
      </c>
      <c r="J115" s="157"/>
      <c r="K115" s="231" t="str">
        <f t="shared" si="80"/>
        <v xml:space="preserve">Alüminyum </v>
      </c>
      <c r="L115" s="232">
        <f>'Tahmin Data'!G71/0.4</f>
        <v>-1784778.148923072</v>
      </c>
      <c r="M115" s="232">
        <f>'Tahmin Data'!I71/0.4</f>
        <v>-1696176.375</v>
      </c>
      <c r="N115" s="232">
        <f>'Tahmin Data'!K71/0.4</f>
        <v>-1697342.64936883</v>
      </c>
      <c r="O115" s="232">
        <f>'Tahmin Data'!M71/0.4</f>
        <v>-1726075.9630188525</v>
      </c>
      <c r="P115" s="232">
        <f>'Tahmin Data'!O71/0.4</f>
        <v>-1667742.4509883313</v>
      </c>
      <c r="Q115" s="232">
        <f>'Tahmin Data'!Q71/0.4</f>
        <v>-1419044.7367816158</v>
      </c>
      <c r="R115" s="232">
        <f>'Tahmin Data'!S71/0.4</f>
        <v>-1263259.97331079</v>
      </c>
      <c r="S115" s="232">
        <f>'Tahmin Data'!U71/0.4</f>
        <v>0</v>
      </c>
      <c r="T115" s="232">
        <f>'Tahmin Data'!W71/0.4</f>
        <v>0</v>
      </c>
      <c r="U115" s="232">
        <f t="shared" si="78"/>
        <v>-66598.38</v>
      </c>
      <c r="V115" s="205">
        <f>'Bütçe aylık-Eur'!N100</f>
        <v>-542536.43999999994</v>
      </c>
      <c r="W115" s="264">
        <f t="shared" si="81"/>
        <v>0.87724625464789052</v>
      </c>
      <c r="X115" s="162"/>
      <c r="Y115" s="162"/>
    </row>
    <row r="116" spans="2:25" ht="10.5" thickBot="1">
      <c r="B116" s="169" t="s">
        <v>125</v>
      </c>
      <c r="C116" s="192">
        <f>'A -Döviz'!C160</f>
        <v>-1087414.7266704452</v>
      </c>
      <c r="D116" s="192">
        <f>'A -Döviz'!B160</f>
        <v>-1175683.3613508504</v>
      </c>
      <c r="E116" s="246">
        <f t="shared" si="79"/>
        <v>7.507857777198218E-2</v>
      </c>
      <c r="F116" s="154"/>
      <c r="G116" s="192">
        <f>'C-Döviz'!C160</f>
        <v>-1087414.7266704452</v>
      </c>
      <c r="H116" s="192">
        <f>'C-Döviz'!B160</f>
        <v>-1175683.3613508504</v>
      </c>
      <c r="I116" s="260">
        <f t="shared" si="77"/>
        <v>7.507857777198218E-2</v>
      </c>
      <c r="J116" s="194"/>
      <c r="K116" s="263" t="s">
        <v>125</v>
      </c>
      <c r="L116" s="248">
        <f>SUM('Tahmin Data'!G67:G74)</f>
        <v>-25292813.469503809</v>
      </c>
      <c r="M116" s="248">
        <f>SUM('Tahmin Data'!I67:I74)</f>
        <v>-32780014.309999995</v>
      </c>
      <c r="N116" s="248">
        <f>SUM('Tahmin Data'!K67:K74)</f>
        <v>-28876772.044384792</v>
      </c>
      <c r="O116" s="248">
        <f>SUM('Tahmin Data'!M67:M74)</f>
        <v>-25165192.525348786</v>
      </c>
      <c r="P116" s="248">
        <f>SUM('Tahmin Data'!O67:O74)</f>
        <v>-28015527.701387316</v>
      </c>
      <c r="Q116" s="248">
        <f>SUM('Tahmin Data'!Q67:Q74)</f>
        <v>-28463038.299036566</v>
      </c>
      <c r="R116" s="248">
        <f>SUM('Tahmin Data'!S67:S74)</f>
        <v>-28965494.439878628</v>
      </c>
      <c r="S116" s="248">
        <f>SUM('Tahmin Data'!U67:U74)</f>
        <v>0</v>
      </c>
      <c r="T116" s="248">
        <f>SUM('Tahmin Data'!W67:W74)</f>
        <v>0</v>
      </c>
      <c r="U116" s="248" cm="1">
        <f t="array" ref="U116">SUM(U108:U110,(U111:U115)*0.4)</f>
        <v>-1087414.7266704452</v>
      </c>
      <c r="V116" s="248">
        <f>'Bütçe aylık-Eur'!N92</f>
        <v>-12124533.457740033</v>
      </c>
      <c r="W116" s="229">
        <f t="shared" si="81"/>
        <v>0.91031286024648939</v>
      </c>
    </row>
    <row r="117" spans="2:25" ht="10.5" thickBot="1">
      <c r="B117" s="158"/>
      <c r="C117" s="194"/>
      <c r="D117" s="194"/>
      <c r="E117" s="194"/>
      <c r="F117" s="197"/>
      <c r="G117" s="194"/>
      <c r="H117" s="194"/>
      <c r="I117" s="194"/>
      <c r="J117" s="194"/>
      <c r="K117" s="249" t="s">
        <v>9</v>
      </c>
      <c r="L117" s="239">
        <f>SUM(L108:L115)</f>
        <v>-60548889.034697033</v>
      </c>
      <c r="M117" s="239">
        <f>SUM(M108:M115)</f>
        <v>-78857077.324999988</v>
      </c>
      <c r="N117" s="239">
        <f>SUM(N108:N115)</f>
        <v>-68959120.454097956</v>
      </c>
      <c r="O117" s="239">
        <f>SUM(O108:O115)</f>
        <v>-58654362.12388543</v>
      </c>
      <c r="P117" s="239">
        <f>SUM(P108:P115)</f>
        <v>-65581739.072696306</v>
      </c>
      <c r="Q117" s="239">
        <f t="shared" ref="Q117:V117" si="82">SUM(Q108:Q115)</f>
        <v>-66493109.029582068</v>
      </c>
      <c r="R117" s="239">
        <f t="shared" si="82"/>
        <v>-67750936.961138532</v>
      </c>
      <c r="S117" s="239">
        <f>SUM(S108:S115)</f>
        <v>0</v>
      </c>
      <c r="T117" s="239">
        <f>SUM(T108:T115)</f>
        <v>0</v>
      </c>
      <c r="U117" s="239">
        <f>SUM(U108:U115)</f>
        <v>-2207438.8150213039</v>
      </c>
      <c r="V117" s="239">
        <f t="shared" si="82"/>
        <v>-27716185.496594131</v>
      </c>
      <c r="W117" s="264">
        <f t="shared" si="81"/>
        <v>0.92035560538110261</v>
      </c>
    </row>
    <row r="118" spans="2:25">
      <c r="B118" s="158"/>
      <c r="C118" s="194"/>
      <c r="D118" s="194"/>
      <c r="E118" s="194"/>
      <c r="F118" s="197"/>
      <c r="G118" s="194"/>
      <c r="H118" s="194"/>
      <c r="I118" s="194"/>
      <c r="J118" s="194"/>
      <c r="K118" s="202"/>
      <c r="L118" s="194"/>
      <c r="M118" s="194"/>
      <c r="N118" s="194"/>
      <c r="O118" s="194"/>
      <c r="P118" s="194"/>
      <c r="Q118" s="194"/>
      <c r="R118" s="194"/>
      <c r="S118" s="194"/>
      <c r="T118" s="194"/>
      <c r="U118" s="194"/>
      <c r="V118" s="194"/>
    </row>
    <row r="119" spans="2:25" ht="12.5">
      <c r="B119" s="209" t="s">
        <v>147</v>
      </c>
      <c r="C119" s="210" t="s">
        <v>0</v>
      </c>
      <c r="D119" s="210"/>
      <c r="E119" s="210"/>
      <c r="F119" s="210"/>
      <c r="G119" s="210"/>
      <c r="H119" s="210" t="s">
        <v>36</v>
      </c>
      <c r="I119" s="210"/>
      <c r="J119" s="195"/>
      <c r="K119" s="214" t="s">
        <v>148</v>
      </c>
      <c r="L119" s="214"/>
      <c r="M119" s="214"/>
      <c r="N119" s="214"/>
      <c r="O119" s="210"/>
      <c r="P119" s="210"/>
      <c r="Q119" s="210"/>
      <c r="R119" s="210"/>
      <c r="S119" s="210"/>
      <c r="T119" s="210"/>
      <c r="U119" s="210"/>
      <c r="V119" s="195"/>
    </row>
    <row r="120" spans="2:25" ht="10.5" thickBot="1">
      <c r="B120" s="169"/>
      <c r="C120" s="211" t="s">
        <v>98</v>
      </c>
      <c r="D120" s="211" t="s">
        <v>99</v>
      </c>
      <c r="E120" s="211" t="s">
        <v>100</v>
      </c>
      <c r="F120" s="211"/>
      <c r="G120" s="211" t="s">
        <v>98</v>
      </c>
      <c r="H120" s="211" t="s">
        <v>99</v>
      </c>
      <c r="I120" s="211" t="s">
        <v>100</v>
      </c>
      <c r="J120" s="152"/>
      <c r="K120" s="169"/>
      <c r="L120" s="211" t="str">
        <f>L107</f>
        <v>Mart</v>
      </c>
      <c r="M120" s="211" t="str">
        <f>M107</f>
        <v>Nisan</v>
      </c>
      <c r="N120" s="211" t="str">
        <f>N107</f>
        <v>Mayıs</v>
      </c>
      <c r="O120" s="219" t="s">
        <v>101</v>
      </c>
      <c r="P120" s="219" t="s">
        <v>102</v>
      </c>
      <c r="Q120" s="219" t="s">
        <v>103</v>
      </c>
      <c r="R120" s="219" t="s">
        <v>104</v>
      </c>
      <c r="S120" s="219" t="s">
        <v>105</v>
      </c>
      <c r="T120" s="219" t="s">
        <v>106</v>
      </c>
      <c r="U120" s="219" t="s">
        <v>98</v>
      </c>
      <c r="V120" s="219" t="s">
        <v>99</v>
      </c>
      <c r="W120" s="262" t="s">
        <v>100</v>
      </c>
    </row>
    <row r="121" spans="2:25" ht="10.5" thickTop="1">
      <c r="B121" s="149" t="s">
        <v>111</v>
      </c>
      <c r="C121" s="156">
        <f>'A -Döviz'!C176</f>
        <v>49545.350766696167</v>
      </c>
      <c r="D121" s="156">
        <f>'A -Döviz'!B176</f>
        <v>201940.42909662076</v>
      </c>
      <c r="E121" s="224">
        <f>IF(C121&gt;D121,ABS((C121-D121)/D121),-ABS((D121-C121)/D121))</f>
        <v>-0.75465363231950644</v>
      </c>
      <c r="F121" s="155"/>
      <c r="G121" s="156">
        <f>'C-Döviz'!C176</f>
        <v>49545.350766696167</v>
      </c>
      <c r="H121" s="156">
        <f>'C-Döviz'!B176</f>
        <v>201940.42909662076</v>
      </c>
      <c r="I121" s="224">
        <f t="shared" ref="I121:I129" si="83">IF(G121&gt;H121,ABS((G121-H121)/H121),-ABS((H121-G121)/H121))</f>
        <v>-0.75465363231950644</v>
      </c>
      <c r="J121" s="157"/>
      <c r="K121" s="200" t="str">
        <f>B121</f>
        <v xml:space="preserve">İnci Holding  </v>
      </c>
      <c r="L121" s="204">
        <f>'Tahmin Data'!G76</f>
        <v>1739581.7897064257</v>
      </c>
      <c r="M121" s="204">
        <f>'Tahmin Data'!I76</f>
        <v>1585528.04</v>
      </c>
      <c r="N121" s="204">
        <f>'Tahmin Data'!K76</f>
        <v>1753197.7568475511</v>
      </c>
      <c r="O121" s="204">
        <f>'Tahmin Data'!M76</f>
        <v>1602285.6208951026</v>
      </c>
      <c r="P121" s="204">
        <f>'Tahmin Data'!O76</f>
        <v>1587817.77865918</v>
      </c>
      <c r="Q121" s="204">
        <f>'Tahmin Data'!Q76</f>
        <v>1642975.6264992452</v>
      </c>
      <c r="R121" s="204">
        <f>'Tahmin Data'!S76</f>
        <v>1644304.4101561711</v>
      </c>
      <c r="S121" s="204">
        <f>'Tahmin Data'!U76</f>
        <v>0</v>
      </c>
      <c r="T121" s="204">
        <f>'Tahmin Data'!W76</f>
        <v>0</v>
      </c>
      <c r="U121" s="318">
        <f t="shared" ref="U121:U128" si="84">G121</f>
        <v>49545.350766696167</v>
      </c>
      <c r="V121" s="204">
        <f>'Bütçe aylık-Eur'!N104</f>
        <v>519250.63534699538</v>
      </c>
      <c r="W121" s="224">
        <f>IF(U121&gt;V121,ABS((U121-V121)/V121),-ABS((V121-U121)/V121))</f>
        <v>-0.90458297516846198</v>
      </c>
    </row>
    <row r="122" spans="2:25">
      <c r="B122" s="149" t="s">
        <v>11</v>
      </c>
      <c r="C122" s="156">
        <f>'A -Döviz'!C177</f>
        <v>-4925.4466741652714</v>
      </c>
      <c r="D122" s="156">
        <f>'A -Döviz'!B177</f>
        <v>1372.1022923129954</v>
      </c>
      <c r="E122" s="229">
        <f t="shared" ref="E122:E129" si="85">IF(C122&gt;D122,ABS((C122-D122)/D122),-ABS((D122-C122)/D122))</f>
        <v>-4.5897080718831056</v>
      </c>
      <c r="F122" s="155"/>
      <c r="G122" s="156">
        <f>'C-Döviz'!C177</f>
        <v>-4925.4466741652714</v>
      </c>
      <c r="H122" s="156">
        <f>'C-Döviz'!B177</f>
        <v>1372.1022923129954</v>
      </c>
      <c r="I122" s="229">
        <f t="shared" si="83"/>
        <v>-4.5897080718831056</v>
      </c>
      <c r="J122" s="157"/>
      <c r="K122" s="200" t="str">
        <f t="shared" ref="K122:K128" si="86">B122</f>
        <v xml:space="preserve">ISM </v>
      </c>
      <c r="L122" s="204">
        <f>'Tahmin Data'!G78</f>
        <v>11889.557825845566</v>
      </c>
      <c r="M122" s="204">
        <f>'Tahmin Data'!I78</f>
        <v>194627.4</v>
      </c>
      <c r="N122" s="204">
        <f>'Tahmin Data'!K78</f>
        <v>124406.49333808845</v>
      </c>
      <c r="O122" s="204">
        <f>'Tahmin Data'!M78</f>
        <v>-185396.84930956142</v>
      </c>
      <c r="P122" s="204">
        <f>'Tahmin Data'!O78</f>
        <v>-215419.09046492423</v>
      </c>
      <c r="Q122" s="204">
        <f>'Tahmin Data'!Q78</f>
        <v>-338147.46713863959</v>
      </c>
      <c r="R122" s="204">
        <f>'Tahmin Data'!S78</f>
        <v>-374936.94683589705</v>
      </c>
      <c r="S122" s="204">
        <f>'Tahmin Data'!U78</f>
        <v>0</v>
      </c>
      <c r="T122" s="204">
        <f>'Tahmin Data'!W78</f>
        <v>0</v>
      </c>
      <c r="U122" s="227">
        <f t="shared" si="84"/>
        <v>-4925.4466741652714</v>
      </c>
      <c r="V122" s="204">
        <f>'Bütçe aylık-Eur'!N105</f>
        <v>14849.08730726451</v>
      </c>
      <c r="W122" s="229">
        <f>IF(U122&gt;V122,ABS((U122-V122)/V122),-ABS((V122-U122)/V122))</f>
        <v>-1.3317002972806034</v>
      </c>
    </row>
    <row r="123" spans="2:25">
      <c r="B123" s="149" t="s">
        <v>115</v>
      </c>
      <c r="C123" s="156">
        <f>'A -Döviz'!C178</f>
        <v>7862.573130522238</v>
      </c>
      <c r="D123" s="156">
        <f>'A -Döviz'!B178</f>
        <v>6150.1185335606251</v>
      </c>
      <c r="E123" s="229">
        <f t="shared" si="85"/>
        <v>0.27844253531324759</v>
      </c>
      <c r="F123" s="155"/>
      <c r="G123" s="156">
        <f>'C-Döviz'!C178</f>
        <v>7862.573130522238</v>
      </c>
      <c r="H123" s="156">
        <f>'C-Döviz'!B178</f>
        <v>6150.1185335606251</v>
      </c>
      <c r="I123" s="229">
        <f t="shared" si="83"/>
        <v>0.27844253531324759</v>
      </c>
      <c r="J123" s="157"/>
      <c r="K123" s="200" t="str">
        <f t="shared" si="86"/>
        <v xml:space="preserve">İncitaş </v>
      </c>
      <c r="L123" s="204">
        <f>'Tahmin Data'!G77</f>
        <v>87094.880226986017</v>
      </c>
      <c r="M123" s="204">
        <f>'Tahmin Data'!I77</f>
        <v>86669.19</v>
      </c>
      <c r="N123" s="204">
        <f>'Tahmin Data'!K77</f>
        <v>85967.212097389536</v>
      </c>
      <c r="O123" s="204">
        <f>'Tahmin Data'!M77</f>
        <v>87734.388720270697</v>
      </c>
      <c r="P123" s="204">
        <f>'Tahmin Data'!O77</f>
        <v>89660.045856101438</v>
      </c>
      <c r="Q123" s="204">
        <f>'Tahmin Data'!Q77</f>
        <v>78847.388529849675</v>
      </c>
      <c r="R123" s="204">
        <f>'Tahmin Data'!S77</f>
        <v>89780.196173295219</v>
      </c>
      <c r="S123" s="204">
        <f>'Tahmin Data'!U77</f>
        <v>0</v>
      </c>
      <c r="T123" s="204">
        <f>'Tahmin Data'!W77</f>
        <v>0</v>
      </c>
      <c r="U123" s="227">
        <f t="shared" si="84"/>
        <v>7862.573130522238</v>
      </c>
      <c r="V123" s="204">
        <f>'Bütçe aylık-Eur'!N106</f>
        <v>81003.422212615755</v>
      </c>
      <c r="W123" s="229">
        <f>IF(U123&gt;V123,ABS((U123-V123)/V123),-ABS((V123-U123)/V123))</f>
        <v>-0.90293529685838758</v>
      </c>
    </row>
    <row r="124" spans="2:25">
      <c r="B124" s="149" t="s">
        <v>119</v>
      </c>
      <c r="C124" s="156">
        <f>'A -Döviz'!C179</f>
        <v>-1010555.7127086548</v>
      </c>
      <c r="D124" s="156">
        <f>'A -Döviz'!B179</f>
        <v>116253.90036916149</v>
      </c>
      <c r="E124" s="229">
        <f t="shared" si="85"/>
        <v>-9.692660715035446</v>
      </c>
      <c r="F124" s="155"/>
      <c r="G124" s="156">
        <f>'C-Döviz'!C179</f>
        <v>-1010555.7127086548</v>
      </c>
      <c r="H124" s="156">
        <f>'C-Döviz'!B179</f>
        <v>116253.90036916149</v>
      </c>
      <c r="I124" s="229">
        <f t="shared" si="83"/>
        <v>-9.692660715035446</v>
      </c>
      <c r="J124" s="157"/>
      <c r="K124" s="200" t="str">
        <f t="shared" si="86"/>
        <v xml:space="preserve">İnci GS Yuasa </v>
      </c>
      <c r="L124" s="204">
        <f>'Tahmin Data'!G75/0.4</f>
        <v>-18821390.181776252</v>
      </c>
      <c r="M124" s="204">
        <f>'Tahmin Data'!I75/0.4</f>
        <v>-19906353.875</v>
      </c>
      <c r="N124" s="204">
        <f>'Tahmin Data'!K75/0.4</f>
        <v>-25919944.656760536</v>
      </c>
      <c r="O124" s="204">
        <f>'Tahmin Data'!M75/0.4</f>
        <v>-28423121.44891341</v>
      </c>
      <c r="P124" s="204">
        <f>'Tahmin Data'!O75/0.4</f>
        <v>-27885558.937689088</v>
      </c>
      <c r="Q124" s="204">
        <f>'Tahmin Data'!Q75/0.4</f>
        <v>-24999421.333122171</v>
      </c>
      <c r="R124" s="204">
        <f>'Tahmin Data'!S75/0.4</f>
        <v>-22535007.514943264</v>
      </c>
      <c r="S124" s="204">
        <f>'Tahmin Data'!U75/0.4</f>
        <v>0</v>
      </c>
      <c r="T124" s="204">
        <f>'Tahmin Data'!W75/0.4</f>
        <v>0</v>
      </c>
      <c r="U124" s="227">
        <f t="shared" si="84"/>
        <v>-1010555.7127086548</v>
      </c>
      <c r="V124" s="204">
        <f>'Bütçe aylık-Eur'!N107</f>
        <v>-2238262.8488165969</v>
      </c>
      <c r="W124" s="229">
        <f>IF(U124&gt;V124,ABS((U124-V124)/V124),-ABS((V124-U124)/V124))</f>
        <v>0.54850891920805867</v>
      </c>
      <c r="X124" s="245"/>
    </row>
    <row r="125" spans="2:25">
      <c r="B125" s="149" t="s">
        <v>120</v>
      </c>
      <c r="C125" s="156">
        <f>'A -Döviz'!C180</f>
        <v>46095.972241476789</v>
      </c>
      <c r="D125" s="156">
        <f>'A -Döviz'!B180</f>
        <v>0</v>
      </c>
      <c r="E125" s="229">
        <v>0</v>
      </c>
      <c r="F125" s="155"/>
      <c r="G125" s="156">
        <f>'C-Döviz'!C180</f>
        <v>46095.972241476789</v>
      </c>
      <c r="H125" s="156">
        <f>'C-Döviz'!B180</f>
        <v>0</v>
      </c>
      <c r="I125" s="229">
        <v>0</v>
      </c>
      <c r="J125" s="157"/>
      <c r="K125" s="200" t="str">
        <f t="shared" si="86"/>
        <v xml:space="preserve">Yusen İnci Loj. </v>
      </c>
      <c r="L125" s="204">
        <f>'Tahmin Data'!G82/0.4</f>
        <v>-2451836.7345941449</v>
      </c>
      <c r="M125" s="204">
        <f>'Tahmin Data'!I82/0.4</f>
        <v>488217.62499999994</v>
      </c>
      <c r="N125" s="204">
        <f>'Tahmin Data'!K82/0.4</f>
        <v>1217456.329790907</v>
      </c>
      <c r="O125" s="204">
        <f>'Tahmin Data'!M82/0.4</f>
        <v>1469760.7846668183</v>
      </c>
      <c r="P125" s="204">
        <f>'Tahmin Data'!O82/0.4</f>
        <v>1573074.4011779751</v>
      </c>
      <c r="Q125" s="204">
        <f>'Tahmin Data'!Q82/0.4</f>
        <v>1667736.3424875089</v>
      </c>
      <c r="R125" s="204">
        <f>'Tahmin Data'!S82/0.4</f>
        <v>1804044.9402527595</v>
      </c>
      <c r="S125" s="204">
        <f>'Tahmin Data'!U82/0.4</f>
        <v>0</v>
      </c>
      <c r="T125" s="204">
        <f>'Tahmin Data'!W82/0.4</f>
        <v>0</v>
      </c>
      <c r="U125" s="227">
        <f t="shared" si="84"/>
        <v>46095.972241476789</v>
      </c>
      <c r="V125" s="204">
        <f>'Bütçe aylık-Eur'!N108</f>
        <v>0</v>
      </c>
      <c r="W125" s="267" t="s">
        <v>149</v>
      </c>
      <c r="X125" s="245"/>
    </row>
    <row r="126" spans="2:25">
      <c r="B126" s="149" t="s">
        <v>121</v>
      </c>
      <c r="C126" s="156">
        <f>'A -Döviz'!C181</f>
        <v>-253203.69</v>
      </c>
      <c r="D126" s="156">
        <f>'A -Döviz'!B181</f>
        <v>-149636.27596900001</v>
      </c>
      <c r="E126" s="229">
        <v>0</v>
      </c>
      <c r="F126" s="155"/>
      <c r="G126" s="156">
        <f>'C-Döviz'!C181</f>
        <v>-253203.69</v>
      </c>
      <c r="H126" s="156">
        <f>'C-Döviz'!B181</f>
        <v>-149636.27596900001</v>
      </c>
      <c r="I126" s="229">
        <v>0</v>
      </c>
      <c r="J126" s="157"/>
      <c r="K126" s="200" t="str">
        <f t="shared" si="86"/>
        <v xml:space="preserve">Jantaş </v>
      </c>
      <c r="L126" s="204">
        <f>'Tahmin Data'!G81/0.4</f>
        <v>875000</v>
      </c>
      <c r="M126" s="204">
        <f>'Tahmin Data'!I81/0.4</f>
        <v>1608050.1</v>
      </c>
      <c r="N126" s="204">
        <f>'Tahmin Data'!K81/0.4</f>
        <v>1700725.4373024998</v>
      </c>
      <c r="O126" s="204">
        <f>'Tahmin Data'!M81/0.4</f>
        <v>102500</v>
      </c>
      <c r="P126" s="204">
        <f>'Tahmin Data'!O81/0.4</f>
        <v>-207202.20396996505</v>
      </c>
      <c r="Q126" s="204">
        <f>'Tahmin Data'!Q81/0.4</f>
        <v>-1038023.9910700001</v>
      </c>
      <c r="R126" s="204">
        <f>'Tahmin Data'!S81/0.4</f>
        <v>-885233.72130749992</v>
      </c>
      <c r="S126" s="204">
        <f>'Tahmin Data'!U81/0.4</f>
        <v>0</v>
      </c>
      <c r="T126" s="204">
        <f>'Tahmin Data'!W81/0.4</f>
        <v>0</v>
      </c>
      <c r="U126" s="227">
        <f t="shared" si="84"/>
        <v>-253203.69</v>
      </c>
      <c r="V126" s="204">
        <f>'Bütçe aylık-Eur'!N109</f>
        <v>185415.88725699999</v>
      </c>
      <c r="W126" s="267" t="s">
        <v>149</v>
      </c>
      <c r="X126" s="245"/>
    </row>
    <row r="127" spans="2:25">
      <c r="B127" s="149" t="s">
        <v>122</v>
      </c>
      <c r="C127" s="156">
        <f>'A -Döviz'!C182</f>
        <v>-371625.15999999992</v>
      </c>
      <c r="D127" s="156">
        <f>'A -Döviz'!B182</f>
        <v>-27437.962759999999</v>
      </c>
      <c r="E127" s="229">
        <f t="shared" si="85"/>
        <v>-12.544196529844692</v>
      </c>
      <c r="F127" s="155"/>
      <c r="G127" s="156">
        <f>'C-Döviz'!C182</f>
        <v>-371625.15999999992</v>
      </c>
      <c r="H127" s="156">
        <f>'C-Döviz'!B182</f>
        <v>-27437.962759999999</v>
      </c>
      <c r="I127" s="229">
        <f t="shared" si="83"/>
        <v>-12.544196529844692</v>
      </c>
      <c r="J127" s="157"/>
      <c r="K127" s="200" t="str">
        <f t="shared" si="86"/>
        <v xml:space="preserve">Çelik </v>
      </c>
      <c r="L127" s="204">
        <f>'Tahmin Data'!G80/0.4</f>
        <v>-2925384.1189199998</v>
      </c>
      <c r="M127" s="204">
        <f>'Tahmin Data'!I80/0.4</f>
        <v>-8474853.2249999996</v>
      </c>
      <c r="N127" s="204">
        <f>'Tahmin Data'!K80/0.4</f>
        <v>-9315060.4493149985</v>
      </c>
      <c r="O127" s="204">
        <f>'Tahmin Data'!M80/0.4</f>
        <v>-9315060.4493149985</v>
      </c>
      <c r="P127" s="204">
        <f>'Tahmin Data'!O80/0.4</f>
        <v>-12769588.906419998</v>
      </c>
      <c r="Q127" s="204">
        <f>'Tahmin Data'!Q80/0.4</f>
        <v>-14190269.472984999</v>
      </c>
      <c r="R127" s="204">
        <f>'Tahmin Data'!S80/0.4</f>
        <v>-14943050.286419999</v>
      </c>
      <c r="S127" s="204">
        <f>'Tahmin Data'!U80/0.4</f>
        <v>0</v>
      </c>
      <c r="T127" s="204">
        <f>'Tahmin Data'!W80/0.4</f>
        <v>0</v>
      </c>
      <c r="U127" s="227">
        <f t="shared" si="84"/>
        <v>-371625.15999999992</v>
      </c>
      <c r="V127" s="204">
        <f>'Bütçe aylık-Eur'!N110</f>
        <v>-7483.0236530000002</v>
      </c>
      <c r="W127" s="267" t="s">
        <v>149</v>
      </c>
      <c r="X127" s="245"/>
    </row>
    <row r="128" spans="2:25" ht="10.5" thickBot="1">
      <c r="B128" s="149" t="s">
        <v>124</v>
      </c>
      <c r="C128" s="156">
        <f>'A -Döviz'!C183</f>
        <v>-113550.16</v>
      </c>
      <c r="D128" s="156">
        <f>'A -Döviz'!B183</f>
        <v>0</v>
      </c>
      <c r="E128" s="229">
        <v>0</v>
      </c>
      <c r="F128" s="155"/>
      <c r="G128" s="156">
        <f>'C-Döviz'!C183</f>
        <v>-113550.16</v>
      </c>
      <c r="H128" s="156">
        <f>'C-Döviz'!B183</f>
        <v>0</v>
      </c>
      <c r="I128" s="229">
        <v>0</v>
      </c>
      <c r="J128" s="157"/>
      <c r="K128" s="201" t="str">
        <f t="shared" si="86"/>
        <v xml:space="preserve">Alüminyum </v>
      </c>
      <c r="L128" s="205">
        <f>'Tahmin Data'!G79/0.4</f>
        <v>-736250.22499999998</v>
      </c>
      <c r="M128" s="205">
        <f>'Tahmin Data'!I79/0.4</f>
        <v>-663868.15</v>
      </c>
      <c r="N128" s="205">
        <f>'Tahmin Data'!K79/0.4</f>
        <v>-1089057.8499999999</v>
      </c>
      <c r="O128" s="205">
        <f>'Tahmin Data'!M79/0.4</f>
        <v>-985588.42499999993</v>
      </c>
      <c r="P128" s="205">
        <f>'Tahmin Data'!O79/0.4</f>
        <v>-1525149.0499999998</v>
      </c>
      <c r="Q128" s="205">
        <f>'Tahmin Data'!Q79/0.4</f>
        <v>-1100881.1000000001</v>
      </c>
      <c r="R128" s="205">
        <f>'Tahmin Data'!S79/0.4</f>
        <v>-787727.5</v>
      </c>
      <c r="S128" s="205">
        <f>'Tahmin Data'!U79/0.4</f>
        <v>0</v>
      </c>
      <c r="T128" s="205">
        <f>'Tahmin Data'!W79/0.4</f>
        <v>0</v>
      </c>
      <c r="U128" s="232">
        <f t="shared" si="84"/>
        <v>-113550.16</v>
      </c>
      <c r="V128" s="205">
        <f>'Bütçe aylık-Eur'!N111</f>
        <v>0</v>
      </c>
      <c r="W128" s="268" t="s">
        <v>149</v>
      </c>
      <c r="X128" s="245"/>
    </row>
    <row r="129" spans="2:24" ht="10.5" thickBot="1">
      <c r="B129" s="169" t="s">
        <v>125</v>
      </c>
      <c r="C129" s="192">
        <f>'A -Döviz'!X173</f>
        <v>-512158.96124450903</v>
      </c>
      <c r="D129" s="192">
        <f>'A -Döviz'!B173</f>
        <v>185134.514578559</v>
      </c>
      <c r="E129" s="246">
        <f t="shared" si="85"/>
        <v>-3.7664153408152439</v>
      </c>
      <c r="F129" s="154"/>
      <c r="G129" s="192">
        <f>'C-Döviz'!C173</f>
        <v>-628653.02296381816</v>
      </c>
      <c r="H129" s="192">
        <f>'C-Döviz'!B173</f>
        <v>185134.514578559</v>
      </c>
      <c r="I129" s="260">
        <f t="shared" si="83"/>
        <v>-4.3956554475802987</v>
      </c>
      <c r="J129" s="194"/>
      <c r="K129" s="263" t="s">
        <v>125</v>
      </c>
      <c r="L129" s="248">
        <f>SUM('Tahmin Data'!G75:G82)</f>
        <v>-7785378.2763569001</v>
      </c>
      <c r="M129" s="248">
        <f>SUM('Tahmin Data'!I75:I82)</f>
        <v>-8912698.379999999</v>
      </c>
      <c r="N129" s="248">
        <f>SUM('Tahmin Data'!K75:K82)</f>
        <v>-11398781.013309825</v>
      </c>
      <c r="O129" s="248">
        <f>SUM('Tahmin Data'!M75:M82)</f>
        <v>-13355980.655118827</v>
      </c>
      <c r="P129" s="248">
        <f>SUM('Tahmin Data'!O75:O82)</f>
        <v>-14863711.144710073</v>
      </c>
      <c r="Q129" s="248">
        <f>SUM('Tahmin Data'!Q75:Q82)</f>
        <v>-14480668.27398541</v>
      </c>
      <c r="R129" s="248">
        <f>SUM('Tahmin Data'!S75:S82)</f>
        <v>-13579641.973473633</v>
      </c>
      <c r="S129" s="248">
        <f>SUM('Tahmin Data'!U75:U82)</f>
        <v>0</v>
      </c>
      <c r="T129" s="248">
        <f>SUM('Tahmin Data'!W75:W82)</f>
        <v>0</v>
      </c>
      <c r="U129" s="248" cm="1">
        <f t="array" ref="U129">SUM(U121:U123,(U124:U128)*0.4)</f>
        <v>-628653.02296381816</v>
      </c>
      <c r="V129" s="248">
        <f>'Bütçe aylık-Eur'!N103</f>
        <v>-209028.84921816317</v>
      </c>
      <c r="W129" s="229">
        <f>IF(U129&gt;V129,ABS((U129-V129)/V129),-ABS((V129-U129)/V129))</f>
        <v>-2.0074940627343438</v>
      </c>
      <c r="X129" s="245"/>
    </row>
    <row r="130" spans="2:24" ht="10.5" thickBot="1">
      <c r="K130" s="249" t="s">
        <v>9</v>
      </c>
      <c r="L130" s="239">
        <f t="shared" ref="L130:V130" si="87">SUM(L121:L128)</f>
        <v>-22221295.032531139</v>
      </c>
      <c r="M130" s="239">
        <f t="shared" si="87"/>
        <v>-25081982.895</v>
      </c>
      <c r="N130" s="239">
        <f t="shared" si="87"/>
        <v>-31442309.726699099</v>
      </c>
      <c r="O130" s="239">
        <f t="shared" si="87"/>
        <v>-35646886.378255777</v>
      </c>
      <c r="P130" s="239">
        <f t="shared" si="87"/>
        <v>-39352365.96285072</v>
      </c>
      <c r="Q130" s="239">
        <f t="shared" si="87"/>
        <v>-38277184.006799206</v>
      </c>
      <c r="R130" s="239">
        <f t="shared" si="87"/>
        <v>-35987826.422924437</v>
      </c>
      <c r="S130" s="239">
        <f t="shared" si="87"/>
        <v>0</v>
      </c>
      <c r="T130" s="239">
        <f t="shared" si="87"/>
        <v>0</v>
      </c>
      <c r="U130" s="239">
        <f t="shared" si="87"/>
        <v>-1650356.2732441248</v>
      </c>
      <c r="V130" s="239">
        <f t="shared" si="87"/>
        <v>-1445226.8403457212</v>
      </c>
      <c r="W130" s="264">
        <f>IF(U130&gt;V130,ABS((U130-V130)/V130),-ABS((V130-U130)/V130))</f>
        <v>-0.14193580355131891</v>
      </c>
      <c r="X130" s="245"/>
    </row>
    <row r="131" spans="2:24">
      <c r="V131" s="194"/>
      <c r="W131" s="245"/>
      <c r="X131" s="245"/>
    </row>
    <row r="132" spans="2:24" ht="12.5">
      <c r="B132" s="209" t="s">
        <v>150</v>
      </c>
      <c r="C132" s="210" t="s">
        <v>0</v>
      </c>
      <c r="D132" s="210"/>
      <c r="E132" s="210"/>
      <c r="F132" s="210"/>
      <c r="G132" s="210"/>
      <c r="H132" s="210" t="s">
        <v>36</v>
      </c>
      <c r="I132" s="210"/>
      <c r="J132" s="195"/>
      <c r="K132" s="214" t="s">
        <v>151</v>
      </c>
      <c r="L132" s="214"/>
      <c r="M132" s="214"/>
      <c r="N132" s="214"/>
      <c r="O132" s="210"/>
      <c r="P132" s="210"/>
      <c r="Q132" s="210"/>
      <c r="R132" s="210"/>
      <c r="S132" s="210"/>
      <c r="T132" s="210"/>
      <c r="U132" s="210"/>
      <c r="V132" s="195"/>
      <c r="X132" s="245"/>
    </row>
    <row r="133" spans="2:24" ht="10.5" thickBot="1">
      <c r="B133" s="169"/>
      <c r="C133" s="211" t="s">
        <v>98</v>
      </c>
      <c r="D133" s="211" t="s">
        <v>99</v>
      </c>
      <c r="E133" s="211" t="s">
        <v>100</v>
      </c>
      <c r="F133" s="211"/>
      <c r="G133" s="211" t="str">
        <f>C133</f>
        <v>Gerçekleşen</v>
      </c>
      <c r="H133" s="211" t="s">
        <v>99</v>
      </c>
      <c r="I133" s="211" t="s">
        <v>100</v>
      </c>
      <c r="J133" s="152"/>
      <c r="K133" s="169"/>
      <c r="L133" s="211" t="str">
        <f>L68</f>
        <v>Mart</v>
      </c>
      <c r="M133" s="211" t="str">
        <f>M68</f>
        <v>Nisan</v>
      </c>
      <c r="N133" s="211" t="str">
        <f>N68</f>
        <v>Mayıs</v>
      </c>
      <c r="O133" s="219" t="s">
        <v>101</v>
      </c>
      <c r="P133" s="219" t="s">
        <v>102</v>
      </c>
      <c r="Q133" s="219" t="s">
        <v>103</v>
      </c>
      <c r="R133" s="219" t="s">
        <v>104</v>
      </c>
      <c r="S133" s="219" t="s">
        <v>105</v>
      </c>
      <c r="T133" s="219" t="s">
        <v>106</v>
      </c>
      <c r="U133" s="219" t="s">
        <v>98</v>
      </c>
      <c r="V133" s="219" t="s">
        <v>99</v>
      </c>
      <c r="W133" s="262" t="s">
        <v>100</v>
      </c>
    </row>
    <row r="134" spans="2:24" ht="10.5" thickTop="1">
      <c r="B134" s="149" t="s">
        <v>111</v>
      </c>
      <c r="C134" s="156">
        <f>'A -Döviz'!C189</f>
        <v>182440.18016698389</v>
      </c>
      <c r="D134" s="156">
        <f>'A -Döviz'!B189</f>
        <v>345823.85472991527</v>
      </c>
      <c r="E134" s="224">
        <f t="shared" ref="E134:E142" si="88">IF(C134&gt;D134,ABS((C134-D134)/D134),-ABS((D134-C134)/D134))</f>
        <v>-0.47244767047817532</v>
      </c>
      <c r="F134" s="155"/>
      <c r="G134" s="156">
        <f>'C-Döviz'!C189</f>
        <v>182440.18016698389</v>
      </c>
      <c r="H134" s="156">
        <f>'C-Döviz'!B189</f>
        <v>345823.85472991527</v>
      </c>
      <c r="I134" s="224">
        <f t="shared" ref="I134:I142" si="89">IF(G134&gt;H134,ABS((G134-H134)/H134),-ABS((H134-G134)/H134))</f>
        <v>-0.47244767047817532</v>
      </c>
      <c r="J134" s="157"/>
      <c r="K134" s="200" t="str">
        <f>B134</f>
        <v xml:space="preserve">İnci Holding  </v>
      </c>
      <c r="L134" s="204">
        <f>'Tahmin Data'!G84</f>
        <v>4835245.63114007</v>
      </c>
      <c r="M134" s="204">
        <f>'Tahmin Data'!I84</f>
        <v>4485550.47</v>
      </c>
      <c r="N134" s="204">
        <f>'Tahmin Data'!K84</f>
        <v>4037562.6688005067</v>
      </c>
      <c r="O134" s="204">
        <f>'Tahmin Data'!M84</f>
        <v>4033614.9583187145</v>
      </c>
      <c r="P134" s="204">
        <f>'Tahmin Data'!O84</f>
        <v>3930078.4989891844</v>
      </c>
      <c r="Q134" s="204">
        <f>'Tahmin Data'!Q84</f>
        <v>3690226.0431255177</v>
      </c>
      <c r="R134" s="204">
        <f>'Tahmin Data'!S84</f>
        <v>3807811.5109767891</v>
      </c>
      <c r="S134" s="204">
        <f>'Tahmin Data'!U84</f>
        <v>0</v>
      </c>
      <c r="T134" s="204">
        <f>'Tahmin Data'!W84</f>
        <v>0</v>
      </c>
      <c r="U134" s="318">
        <f t="shared" ref="U134:U141" si="90">G134</f>
        <v>182440.18016698389</v>
      </c>
      <c r="V134" s="204">
        <f>'Bütçe aylık-Eur'!N115</f>
        <v>3394847.3664340572</v>
      </c>
      <c r="W134" s="224">
        <f t="shared" ref="W134:W143" si="91">IF(U134&gt;V134,ABS((U134-V134)/V134),-ABS((V134-U134)/V134))</f>
        <v>-0.94625968107702618</v>
      </c>
    </row>
    <row r="135" spans="2:24">
      <c r="B135" s="149" t="s">
        <v>11</v>
      </c>
      <c r="C135" s="156">
        <f>'A -Döviz'!C190</f>
        <v>-73693.558753775273</v>
      </c>
      <c r="D135" s="156">
        <f>'A -Döviz'!B190</f>
        <v>-36913.046813894987</v>
      </c>
      <c r="E135" s="229">
        <f t="shared" si="88"/>
        <v>-0.99640953848424096</v>
      </c>
      <c r="F135" s="155"/>
      <c r="G135" s="156">
        <f>'C-Döviz'!C190</f>
        <v>-73693.558753775273</v>
      </c>
      <c r="H135" s="156">
        <f>'C-Döviz'!B190</f>
        <v>-36913.046813894987</v>
      </c>
      <c r="I135" s="229">
        <f t="shared" si="89"/>
        <v>-0.99640953848424096</v>
      </c>
      <c r="J135" s="157"/>
      <c r="K135" s="200" t="str">
        <f t="shared" ref="K135:K141" si="92">B135</f>
        <v xml:space="preserve">ISM </v>
      </c>
      <c r="L135" s="204">
        <f>'Tahmin Data'!G86</f>
        <v>555576.51633253787</v>
      </c>
      <c r="M135" s="204">
        <f>'Tahmin Data'!I86</f>
        <v>-161527.07999999999</v>
      </c>
      <c r="N135" s="204">
        <f>'Tahmin Data'!K86</f>
        <v>154941.28480607111</v>
      </c>
      <c r="O135" s="204">
        <f>'Tahmin Data'!M86</f>
        <v>-1190907.302027978</v>
      </c>
      <c r="P135" s="204">
        <f>'Tahmin Data'!O86</f>
        <v>-1200183.7200708177</v>
      </c>
      <c r="Q135" s="204">
        <f>'Tahmin Data'!Q86</f>
        <v>-1438897.0574418819</v>
      </c>
      <c r="R135" s="204">
        <f>'Tahmin Data'!S86</f>
        <v>-1708263.0658338086</v>
      </c>
      <c r="S135" s="204">
        <f>'Tahmin Data'!U86</f>
        <v>0</v>
      </c>
      <c r="T135" s="204">
        <f>'Tahmin Data'!W86</f>
        <v>0</v>
      </c>
      <c r="U135" s="227">
        <f t="shared" si="90"/>
        <v>-73693.558753775273</v>
      </c>
      <c r="V135" s="204">
        <f>'Bütçe aylık-Eur'!N116</f>
        <v>880651.7703748421</v>
      </c>
      <c r="W135" s="229">
        <f t="shared" si="91"/>
        <v>-1.0836807024442912</v>
      </c>
    </row>
    <row r="136" spans="2:24">
      <c r="B136" s="149" t="s">
        <v>115</v>
      </c>
      <c r="C136" s="156">
        <f>'A -Döviz'!C191</f>
        <v>1204.6388247031234</v>
      </c>
      <c r="D136" s="156">
        <f>'A -Döviz'!B191</f>
        <v>-93627.604379739729</v>
      </c>
      <c r="E136" s="229">
        <f t="shared" si="88"/>
        <v>1.0128662784088471</v>
      </c>
      <c r="F136" s="155"/>
      <c r="G136" s="156">
        <f>'C-Döviz'!C191</f>
        <v>1204.6388247031234</v>
      </c>
      <c r="H136" s="156">
        <f>'C-Döviz'!B191</f>
        <v>-93627.604379739729</v>
      </c>
      <c r="I136" s="229">
        <f t="shared" si="89"/>
        <v>1.0128662784088471</v>
      </c>
      <c r="J136" s="157"/>
      <c r="K136" s="200" t="str">
        <f t="shared" si="92"/>
        <v xml:space="preserve">İncitaş </v>
      </c>
      <c r="L136" s="204">
        <f>'Tahmin Data'!G85</f>
        <v>379856.23538955196</v>
      </c>
      <c r="M136" s="204">
        <f>'Tahmin Data'!I85</f>
        <v>-304523.53000000003</v>
      </c>
      <c r="N136" s="204">
        <f>'Tahmin Data'!K85</f>
        <v>-8532.6132985689292</v>
      </c>
      <c r="O136" s="204">
        <f>'Tahmin Data'!M85</f>
        <v>-11895.59062541178</v>
      </c>
      <c r="P136" s="204">
        <f>'Tahmin Data'!O85</f>
        <v>-2710.3744199168868</v>
      </c>
      <c r="Q136" s="204">
        <f>'Tahmin Data'!Q85</f>
        <v>10982.954085163932</v>
      </c>
      <c r="R136" s="204">
        <f>'Tahmin Data'!S85</f>
        <v>19030.509020204961</v>
      </c>
      <c r="S136" s="204">
        <f>'Tahmin Data'!U85</f>
        <v>0</v>
      </c>
      <c r="T136" s="204">
        <f>'Tahmin Data'!W85</f>
        <v>0</v>
      </c>
      <c r="U136" s="227">
        <f t="shared" si="90"/>
        <v>1204.6388247031234</v>
      </c>
      <c r="V136" s="204">
        <f>'Bütçe aylık-Eur'!N117</f>
        <v>259560.10383272616</v>
      </c>
      <c r="W136" s="229">
        <f t="shared" si="91"/>
        <v>-0.99535892147169336</v>
      </c>
    </row>
    <row r="137" spans="2:24">
      <c r="B137" s="149" t="s">
        <v>119</v>
      </c>
      <c r="C137" s="156">
        <f>'A -Döviz'!C192</f>
        <v>-1621012.5429157447</v>
      </c>
      <c r="D137" s="156">
        <f>'A -Döviz'!B192</f>
        <v>-527081.70726080437</v>
      </c>
      <c r="E137" s="229">
        <f t="shared" si="88"/>
        <v>-2.0754483044763581</v>
      </c>
      <c r="F137" s="155"/>
      <c r="G137" s="156">
        <f>'C-Döviz'!C192</f>
        <v>-1621012.5429157447</v>
      </c>
      <c r="H137" s="156">
        <f>'C-Döviz'!B192</f>
        <v>-527081.70726080437</v>
      </c>
      <c r="I137" s="229">
        <f t="shared" si="89"/>
        <v>-2.0754483044763581</v>
      </c>
      <c r="J137" s="157"/>
      <c r="K137" s="200" t="str">
        <f t="shared" si="92"/>
        <v xml:space="preserve">İnci GS Yuasa </v>
      </c>
      <c r="L137" s="204">
        <f>'Tahmin Data'!G83/0.4</f>
        <v>-17237002.794343501</v>
      </c>
      <c r="M137" s="204">
        <f>'Tahmin Data'!I83/0.4</f>
        <v>61838611.424999997</v>
      </c>
      <c r="N137" s="204">
        <f>'Tahmin Data'!K83</f>
        <v>-27131180.946467001</v>
      </c>
      <c r="O137" s="204">
        <f>'Tahmin Data'!M83</f>
        <v>-24488580.301020201</v>
      </c>
      <c r="P137" s="204">
        <f>'Tahmin Data'!O83</f>
        <v>-26431220.325681798</v>
      </c>
      <c r="Q137" s="204">
        <f>'Tahmin Data'!Q83</f>
        <v>-26769171.881848998</v>
      </c>
      <c r="R137" s="204">
        <f>'Tahmin Data'!S83</f>
        <v>-29355247.544465698</v>
      </c>
      <c r="S137" s="204">
        <f>'Tahmin Data'!U83</f>
        <v>0</v>
      </c>
      <c r="T137" s="204">
        <f>'Tahmin Data'!W83</f>
        <v>0</v>
      </c>
      <c r="U137" s="227">
        <f t="shared" si="90"/>
        <v>-1621012.5429157447</v>
      </c>
      <c r="V137" s="204">
        <f>'Bütçe aylık-Eur'!N118*0.4</f>
        <v>178328.55241364168</v>
      </c>
      <c r="W137" s="229">
        <f t="shared" si="91"/>
        <v>-10.090033654037228</v>
      </c>
    </row>
    <row r="138" spans="2:24">
      <c r="B138" s="149" t="s">
        <v>120</v>
      </c>
      <c r="C138" s="156">
        <f>'A -Döviz'!C193</f>
        <v>163058.72558742377</v>
      </c>
      <c r="D138" s="156">
        <f>'A -Döviz'!B193</f>
        <v>306036.36138400546</v>
      </c>
      <c r="E138" s="229">
        <f t="shared" si="88"/>
        <v>-0.46719166033077208</v>
      </c>
      <c r="F138" s="155"/>
      <c r="G138" s="156">
        <f>'C-Döviz'!C193</f>
        <v>163058.72558742377</v>
      </c>
      <c r="H138" s="156">
        <f>'C-Döviz'!B193</f>
        <v>306036.36138400546</v>
      </c>
      <c r="I138" s="229">
        <f t="shared" si="89"/>
        <v>-0.46719166033077208</v>
      </c>
      <c r="J138" s="157"/>
      <c r="K138" s="200" t="str">
        <f t="shared" si="92"/>
        <v xml:space="preserve">Yusen İnci Loj. </v>
      </c>
      <c r="L138" s="204">
        <f>'Tahmin Data'!G90/0.4</f>
        <v>3519941.0927418252</v>
      </c>
      <c r="M138" s="204">
        <f>'Tahmin Data'!I90/0.4</f>
        <v>4298327.4749999996</v>
      </c>
      <c r="N138" s="204">
        <f>'Tahmin Data'!K90/0.4</f>
        <v>4540279.3941217707</v>
      </c>
      <c r="O138" s="204">
        <f>'Tahmin Data'!M90/0.4</f>
        <v>4338714.5910332529</v>
      </c>
      <c r="P138" s="204">
        <f>'Tahmin Data'!O90/0.4</f>
        <v>4532466.8182937196</v>
      </c>
      <c r="Q138" s="204">
        <f>'Tahmin Data'!Q90/0.4</f>
        <v>4508904.5368769029</v>
      </c>
      <c r="R138" s="204">
        <f>'Tahmin Data'!S90/0.4</f>
        <v>4905159.3979442883</v>
      </c>
      <c r="S138" s="204">
        <f>'Tahmin Data'!U90/0.4</f>
        <v>0</v>
      </c>
      <c r="T138" s="204">
        <f>'Tahmin Data'!W90/0.4</f>
        <v>0</v>
      </c>
      <c r="U138" s="227">
        <f t="shared" si="90"/>
        <v>163058.72558742377</v>
      </c>
      <c r="V138" s="204">
        <f>'Bütçe aylık-Eur'!N119</f>
        <v>1626768.33170738</v>
      </c>
      <c r="W138" s="229">
        <f t="shared" si="91"/>
        <v>-0.89976524474367847</v>
      </c>
    </row>
    <row r="139" spans="2:24">
      <c r="B139" s="149" t="s">
        <v>121</v>
      </c>
      <c r="C139" s="156">
        <f>'A -Döviz'!C194</f>
        <v>933953.90000000014</v>
      </c>
      <c r="D139" s="156">
        <f>'A -Döviz'!B194</f>
        <v>395421.97810800001</v>
      </c>
      <c r="E139" s="229">
        <f t="shared" si="88"/>
        <v>1.3619170195565433</v>
      </c>
      <c r="F139" s="155"/>
      <c r="G139" s="156">
        <f>'C-Döviz'!C194</f>
        <v>933953.90000000014</v>
      </c>
      <c r="H139" s="156">
        <f>'C-Döviz'!B194</f>
        <v>395421.97810800001</v>
      </c>
      <c r="I139" s="229">
        <f t="shared" si="89"/>
        <v>1.3619170195565433</v>
      </c>
      <c r="J139" s="157"/>
      <c r="K139" s="200" t="str">
        <f t="shared" si="92"/>
        <v xml:space="preserve">Jantaş </v>
      </c>
      <c r="L139" s="204">
        <f>'Tahmin Data'!G89/0.4</f>
        <v>46827500</v>
      </c>
      <c r="M139" s="204">
        <f>'Tahmin Data'!I89/0.4</f>
        <v>51452465.824999996</v>
      </c>
      <c r="N139" s="204">
        <f>'Tahmin Data'!K89/0.4</f>
        <v>51697947.7743375</v>
      </c>
      <c r="O139" s="204">
        <f>'Tahmin Data'!M89/0.4</f>
        <v>52105000</v>
      </c>
      <c r="P139" s="204">
        <f>'Tahmin Data'!O89/0.4</f>
        <v>49353078.724330001</v>
      </c>
      <c r="Q139" s="204">
        <f>'Tahmin Data'!Q89/0.4</f>
        <v>43487144.968849994</v>
      </c>
      <c r="R139" s="204">
        <f>'Tahmin Data'!S89/0.4</f>
        <v>45284782.621694997</v>
      </c>
      <c r="S139" s="204">
        <f>'Tahmin Data'!U89/0.4</f>
        <v>0</v>
      </c>
      <c r="T139" s="204">
        <f>'Tahmin Data'!W89/0.4</f>
        <v>0</v>
      </c>
      <c r="U139" s="227">
        <f t="shared" si="90"/>
        <v>933953.90000000014</v>
      </c>
      <c r="V139" s="204">
        <f>'Bütçe aylık-Eur'!N120</f>
        <v>13599859.416231999</v>
      </c>
      <c r="W139" s="229">
        <f t="shared" si="91"/>
        <v>-0.93132620923380371</v>
      </c>
    </row>
    <row r="140" spans="2:24">
      <c r="B140" s="149" t="s">
        <v>122</v>
      </c>
      <c r="C140" s="156">
        <f>'A -Döviz'!C195</f>
        <v>1072976.3999999999</v>
      </c>
      <c r="D140" s="156">
        <f>'A -Döviz'!B195</f>
        <v>1228099.1459580001</v>
      </c>
      <c r="E140" s="229">
        <f t="shared" si="88"/>
        <v>-0.12631125627645803</v>
      </c>
      <c r="F140" s="155"/>
      <c r="G140" s="156">
        <f>'C-Döviz'!C195</f>
        <v>1072976.3999999999</v>
      </c>
      <c r="H140" s="156">
        <f>'C-Döviz'!B195</f>
        <v>1228099.1459580001</v>
      </c>
      <c r="I140" s="229">
        <f t="shared" si="89"/>
        <v>-0.12631125627645803</v>
      </c>
      <c r="J140" s="157"/>
      <c r="K140" s="200" t="str">
        <f t="shared" si="92"/>
        <v xml:space="preserve">Çelik </v>
      </c>
      <c r="L140" s="204">
        <f>'Tahmin Data'!G88/0.4</f>
        <v>50896439.780447498</v>
      </c>
      <c r="M140" s="204">
        <f>'Tahmin Data'!I88/0.4</f>
        <v>46238973.475000001</v>
      </c>
      <c r="N140" s="204">
        <f>'Tahmin Data'!K88/0.4</f>
        <v>45208479.0342125</v>
      </c>
      <c r="O140" s="204">
        <f>'Tahmin Data'!M88/0.4</f>
        <v>45208479.0342125</v>
      </c>
      <c r="P140" s="204">
        <f>'Tahmin Data'!O88/0.4</f>
        <v>44640383.112909995</v>
      </c>
      <c r="Q140" s="204">
        <f>'Tahmin Data'!Q88/0.4</f>
        <v>43087110.704679996</v>
      </c>
      <c r="R140" s="204">
        <f>'Tahmin Data'!S88/0.4</f>
        <v>43329261.693264998</v>
      </c>
      <c r="S140" s="204">
        <f>'Tahmin Data'!U88/0.4</f>
        <v>0</v>
      </c>
      <c r="T140" s="204">
        <f>'Tahmin Data'!W88/0.4</f>
        <v>0</v>
      </c>
      <c r="U140" s="227">
        <f t="shared" si="90"/>
        <v>1072976.3999999999</v>
      </c>
      <c r="V140" s="204">
        <f>'Bütçe aylık-Eur'!N121</f>
        <v>16673463.679524001</v>
      </c>
      <c r="W140" s="229">
        <f t="shared" si="91"/>
        <v>-0.93564766022085266</v>
      </c>
    </row>
    <row r="141" spans="2:24" ht="10.5" thickBot="1">
      <c r="B141" s="149" t="s">
        <v>124</v>
      </c>
      <c r="C141" s="156">
        <f>'A -Döviz'!C196</f>
        <v>1823346.88</v>
      </c>
      <c r="D141" s="156">
        <f>'A -Döviz'!B196</f>
        <v>1953797.282528</v>
      </c>
      <c r="E141" s="229">
        <f t="shared" si="88"/>
        <v>-6.6767624100291259E-2</v>
      </c>
      <c r="F141" s="155"/>
      <c r="G141" s="156">
        <f>'C-Döviz'!C196</f>
        <v>1823346.88</v>
      </c>
      <c r="H141" s="156">
        <f>'C-Döviz'!B196</f>
        <v>1953797.282528</v>
      </c>
      <c r="I141" s="229">
        <f t="shared" si="89"/>
        <v>-6.6767624100291259E-2</v>
      </c>
      <c r="J141" s="157"/>
      <c r="K141" s="201" t="str">
        <f t="shared" si="92"/>
        <v xml:space="preserve">Alüminyum </v>
      </c>
      <c r="L141" s="205">
        <f>'Tahmin Data'!G87/0.4</f>
        <v>78610827.234392494</v>
      </c>
      <c r="M141" s="205">
        <f>'Tahmin Data'!I87/0.4</f>
        <v>82781700.299999997</v>
      </c>
      <c r="N141" s="205">
        <f>'Tahmin Data'!K87/0.4</f>
        <v>82680232.513732508</v>
      </c>
      <c r="O141" s="205">
        <f>'Tahmin Data'!M87/0.4</f>
        <v>78547092.191310003</v>
      </c>
      <c r="P141" s="205">
        <f>'Tahmin Data'!O87/0.4</f>
        <v>65318388.624595009</v>
      </c>
      <c r="Q141" s="205">
        <f>'Tahmin Data'!Q87/0.4</f>
        <v>61938431.012180001</v>
      </c>
      <c r="R141" s="205">
        <f>'Tahmin Data'!S87/0.4</f>
        <v>60913825.458769992</v>
      </c>
      <c r="S141" s="205">
        <f>'Tahmin Data'!U87/0.4</f>
        <v>0</v>
      </c>
      <c r="T141" s="205">
        <f>'Tahmin Data'!W87/0.4</f>
        <v>0</v>
      </c>
      <c r="U141" s="232">
        <f t="shared" si="90"/>
        <v>1823346.88</v>
      </c>
      <c r="V141" s="205">
        <f>'Bütçe aylık-Eur'!N122</f>
        <v>24978524.282191999</v>
      </c>
      <c r="W141" s="264">
        <f t="shared" si="91"/>
        <v>-0.92700341864071123</v>
      </c>
    </row>
    <row r="142" spans="2:24" ht="10.5" thickBot="1">
      <c r="B142" s="169" t="s">
        <v>125</v>
      </c>
      <c r="C142" s="192">
        <f>'A -Döviz'!C186</f>
        <v>1058880.6053065835</v>
      </c>
      <c r="D142" s="192">
        <f>'A -Döviz'!B186</f>
        <v>1557792.4278231608</v>
      </c>
      <c r="E142" s="246">
        <f t="shared" si="88"/>
        <v>-0.32026848609974973</v>
      </c>
      <c r="F142" s="154"/>
      <c r="G142" s="192">
        <f>'C-Döviz'!C186</f>
        <v>1058880.6053065835</v>
      </c>
      <c r="H142" s="192">
        <f>'C-Döviz'!B186</f>
        <v>1557792.4278231608</v>
      </c>
      <c r="I142" s="260">
        <f t="shared" si="89"/>
        <v>-0.32026848609974973</v>
      </c>
      <c r="J142" s="194"/>
      <c r="K142" s="263" t="s">
        <v>125</v>
      </c>
      <c r="L142" s="248">
        <f>SUM('Tahmin Data'!G83:G90)</f>
        <v>70817760.508157492</v>
      </c>
      <c r="M142" s="248">
        <f>SUM('Tahmin Data'!I83:I90)</f>
        <v>102663531.25999999</v>
      </c>
      <c r="N142" s="248">
        <f>SUM('Tahmin Data'!K83:K90)</f>
        <v>50703565.880402721</v>
      </c>
      <c r="O142" s="248">
        <f>SUM('Tahmin Data'!M83:M90)</f>
        <v>50421946.091267429</v>
      </c>
      <c r="P142" s="248">
        <f>SUM('Tahmin Data'!O83:O90)</f>
        <v>41833690.990868144</v>
      </c>
      <c r="Q142" s="248">
        <f>SUM('Tahmin Data'!Q83:Q90)</f>
        <v>36701776.546954557</v>
      </c>
      <c r="R142" s="248">
        <f>SUM('Tahmin Data'!S83:S90)</f>
        <v>34536543.078367203</v>
      </c>
      <c r="S142" s="248">
        <f>SUM('Tahmin Data'!U83:U90)</f>
        <v>0</v>
      </c>
      <c r="T142" s="248">
        <f>SUM('Tahmin Data'!W83:W90)</f>
        <v>0</v>
      </c>
      <c r="U142" s="248" cm="1">
        <f t="array" ref="U142">SUM(U134:U136,(U137:U141)*0.4)</f>
        <v>1058880.6053065835</v>
      </c>
      <c r="V142" s="248">
        <f>'Bütçe aylık-Eur'!N114</f>
        <v>27464834.076917417</v>
      </c>
      <c r="W142" s="229">
        <f t="shared" si="91"/>
        <v>-0.96144594930589766</v>
      </c>
    </row>
    <row r="143" spans="2:24" ht="10.5" thickBot="1">
      <c r="B143" s="158"/>
      <c r="C143" s="196"/>
      <c r="D143" s="196"/>
      <c r="E143" s="194"/>
      <c r="F143" s="197"/>
      <c r="G143" s="196"/>
      <c r="H143" s="196"/>
      <c r="I143" s="194"/>
      <c r="J143" s="194"/>
      <c r="K143" s="249" t="s">
        <v>9</v>
      </c>
      <c r="L143" s="239">
        <f t="shared" ref="L143:V143" si="93">SUM(L134:L141)</f>
        <v>168388383.69610047</v>
      </c>
      <c r="M143" s="239">
        <f t="shared" si="93"/>
        <v>250629578.35999995</v>
      </c>
      <c r="N143" s="239">
        <f t="shared" si="93"/>
        <v>161179729.11024529</v>
      </c>
      <c r="O143" s="239">
        <f t="shared" si="93"/>
        <v>158541517.5812009</v>
      </c>
      <c r="P143" s="239">
        <f t="shared" si="93"/>
        <v>140140281.35894537</v>
      </c>
      <c r="Q143" s="239">
        <f t="shared" si="93"/>
        <v>128514731.2805067</v>
      </c>
      <c r="R143" s="239">
        <f t="shared" si="93"/>
        <v>127196360.58137175</v>
      </c>
      <c r="S143" s="239">
        <f t="shared" si="93"/>
        <v>0</v>
      </c>
      <c r="T143" s="239">
        <f t="shared" si="93"/>
        <v>0</v>
      </c>
      <c r="U143" s="239">
        <f t="shared" si="93"/>
        <v>2482274.6229095906</v>
      </c>
      <c r="V143" s="239">
        <f t="shared" si="93"/>
        <v>61592003.502710648</v>
      </c>
      <c r="W143" s="264">
        <f t="shared" si="91"/>
        <v>-0.95969810232264408</v>
      </c>
    </row>
    <row r="144" spans="2:24">
      <c r="B144" s="158"/>
      <c r="C144" s="196"/>
      <c r="D144" s="196"/>
      <c r="E144" s="194"/>
      <c r="F144" s="197"/>
      <c r="G144" s="196"/>
      <c r="H144" s="196"/>
      <c r="I144" s="194"/>
      <c r="J144" s="194"/>
      <c r="K144" s="202"/>
      <c r="L144" s="194"/>
      <c r="M144" s="194"/>
      <c r="N144" s="194"/>
      <c r="O144" s="194"/>
      <c r="P144" s="194"/>
      <c r="Q144" s="194"/>
      <c r="R144" s="194"/>
      <c r="S144" s="194"/>
      <c r="T144" s="194"/>
      <c r="U144" s="194"/>
      <c r="V144" s="194"/>
    </row>
    <row r="145" spans="2:29" ht="12.5">
      <c r="B145" s="209" t="s">
        <v>152</v>
      </c>
      <c r="C145" s="210" t="s">
        <v>0</v>
      </c>
      <c r="D145" s="210"/>
      <c r="E145" s="210"/>
      <c r="F145" s="210"/>
      <c r="G145" s="210"/>
      <c r="H145" s="210" t="s">
        <v>36</v>
      </c>
      <c r="I145" s="210"/>
      <c r="J145" s="195"/>
      <c r="K145" s="214" t="s">
        <v>153</v>
      </c>
      <c r="L145" s="214"/>
      <c r="M145" s="214"/>
      <c r="N145" s="214"/>
      <c r="O145" s="210"/>
      <c r="P145" s="210"/>
      <c r="Q145" s="210"/>
      <c r="R145" s="210"/>
      <c r="S145" s="210"/>
      <c r="T145" s="210"/>
      <c r="U145" s="210"/>
      <c r="V145" s="195"/>
    </row>
    <row r="146" spans="2:29" ht="10.5" thickBot="1">
      <c r="B146" s="169"/>
      <c r="C146" s="211" t="s">
        <v>98</v>
      </c>
      <c r="D146" s="211" t="s">
        <v>99</v>
      </c>
      <c r="E146" s="211" t="s">
        <v>100</v>
      </c>
      <c r="F146" s="211"/>
      <c r="G146" s="211" t="str">
        <f>C146</f>
        <v>Gerçekleşen</v>
      </c>
      <c r="H146" s="211" t="s">
        <v>99</v>
      </c>
      <c r="I146" s="211" t="s">
        <v>100</v>
      </c>
      <c r="J146" s="152"/>
      <c r="K146" s="169"/>
      <c r="L146" s="211" t="str">
        <f>L185</f>
        <v>Mart</v>
      </c>
      <c r="M146" s="211" t="str">
        <f>M185</f>
        <v>Nisan</v>
      </c>
      <c r="N146" s="211" t="str">
        <f>N185</f>
        <v>Mayıs</v>
      </c>
      <c r="O146" s="219" t="s">
        <v>101</v>
      </c>
      <c r="P146" s="219" t="s">
        <v>102</v>
      </c>
      <c r="Q146" s="219" t="s">
        <v>103</v>
      </c>
      <c r="R146" s="219" t="s">
        <v>104</v>
      </c>
      <c r="S146" s="219" t="s">
        <v>105</v>
      </c>
      <c r="T146" s="219" t="s">
        <v>106</v>
      </c>
      <c r="U146" s="219" t="s">
        <v>98</v>
      </c>
      <c r="V146" s="219" t="s">
        <v>99</v>
      </c>
      <c r="W146" s="262" t="s">
        <v>100</v>
      </c>
    </row>
    <row r="147" spans="2:29" ht="10.5" thickTop="1">
      <c r="B147" s="149" t="s">
        <v>111</v>
      </c>
      <c r="C147" s="156">
        <f>'A -Döviz'!C202</f>
        <v>-45610.045041745972</v>
      </c>
      <c r="D147" s="156">
        <f>'A -Döviz'!B202</f>
        <v>-86455.963682485555</v>
      </c>
      <c r="E147" s="224">
        <f>IF(C147&gt;D147,ABS((C147-D147)/D147),-ABS((D147-C147)/D147))</f>
        <v>0.47244767047821645</v>
      </c>
      <c r="F147" s="155"/>
      <c r="G147" s="156">
        <f>'C-Döviz'!C202</f>
        <v>-45610.045041745972</v>
      </c>
      <c r="H147" s="156">
        <f>'C-Döviz'!B202</f>
        <v>-86455.963682485555</v>
      </c>
      <c r="I147" s="224">
        <f>IF(G147&gt;H147,ABS((G147-H147)/H147),-ABS((H147-G147)/H147))</f>
        <v>0.47244767047821645</v>
      </c>
      <c r="J147" s="157"/>
      <c r="K147" s="200" t="str">
        <f t="shared" ref="K147:K154" si="94">B147</f>
        <v xml:space="preserve">İnci Holding  </v>
      </c>
      <c r="L147" s="204">
        <f>-'Tahmin Data'!G92</f>
        <v>-450901.09242453752</v>
      </c>
      <c r="M147" s="204">
        <f>-'Tahmin Data'!I92</f>
        <v>-1050824.3632463501</v>
      </c>
      <c r="N147" s="204">
        <f>-'Tahmin Data'!K92</f>
        <v>-822623.83352030697</v>
      </c>
      <c r="O147" s="204">
        <f>-'Tahmin Data'!M92</f>
        <v>-268608.16299344454</v>
      </c>
      <c r="P147" s="204">
        <f>-'Tahmin Data'!O92</f>
        <v>-410741.47057132982</v>
      </c>
      <c r="Q147" s="204">
        <f>-'Tahmin Data'!Q92</f>
        <v>-590843.0018896478</v>
      </c>
      <c r="R147" s="204">
        <f>-'Tahmin Data'!S92</f>
        <v>-827154.96519707423</v>
      </c>
      <c r="S147" s="204">
        <f>-'Tahmin Data'!U92</f>
        <v>0</v>
      </c>
      <c r="T147" s="204">
        <f>-'Tahmin Data'!W92</f>
        <v>0</v>
      </c>
      <c r="U147" s="318">
        <f t="shared" ref="U147:U154" si="95">G147</f>
        <v>-45610.045041745972</v>
      </c>
      <c r="V147" s="204">
        <f>'Bütçe aylık-Eur'!N126</f>
        <v>-848711.84160853259</v>
      </c>
      <c r="W147" s="224">
        <f t="shared" ref="W147:W156" si="96">IF(U147&gt;V147,ABS((U147-V147)/V147),-ABS((V147-U147)/V147))</f>
        <v>0.94625968107702729</v>
      </c>
    </row>
    <row r="148" spans="2:29">
      <c r="B148" s="149" t="s">
        <v>11</v>
      </c>
      <c r="C148" s="156">
        <f>'A -Döviz'!C203</f>
        <v>4276.120109793047</v>
      </c>
      <c r="D148" s="156">
        <f>'A -Döviz'!B203</f>
        <v>7382.6093627736118</v>
      </c>
      <c r="E148" s="229">
        <f>IF(C148&gt;D148,ABS((C148-D148)/D148),-ABS((D148-C148)/D148))</f>
        <v>-0.42078472533639127</v>
      </c>
      <c r="F148" s="155"/>
      <c r="G148" s="156">
        <f>'C-Döviz'!C203</f>
        <v>4276.120109793047</v>
      </c>
      <c r="H148" s="156">
        <f>'C-Döviz'!B203</f>
        <v>7382.6093627736118</v>
      </c>
      <c r="I148" s="229">
        <f>IF(G148&gt;H148,ABS((G148-H148)/H148),-ABS((H148-G148)/H148))</f>
        <v>-0.42078472533639127</v>
      </c>
      <c r="J148" s="157"/>
      <c r="K148" s="200" t="str">
        <f t="shared" si="94"/>
        <v xml:space="preserve">ISM </v>
      </c>
      <c r="L148" s="204">
        <f>-'Tahmin Data'!G94</f>
        <v>-140575.37429840298</v>
      </c>
      <c r="M148" s="204">
        <f>-'Tahmin Data'!I94</f>
        <v>-2736.53</v>
      </c>
      <c r="N148" s="204">
        <f>-'Tahmin Data'!K94</f>
        <v>-37203.853441513922</v>
      </c>
      <c r="O148" s="204">
        <f>-'Tahmin Data'!M94</f>
        <v>-68.247321702654972</v>
      </c>
      <c r="P148" s="204">
        <f>-'Tahmin Data'!O94</f>
        <v>-3357.1263476551148</v>
      </c>
      <c r="Q148" s="204">
        <f>-'Tahmin Data'!Q94</f>
        <v>-1106.1965044759891</v>
      </c>
      <c r="R148" s="204">
        <f>-'Tahmin Data'!S94</f>
        <v>-482.83212432487926</v>
      </c>
      <c r="S148" s="204">
        <f>-'Tahmin Data'!U94</f>
        <v>0</v>
      </c>
      <c r="T148" s="204">
        <f>-'Tahmin Data'!W94</f>
        <v>0</v>
      </c>
      <c r="U148" s="227">
        <f t="shared" si="95"/>
        <v>4276.120109793047</v>
      </c>
      <c r="V148" s="204">
        <f>'Bütçe aylık-Eur'!N127</f>
        <v>-176130.35407495126</v>
      </c>
      <c r="W148" s="229">
        <f t="shared" si="96"/>
        <v>1.0242781554164899</v>
      </c>
      <c r="X148" s="162"/>
      <c r="Y148" s="162"/>
      <c r="AA148" s="162"/>
      <c r="AB148" s="162"/>
      <c r="AC148" s="162"/>
    </row>
    <row r="149" spans="2:29">
      <c r="B149" s="149" t="s">
        <v>115</v>
      </c>
      <c r="C149" s="156">
        <f>'A -Döviz'!C204</f>
        <v>-8.2083883787389311</v>
      </c>
      <c r="D149" s="156">
        <f>'A -Döviz'!B204</f>
        <v>0</v>
      </c>
      <c r="E149" s="229" t="e">
        <f>IF(C149&gt;D149,ABS((C149-D149)/D149),-ABS((D149-C149)/D149))</f>
        <v>#DIV/0!</v>
      </c>
      <c r="F149" s="155"/>
      <c r="G149" s="156">
        <f>'C-Döviz'!C204</f>
        <v>-8.2083883787389311</v>
      </c>
      <c r="H149" s="156">
        <f>'C-Döviz'!B204</f>
        <v>0</v>
      </c>
      <c r="I149" s="229" t="e">
        <f>IF(G149&gt;H149,ABS((G149-H149)/H149),-ABS((H149-G149)/H149))</f>
        <v>#DIV/0!</v>
      </c>
      <c r="J149" s="157"/>
      <c r="K149" s="200" t="str">
        <f t="shared" si="94"/>
        <v xml:space="preserve">İncitaş </v>
      </c>
      <c r="L149" s="204">
        <f>-'Tahmin Data'!G93</f>
        <v>-95395.399324777958</v>
      </c>
      <c r="M149" s="204">
        <f>-'Tahmin Data'!I93</f>
        <v>-109.02</v>
      </c>
      <c r="N149" s="204">
        <f>-'Tahmin Data'!K93</f>
        <v>-1.8742182997612433</v>
      </c>
      <c r="O149" s="204">
        <f>-'Tahmin Data'!M93</f>
        <v>-1.9333944669502454</v>
      </c>
      <c r="P149" s="204">
        <f>-'Tahmin Data'!O93</f>
        <v>-1.9830577288798406</v>
      </c>
      <c r="Q149" s="204">
        <f>-'Tahmin Data'!Q93</f>
        <v>-2.3131390162173755</v>
      </c>
      <c r="R149" s="204">
        <f>-'Tahmin Data'!S93</f>
        <v>-8446.7769391150669</v>
      </c>
      <c r="S149" s="204">
        <f>-'Tahmin Data'!U93</f>
        <v>0</v>
      </c>
      <c r="T149" s="204">
        <f>-'Tahmin Data'!W93</f>
        <v>0</v>
      </c>
      <c r="U149" s="227">
        <f t="shared" si="95"/>
        <v>-8.2083883787389311</v>
      </c>
      <c r="V149" s="204">
        <f>'Bütçe aylık-Eur'!N128</f>
        <v>-102321.53530429646</v>
      </c>
      <c r="W149" s="229">
        <f t="shared" si="96"/>
        <v>0.99991977848695945</v>
      </c>
      <c r="X149" s="162"/>
      <c r="Y149" s="162"/>
      <c r="AA149" s="162"/>
      <c r="AB149" s="162"/>
      <c r="AC149" s="162"/>
    </row>
    <row r="150" spans="2:29">
      <c r="B150" s="149" t="s">
        <v>119</v>
      </c>
      <c r="C150" s="156">
        <f>'A -Döviz'!C205</f>
        <v>0</v>
      </c>
      <c r="D150" s="156">
        <f>'A -Döviz'!B205</f>
        <v>0</v>
      </c>
      <c r="E150" s="229">
        <v>0</v>
      </c>
      <c r="F150" s="155"/>
      <c r="G150" s="156">
        <f>'C-Döviz'!C205</f>
        <v>0</v>
      </c>
      <c r="H150" s="156">
        <f>'C-Döviz'!B205</f>
        <v>0</v>
      </c>
      <c r="I150" s="229">
        <v>0</v>
      </c>
      <c r="J150" s="157"/>
      <c r="K150" s="200" t="str">
        <f t="shared" si="94"/>
        <v xml:space="preserve">İnci GS Yuasa </v>
      </c>
      <c r="L150" s="204">
        <f>-'Tahmin Data'!G91/0.4</f>
        <v>0</v>
      </c>
      <c r="M150" s="204">
        <f>-'Tahmin Data'!I91/0.4</f>
        <v>0</v>
      </c>
      <c r="N150" s="204">
        <f>-'Tahmin Data'!K91/0.4</f>
        <v>0</v>
      </c>
      <c r="O150" s="204">
        <f>-'Tahmin Data'!M91/0.4</f>
        <v>0</v>
      </c>
      <c r="P150" s="204">
        <f>-'Tahmin Data'!O91/0.4</f>
        <v>0</v>
      </c>
      <c r="Q150" s="204">
        <f>-'Tahmin Data'!Q91/0.4</f>
        <v>0</v>
      </c>
      <c r="R150" s="204">
        <f>-'Tahmin Data'!S91/0.4</f>
        <v>0</v>
      </c>
      <c r="S150" s="204">
        <f>-'Tahmin Data'!U91/0.4</f>
        <v>0</v>
      </c>
      <c r="T150" s="204">
        <f>-'Tahmin Data'!W91/0.4</f>
        <v>0</v>
      </c>
      <c r="U150" s="227">
        <f t="shared" si="95"/>
        <v>0</v>
      </c>
      <c r="V150" s="204">
        <f>'Bütçe aylık-Eur'!N129</f>
        <v>0</v>
      </c>
      <c r="W150" s="229">
        <v>0</v>
      </c>
      <c r="X150" s="162"/>
      <c r="Y150" s="162"/>
      <c r="AA150" s="162"/>
      <c r="AB150" s="162"/>
      <c r="AC150" s="162"/>
    </row>
    <row r="151" spans="2:29">
      <c r="B151" s="149" t="s">
        <v>120</v>
      </c>
      <c r="C151" s="156">
        <f>'A -Döviz'!C206</f>
        <v>89441.77359301495</v>
      </c>
      <c r="D151" s="156">
        <f>'A -Döviz'!B206</f>
        <v>-76509.097078593579</v>
      </c>
      <c r="E151" s="229">
        <f>IF(C151&gt;D151,ABS((C151-D151)/D151),-ABS((D151-C151)/D151))</f>
        <v>2.169034494043713</v>
      </c>
      <c r="F151" s="155"/>
      <c r="G151" s="156">
        <f>'C-Döviz'!C206</f>
        <v>89441.77359301495</v>
      </c>
      <c r="H151" s="156">
        <f>'C-Döviz'!B206</f>
        <v>-76509.097078593579</v>
      </c>
      <c r="I151" s="229">
        <f>IF(G151&gt;H151,ABS((G151-H151)/H151),-ABS((H151-G151)/H151))</f>
        <v>2.169034494043713</v>
      </c>
      <c r="J151" s="157"/>
      <c r="K151" s="200" t="str">
        <f t="shared" si="94"/>
        <v xml:space="preserve">Yusen İnci Loj. </v>
      </c>
      <c r="L151" s="204">
        <f>-'Tahmin Data'!G98/0.4</f>
        <v>-467945.15243667189</v>
      </c>
      <c r="M151" s="204">
        <f>-'Tahmin Data'!I98/0.4</f>
        <v>-975654.40000000002</v>
      </c>
      <c r="N151" s="204">
        <f>-'Tahmin Data'!K98/0.4</f>
        <v>-671083.16876016569</v>
      </c>
      <c r="O151" s="204">
        <f>-'Tahmin Data'!M98/0.4</f>
        <v>-864864.31867416145</v>
      </c>
      <c r="P151" s="204">
        <f>-'Tahmin Data'!O98/0.4</f>
        <v>-900201.94202898338</v>
      </c>
      <c r="Q151" s="204">
        <f>-'Tahmin Data'!Q98/0.4</f>
        <v>-973024.2972817733</v>
      </c>
      <c r="R151" s="204">
        <f>-'Tahmin Data'!S98/0.4</f>
        <v>-873943.81257051078</v>
      </c>
      <c r="S151" s="204">
        <f>-'Tahmin Data'!U98/0.4</f>
        <v>0</v>
      </c>
      <c r="T151" s="204">
        <f>-'Tahmin Data'!W98/0.4</f>
        <v>0</v>
      </c>
      <c r="U151" s="227">
        <f t="shared" si="95"/>
        <v>89441.77359301495</v>
      </c>
      <c r="V151" s="204">
        <f>'Bütçe aylık-Eur'!N130</f>
        <v>-513917.21424885042</v>
      </c>
      <c r="W151" s="229">
        <f t="shared" si="96"/>
        <v>1.174039263743567</v>
      </c>
      <c r="X151" s="162"/>
      <c r="Y151" s="162"/>
      <c r="AA151" s="162"/>
      <c r="AB151" s="162"/>
      <c r="AC151" s="162"/>
    </row>
    <row r="152" spans="2:29">
      <c r="B152" s="149" t="s">
        <v>121</v>
      </c>
      <c r="C152" s="156">
        <f>'A -Döviz'!C207</f>
        <v>-321620.92</v>
      </c>
      <c r="D152" s="156">
        <f>'A -Döviz'!B207</f>
        <v>-138011.98475800001</v>
      </c>
      <c r="E152" s="229">
        <f>IF(C152&gt;D152,ABS((C152-D152)/D152),-ABS((D152-C152)/D152))</f>
        <v>-1.3303839921145464</v>
      </c>
      <c r="F152" s="155"/>
      <c r="G152" s="156">
        <f>'C-Döviz'!C207</f>
        <v>-321620.92</v>
      </c>
      <c r="H152" s="156">
        <f>'C-Döviz'!B207</f>
        <v>-138011.98475800001</v>
      </c>
      <c r="I152" s="229">
        <f>IF(G152&gt;H152,ABS((G152-H152)/H152),-ABS((H152-G152)/H152))</f>
        <v>-1.3303839921145464</v>
      </c>
      <c r="J152" s="157"/>
      <c r="K152" s="200" t="str">
        <f t="shared" si="94"/>
        <v xml:space="preserve">Jantaş </v>
      </c>
      <c r="L152" s="204">
        <f>-'Tahmin Data'!G97/0.4</f>
        <v>-10325000</v>
      </c>
      <c r="M152" s="204">
        <f>-'Tahmin Data'!I97/0.4</f>
        <v>-12236593.075000001</v>
      </c>
      <c r="N152" s="204">
        <f>-'Tahmin Data'!K97/0.4</f>
        <v>-12832168.534682499</v>
      </c>
      <c r="O152" s="204">
        <f>-'Tahmin Data'!M97/0.4</f>
        <v>-12190000</v>
      </c>
      <c r="P152" s="204">
        <f>-'Tahmin Data'!O97/0.4</f>
        <v>-11752241.482009999</v>
      </c>
      <c r="Q152" s="204">
        <f>-'Tahmin Data'!Q97/0.4</f>
        <v>-10527678.786959998</v>
      </c>
      <c r="R152" s="204">
        <f>-'Tahmin Data'!S97/0.4</f>
        <v>-10684150.040665001</v>
      </c>
      <c r="S152" s="204">
        <f>-'Tahmin Data'!U97/0.4</f>
        <v>0</v>
      </c>
      <c r="T152" s="204">
        <f>-'Tahmin Data'!W97/0.4</f>
        <v>0</v>
      </c>
      <c r="U152" s="227">
        <f t="shared" si="95"/>
        <v>-321620.92</v>
      </c>
      <c r="V152" s="204">
        <f>'Bütçe aylık-Eur'!N131</f>
        <v>-2992900.8432880002</v>
      </c>
      <c r="W152" s="229">
        <f t="shared" si="96"/>
        <v>0.89253873187236388</v>
      </c>
      <c r="X152" s="162"/>
      <c r="Y152" s="162"/>
      <c r="AA152" s="162"/>
      <c r="AB152" s="162"/>
      <c r="AC152" s="162"/>
    </row>
    <row r="153" spans="2:29">
      <c r="B153" s="149" t="s">
        <v>122</v>
      </c>
      <c r="C153" s="156">
        <f>'A -Döviz'!C208</f>
        <v>-126395.68</v>
      </c>
      <c r="D153" s="156">
        <f>'A -Döviz'!B208</f>
        <v>91802.454859999998</v>
      </c>
      <c r="E153" s="229">
        <f>IF(C153&gt;D153,ABS((C153-D153)/D153),-ABS((D153-C153)/D153))</f>
        <v>-2.3768224411074317</v>
      </c>
      <c r="F153" s="155"/>
      <c r="G153" s="156">
        <f>'C-Döviz'!C208</f>
        <v>-126395.68</v>
      </c>
      <c r="H153" s="156">
        <f>'C-Döviz'!B208</f>
        <v>91802.454859999998</v>
      </c>
      <c r="I153" s="229">
        <f>IF(G153&gt;H153,ABS((G153-H153)/H153),-ABS((H153-G153)/H153))</f>
        <v>-2.3768224411074317</v>
      </c>
      <c r="J153" s="157"/>
      <c r="K153" s="200" t="str">
        <f t="shared" si="94"/>
        <v xml:space="preserve">Çelik </v>
      </c>
      <c r="L153" s="204">
        <f>-'Tahmin Data'!G96/0.4</f>
        <v>-11222123.7203425</v>
      </c>
      <c r="M153" s="204">
        <f>-'Tahmin Data'!I96/0.4</f>
        <v>-10239017.725</v>
      </c>
      <c r="N153" s="204">
        <f>-'Tahmin Data'!K96/0.4</f>
        <v>-9962653.6894899998</v>
      </c>
      <c r="O153" s="204">
        <f>-'Tahmin Data'!M96/0.4</f>
        <v>-9962653.6894899998</v>
      </c>
      <c r="P153" s="204">
        <f>-'Tahmin Data'!O96/0.4</f>
        <v>-11694013.597182501</v>
      </c>
      <c r="Q153" s="204">
        <f>-'Tahmin Data'!Q96/0.4</f>
        <v>-20958624.423717499</v>
      </c>
      <c r="R153" s="204">
        <f>-'Tahmin Data'!S96/0.4</f>
        <v>-21021195.4946675</v>
      </c>
      <c r="S153" s="204">
        <f>-'Tahmin Data'!U96/0.4</f>
        <v>0</v>
      </c>
      <c r="T153" s="204">
        <f>-'Tahmin Data'!W96/0.4</f>
        <v>0</v>
      </c>
      <c r="U153" s="227">
        <f t="shared" si="95"/>
        <v>-126395.68</v>
      </c>
      <c r="V153" s="204">
        <f>'Bütçe aylık-Eur'!N132</f>
        <v>-5337893.0201620013</v>
      </c>
      <c r="W153" s="229">
        <f t="shared" si="96"/>
        <v>0.9763210541083186</v>
      </c>
      <c r="X153" s="162"/>
      <c r="Y153" s="162"/>
      <c r="AA153" s="162"/>
      <c r="AB153" s="162"/>
      <c r="AC153" s="162"/>
    </row>
    <row r="154" spans="2:29" ht="10.5" thickBot="1">
      <c r="B154" s="149" t="s">
        <v>124</v>
      </c>
      <c r="C154" s="156">
        <f>'A -Döviz'!C209</f>
        <v>-352219.55</v>
      </c>
      <c r="D154" s="156">
        <f>'A -Döviz'!B209</f>
        <v>211338.865361</v>
      </c>
      <c r="E154" s="229">
        <f>IF(C154&gt;D154,ABS((C154-D154)/D154),-ABS((D154-C154)/D154))</f>
        <v>-2.6666103955765714</v>
      </c>
      <c r="F154" s="155"/>
      <c r="G154" s="156">
        <f>'C-Döviz'!C209</f>
        <v>-352219.55</v>
      </c>
      <c r="H154" s="156">
        <f>'C-Döviz'!B209</f>
        <v>211338.865361</v>
      </c>
      <c r="I154" s="229">
        <f>IF(G154&gt;H154,ABS((G154-H154)/H154),-ABS((H154-G154)/H154))</f>
        <v>-2.6666103955765714</v>
      </c>
      <c r="J154" s="157"/>
      <c r="K154" s="201" t="str">
        <f t="shared" si="94"/>
        <v xml:space="preserve">Alüminyum </v>
      </c>
      <c r="L154" s="205">
        <f>-'Tahmin Data'!G95/0.4</f>
        <v>-2605727.1903725001</v>
      </c>
      <c r="M154" s="205">
        <f>-'Tahmin Data'!I95/0.4</f>
        <v>-3490430.0749999997</v>
      </c>
      <c r="N154" s="205">
        <f>-'Tahmin Data'!K95/0.4</f>
        <v>-3892685.6680399999</v>
      </c>
      <c r="O154" s="205">
        <f>-'Tahmin Data'!M95/0.4</f>
        <v>-4972955.3306924999</v>
      </c>
      <c r="P154" s="205">
        <f>-'Tahmin Data'!O95/0.4</f>
        <v>-3039941.2956375</v>
      </c>
      <c r="Q154" s="205">
        <f>-'Tahmin Data'!Q95/0.4</f>
        <v>-2205155.7445999999</v>
      </c>
      <c r="R154" s="205">
        <f>-'Tahmin Data'!S95/0.4</f>
        <v>-3440716.6013249997</v>
      </c>
      <c r="S154" s="205">
        <f>-'Tahmin Data'!U95/0.4</f>
        <v>0</v>
      </c>
      <c r="T154" s="205">
        <f>-'Tahmin Data'!W95/0.4</f>
        <v>0</v>
      </c>
      <c r="U154" s="232">
        <f t="shared" si="95"/>
        <v>-352219.55</v>
      </c>
      <c r="V154" s="205">
        <f>'Bütçe aylık-Eur'!N133</f>
        <v>729561.4114610001</v>
      </c>
      <c r="W154" s="264">
        <f t="shared" si="96"/>
        <v>-1.4827825930303176</v>
      </c>
      <c r="X154" s="162"/>
      <c r="Y154" s="162"/>
      <c r="AA154" s="162"/>
      <c r="AB154" s="162"/>
      <c r="AC154" s="162"/>
    </row>
    <row r="155" spans="2:29" ht="10.5" thickBot="1">
      <c r="B155" s="169" t="s">
        <v>125</v>
      </c>
      <c r="C155" s="192">
        <f>'A -Döviz'!C199</f>
        <v>-325659.88388312573</v>
      </c>
      <c r="D155" s="192">
        <f>'A -Döviz'!B199</f>
        <v>-43625.258965949368</v>
      </c>
      <c r="E155" s="246">
        <f>IF(C155&gt;D155,ABS((C155-D155)/D155),-ABS((D155-C155)/D155))</f>
        <v>-6.4649386984112036</v>
      </c>
      <c r="F155" s="154"/>
      <c r="G155" s="192">
        <f>'C-Döviz'!C199</f>
        <v>-325659.88388312573</v>
      </c>
      <c r="H155" s="192">
        <f>'C-Döviz'!B199</f>
        <v>-43625.258965949368</v>
      </c>
      <c r="I155" s="260">
        <f>IF(G155&gt;H155,ABS((G155-H155)/H155),-ABS((H155-G155)/H155))</f>
        <v>-6.4649386984112036</v>
      </c>
      <c r="J155" s="194"/>
      <c r="K155" s="263" t="s">
        <v>138</v>
      </c>
      <c r="L155" s="248">
        <f>-SUM('Tahmin Data'!G91:G98)</f>
        <v>-10535190.291308388</v>
      </c>
      <c r="M155" s="248">
        <f>-SUM('Tahmin Data'!I91:I98)</f>
        <v>-11830348.02324635</v>
      </c>
      <c r="N155" s="248">
        <f>-SUM('Tahmin Data'!K91:K98)</f>
        <v>-11803265.985569187</v>
      </c>
      <c r="O155" s="248">
        <f>-SUM('Tahmin Data'!M91:M98)</f>
        <v>-11464867.679252278</v>
      </c>
      <c r="P155" s="248">
        <f>-SUM('Tahmin Data'!O91:O98)</f>
        <v>-11368659.906720309</v>
      </c>
      <c r="Q155" s="248">
        <f>-SUM('Tahmin Data'!Q91:Q98)</f>
        <v>-14457744.812556848</v>
      </c>
      <c r="R155" s="248">
        <f>-SUM('Tahmin Data'!S91:S98)</f>
        <v>-15244086.953951718</v>
      </c>
      <c r="S155" s="248">
        <f>-SUM('Tahmin Data'!U91:U98)</f>
        <v>0</v>
      </c>
      <c r="T155" s="248">
        <f>-SUM('Tahmin Data'!W91:W98)</f>
        <v>0</v>
      </c>
      <c r="U155" s="248" cm="1">
        <f t="array" ref="U155">SUM(U147:U149,(U150:U154)*0.4)</f>
        <v>-325659.88388312573</v>
      </c>
      <c r="V155" s="248">
        <f>'Bütçe aylık-Eur'!N125</f>
        <v>-4373223.5974829216</v>
      </c>
      <c r="W155" s="229">
        <f t="shared" si="96"/>
        <v>0.92553321900335384</v>
      </c>
      <c r="X155" s="162"/>
      <c r="Y155" s="162"/>
      <c r="AA155" s="162"/>
      <c r="AB155" s="162"/>
      <c r="AC155" s="162"/>
    </row>
    <row r="156" spans="2:29" ht="10.5" thickBot="1">
      <c r="K156" s="249" t="s">
        <v>9</v>
      </c>
      <c r="L156" s="239">
        <f t="shared" ref="L156:V156" si="97">SUM(L147:L154)</f>
        <v>-25307667.929199394</v>
      </c>
      <c r="M156" s="239">
        <f t="shared" si="97"/>
        <v>-27995365.188246351</v>
      </c>
      <c r="N156" s="239">
        <f t="shared" si="97"/>
        <v>-28218420.622152783</v>
      </c>
      <c r="O156" s="239">
        <f t="shared" si="97"/>
        <v>-28259151.682566278</v>
      </c>
      <c r="P156" s="239">
        <f t="shared" si="97"/>
        <v>-27800498.896835696</v>
      </c>
      <c r="Q156" s="239">
        <f t="shared" si="97"/>
        <v>-35256434.764092408</v>
      </c>
      <c r="R156" s="239">
        <f t="shared" si="97"/>
        <v>-36856090.523488522</v>
      </c>
      <c r="S156" s="239">
        <f t="shared" si="97"/>
        <v>0</v>
      </c>
      <c r="T156" s="239">
        <f t="shared" si="97"/>
        <v>0</v>
      </c>
      <c r="U156" s="239">
        <f t="shared" si="97"/>
        <v>-752136.50972731668</v>
      </c>
      <c r="V156" s="239">
        <f t="shared" si="97"/>
        <v>-9242313.3972256333</v>
      </c>
      <c r="W156" s="264">
        <f t="shared" si="96"/>
        <v>0.91862031967525648</v>
      </c>
      <c r="X156" s="162"/>
      <c r="Y156" s="162"/>
      <c r="AA156" s="162"/>
      <c r="AB156" s="162"/>
      <c r="AC156" s="162"/>
    </row>
    <row r="157" spans="2:29">
      <c r="W157" s="245"/>
      <c r="X157" s="177"/>
      <c r="Y157" s="177"/>
    </row>
    <row r="158" spans="2:29" ht="12.5">
      <c r="B158" s="209" t="s">
        <v>154</v>
      </c>
      <c r="C158" s="210" t="s">
        <v>0</v>
      </c>
      <c r="D158" s="210"/>
      <c r="E158" s="210"/>
      <c r="F158" s="210"/>
      <c r="G158" s="210"/>
      <c r="H158" s="210" t="s">
        <v>36</v>
      </c>
      <c r="I158" s="210"/>
      <c r="J158" s="195"/>
      <c r="K158" s="214" t="s">
        <v>155</v>
      </c>
      <c r="L158" s="214"/>
      <c r="M158" s="214"/>
      <c r="N158" s="214"/>
      <c r="O158" s="210"/>
      <c r="P158" s="210"/>
      <c r="Q158" s="210"/>
      <c r="R158" s="210"/>
      <c r="S158" s="210"/>
      <c r="T158" s="210"/>
      <c r="U158" s="210"/>
    </row>
    <row r="159" spans="2:29" ht="10.5" thickBot="1">
      <c r="B159" s="169"/>
      <c r="C159" s="211" t="s">
        <v>98</v>
      </c>
      <c r="D159" s="211" t="s">
        <v>99</v>
      </c>
      <c r="E159" s="211" t="s">
        <v>100</v>
      </c>
      <c r="F159" s="211"/>
      <c r="G159" s="211" t="str">
        <f>C159</f>
        <v>Gerçekleşen</v>
      </c>
      <c r="H159" s="211" t="s">
        <v>99</v>
      </c>
      <c r="I159" s="211" t="s">
        <v>100</v>
      </c>
      <c r="J159" s="152"/>
      <c r="K159" s="169"/>
      <c r="L159" s="211" t="str">
        <f>L198</f>
        <v>Mart</v>
      </c>
      <c r="M159" s="211" t="str">
        <f>M198</f>
        <v>Nisan</v>
      </c>
      <c r="N159" s="211" t="str">
        <f>N198</f>
        <v>Mayıs</v>
      </c>
      <c r="O159" s="219" t="s">
        <v>101</v>
      </c>
      <c r="P159" s="219" t="s">
        <v>102</v>
      </c>
      <c r="Q159" s="219" t="s">
        <v>103</v>
      </c>
      <c r="R159" s="219" t="s">
        <v>104</v>
      </c>
      <c r="S159" s="219" t="s">
        <v>105</v>
      </c>
      <c r="T159" s="219" t="s">
        <v>106</v>
      </c>
      <c r="U159" s="219" t="s">
        <v>98</v>
      </c>
      <c r="V159" s="219" t="s">
        <v>99</v>
      </c>
      <c r="W159" s="262" t="s">
        <v>100</v>
      </c>
    </row>
    <row r="160" spans="2:29" ht="10.5" thickTop="1">
      <c r="B160" s="149" t="s">
        <v>111</v>
      </c>
      <c r="C160" s="156">
        <f>'A -Döviz'!C215</f>
        <v>136830.13512523792</v>
      </c>
      <c r="D160" s="156">
        <f>'A -Döviz'!B215</f>
        <v>259367.89104742973</v>
      </c>
      <c r="E160" s="224">
        <f>IF(C160&gt;D160,ABS((C160-D160)/D160),-ABS((D160-C160)/D160))</f>
        <v>-0.47244767047816161</v>
      </c>
      <c r="F160" s="155"/>
      <c r="G160" s="156">
        <f>'C-Döviz'!C215</f>
        <v>136830.13512523792</v>
      </c>
      <c r="H160" s="156">
        <f>'C-Döviz'!B215</f>
        <v>259367.89104742973</v>
      </c>
      <c r="I160" s="224">
        <f>IF(G160&gt;H160,ABS((G160-H160)/H160),-ABS((H160-G160)/H160))</f>
        <v>-0.47244767047816161</v>
      </c>
      <c r="J160" s="157"/>
      <c r="K160" s="200" t="str">
        <f t="shared" ref="K160:K167" si="98">B160</f>
        <v xml:space="preserve">İnci Holding  </v>
      </c>
      <c r="L160" s="204">
        <f>'Tahmin Data'!G100</f>
        <v>4384344.538715532</v>
      </c>
      <c r="M160" s="204">
        <f>'Tahmin Data'!I100</f>
        <v>4398416.4800000004</v>
      </c>
      <c r="N160" s="204">
        <f>'Tahmin Data'!K100</f>
        <v>3214938.8352801995</v>
      </c>
      <c r="O160" s="204">
        <f>'Tahmin Data'!M100</f>
        <v>3765006.7953252699</v>
      </c>
      <c r="P160" s="204">
        <f>'Tahmin Data'!O100</f>
        <v>3519337.0284178546</v>
      </c>
      <c r="Q160" s="204">
        <f>'Tahmin Data'!Q100</f>
        <v>3099383.0412358698</v>
      </c>
      <c r="R160" s="204">
        <f>'Tahmin Data'!S100</f>
        <v>2980656.5457797148</v>
      </c>
      <c r="S160" s="204">
        <f>'Tahmin Data'!U100</f>
        <v>0</v>
      </c>
      <c r="T160" s="204">
        <f>'Tahmin Data'!W100</f>
        <v>0</v>
      </c>
      <c r="U160" s="318">
        <f t="shared" ref="U160:U167" si="99">G160</f>
        <v>136830.13512523792</v>
      </c>
      <c r="V160" s="204">
        <f>'Bütçe aylık-Eur'!N137</f>
        <v>2546135.5248254999</v>
      </c>
      <c r="W160" s="224">
        <f t="shared" ref="W160:W169" si="100">IF(U160&gt;V160,ABS((U160-V160)/V160),-ABS((V160-U160)/V160))</f>
        <v>-0.94625968107702529</v>
      </c>
    </row>
    <row r="161" spans="2:25">
      <c r="B161" s="149" t="s">
        <v>11</v>
      </c>
      <c r="C161" s="156">
        <f>'A -Döviz'!C216</f>
        <v>-69417.438643982226</v>
      </c>
      <c r="D161" s="156">
        <f>'A -Döviz'!B216</f>
        <v>-29530.437451121379</v>
      </c>
      <c r="E161" s="229">
        <f>IF(C161&gt;D161,ABS((C161-D161)/D161),-ABS((D161-C161)/D161))</f>
        <v>-1.3507081044390756</v>
      </c>
      <c r="F161" s="155"/>
      <c r="G161" s="156">
        <f>'C-Döviz'!C216</f>
        <v>-69417.438643982226</v>
      </c>
      <c r="H161" s="156">
        <f>'C-Döviz'!B216</f>
        <v>-29530.437451121379</v>
      </c>
      <c r="I161" s="229">
        <f>IF(G161&gt;H161,ABS((G161-H161)/H161),-ABS((H161-G161)/H161))</f>
        <v>-1.3507081044390756</v>
      </c>
      <c r="J161" s="157"/>
      <c r="K161" s="200" t="str">
        <f t="shared" si="98"/>
        <v xml:space="preserve">ISM </v>
      </c>
      <c r="L161" s="204">
        <f>'Tahmin Data'!G102</f>
        <v>415001.14203413489</v>
      </c>
      <c r="M161" s="204">
        <f>'Tahmin Data'!I102</f>
        <v>-164263.60999999999</v>
      </c>
      <c r="N161" s="204">
        <f>'Tahmin Data'!K102</f>
        <v>117737.43136455718</v>
      </c>
      <c r="O161" s="204">
        <f>'Tahmin Data'!M102</f>
        <v>-1190975.5493496805</v>
      </c>
      <c r="P161" s="204">
        <f>'Tahmin Data'!O102</f>
        <v>-1203540.8464184729</v>
      </c>
      <c r="Q161" s="204">
        <f>'Tahmin Data'!Q102</f>
        <v>-1440003.2539463579</v>
      </c>
      <c r="R161" s="204">
        <f>'Tahmin Data'!S102</f>
        <v>-1708745.8979581336</v>
      </c>
      <c r="S161" s="204">
        <f>'Tahmin Data'!U102</f>
        <v>0</v>
      </c>
      <c r="T161" s="204">
        <f>'Tahmin Data'!W102</f>
        <v>0</v>
      </c>
      <c r="U161" s="227">
        <f t="shared" si="99"/>
        <v>-69417.438643982226</v>
      </c>
      <c r="V161" s="204">
        <f>'Bütçe aylık-Eur'!N138</f>
        <v>704521.41629991925</v>
      </c>
      <c r="W161" s="229">
        <f t="shared" si="100"/>
        <v>-1.0985313392012357</v>
      </c>
    </row>
    <row r="162" spans="2:25">
      <c r="B162" s="149" t="s">
        <v>115</v>
      </c>
      <c r="C162" s="156">
        <f>'A -Döviz'!C217</f>
        <v>1204.6388628614277</v>
      </c>
      <c r="D162" s="156">
        <f>'A -Döviz'!B217</f>
        <v>-93627.604379739729</v>
      </c>
      <c r="E162" s="229">
        <f>IF(C162&gt;D162,ABS((C162-D162)/D162),-ABS((D162-C162)/D162))</f>
        <v>1.0128662788164011</v>
      </c>
      <c r="F162" s="155"/>
      <c r="G162" s="156">
        <f>'C-Döviz'!C217</f>
        <v>1204.6388628614277</v>
      </c>
      <c r="H162" s="156">
        <f>'C-Döviz'!B217</f>
        <v>-93627.604379739729</v>
      </c>
      <c r="I162" s="229">
        <f>IF(G162&gt;H162,ABS((G162-H162)/H162),-ABS((H162-G162)/H162))</f>
        <v>1.0128662788164011</v>
      </c>
      <c r="J162" s="157"/>
      <c r="K162" s="200" t="str">
        <f t="shared" si="98"/>
        <v xml:space="preserve">İncitaş </v>
      </c>
      <c r="L162" s="204">
        <f>'Tahmin Data'!G101</f>
        <v>284460.83606477402</v>
      </c>
      <c r="M162" s="204">
        <f>'Tahmin Data'!I101</f>
        <v>-304632.55</v>
      </c>
      <c r="N162" s="204">
        <f>'Tahmin Data'!K101</f>
        <v>-8534.4875168686904</v>
      </c>
      <c r="O162" s="204">
        <f>'Tahmin Data'!M101</f>
        <v>-11897.524019878731</v>
      </c>
      <c r="P162" s="204">
        <f>'Tahmin Data'!O101</f>
        <v>-2712.3574776457667</v>
      </c>
      <c r="Q162" s="204">
        <f>'Tahmin Data'!Q101</f>
        <v>10980.640946147714</v>
      </c>
      <c r="R162" s="204">
        <f>'Tahmin Data'!S101</f>
        <v>10583.732081089895</v>
      </c>
      <c r="S162" s="204">
        <f>'Tahmin Data'!U101</f>
        <v>0</v>
      </c>
      <c r="T162" s="204">
        <f>'Tahmin Data'!W101</f>
        <v>0</v>
      </c>
      <c r="U162" s="227">
        <f t="shared" si="99"/>
        <v>1204.6388628614277</v>
      </c>
      <c r="V162" s="204">
        <f>'Bütçe aylık-Eur'!N139</f>
        <v>157238.56852845533</v>
      </c>
      <c r="W162" s="229">
        <f t="shared" si="100"/>
        <v>-0.99233878256374841</v>
      </c>
    </row>
    <row r="163" spans="2:25">
      <c r="B163" s="149" t="s">
        <v>119</v>
      </c>
      <c r="C163" s="156">
        <f>'A -Döviz'!C218</f>
        <v>-1621012.5429157447</v>
      </c>
      <c r="D163" s="156">
        <f>'A -Döviz'!B218</f>
        <v>-527081.70726080437</v>
      </c>
      <c r="E163" s="229">
        <v>0</v>
      </c>
      <c r="F163" s="155"/>
      <c r="G163" s="156">
        <f>'C-Döviz'!C218</f>
        <v>-1621012.5429157447</v>
      </c>
      <c r="H163" s="156">
        <f>'C-Döviz'!B218</f>
        <v>-527081.70726080437</v>
      </c>
      <c r="I163" s="229">
        <v>0</v>
      </c>
      <c r="J163" s="157"/>
      <c r="K163" s="200" t="str">
        <f t="shared" si="98"/>
        <v xml:space="preserve">İnci GS Yuasa </v>
      </c>
      <c r="L163" s="204">
        <f>'Tahmin Data'!G99/0.4</f>
        <v>-17237002.794343501</v>
      </c>
      <c r="M163" s="204">
        <f>'Tahmin Data'!I99/0.4</f>
        <v>-61838611.424999997</v>
      </c>
      <c r="N163" s="204">
        <f>'Tahmin Data'!K99/0.4</f>
        <v>-67827952.366167501</v>
      </c>
      <c r="O163" s="204">
        <f>'Tahmin Data'!M99/0.4</f>
        <v>-61221450.752550498</v>
      </c>
      <c r="P163" s="204">
        <f>'Tahmin Data'!O99/0.4</f>
        <v>-66078050.814204492</v>
      </c>
      <c r="Q163" s="204">
        <f>'Tahmin Data'!Q99/0.4</f>
        <v>-66922929.704622492</v>
      </c>
      <c r="R163" s="204">
        <f>'Tahmin Data'!S99/0.4</f>
        <v>-73388118.861164242</v>
      </c>
      <c r="S163" s="204">
        <f>'Tahmin Data'!U99/0.4</f>
        <v>0</v>
      </c>
      <c r="T163" s="204">
        <f>'Tahmin Data'!W99/0.4</f>
        <v>0</v>
      </c>
      <c r="U163" s="227">
        <f t="shared" si="99"/>
        <v>-1621012.5429157447</v>
      </c>
      <c r="V163" s="204">
        <f>'Bütçe aylık-Eur'!N140</f>
        <v>445821.38103410415</v>
      </c>
      <c r="W163" s="229">
        <f t="shared" si="100"/>
        <v>-4.6360134616148914</v>
      </c>
      <c r="Y163" s="177"/>
    </row>
    <row r="164" spans="2:25">
      <c r="B164" s="149" t="s">
        <v>120</v>
      </c>
      <c r="C164" s="156">
        <f>'A -Döviz'!C219</f>
        <v>252500.49918043872</v>
      </c>
      <c r="D164" s="156">
        <f>'A -Döviz'!B219</f>
        <v>229527.2643054119</v>
      </c>
      <c r="E164" s="229">
        <f>IF(C164&gt;D164,ABS((C164-D164)/D164),-ABS((D164-C164)/D164))</f>
        <v>0.10008935079912054</v>
      </c>
      <c r="F164" s="155"/>
      <c r="G164" s="156">
        <f>'C-Döviz'!C219</f>
        <v>252500.49918043872</v>
      </c>
      <c r="H164" s="156">
        <f>'C-Döviz'!B219</f>
        <v>229527.2643054119</v>
      </c>
      <c r="I164" s="229">
        <f>IF(G164&gt;H164,ABS((G164-H164)/H164),-ABS((H164-G164)/H164))</f>
        <v>0.10008935079912054</v>
      </c>
      <c r="J164" s="157"/>
      <c r="K164" s="200" t="str">
        <f t="shared" si="98"/>
        <v xml:space="preserve">Yusen İnci Loj. </v>
      </c>
      <c r="L164" s="204">
        <f>'Tahmin Data'!G106/0.4</f>
        <v>3051995.9403051534</v>
      </c>
      <c r="M164" s="204">
        <f>'Tahmin Data'!I106/0.4</f>
        <v>3322673.0749999997</v>
      </c>
      <c r="N164" s="204">
        <f>'Tahmin Data'!K106/0.4</f>
        <v>3869196.2253616056</v>
      </c>
      <c r="O164" s="204">
        <f>'Tahmin Data'!M106/0.4</f>
        <v>3473850.2723590913</v>
      </c>
      <c r="P164" s="204">
        <f>'Tahmin Data'!O106/0.4</f>
        <v>3632264.8762647356</v>
      </c>
      <c r="Q164" s="204">
        <f>'Tahmin Data'!Q106/0.4</f>
        <v>3535880.2395951292</v>
      </c>
      <c r="R164" s="204">
        <f>'Tahmin Data'!S106/0.4</f>
        <v>4031215.5853737774</v>
      </c>
      <c r="S164" s="204">
        <f>'Tahmin Data'!U106/0.4</f>
        <v>0</v>
      </c>
      <c r="T164" s="204">
        <f>'Tahmin Data'!W106/0.4</f>
        <v>0</v>
      </c>
      <c r="U164" s="227">
        <f t="shared" si="99"/>
        <v>252500.49918043872</v>
      </c>
      <c r="V164" s="204">
        <f>'Bütçe aylık-Eur'!N141</f>
        <v>1112851.1174585298</v>
      </c>
      <c r="W164" s="229">
        <f t="shared" si="100"/>
        <v>-0.77310486980766491</v>
      </c>
    </row>
    <row r="165" spans="2:25">
      <c r="B165" s="149" t="s">
        <v>121</v>
      </c>
      <c r="C165" s="156">
        <f>'A -Döviz'!C220</f>
        <v>612332.98</v>
      </c>
      <c r="D165" s="156">
        <f>'A -Döviz'!B220</f>
        <v>257409.99335</v>
      </c>
      <c r="E165" s="229">
        <f>IF(C165&gt;D165,ABS((C165-D165)/D165),-ABS((D165-C165)/D165))</f>
        <v>1.3788236502823403</v>
      </c>
      <c r="F165" s="155"/>
      <c r="G165" s="156">
        <f>'C-Döviz'!C220</f>
        <v>612332.98</v>
      </c>
      <c r="H165" s="156">
        <f>'C-Döviz'!B220</f>
        <v>257409.99335</v>
      </c>
      <c r="I165" s="229">
        <f>IF(G165&gt;H165,ABS((G165-H165)/H165),-ABS((H165-G165)/H165))</f>
        <v>1.3788236502823403</v>
      </c>
      <c r="J165" s="157"/>
      <c r="K165" s="200" t="str">
        <f t="shared" si="98"/>
        <v xml:space="preserve">Jantaş </v>
      </c>
      <c r="L165" s="204">
        <f>'Tahmin Data'!G105/0.4</f>
        <v>36502500</v>
      </c>
      <c r="M165" s="204">
        <f>'Tahmin Data'!I105/0.4</f>
        <v>39215872.75</v>
      </c>
      <c r="N165" s="204">
        <f>'Tahmin Data'!K105/0.4</f>
        <v>38865779.239655003</v>
      </c>
      <c r="O165" s="204">
        <f>'Tahmin Data'!M105/0.4</f>
        <v>39915000</v>
      </c>
      <c r="P165" s="204">
        <f>'Tahmin Data'!O105/0.4</f>
        <v>37600837.242320001</v>
      </c>
      <c r="Q165" s="204">
        <f>'Tahmin Data'!Q105/0.4</f>
        <v>32959466.18189</v>
      </c>
      <c r="R165" s="204">
        <f>'Tahmin Data'!S105/0.4</f>
        <v>34600632.581029996</v>
      </c>
      <c r="S165" s="204">
        <f>'Tahmin Data'!U105/0.4</f>
        <v>0</v>
      </c>
      <c r="T165" s="204">
        <f>'Tahmin Data'!W105/0.4</f>
        <v>0</v>
      </c>
      <c r="U165" s="227">
        <f t="shared" si="99"/>
        <v>612332.98</v>
      </c>
      <c r="V165" s="204">
        <f>'Bütçe aylık-Eur'!N142</f>
        <v>10606958.572944</v>
      </c>
      <c r="W165" s="229">
        <f t="shared" si="100"/>
        <v>-0.94227063528258459</v>
      </c>
    </row>
    <row r="166" spans="2:25">
      <c r="B166" s="149" t="s">
        <v>122</v>
      </c>
      <c r="C166" s="156">
        <f>'A -Döviz'!C221</f>
        <v>946580.72</v>
      </c>
      <c r="D166" s="156">
        <f>'A -Döviz'!B221</f>
        <v>1319901.600818</v>
      </c>
      <c r="E166" s="229">
        <f>IF(C166&gt;D166,ABS((C166-D166)/D166),-ABS((D166-C166)/D166))</f>
        <v>-0.28283993336066643</v>
      </c>
      <c r="F166" s="155"/>
      <c r="G166" s="156">
        <f>'C-Döviz'!C221</f>
        <v>946580.72</v>
      </c>
      <c r="H166" s="156">
        <f>'C-Döviz'!B221</f>
        <v>1319901.600818</v>
      </c>
      <c r="I166" s="229">
        <f>IF(G166&gt;H166,ABS((G166-H166)/H166),-ABS((H166-G166)/H166))</f>
        <v>-0.28283993336066643</v>
      </c>
      <c r="J166" s="157"/>
      <c r="K166" s="200" t="str">
        <f t="shared" si="98"/>
        <v xml:space="preserve">Çelik </v>
      </c>
      <c r="L166" s="204">
        <f>'Tahmin Data'!G104/0.4</f>
        <v>39674316.060104996</v>
      </c>
      <c r="M166" s="204">
        <f>'Tahmin Data'!I104/0.4</f>
        <v>35999955.75</v>
      </c>
      <c r="N166" s="204">
        <f>'Tahmin Data'!K104/0.4</f>
        <v>35245825.344722494</v>
      </c>
      <c r="O166" s="204">
        <f>'Tahmin Data'!M104/0.4</f>
        <v>35245825.344722494</v>
      </c>
      <c r="P166" s="204">
        <f>'Tahmin Data'!O104/0.4</f>
        <v>32946369.51572749</v>
      </c>
      <c r="Q166" s="204">
        <f>'Tahmin Data'!Q104/0.4</f>
        <v>22128486.280962497</v>
      </c>
      <c r="R166" s="204">
        <f>'Tahmin Data'!S104/0.4</f>
        <v>22308066.198597498</v>
      </c>
      <c r="S166" s="204">
        <f>'Tahmin Data'!U104/0.4</f>
        <v>0</v>
      </c>
      <c r="T166" s="204">
        <f>'Tahmin Data'!W104/0.4</f>
        <v>0</v>
      </c>
      <c r="U166" s="227">
        <f t="shared" si="99"/>
        <v>946580.72</v>
      </c>
      <c r="V166" s="204">
        <f>'Bütçe aylık-Eur'!N143</f>
        <v>11335570.659361999</v>
      </c>
      <c r="W166" s="229">
        <f t="shared" si="100"/>
        <v>-0.91649465664807761</v>
      </c>
    </row>
    <row r="167" spans="2:25" ht="10.5" thickBot="1">
      <c r="B167" s="149" t="s">
        <v>124</v>
      </c>
      <c r="C167" s="156">
        <f>'A -Döviz'!C222</f>
        <v>1471127.33</v>
      </c>
      <c r="D167" s="156">
        <f>'A -Döviz'!B222</f>
        <v>2165136.1478889999</v>
      </c>
      <c r="E167" s="229">
        <f>IF(C167&gt;D167,ABS((C167-D167)/D167),-ABS((D167-C167)/D167))</f>
        <v>-0.32053818812533152</v>
      </c>
      <c r="F167" s="155"/>
      <c r="G167" s="156">
        <f>'C-Döviz'!C222</f>
        <v>1471127.33</v>
      </c>
      <c r="H167" s="156">
        <f>'C-Döviz'!B222</f>
        <v>2165136.1478889999</v>
      </c>
      <c r="I167" s="229">
        <f>IF(G167&gt;H167,ABS((G167-H167)/H167),-ABS((H167-G167)/H167))</f>
        <v>-0.32053818812533152</v>
      </c>
      <c r="J167" s="157"/>
      <c r="K167" s="201" t="str">
        <f t="shared" si="98"/>
        <v xml:space="preserve">Alüminyum </v>
      </c>
      <c r="L167" s="205">
        <f>'Tahmin Data'!G103/0.4</f>
        <v>76005100.044019997</v>
      </c>
      <c r="M167" s="205">
        <f>'Tahmin Data'!I103/0.4</f>
        <v>79291270.224999994</v>
      </c>
      <c r="N167" s="205">
        <f>'Tahmin Data'!K103/0.4</f>
        <v>78787546.8456925</v>
      </c>
      <c r="O167" s="205">
        <f>'Tahmin Data'!M103/0.4</f>
        <v>73574136.860617504</v>
      </c>
      <c r="P167" s="205">
        <f>'Tahmin Data'!O103/0.4</f>
        <v>62278447.328957506</v>
      </c>
      <c r="Q167" s="205">
        <f>'Tahmin Data'!Q103/0.4</f>
        <v>59733275.267579988</v>
      </c>
      <c r="R167" s="205">
        <f>'Tahmin Data'!S103/0.4</f>
        <v>57473108.857444994</v>
      </c>
      <c r="S167" s="205">
        <f>'Tahmin Data'!U103/0.4</f>
        <v>0</v>
      </c>
      <c r="T167" s="205">
        <f>'Tahmin Data'!W103/0.4</f>
        <v>0</v>
      </c>
      <c r="U167" s="232">
        <f t="shared" si="99"/>
        <v>1471127.33</v>
      </c>
      <c r="V167" s="205">
        <f>'Bütçe aylık-Eur'!N144</f>
        <v>25708085.693652999</v>
      </c>
      <c r="W167" s="264">
        <f t="shared" si="100"/>
        <v>-0.942775695260608</v>
      </c>
    </row>
    <row r="168" spans="2:25" ht="10.5" thickBot="1">
      <c r="B168" s="169" t="s">
        <v>125</v>
      </c>
      <c r="C168" s="192">
        <f>'A -Döviz'!C212</f>
        <v>733228.92984999483</v>
      </c>
      <c r="D168" s="192">
        <f>'A -Döviz'!B212</f>
        <v>1514167.1688572117</v>
      </c>
      <c r="E168" s="246">
        <f>IF(C168&gt;D168,ABS((C168-D168)/D168),-ABS((D168-C168)/D168))</f>
        <v>-0.51575430709979986</v>
      </c>
      <c r="F168" s="154"/>
      <c r="G168" s="192">
        <f>'C-Döviz'!C212</f>
        <v>733228.92984999483</v>
      </c>
      <c r="H168" s="192">
        <f>'C-Döviz'!B212</f>
        <v>1514167.1688572117</v>
      </c>
      <c r="I168" s="260">
        <f>IF(G168&gt;H168,ABS((G168-H168)/H168),-ABS((H168-G168)/H168))</f>
        <v>-0.51575430709979986</v>
      </c>
      <c r="J168" s="194"/>
      <c r="K168" s="263" t="s">
        <v>125</v>
      </c>
      <c r="L168" s="248">
        <f>SUM('Tahmin Data'!G99:G106)</f>
        <v>60282570.216849104</v>
      </c>
      <c r="M168" s="248">
        <f>SUM('Tahmin Data'!I99:I106)</f>
        <v>42325984.469999999</v>
      </c>
      <c r="N168" s="248">
        <f>SUM('Tahmin Data'!K99:K106)</f>
        <v>38900299.894833535</v>
      </c>
      <c r="O168" s="248">
        <f>SUM('Tahmin Data'!M99:M106)</f>
        <v>38957078.41201514</v>
      </c>
      <c r="P168" s="248">
        <f>SUM('Tahmin Data'!O99:O106)</f>
        <v>30465031.08414783</v>
      </c>
      <c r="Q168" s="248">
        <f>SUM('Tahmin Data'!Q99:Q106)</f>
        <v>22244031.734397713</v>
      </c>
      <c r="R168" s="248">
        <f>SUM('Tahmin Data'!S99:S106)</f>
        <v>19292456.124415483</v>
      </c>
      <c r="S168" s="248">
        <f>SUM('Tahmin Data'!U99:U106)</f>
        <v>0</v>
      </c>
      <c r="T168" s="248">
        <f>SUM('Tahmin Data'!W99:W106)</f>
        <v>0</v>
      </c>
      <c r="U168" s="248" cm="1">
        <f t="array" ref="U168">SUM(U160:U162,(U163:U167)*0.4)</f>
        <v>733228.92984999483</v>
      </c>
      <c r="V168" s="248">
        <f>'Bütçe aylık-Eur'!N136</f>
        <v>23091610.479434527</v>
      </c>
      <c r="W168" s="229">
        <f t="shared" si="100"/>
        <v>-0.96824695572866126</v>
      </c>
    </row>
    <row r="169" spans="2:25" ht="10.5" thickBot="1">
      <c r="K169" s="249" t="s">
        <v>9</v>
      </c>
      <c r="L169" s="239">
        <f t="shared" ref="L169:V169" si="101">SUM(L160:L167)</f>
        <v>143080715.76690108</v>
      </c>
      <c r="M169" s="239">
        <f t="shared" si="101"/>
        <v>99920680.694999993</v>
      </c>
      <c r="N169" s="239">
        <f t="shared" si="101"/>
        <v>92264537.068391994</v>
      </c>
      <c r="O169" s="239">
        <f t="shared" si="101"/>
        <v>93549495.447104305</v>
      </c>
      <c r="P169" s="239">
        <f t="shared" si="101"/>
        <v>72692951.973586977</v>
      </c>
      <c r="Q169" s="239">
        <f t="shared" si="101"/>
        <v>53104538.693640783</v>
      </c>
      <c r="R169" s="239">
        <f t="shared" si="101"/>
        <v>46307398.741184697</v>
      </c>
      <c r="S169" s="239">
        <f t="shared" si="101"/>
        <v>0</v>
      </c>
      <c r="T169" s="239">
        <f t="shared" si="101"/>
        <v>0</v>
      </c>
      <c r="U169" s="239">
        <f t="shared" si="101"/>
        <v>1730146.3216088112</v>
      </c>
      <c r="V169" s="239">
        <f t="shared" si="101"/>
        <v>52617182.934105501</v>
      </c>
      <c r="W169" s="264">
        <f t="shared" si="100"/>
        <v>-0.96711822592677488</v>
      </c>
    </row>
    <row r="170" spans="2:25">
      <c r="K170" s="149"/>
      <c r="V170" s="177"/>
    </row>
    <row r="171" spans="2:25" ht="12.5">
      <c r="B171" s="209" t="s">
        <v>156</v>
      </c>
      <c r="C171" s="210" t="s">
        <v>0</v>
      </c>
      <c r="D171" s="210"/>
      <c r="E171" s="210"/>
      <c r="F171" s="210"/>
      <c r="G171" s="210"/>
      <c r="H171" s="210" t="s">
        <v>36</v>
      </c>
      <c r="I171" s="210"/>
      <c r="J171" s="195"/>
      <c r="K171" s="214" t="s">
        <v>157</v>
      </c>
      <c r="L171" s="214"/>
      <c r="M171" s="214"/>
      <c r="N171" s="214"/>
      <c r="O171" s="210"/>
      <c r="P171" s="210"/>
      <c r="Q171" s="210"/>
      <c r="R171" s="210"/>
      <c r="S171" s="210"/>
      <c r="T171" s="210"/>
      <c r="U171" s="210"/>
    </row>
    <row r="172" spans="2:25" ht="10.5" thickBot="1">
      <c r="B172" s="169"/>
      <c r="C172" s="211" t="s">
        <v>98</v>
      </c>
      <c r="D172" s="211" t="s">
        <v>99</v>
      </c>
      <c r="E172" s="211" t="s">
        <v>100</v>
      </c>
      <c r="F172" s="211"/>
      <c r="G172" s="211" t="str">
        <f>C172</f>
        <v>Gerçekleşen</v>
      </c>
      <c r="H172" s="211" t="s">
        <v>99</v>
      </c>
      <c r="I172" s="211" t="s">
        <v>100</v>
      </c>
      <c r="J172" s="152"/>
      <c r="K172" s="169"/>
      <c r="L172" s="211" t="str">
        <f>L133</f>
        <v>Mart</v>
      </c>
      <c r="M172" s="211" t="str">
        <f>M133</f>
        <v>Nisan</v>
      </c>
      <c r="N172" s="211" t="str">
        <f>N133</f>
        <v>Mayıs</v>
      </c>
      <c r="O172" s="219" t="s">
        <v>101</v>
      </c>
      <c r="P172" s="219" t="s">
        <v>102</v>
      </c>
      <c r="Q172" s="219" t="s">
        <v>103</v>
      </c>
      <c r="R172" s="219" t="s">
        <v>104</v>
      </c>
      <c r="S172" s="219" t="s">
        <v>105</v>
      </c>
      <c r="T172" s="219" t="s">
        <v>106</v>
      </c>
      <c r="U172" s="219" t="s">
        <v>98</v>
      </c>
      <c r="V172" s="219" t="s">
        <v>99</v>
      </c>
      <c r="W172" s="154" t="s">
        <v>100</v>
      </c>
    </row>
    <row r="173" spans="2:25" ht="10.5" thickTop="1">
      <c r="B173" s="149" t="s">
        <v>111</v>
      </c>
      <c r="C173" s="156">
        <f>'A -Döviz'!C291</f>
        <v>342118.89949938818</v>
      </c>
      <c r="D173" s="156">
        <f>'A -Döviz'!B291</f>
        <v>285699.2736404764</v>
      </c>
      <c r="E173" s="224">
        <f t="shared" ref="E173:E181" si="102">IF(C173&gt;D173,ABS((C173-D173)/D173),-ABS((D173-C173)/D173))</f>
        <v>0.19747906650231867</v>
      </c>
      <c r="F173" s="155"/>
      <c r="G173" s="156">
        <f>'C-Döviz'!C291</f>
        <v>342118.89949938818</v>
      </c>
      <c r="H173" s="156">
        <f>'C-Döviz'!B291</f>
        <v>285699.2736404764</v>
      </c>
      <c r="I173" s="224">
        <f t="shared" ref="I173:I181" si="103">IF(G173&gt;H173,ABS((G173-H173)/H173),-ABS((H173-G173)/H173))</f>
        <v>0.19747906650231867</v>
      </c>
      <c r="J173" s="157"/>
      <c r="K173" s="200" t="str">
        <f>B173</f>
        <v xml:space="preserve">İnci Holding  </v>
      </c>
      <c r="L173" s="204">
        <f>'Tahmin Data'!G140</f>
        <v>3987004.5405893819</v>
      </c>
      <c r="M173" s="204">
        <f>'Tahmin Data'!I140</f>
        <v>3935417.87</v>
      </c>
      <c r="N173" s="204">
        <f>'Tahmin Data'!K140</f>
        <v>3457852.8810579428</v>
      </c>
      <c r="O173" s="204">
        <f>'Tahmin Data'!M140</f>
        <v>3403794.7642053803</v>
      </c>
      <c r="P173" s="204">
        <f>'Tahmin Data'!O140</f>
        <v>3252979.7587522976</v>
      </c>
      <c r="Q173" s="204">
        <f>'Tahmin Data'!Q140</f>
        <v>2990039.5524367858</v>
      </c>
      <c r="R173" s="204">
        <f>'Tahmin Data'!S140</f>
        <v>2775166.5192354899</v>
      </c>
      <c r="S173" s="204">
        <f>'Tahmin Data'!U140</f>
        <v>2775166.5192354899</v>
      </c>
      <c r="T173" s="204">
        <f>'Tahmin Data'!W140</f>
        <v>0</v>
      </c>
      <c r="U173" s="318">
        <f t="shared" ref="U173:U180" si="104">G173</f>
        <v>342118.89949938818</v>
      </c>
      <c r="V173" s="204">
        <f>'Bütçe Değişim eur'!M21</f>
        <v>3229384.849010895</v>
      </c>
      <c r="W173" s="224">
        <f t="shared" ref="W173:W182" si="105">IF(U173&gt;V173,ABS((U173-V173)/V173),-ABS((V173-U173)/V173))</f>
        <v>-0.89406066000335216</v>
      </c>
    </row>
    <row r="174" spans="2:25">
      <c r="B174" s="149" t="s">
        <v>11</v>
      </c>
      <c r="C174" s="156">
        <f>'A -Döviz'!C292</f>
        <v>-276093.95271020074</v>
      </c>
      <c r="D174" s="156">
        <f>'A -Döviz'!B292</f>
        <v>-664594.88840917335</v>
      </c>
      <c r="E174" s="229">
        <f t="shared" si="102"/>
        <v>0.58456804660192174</v>
      </c>
      <c r="F174" s="155"/>
      <c r="G174" s="156">
        <f>'C-Döviz'!C292</f>
        <v>-276093.95271020074</v>
      </c>
      <c r="H174" s="156">
        <f>'C-Döviz'!B292</f>
        <v>-664594.88840917335</v>
      </c>
      <c r="I174" s="229">
        <f t="shared" si="103"/>
        <v>0.58456804660192174</v>
      </c>
      <c r="J174" s="157"/>
      <c r="K174" s="200" t="str">
        <f t="shared" ref="K174:K180" si="106">B174</f>
        <v xml:space="preserve">ISM </v>
      </c>
      <c r="L174" s="204">
        <f>'Tahmin Data'!G142</f>
        <v>739671.29800919001</v>
      </c>
      <c r="M174" s="204">
        <f>'Tahmin Data'!I142</f>
        <v>675087.35</v>
      </c>
      <c r="N174" s="204">
        <f>'Tahmin Data'!K142</f>
        <v>1084021.2408287574</v>
      </c>
      <c r="O174" s="204">
        <f>'Tahmin Data'!M142</f>
        <v>565760.94539200666</v>
      </c>
      <c r="P174" s="204">
        <f>'Tahmin Data'!O142</f>
        <v>771420.31616719498</v>
      </c>
      <c r="Q174" s="204">
        <f>'Tahmin Data'!Q142</f>
        <v>634707.42123282095</v>
      </c>
      <c r="R174" s="204">
        <f>'Tahmin Data'!S142</f>
        <v>513204.67861101555</v>
      </c>
      <c r="S174" s="204">
        <f>'Tahmin Data'!U142</f>
        <v>513204.67861101555</v>
      </c>
      <c r="T174" s="204">
        <f>'Tahmin Data'!W142</f>
        <v>0</v>
      </c>
      <c r="U174" s="227">
        <f t="shared" si="104"/>
        <v>-276093.95271020074</v>
      </c>
      <c r="V174" s="204">
        <f>'Bütçe Değişim eur'!M22</f>
        <v>1203317.9337457598</v>
      </c>
      <c r="W174" s="229">
        <f t="shared" si="105"/>
        <v>-1.2294438942256591</v>
      </c>
    </row>
    <row r="175" spans="2:25">
      <c r="B175" s="149" t="s">
        <v>115</v>
      </c>
      <c r="C175" s="156">
        <f>'A -Döviz'!C293</f>
        <v>-17760.80919464046</v>
      </c>
      <c r="D175" s="156">
        <f>'A -Döviz'!B293</f>
        <v>-554871.04796804884</v>
      </c>
      <c r="E175" s="229">
        <f t="shared" si="102"/>
        <v>0.9679911048527744</v>
      </c>
      <c r="F175" s="155"/>
      <c r="G175" s="156">
        <f>'C-Döviz'!C293</f>
        <v>-17760.80919464046</v>
      </c>
      <c r="H175" s="156">
        <f>'C-Döviz'!B293</f>
        <v>-554871.04796804884</v>
      </c>
      <c r="I175" s="229">
        <f t="shared" si="103"/>
        <v>0.9679911048527744</v>
      </c>
      <c r="J175" s="157"/>
      <c r="K175" s="200" t="str">
        <f t="shared" si="106"/>
        <v xml:space="preserve">İncitaş </v>
      </c>
      <c r="L175" s="204">
        <f>'Tahmin Data'!G141</f>
        <v>1094174.1321509883</v>
      </c>
      <c r="M175" s="204">
        <f>'Tahmin Data'!I141</f>
        <v>520914.52</v>
      </c>
      <c r="N175" s="204">
        <f>'Tahmin Data'!K141</f>
        <v>642145.53952392051</v>
      </c>
      <c r="O175" s="204">
        <f>'Tahmin Data'!M141</f>
        <v>628280.2231703375</v>
      </c>
      <c r="P175" s="204">
        <f>'Tahmin Data'!O141</f>
        <v>855047.91971504409</v>
      </c>
      <c r="Q175" s="204">
        <f>'Tahmin Data'!Q141</f>
        <v>843219.19260105048</v>
      </c>
      <c r="R175" s="204">
        <f>'Tahmin Data'!S141</f>
        <v>967115.05001238512</v>
      </c>
      <c r="S175" s="204">
        <f>'Tahmin Data'!U141</f>
        <v>967115.05001238512</v>
      </c>
      <c r="T175" s="204">
        <f>'Tahmin Data'!W141</f>
        <v>0</v>
      </c>
      <c r="U175" s="227">
        <f t="shared" si="104"/>
        <v>-17760.80919464046</v>
      </c>
      <c r="V175" s="204">
        <f>'Bütçe Değişim eur'!M23</f>
        <v>-314950.47293846705</v>
      </c>
      <c r="W175" s="229">
        <f t="shared" si="105"/>
        <v>0.94360761224159051</v>
      </c>
    </row>
    <row r="176" spans="2:25">
      <c r="B176" s="149" t="s">
        <v>119</v>
      </c>
      <c r="C176" s="156">
        <f>'A -Döviz'!C294</f>
        <v>-3437595.3209682051</v>
      </c>
      <c r="D176" s="156">
        <f>'A -Döviz'!B294</f>
        <v>-3810637.8477682825</v>
      </c>
      <c r="E176" s="229">
        <f t="shared" si="102"/>
        <v>9.7895035346523801E-2</v>
      </c>
      <c r="F176" s="155"/>
      <c r="G176" s="156">
        <f>'C-Döviz'!C294</f>
        <v>-3437595.3209682051</v>
      </c>
      <c r="H176" s="156">
        <f>'C-Döviz'!B294</f>
        <v>-3810637.8477682825</v>
      </c>
      <c r="I176" s="229">
        <f t="shared" si="103"/>
        <v>9.7895035346523801E-2</v>
      </c>
      <c r="J176" s="157"/>
      <c r="K176" s="200" t="str">
        <f t="shared" si="106"/>
        <v xml:space="preserve">İnci GS Yuasa </v>
      </c>
      <c r="L176" s="204">
        <f>'Tahmin Data'!G139/0.4</f>
        <v>18790889.943328232</v>
      </c>
      <c r="M176" s="204">
        <f>'Tahmin Data'!I139</f>
        <v>4454251.46</v>
      </c>
      <c r="N176" s="204">
        <f>'Tahmin Data'!K139</f>
        <v>17733991.49230592</v>
      </c>
      <c r="O176" s="204">
        <f>'Tahmin Data'!M139</f>
        <v>16698304.165943855</v>
      </c>
      <c r="P176" s="204">
        <f>'Tahmin Data'!O139/0.4</f>
        <v>37640515.270844892</v>
      </c>
      <c r="Q176" s="204">
        <f>'Tahmin Data'!Q139/0.4</f>
        <v>33386944.091044459</v>
      </c>
      <c r="R176" s="204">
        <f>'Tahmin Data'!S139/0.4</f>
        <v>21622299.676762767</v>
      </c>
      <c r="S176" s="204">
        <f>'Tahmin Data'!U139/0.4</f>
        <v>8648919.8707051072</v>
      </c>
      <c r="T176" s="204">
        <f>'Tahmin Data'!W139/0.4</f>
        <v>0</v>
      </c>
      <c r="U176" s="227">
        <f t="shared" si="104"/>
        <v>-3437595.3209682051</v>
      </c>
      <c r="V176" s="204">
        <f>'Bütçe Değişim eur'!M24</f>
        <v>21305733.359923005</v>
      </c>
      <c r="W176" s="229">
        <f t="shared" si="105"/>
        <v>-1.1613460218850982</v>
      </c>
    </row>
    <row r="177" spans="2:23">
      <c r="B177" s="149" t="s">
        <v>120</v>
      </c>
      <c r="C177" s="156">
        <f>'A -Döviz'!C295</f>
        <v>334452.51804979035</v>
      </c>
      <c r="D177" s="156">
        <f>'A -Döviz'!B295</f>
        <v>1442974.5930446924</v>
      </c>
      <c r="E177" s="229">
        <f t="shared" si="102"/>
        <v>-0.76822009225810983</v>
      </c>
      <c r="F177" s="155"/>
      <c r="G177" s="156">
        <f>'C-Döviz'!C295</f>
        <v>334452.51804979035</v>
      </c>
      <c r="H177" s="156">
        <f>'C-Döviz'!B295</f>
        <v>1442974.5930446924</v>
      </c>
      <c r="I177" s="229">
        <f t="shared" si="103"/>
        <v>-0.76822009225810983</v>
      </c>
      <c r="J177" s="157"/>
      <c r="K177" s="200" t="str">
        <f t="shared" si="106"/>
        <v xml:space="preserve">Yusen İnci Loj. </v>
      </c>
      <c r="L177" s="204">
        <f>'Tahmin Data'!G146/0.4</f>
        <v>17891537.519384634</v>
      </c>
      <c r="M177" s="204">
        <f>'Tahmin Data'!I146</f>
        <v>6306457.3600000003</v>
      </c>
      <c r="N177" s="204">
        <f>'Tahmin Data'!K146</f>
        <v>5465452.6391945221</v>
      </c>
      <c r="O177" s="204">
        <f>'Tahmin Data'!M146</f>
        <v>5426306.8666312117</v>
      </c>
      <c r="P177" s="204">
        <f>'Tahmin Data'!O146/0.4</f>
        <v>13457573.671430476</v>
      </c>
      <c r="Q177" s="204">
        <f>'Tahmin Data'!Q146/0.4</f>
        <v>12543073.56157776</v>
      </c>
      <c r="R177" s="204">
        <f>'Tahmin Data'!S146/0.4</f>
        <v>14605041.545261448</v>
      </c>
      <c r="S177" s="204">
        <f>'Tahmin Data'!U146/0.4</f>
        <v>5842016.6181045799</v>
      </c>
      <c r="T177" s="204">
        <f>'Tahmin Data'!W146/0.4</f>
        <v>0</v>
      </c>
      <c r="U177" s="227">
        <f t="shared" si="104"/>
        <v>334452.51804979035</v>
      </c>
      <c r="V177" s="204">
        <f>'Bütçe Değişim eur'!M25</f>
        <v>5475114.9001935665</v>
      </c>
      <c r="W177" s="229">
        <f t="shared" si="105"/>
        <v>-0.93891406406138322</v>
      </c>
    </row>
    <row r="178" spans="2:23">
      <c r="B178" s="149" t="s">
        <v>121</v>
      </c>
      <c r="C178" s="156">
        <f>'A -Döviz'!C296</f>
        <v>1559763.9099999962</v>
      </c>
      <c r="D178" s="156">
        <f>'A -Döviz'!B296</f>
        <v>-2899301.0186640024</v>
      </c>
      <c r="E178" s="229">
        <f t="shared" si="102"/>
        <v>1.5379792922360078</v>
      </c>
      <c r="F178" s="155"/>
      <c r="G178" s="156">
        <f>'C-Döviz'!C296</f>
        <v>1559763.9099999962</v>
      </c>
      <c r="H178" s="156">
        <f>'C-Döviz'!B296</f>
        <v>-2899301.0186640024</v>
      </c>
      <c r="I178" s="229">
        <f t="shared" si="103"/>
        <v>1.5379792922360078</v>
      </c>
      <c r="J178" s="157"/>
      <c r="K178" s="200" t="str">
        <f t="shared" si="106"/>
        <v xml:space="preserve">Jantaş </v>
      </c>
      <c r="L178" s="204">
        <f>'Tahmin Data'!G145/0.4</f>
        <v>43592509.174999982</v>
      </c>
      <c r="M178" s="204">
        <f>'Tahmin Data'!I145</f>
        <v>18997155.809999999</v>
      </c>
      <c r="N178" s="204">
        <f>'Tahmin Data'!K145</f>
        <v>18938313.926017996</v>
      </c>
      <c r="O178" s="204">
        <f>'Tahmin Data'!M145</f>
        <v>20619680.669999994</v>
      </c>
      <c r="P178" s="204">
        <f>'Tahmin Data'!O145/0.4</f>
        <v>52336293.027057469</v>
      </c>
      <c r="Q178" s="204">
        <f>'Tahmin Data'!Q145/0.4</f>
        <v>46900546.765454978</v>
      </c>
      <c r="R178" s="204">
        <f>'Tahmin Data'!S145/0.4</f>
        <v>42289980.574765019</v>
      </c>
      <c r="S178" s="204">
        <f>'Tahmin Data'!U145/0.4</f>
        <v>16915992.229906008</v>
      </c>
      <c r="T178" s="204">
        <f>'Tahmin Data'!W145/0.4</f>
        <v>0</v>
      </c>
      <c r="U178" s="227">
        <f t="shared" si="104"/>
        <v>1559763.9099999962</v>
      </c>
      <c r="V178" s="204">
        <f>'Bütçe Değişim eur'!M26</f>
        <v>15590942.397215003</v>
      </c>
      <c r="W178" s="229">
        <f t="shared" si="105"/>
        <v>-0.89995704747914307</v>
      </c>
    </row>
    <row r="179" spans="2:23">
      <c r="B179" s="149" t="s">
        <v>122</v>
      </c>
      <c r="C179" s="156">
        <f>'A -Döviz'!C297</f>
        <v>275897.4500000017</v>
      </c>
      <c r="D179" s="156">
        <f>'A -Döviz'!B297</f>
        <v>4111678.8193519996</v>
      </c>
      <c r="E179" s="229">
        <f t="shared" si="102"/>
        <v>-0.93289907550622275</v>
      </c>
      <c r="F179" s="155"/>
      <c r="G179" s="156">
        <f>'C-Döviz'!C297</f>
        <v>275897.4500000017</v>
      </c>
      <c r="H179" s="156">
        <f>'C-Döviz'!B297</f>
        <v>4111678.8193519996</v>
      </c>
      <c r="I179" s="229">
        <f t="shared" si="103"/>
        <v>-0.93289907550622275</v>
      </c>
      <c r="J179" s="157"/>
      <c r="K179" s="200" t="str">
        <f t="shared" si="106"/>
        <v xml:space="preserve">Çelik </v>
      </c>
      <c r="L179" s="204">
        <f>'Tahmin Data'!G144/0.4</f>
        <v>63733598.428335011</v>
      </c>
      <c r="M179" s="204">
        <f>'Tahmin Data'!I144</f>
        <v>26653381.370000001</v>
      </c>
      <c r="N179" s="204">
        <f>'Tahmin Data'!K144</f>
        <v>26725103.201717995</v>
      </c>
      <c r="O179" s="204">
        <f>'Tahmin Data'!M144</f>
        <v>26725103.201717995</v>
      </c>
      <c r="P179" s="204">
        <f>'Tahmin Data'!O144/0.4</f>
        <v>70632507.311237484</v>
      </c>
      <c r="Q179" s="204">
        <f>'Tahmin Data'!Q144/0.4</f>
        <v>60426770.601807512</v>
      </c>
      <c r="R179" s="204">
        <f>'Tahmin Data'!S144/0.4</f>
        <v>62325674.375659987</v>
      </c>
      <c r="S179" s="204">
        <f>'Tahmin Data'!U144/0.4</f>
        <v>24930269.750263996</v>
      </c>
      <c r="T179" s="204">
        <f>'Tahmin Data'!W144/0.4</f>
        <v>0</v>
      </c>
      <c r="U179" s="227">
        <f t="shared" si="104"/>
        <v>275897.4500000017</v>
      </c>
      <c r="V179" s="204">
        <f>'Bütçe Değişim eur'!M27</f>
        <v>21555498.662085995</v>
      </c>
      <c r="W179" s="229">
        <f t="shared" si="105"/>
        <v>-0.98720059998030663</v>
      </c>
    </row>
    <row r="180" spans="2:23" ht="10.5" thickBot="1">
      <c r="B180" s="149" t="s">
        <v>124</v>
      </c>
      <c r="C180" s="156">
        <f>'A -Döviz'!C298</f>
        <v>-4904927.105737987</v>
      </c>
      <c r="D180" s="156">
        <f>'A -Döviz'!B298</f>
        <v>-6034748.7347063422</v>
      </c>
      <c r="E180" s="229">
        <f t="shared" si="102"/>
        <v>0.18721933234281271</v>
      </c>
      <c r="F180" s="155"/>
      <c r="G180" s="156">
        <f>'C-Döviz'!C298</f>
        <v>-4904927.105737987</v>
      </c>
      <c r="H180" s="156">
        <f>'C-Döviz'!B298</f>
        <v>-6034748.7347063422</v>
      </c>
      <c r="I180" s="229">
        <f t="shared" si="103"/>
        <v>0.18721933234281271</v>
      </c>
      <c r="J180" s="157"/>
      <c r="K180" s="201" t="str">
        <f t="shared" si="106"/>
        <v xml:space="preserve">Alüminyum </v>
      </c>
      <c r="L180" s="205">
        <f>'Tahmin Data'!G143/0.4</f>
        <v>85088288.31795752</v>
      </c>
      <c r="M180" s="205">
        <f>'Tahmin Data'!I143</f>
        <v>35425079.229999997</v>
      </c>
      <c r="N180" s="205">
        <f>'Tahmin Data'!K143</f>
        <v>36593482.551042005</v>
      </c>
      <c r="O180" s="205">
        <f>'Tahmin Data'!M143</f>
        <v>37072605.487922035</v>
      </c>
      <c r="P180" s="205">
        <f>'Tahmin Data'!O143/0.4</f>
        <v>84888378.820280015</v>
      </c>
      <c r="Q180" s="205">
        <f>'Tahmin Data'!Q143/0.4</f>
        <v>77773936.852730066</v>
      </c>
      <c r="R180" s="205">
        <f>'Tahmin Data'!S143/0.4</f>
        <v>69415086.660485029</v>
      </c>
      <c r="S180" s="205">
        <f>'Tahmin Data'!U143/0.4</f>
        <v>27766034.664194014</v>
      </c>
      <c r="T180" s="205">
        <f>'Tahmin Data'!W143/0.4</f>
        <v>0</v>
      </c>
      <c r="U180" s="232">
        <f t="shared" si="104"/>
        <v>-4904927.105737987</v>
      </c>
      <c r="V180" s="205">
        <f>'Bütçe Değişim eur'!M28</f>
        <v>28095742.518737007</v>
      </c>
      <c r="W180" s="264">
        <f t="shared" si="105"/>
        <v>-1.1745790168196089</v>
      </c>
    </row>
    <row r="181" spans="2:23" ht="10.5" thickBot="1">
      <c r="B181" s="169" t="s">
        <v>125</v>
      </c>
      <c r="C181" s="192">
        <f>'A -Döviz'!C288</f>
        <v>-2420699.2818680145</v>
      </c>
      <c r="D181" s="192">
        <f>'A -Döviz'!B288</f>
        <v>-3809780.3382335203</v>
      </c>
      <c r="E181" s="246">
        <f t="shared" si="102"/>
        <v>0.36460922495326348</v>
      </c>
      <c r="F181" s="154"/>
      <c r="G181" s="192">
        <f>'C-Döviz'!C288</f>
        <v>-2420699.2818680145</v>
      </c>
      <c r="H181" s="192">
        <f>'C-Döviz'!B288</f>
        <v>-3809780.3382335203</v>
      </c>
      <c r="I181" s="260">
        <f t="shared" si="103"/>
        <v>0.36460922495326348</v>
      </c>
      <c r="J181" s="194"/>
      <c r="K181" s="202" t="s">
        <v>125</v>
      </c>
      <c r="L181" s="248">
        <f>SUM('Tahmin Data'!G139:G146)</f>
        <v>97459579.324351698</v>
      </c>
      <c r="M181" s="248">
        <f>SUM('Tahmin Data'!I121:I128)</f>
        <v>0</v>
      </c>
      <c r="N181" s="248">
        <f>SUM('Tahmin Data'!K121:K128)</f>
        <v>0</v>
      </c>
      <c r="O181" s="248">
        <f>SUM('Tahmin Data'!M121:M128)</f>
        <v>0</v>
      </c>
      <c r="P181" s="248">
        <f>SUM('Tahmin Data'!O139:O146)</f>
        <v>108461555.23497467</v>
      </c>
      <c r="Q181" s="248">
        <f>SUM('Tahmin Data'!Q139:Q146)</f>
        <v>96880474.915316567</v>
      </c>
      <c r="R181" s="248">
        <f>SUM('Tahmin Data'!S139:S146)</f>
        <v>88358719.381032586</v>
      </c>
      <c r="S181" s="248">
        <f>SUM('Tahmin Data'!U139:U146)</f>
        <v>37896779.501128376</v>
      </c>
      <c r="T181" s="248">
        <f>SUM('Tahmin Data'!W139:W146)</f>
        <v>0</v>
      </c>
      <c r="U181" s="248" cm="1">
        <f t="array" ref="U181">SUM(U173:U175,(U176:U180)*0.4)</f>
        <v>-2420699.281868015</v>
      </c>
      <c r="V181" s="248">
        <f>'Bütçe Değişim eur'!M20</f>
        <v>40926965.045080014</v>
      </c>
      <c r="W181" s="229">
        <f t="shared" si="105"/>
        <v>-1.0591468064930218</v>
      </c>
    </row>
    <row r="182" spans="2:23" ht="10.5" thickBot="1">
      <c r="B182" s="158"/>
      <c r="C182" s="196"/>
      <c r="D182" s="196"/>
      <c r="E182" s="194"/>
      <c r="F182" s="197"/>
      <c r="G182" s="196"/>
      <c r="H182" s="196"/>
      <c r="I182" s="194"/>
      <c r="J182" s="194"/>
      <c r="K182" s="249" t="s">
        <v>9</v>
      </c>
      <c r="L182" s="239">
        <f>SUM(L173:L180)</f>
        <v>234917673.35475492</v>
      </c>
      <c r="M182" s="239">
        <f t="shared" ref="M182:V182" si="107">SUM(M173:M180)</f>
        <v>96967744.969999999</v>
      </c>
      <c r="N182" s="239">
        <f t="shared" si="107"/>
        <v>110640363.47168906</v>
      </c>
      <c r="O182" s="239">
        <f t="shared" si="107"/>
        <v>111139836.32498282</v>
      </c>
      <c r="P182" s="239">
        <f t="shared" si="107"/>
        <v>263834716.09548488</v>
      </c>
      <c r="Q182" s="239">
        <f t="shared" si="107"/>
        <v>235499238.03888541</v>
      </c>
      <c r="R182" s="239">
        <f t="shared" si="107"/>
        <v>214513569.08079314</v>
      </c>
      <c r="S182" s="239">
        <f>SUM(S173:S180)</f>
        <v>88358719.381032601</v>
      </c>
      <c r="T182" s="239">
        <f>SUM(T173:T180)</f>
        <v>0</v>
      </c>
      <c r="U182" s="239">
        <f>SUM(U173:U180)</f>
        <v>-6124144.4110618569</v>
      </c>
      <c r="V182" s="239">
        <f t="shared" si="107"/>
        <v>96140784.147972748</v>
      </c>
      <c r="W182" s="264">
        <f t="shared" si="105"/>
        <v>-1.063699755159434</v>
      </c>
    </row>
    <row r="183" spans="2:23">
      <c r="B183" s="158"/>
      <c r="C183" s="196"/>
      <c r="D183" s="196"/>
      <c r="E183" s="194"/>
      <c r="F183" s="197"/>
      <c r="G183" s="196"/>
      <c r="H183" s="196"/>
      <c r="I183" s="194"/>
      <c r="J183" s="194"/>
      <c r="K183" s="202"/>
      <c r="L183" s="194"/>
      <c r="M183" s="194"/>
      <c r="N183" s="194"/>
      <c r="O183" s="194"/>
      <c r="P183" s="194"/>
      <c r="Q183" s="194"/>
      <c r="R183" s="194"/>
      <c r="S183" s="194"/>
      <c r="T183" s="194"/>
      <c r="U183" s="194"/>
    </row>
    <row r="184" spans="2:23" ht="12.5">
      <c r="B184" s="209" t="s">
        <v>158</v>
      </c>
      <c r="C184" s="210" t="s">
        <v>0</v>
      </c>
      <c r="D184" s="210"/>
      <c r="E184" s="210"/>
      <c r="F184" s="210"/>
      <c r="G184" s="210"/>
      <c r="H184" s="210" t="s">
        <v>36</v>
      </c>
      <c r="I184" s="210"/>
      <c r="J184" s="195"/>
      <c r="K184" s="214" t="s">
        <v>159</v>
      </c>
      <c r="L184" s="214"/>
      <c r="M184" s="214"/>
      <c r="N184" s="214"/>
      <c r="O184" s="210"/>
      <c r="P184" s="210"/>
      <c r="Q184" s="210"/>
      <c r="R184" s="210"/>
      <c r="S184" s="210"/>
      <c r="T184" s="210"/>
      <c r="U184" s="210"/>
      <c r="W184" s="269"/>
    </row>
    <row r="185" spans="2:23" ht="10.5" thickBot="1">
      <c r="B185" s="169"/>
      <c r="C185" s="211" t="s">
        <v>98</v>
      </c>
      <c r="D185" s="211" t="s">
        <v>99</v>
      </c>
      <c r="E185" s="211" t="s">
        <v>100</v>
      </c>
      <c r="F185" s="211"/>
      <c r="G185" s="211" t="str">
        <f>C185</f>
        <v>Gerçekleşen</v>
      </c>
      <c r="H185" s="211" t="s">
        <v>99</v>
      </c>
      <c r="I185" s="211" t="s">
        <v>100</v>
      </c>
      <c r="J185" s="152"/>
      <c r="K185" s="169"/>
      <c r="L185" s="211" t="str">
        <f>L172</f>
        <v>Mart</v>
      </c>
      <c r="M185" s="211" t="str">
        <f>M172</f>
        <v>Nisan</v>
      </c>
      <c r="N185" s="211" t="str">
        <f>N172</f>
        <v>Mayıs</v>
      </c>
      <c r="O185" s="219" t="s">
        <v>101</v>
      </c>
      <c r="P185" s="219" t="s">
        <v>102</v>
      </c>
      <c r="Q185" s="219" t="s">
        <v>103</v>
      </c>
      <c r="R185" s="219" t="s">
        <v>104</v>
      </c>
      <c r="S185" s="219" t="s">
        <v>105</v>
      </c>
      <c r="T185" s="219" t="s">
        <v>106</v>
      </c>
      <c r="U185" s="219" t="s">
        <v>98</v>
      </c>
      <c r="V185" s="219" t="s">
        <v>99</v>
      </c>
      <c r="W185" s="154" t="s">
        <v>100</v>
      </c>
    </row>
    <row r="186" spans="2:23" ht="10.5" thickTop="1">
      <c r="B186" s="149" t="s">
        <v>111</v>
      </c>
      <c r="C186" s="156">
        <f>'A -Döviz'!C278</f>
        <v>0</v>
      </c>
      <c r="D186" s="156">
        <f>'A -Döviz'!B278</f>
        <v>1924.399273230136</v>
      </c>
      <c r="E186" s="224">
        <v>1</v>
      </c>
      <c r="F186" s="155"/>
      <c r="G186" s="156">
        <f>'C-Döviz'!C278</f>
        <v>0</v>
      </c>
      <c r="H186" s="156">
        <f>'C-Döviz'!B278</f>
        <v>1924.399273230136</v>
      </c>
      <c r="I186" s="224">
        <f>IF(G186&gt;H186,ABS((G186-H186)/H186),-ABS((H186-G186)/H186))</f>
        <v>-1</v>
      </c>
      <c r="J186" s="157"/>
      <c r="K186" s="200" t="str">
        <f>B186</f>
        <v xml:space="preserve">İnci Holding  </v>
      </c>
      <c r="L186" s="204">
        <f>'Tahmin Data'!G132</f>
        <v>14760.179122562689</v>
      </c>
      <c r="M186" s="204">
        <f>'Tahmin Data'!I132</f>
        <v>14625.05</v>
      </c>
      <c r="N186" s="204">
        <f>'Tahmin Data'!K132</f>
        <v>13207.280429213433</v>
      </c>
      <c r="O186" s="204">
        <f>'Tahmin Data'!M132</f>
        <v>13087.725923419686</v>
      </c>
      <c r="P186" s="204">
        <f>'Tahmin Data'!O132</f>
        <v>13451.861363547949</v>
      </c>
      <c r="Q186" s="204">
        <f>'Tahmin Data'!Q132</f>
        <v>13138.667983423438</v>
      </c>
      <c r="R186" s="204">
        <f>'Tahmin Data'!S132</f>
        <v>13062.11678160591</v>
      </c>
      <c r="S186" s="204">
        <f>'Tahmin Data'!U132</f>
        <v>13062.11678160591</v>
      </c>
      <c r="T186" s="204">
        <f>'Tahmin Data'!W132</f>
        <v>0</v>
      </c>
      <c r="U186" s="318">
        <f t="shared" ref="U186:U193" si="108">G186</f>
        <v>0</v>
      </c>
      <c r="V186" s="204">
        <f>'Bütçe aylık-Eur'!N187</f>
        <v>14928.331503159139</v>
      </c>
      <c r="W186" s="224">
        <f t="shared" ref="W186:W195" si="109">IF(U186&gt;V186,ABS((U186-V186)/V186),-ABS((V186-U186)/V186))</f>
        <v>-1</v>
      </c>
    </row>
    <row r="187" spans="2:23">
      <c r="B187" s="149" t="s">
        <v>11</v>
      </c>
      <c r="C187" s="156">
        <f>'A -Döviz'!C279</f>
        <v>53252.056358936352</v>
      </c>
      <c r="D187" s="156">
        <f>'A -Döviz'!B279</f>
        <v>37421.013228197167</v>
      </c>
      <c r="E187" s="229">
        <f t="shared" ref="E187:E194" si="110">IF(C187&gt;D187,ABS((C187-D187)/D187),-ABS((D187-C187)/D187))</f>
        <v>0.4230522309537656</v>
      </c>
      <c r="F187" s="155"/>
      <c r="G187" s="156">
        <f>'C-Döviz'!C279</f>
        <v>53252.056358936352</v>
      </c>
      <c r="H187" s="156">
        <f>'C-Döviz'!B279</f>
        <v>37421.013228197167</v>
      </c>
      <c r="I187" s="229">
        <f t="shared" ref="I187:I194" si="111">IF(G187&gt;H187,ABS((G187-H187)/H187),-ABS((H187-G187)/H187))</f>
        <v>0.4230522309537656</v>
      </c>
      <c r="J187" s="157"/>
      <c r="K187" s="200" t="str">
        <f t="shared" ref="K187:K193" si="112">B187</f>
        <v xml:space="preserve">ISM </v>
      </c>
      <c r="L187" s="204">
        <f>'Tahmin Data'!G134</f>
        <v>711284.4421620965</v>
      </c>
      <c r="M187" s="204">
        <f>'Tahmin Data'!I134</f>
        <v>615111.01</v>
      </c>
      <c r="N187" s="204">
        <f>'Tahmin Data'!K134</f>
        <v>545966.06044245698</v>
      </c>
      <c r="O187" s="204">
        <f>'Tahmin Data'!M134</f>
        <v>608784.87590789516</v>
      </c>
      <c r="P187" s="204">
        <f>'Tahmin Data'!O134</f>
        <v>584905.8343840033</v>
      </c>
      <c r="Q187" s="204">
        <f>'Tahmin Data'!Q134</f>
        <v>580382.04179782083</v>
      </c>
      <c r="R187" s="204">
        <f>'Tahmin Data'!S134</f>
        <v>582377.17604632268</v>
      </c>
      <c r="S187" s="204">
        <f>'Tahmin Data'!U134</f>
        <v>582377.17604632268</v>
      </c>
      <c r="T187" s="204">
        <f>'Tahmin Data'!W134</f>
        <v>0</v>
      </c>
      <c r="U187" s="227">
        <f t="shared" si="108"/>
        <v>53252.056358936352</v>
      </c>
      <c r="V187" s="204">
        <f>'Bütçe aylık-Eur'!N188</f>
        <v>627112.66954540147</v>
      </c>
      <c r="W187" s="229">
        <f t="shared" si="109"/>
        <v>-0.91508374978687779</v>
      </c>
    </row>
    <row r="188" spans="2:23">
      <c r="B188" s="149" t="s">
        <v>115</v>
      </c>
      <c r="C188" s="156">
        <f>'A -Döviz'!C280</f>
        <v>0</v>
      </c>
      <c r="D188" s="156">
        <f>'A -Döviz'!B280</f>
        <v>0</v>
      </c>
      <c r="E188" s="229">
        <v>0</v>
      </c>
      <c r="F188" s="155"/>
      <c r="G188" s="156">
        <f>'C-Döviz'!C280</f>
        <v>0</v>
      </c>
      <c r="H188" s="156">
        <f>'C-Döviz'!B280</f>
        <v>0</v>
      </c>
      <c r="I188" s="229">
        <v>0</v>
      </c>
      <c r="J188" s="157"/>
      <c r="K188" s="200" t="str">
        <f t="shared" si="112"/>
        <v xml:space="preserve">İncitaş </v>
      </c>
      <c r="L188" s="204">
        <f>'Tahmin Data'!G133</f>
        <v>0</v>
      </c>
      <c r="M188" s="204">
        <f>'Tahmin Data'!I133</f>
        <v>0</v>
      </c>
      <c r="N188" s="204">
        <f>'Tahmin Data'!K133</f>
        <v>0</v>
      </c>
      <c r="O188" s="204">
        <f>'Tahmin Data'!M133</f>
        <v>0</v>
      </c>
      <c r="P188" s="204">
        <f>'Tahmin Data'!O133</f>
        <v>0</v>
      </c>
      <c r="Q188" s="204">
        <f>'Tahmin Data'!Q133</f>
        <v>0</v>
      </c>
      <c r="R188" s="204">
        <f>'Tahmin Data'!S133</f>
        <v>0</v>
      </c>
      <c r="S188" s="204">
        <f>'Tahmin Data'!U133</f>
        <v>0</v>
      </c>
      <c r="T188" s="204">
        <f>'Tahmin Data'!W133</f>
        <v>0</v>
      </c>
      <c r="U188" s="227">
        <f t="shared" si="108"/>
        <v>0</v>
      </c>
      <c r="V188" s="204">
        <f>'Bütçe aylık-Eur'!N189</f>
        <v>0</v>
      </c>
      <c r="W188" s="229">
        <v>0</v>
      </c>
    </row>
    <row r="189" spans="2:23">
      <c r="B189" s="149" t="s">
        <v>119</v>
      </c>
      <c r="C189" s="156">
        <f>'A -Döviz'!C281</f>
        <v>179430.80014359477</v>
      </c>
      <c r="D189" s="156">
        <f>'A -Döviz'!B281</f>
        <v>309454.4406993278</v>
      </c>
      <c r="E189" s="229">
        <f t="shared" si="110"/>
        <v>-0.42017054356013145</v>
      </c>
      <c r="F189" s="155"/>
      <c r="G189" s="156">
        <f>'C-Döviz'!C281</f>
        <v>179430.80014359477</v>
      </c>
      <c r="H189" s="156">
        <f>'C-Döviz'!B281</f>
        <v>309454.4406993278</v>
      </c>
      <c r="I189" s="229">
        <f t="shared" si="111"/>
        <v>-0.42017054356013145</v>
      </c>
      <c r="J189" s="157"/>
      <c r="K189" s="200" t="str">
        <f t="shared" si="112"/>
        <v xml:space="preserve">İnci GS Yuasa </v>
      </c>
      <c r="L189" s="204">
        <f>'Tahmin Data'!G131/0.4</f>
        <v>15455158.081293978</v>
      </c>
      <c r="M189" s="204">
        <f>'Tahmin Data'!I131/0.4</f>
        <v>15319953.999999998</v>
      </c>
      <c r="N189" s="204">
        <f>'Tahmin Data'!K131/0.4</f>
        <v>13901388.193823585</v>
      </c>
      <c r="O189" s="204">
        <f>'Tahmin Data'!M131/0.4</f>
        <v>13781766.618034691</v>
      </c>
      <c r="P189" s="204">
        <f>'Tahmin Data'!O131/0.4</f>
        <v>13681374.887786509</v>
      </c>
      <c r="Q189" s="204">
        <f>'Tahmin Data'!Q131/0.4</f>
        <v>13147593.498138623</v>
      </c>
      <c r="R189" s="204">
        <f>'Tahmin Data'!S131/0.4</f>
        <v>13051961.269640021</v>
      </c>
      <c r="S189" s="204">
        <f>'Tahmin Data'!U131/0.4</f>
        <v>5220784.5078560086</v>
      </c>
      <c r="T189" s="204">
        <f>'Tahmin Data'!W131/0.4</f>
        <v>0</v>
      </c>
      <c r="U189" s="227">
        <f t="shared" si="108"/>
        <v>179430.80014359477</v>
      </c>
      <c r="V189" s="204">
        <f>'Bütçe aylık-Eur'!N190</f>
        <v>6170487.7931394409</v>
      </c>
      <c r="W189" s="229">
        <f t="shared" si="109"/>
        <v>-0.9709211319819655</v>
      </c>
    </row>
    <row r="190" spans="2:23">
      <c r="B190" s="149" t="s">
        <v>120</v>
      </c>
      <c r="C190" s="156">
        <f>'A -Döviz'!C282</f>
        <v>112475.8565550208</v>
      </c>
      <c r="D190" s="156">
        <f>'A -Döviz'!B282</f>
        <v>104087.52312868946</v>
      </c>
      <c r="E190" s="229">
        <f t="shared" si="110"/>
        <v>8.0589230814536339E-2</v>
      </c>
      <c r="F190" s="155"/>
      <c r="G190" s="156">
        <f>'C-Döviz'!C282</f>
        <v>112475.8565550208</v>
      </c>
      <c r="H190" s="156">
        <f>'C-Döviz'!B282</f>
        <v>104087.52312868946</v>
      </c>
      <c r="I190" s="229">
        <f t="shared" si="111"/>
        <v>8.0589230814536339E-2</v>
      </c>
      <c r="J190" s="157"/>
      <c r="K190" s="200" t="str">
        <f t="shared" si="112"/>
        <v xml:space="preserve">Yusen İnci Loj. </v>
      </c>
      <c r="L190" s="204">
        <f>'Tahmin Data'!G138/0.4</f>
        <v>1533327.6297988719</v>
      </c>
      <c r="M190" s="204">
        <f>'Tahmin Data'!I138/0.4</f>
        <v>1707355.425</v>
      </c>
      <c r="N190" s="204">
        <f>'Tahmin Data'!K138/0.4</f>
        <v>1689038.4324122528</v>
      </c>
      <c r="O190" s="204">
        <f>'Tahmin Data'!M138/0.4</f>
        <v>1754000.0036679609</v>
      </c>
      <c r="P190" s="204">
        <f>'Tahmin Data'!O138/0.4</f>
        <v>3090026.4866842711</v>
      </c>
      <c r="Q190" s="204">
        <f>'Tahmin Data'!Q138/0.4</f>
        <v>3121313.9303255505</v>
      </c>
      <c r="R190" s="204">
        <f>'Tahmin Data'!S138/0.4</f>
        <v>5003121.9140296271</v>
      </c>
      <c r="S190" s="204">
        <f>'Tahmin Data'!U138/0.4</f>
        <v>2001248.7656118511</v>
      </c>
      <c r="T190" s="204">
        <f>'Tahmin Data'!W138/0.4</f>
        <v>0</v>
      </c>
      <c r="U190" s="227">
        <f t="shared" si="108"/>
        <v>112475.8565550208</v>
      </c>
      <c r="V190" s="204">
        <f>'Bütçe aylık-Eur'!N191</f>
        <v>892906.30606099044</v>
      </c>
      <c r="W190" s="229">
        <f t="shared" si="109"/>
        <v>-0.87403397669885197</v>
      </c>
    </row>
    <row r="191" spans="2:23">
      <c r="B191" s="149" t="s">
        <v>121</v>
      </c>
      <c r="C191" s="156">
        <f>'A -Döviz'!C283</f>
        <v>126976.17</v>
      </c>
      <c r="D191" s="156">
        <f>'A -Döviz'!B283</f>
        <v>274833.33333300002</v>
      </c>
      <c r="E191" s="229">
        <f t="shared" si="110"/>
        <v>-0.53798846573624992</v>
      </c>
      <c r="F191" s="155"/>
      <c r="G191" s="156">
        <f>'C-Döviz'!C283</f>
        <v>126976.17</v>
      </c>
      <c r="H191" s="156">
        <f>'C-Döviz'!B283</f>
        <v>274833.33333300002</v>
      </c>
      <c r="I191" s="229">
        <f t="shared" si="111"/>
        <v>-0.53798846573624992</v>
      </c>
      <c r="J191" s="157"/>
      <c r="K191" s="200" t="str">
        <f t="shared" si="112"/>
        <v xml:space="preserve">Jantaş </v>
      </c>
      <c r="L191" s="204">
        <f>'Tahmin Data'!G137/0.4</f>
        <v>8250000</v>
      </c>
      <c r="M191" s="204">
        <f>'Tahmin Data'!I137/0.4</f>
        <v>8246181.1999999993</v>
      </c>
      <c r="N191" s="204">
        <f>'Tahmin Data'!K137/0.4</f>
        <v>8245992.5958050005</v>
      </c>
      <c r="O191" s="204">
        <f>'Tahmin Data'!M137/0.4</f>
        <v>8250000</v>
      </c>
      <c r="P191" s="204">
        <f>'Tahmin Data'!O137/0.4</f>
        <v>8497340.0765274987</v>
      </c>
      <c r="Q191" s="204">
        <f>'Tahmin Data'!Q137/0.4</f>
        <v>8567813.9016375002</v>
      </c>
      <c r="R191" s="204">
        <f>'Tahmin Data'!S137/0.4</f>
        <v>8567478.6499999985</v>
      </c>
      <c r="S191" s="204">
        <f>'Tahmin Data'!U137/0.4</f>
        <v>3426991.46</v>
      </c>
      <c r="T191" s="204">
        <f>'Tahmin Data'!W137/0.4</f>
        <v>0</v>
      </c>
      <c r="U191" s="227">
        <f t="shared" si="108"/>
        <v>126976.17</v>
      </c>
      <c r="V191" s="204">
        <f>'Bütçe aylık-Eur'!N192</f>
        <v>3298000</v>
      </c>
      <c r="W191" s="229">
        <f t="shared" si="109"/>
        <v>-0.96149903881140086</v>
      </c>
    </row>
    <row r="192" spans="2:23">
      <c r="B192" s="149" t="s">
        <v>122</v>
      </c>
      <c r="C192" s="156">
        <f>'A -Döviz'!C284</f>
        <v>9435.4500000000007</v>
      </c>
      <c r="D192" s="156">
        <f>'A -Döviz'!B284</f>
        <v>30000</v>
      </c>
      <c r="E192" s="229">
        <f t="shared" si="110"/>
        <v>-0.68548500000000001</v>
      </c>
      <c r="F192" s="155"/>
      <c r="G192" s="156">
        <f>'C-Döviz'!C284</f>
        <v>9435.4500000000007</v>
      </c>
      <c r="H192" s="156">
        <f>'C-Döviz'!B284</f>
        <v>30000</v>
      </c>
      <c r="I192" s="229">
        <f t="shared" si="111"/>
        <v>-0.68548500000000001</v>
      </c>
      <c r="J192" s="157"/>
      <c r="K192" s="200" t="str">
        <f t="shared" si="112"/>
        <v xml:space="preserve">Çelik </v>
      </c>
      <c r="L192" s="204">
        <f>'Tahmin Data'!G136/0.4</f>
        <v>7717494.788829999</v>
      </c>
      <c r="M192" s="204">
        <f>'Tahmin Data'!I136/0.4</f>
        <v>7700000</v>
      </c>
      <c r="N192" s="204">
        <f>'Tahmin Data'!K136/0.4</f>
        <v>7700000</v>
      </c>
      <c r="O192" s="204">
        <f>'Tahmin Data'!M136/0.4</f>
        <v>4677355.6803924991</v>
      </c>
      <c r="P192" s="204">
        <f>'Tahmin Data'!O136/0.4</f>
        <v>7839967.1434749998</v>
      </c>
      <c r="Q192" s="204">
        <f>'Tahmin Data'!Q136/0.4</f>
        <v>6460138.1319150003</v>
      </c>
      <c r="R192" s="204">
        <f>'Tahmin Data'!S136/0.4</f>
        <v>7700000.0069150003</v>
      </c>
      <c r="S192" s="204">
        <f>'Tahmin Data'!U136/0.4</f>
        <v>3080000.0027660001</v>
      </c>
      <c r="T192" s="204">
        <f>'Tahmin Data'!W136/0.4</f>
        <v>0</v>
      </c>
      <c r="U192" s="227">
        <f t="shared" si="108"/>
        <v>9435.4500000000007</v>
      </c>
      <c r="V192" s="204">
        <f>'Bütçe aylık-Eur'!N193</f>
        <v>3087000</v>
      </c>
      <c r="W192" s="229">
        <f t="shared" si="109"/>
        <v>-0.996943488824101</v>
      </c>
    </row>
    <row r="193" spans="2:23" ht="10.5" thickBot="1">
      <c r="B193" s="149" t="s">
        <v>124</v>
      </c>
      <c r="C193" s="156">
        <f>'A -Döviz'!C285</f>
        <v>101850.57</v>
      </c>
      <c r="D193" s="156">
        <f>'A -Döviz'!B285</f>
        <v>335000</v>
      </c>
      <c r="E193" s="229">
        <f t="shared" si="110"/>
        <v>-0.69596844776119404</v>
      </c>
      <c r="F193" s="155"/>
      <c r="G193" s="156">
        <f>'C-Döviz'!C285</f>
        <v>101850.57</v>
      </c>
      <c r="H193" s="156">
        <f>'C-Döviz'!B285</f>
        <v>335000</v>
      </c>
      <c r="I193" s="229">
        <f t="shared" si="111"/>
        <v>-0.69596844776119404</v>
      </c>
      <c r="J193" s="157"/>
      <c r="K193" s="201" t="str">
        <f t="shared" si="112"/>
        <v xml:space="preserve">Alüminyum </v>
      </c>
      <c r="L193" s="205">
        <f>'Tahmin Data'!G135/0.4</f>
        <v>9602800</v>
      </c>
      <c r="M193" s="205">
        <f>'Tahmin Data'!I135/0.4</f>
        <v>10998248.700000001</v>
      </c>
      <c r="N193" s="205">
        <f>'Tahmin Data'!K135/0.4</f>
        <v>10545363.725</v>
      </c>
      <c r="O193" s="205">
        <f>'Tahmin Data'!M135/0.4</f>
        <v>9844377.1750000007</v>
      </c>
      <c r="P193" s="205">
        <f>'Tahmin Data'!O135/0.4</f>
        <v>9706925.4000000004</v>
      </c>
      <c r="Q193" s="205">
        <f>'Tahmin Data'!Q135/0.4</f>
        <v>9706925.4000000004</v>
      </c>
      <c r="R193" s="205">
        <f>'Tahmin Data'!S135/0.4</f>
        <v>8956925.4000000004</v>
      </c>
      <c r="S193" s="205">
        <f>'Tahmin Data'!U135/0.4</f>
        <v>3582770.1600000006</v>
      </c>
      <c r="T193" s="205">
        <f>'Tahmin Data'!W135/0.4</f>
        <v>0</v>
      </c>
      <c r="U193" s="232">
        <f t="shared" si="108"/>
        <v>101850.57</v>
      </c>
      <c r="V193" s="205">
        <f>'Bütçe aylık-Eur'!N194</f>
        <v>3740000</v>
      </c>
      <c r="W193" s="264">
        <f t="shared" si="109"/>
        <v>-0.97276722727272735</v>
      </c>
    </row>
    <row r="194" spans="2:23" ht="10.5" thickBot="1">
      <c r="B194" s="169" t="s">
        <v>125</v>
      </c>
      <c r="C194" s="192">
        <f>'A -Döviz'!C275</f>
        <v>265319.59503838257</v>
      </c>
      <c r="D194" s="192">
        <f>'A -Döviz'!B275</f>
        <v>460695.53136583423</v>
      </c>
      <c r="E194" s="246">
        <f t="shared" si="110"/>
        <v>-0.4240890632218991</v>
      </c>
      <c r="F194" s="154"/>
      <c r="G194" s="192">
        <f>'C-Döviz'!C275</f>
        <v>265319.59503838257</v>
      </c>
      <c r="H194" s="192">
        <f>'C-Döviz'!B275</f>
        <v>460695.53136583423</v>
      </c>
      <c r="I194" s="260">
        <f t="shared" si="111"/>
        <v>-0.4240890632218991</v>
      </c>
      <c r="J194" s="194"/>
      <c r="K194" s="263" t="s">
        <v>125</v>
      </c>
      <c r="L194" s="248">
        <f>SUM('Tahmin Data'!G131:G138)</f>
        <v>17749556.821253799</v>
      </c>
      <c r="M194" s="248">
        <f>SUM('Tahmin Data'!I131:I138)</f>
        <v>18218431.790000003</v>
      </c>
      <c r="N194" s="248">
        <f>SUM('Tahmin Data'!K131:K138)</f>
        <v>17391886.519688006</v>
      </c>
      <c r="O194" s="248">
        <f>SUM('Tahmin Data'!M131:M138)</f>
        <v>15944872.392669378</v>
      </c>
      <c r="P194" s="248">
        <f>SUM('Tahmin Data'!O131:O138)</f>
        <v>17724611.293536864</v>
      </c>
      <c r="Q194" s="248">
        <f>SUM('Tahmin Data'!Q131:Q138)</f>
        <v>16995034.654587913</v>
      </c>
      <c r="R194" s="248">
        <f>SUM('Tahmin Data'!S131:S138)</f>
        <v>17907234.189061787</v>
      </c>
      <c r="S194" s="248">
        <f>SUM('Tahmin Data'!U131:U138)</f>
        <v>7520157.2513214722</v>
      </c>
      <c r="T194" s="248">
        <f>SUM('Tahmin Data'!W131:W138)</f>
        <v>0</v>
      </c>
      <c r="U194" s="248" cm="1">
        <f t="array" ref="U194">SUM(U186:U188,(U189:U193)*0.4)</f>
        <v>265319.59503838257</v>
      </c>
      <c r="V194" s="248">
        <f>'Bütçe aylık-Eur'!N186</f>
        <v>7517398.6407287335</v>
      </c>
      <c r="W194" s="229">
        <f t="shared" si="109"/>
        <v>-0.96470592984108894</v>
      </c>
    </row>
    <row r="195" spans="2:23" ht="10.5" thickBot="1">
      <c r="K195" s="249" t="s">
        <v>9</v>
      </c>
      <c r="L195" s="239">
        <f t="shared" ref="L195:V195" si="113">SUM(L186:L193)</f>
        <v>43284825.121207505</v>
      </c>
      <c r="M195" s="239">
        <f t="shared" si="113"/>
        <v>44601475.385000005</v>
      </c>
      <c r="N195" s="239">
        <f t="shared" si="113"/>
        <v>42640956.28791251</v>
      </c>
      <c r="O195" s="239">
        <f t="shared" si="113"/>
        <v>38929372.078926466</v>
      </c>
      <c r="P195" s="239">
        <f t="shared" si="113"/>
        <v>43413991.690220825</v>
      </c>
      <c r="Q195" s="239">
        <f t="shared" si="113"/>
        <v>41597305.571797922</v>
      </c>
      <c r="R195" s="239">
        <f t="shared" si="113"/>
        <v>43874926.533412576</v>
      </c>
      <c r="S195" s="239">
        <f t="shared" si="113"/>
        <v>17907234.189061791</v>
      </c>
      <c r="T195" s="239">
        <f t="shared" si="113"/>
        <v>0</v>
      </c>
      <c r="U195" s="239">
        <f t="shared" si="113"/>
        <v>583420.90305755194</v>
      </c>
      <c r="V195" s="239">
        <f t="shared" si="113"/>
        <v>17830435.100248992</v>
      </c>
      <c r="W195" s="264">
        <f t="shared" si="109"/>
        <v>-0.96727949151115189</v>
      </c>
    </row>
    <row r="197" spans="2:23" ht="12.5">
      <c r="B197" s="209" t="s">
        <v>160</v>
      </c>
      <c r="C197" s="210" t="s">
        <v>0</v>
      </c>
      <c r="D197" s="210"/>
      <c r="E197" s="210"/>
      <c r="F197" s="210"/>
      <c r="G197" s="210"/>
      <c r="H197" s="210" t="s">
        <v>36</v>
      </c>
      <c r="I197" s="210"/>
      <c r="J197" s="195"/>
      <c r="K197" s="214" t="s">
        <v>161</v>
      </c>
      <c r="L197" s="214"/>
      <c r="M197" s="214"/>
      <c r="N197" s="214"/>
      <c r="O197" s="210"/>
      <c r="P197" s="210"/>
      <c r="Q197" s="210"/>
      <c r="R197" s="210"/>
      <c r="S197" s="210"/>
      <c r="T197" s="210"/>
      <c r="U197" s="210"/>
      <c r="W197" s="269"/>
    </row>
    <row r="198" spans="2:23" ht="10.5" thickBot="1">
      <c r="B198" s="169"/>
      <c r="C198" s="211" t="s">
        <v>98</v>
      </c>
      <c r="D198" s="211" t="s">
        <v>99</v>
      </c>
      <c r="E198" s="211" t="s">
        <v>100</v>
      </c>
      <c r="F198" s="211"/>
      <c r="G198" s="211" t="str">
        <f>C198</f>
        <v>Gerçekleşen</v>
      </c>
      <c r="H198" s="211" t="s">
        <v>99</v>
      </c>
      <c r="I198" s="211" t="s">
        <v>100</v>
      </c>
      <c r="J198" s="152"/>
      <c r="K198" s="169"/>
      <c r="L198" s="211" t="str">
        <f>L120</f>
        <v>Mart</v>
      </c>
      <c r="M198" s="211" t="str">
        <f>M120</f>
        <v>Nisan</v>
      </c>
      <c r="N198" s="211" t="str">
        <f>N120</f>
        <v>Mayıs</v>
      </c>
      <c r="O198" s="219" t="s">
        <v>101</v>
      </c>
      <c r="P198" s="219" t="s">
        <v>102</v>
      </c>
      <c r="Q198" s="219" t="s">
        <v>103</v>
      </c>
      <c r="R198" s="219" t="s">
        <v>104</v>
      </c>
      <c r="S198" s="219" t="s">
        <v>105</v>
      </c>
      <c r="T198" s="219" t="s">
        <v>106</v>
      </c>
      <c r="U198" s="219" t="s">
        <v>98</v>
      </c>
      <c r="V198" s="219" t="s">
        <v>99</v>
      </c>
      <c r="W198" s="154" t="s">
        <v>100</v>
      </c>
    </row>
    <row r="199" spans="2:23" ht="10.5" thickTop="1">
      <c r="B199" s="149" t="s">
        <v>111</v>
      </c>
      <c r="C199" s="156">
        <f>'A -Döviz'!C304</f>
        <v>342118.89949938818</v>
      </c>
      <c r="D199" s="156">
        <f>'A -Döviz'!B304</f>
        <v>283774.87436724629</v>
      </c>
      <c r="E199" s="224">
        <f>IF(C199&gt;D199,ABS((C199-D199)/D199),-ABS((D199-C199)/D199))</f>
        <v>0.20559968623802885</v>
      </c>
      <c r="F199" s="155"/>
      <c r="G199" s="156">
        <f>'C-Döviz'!C304</f>
        <v>342118.89949938818</v>
      </c>
      <c r="H199" s="156">
        <f>'C-Döviz'!B304</f>
        <v>283774.87436724629</v>
      </c>
      <c r="I199" s="224">
        <f t="shared" ref="I199:I207" si="114">IF(G199&gt;H199,ABS((G199-H199)/H199),-ABS((H199-G199)/H199))</f>
        <v>0.20559968623802885</v>
      </c>
      <c r="K199" s="200" t="str">
        <f>B199</f>
        <v xml:space="preserve">İnci Holding  </v>
      </c>
      <c r="L199" s="204">
        <f>'Tahmin Data'!G148</f>
        <v>3972244.3614668194</v>
      </c>
      <c r="M199" s="204">
        <f>'Tahmin Data'!I148</f>
        <v>3920792.82</v>
      </c>
      <c r="N199" s="204">
        <f>'Tahmin Data'!K148</f>
        <v>3444645.6006287294</v>
      </c>
      <c r="O199" s="204">
        <f>'Tahmin Data'!M148</f>
        <v>3390707.0382819609</v>
      </c>
      <c r="P199" s="204">
        <f>'Tahmin Data'!O148</f>
        <v>3239527.8973887498</v>
      </c>
      <c r="Q199" s="204">
        <f>'Tahmin Data'!Q148</f>
        <v>2976900.8844533623</v>
      </c>
      <c r="R199" s="204">
        <f>'Tahmin Data'!S148</f>
        <v>2762104.402453884</v>
      </c>
      <c r="S199" s="204">
        <f>'Tahmin Data'!U148</f>
        <v>0</v>
      </c>
      <c r="T199" s="204">
        <f>'Tahmin Data'!W148</f>
        <v>0</v>
      </c>
      <c r="U199" s="318">
        <f t="shared" ref="U199:U206" si="115">G199</f>
        <v>342118.89949938818</v>
      </c>
      <c r="V199" s="213">
        <f>'Bütçe Değişim eur'!M30</f>
        <v>3214456.5175077366</v>
      </c>
      <c r="W199" s="224">
        <f t="shared" ref="W199:W208" si="116">IF(U199&gt;V199,ABS((U199-V199)/V199),-ABS((V199-U199)/V199))</f>
        <v>-0.89356866467596729</v>
      </c>
    </row>
    <row r="200" spans="2:23">
      <c r="B200" s="149" t="s">
        <v>11</v>
      </c>
      <c r="C200" s="156">
        <f>'A -Döviz'!C305</f>
        <v>-329346.0090691371</v>
      </c>
      <c r="D200" s="156">
        <f>'A -Döviz'!B305</f>
        <v>-702015.90163737047</v>
      </c>
      <c r="E200" s="229">
        <f t="shared" ref="E200:E207" si="117">IF(C200&gt;D200,ABS((C200-D200)/D200),-ABS((D200-C200)/D200))</f>
        <v>0.53085676791512015</v>
      </c>
      <c r="F200" s="155"/>
      <c r="G200" s="156">
        <f>'C-Döviz'!C305</f>
        <v>-329346.0090691371</v>
      </c>
      <c r="H200" s="156">
        <f>'C-Döviz'!B305</f>
        <v>-702015.90163737047</v>
      </c>
      <c r="I200" s="229">
        <f t="shared" si="114"/>
        <v>0.53085676791512015</v>
      </c>
      <c r="K200" s="200" t="str">
        <f t="shared" ref="K200:K206" si="118">B200</f>
        <v xml:space="preserve">ISM </v>
      </c>
      <c r="L200" s="204">
        <f>'Tahmin Data'!G150</f>
        <v>28386.85584709351</v>
      </c>
      <c r="M200" s="204">
        <f>'Tahmin Data'!I150</f>
        <v>59976.34</v>
      </c>
      <c r="N200" s="204">
        <f>'Tahmin Data'!K150</f>
        <v>538055.18038630043</v>
      </c>
      <c r="O200" s="204">
        <f>'Tahmin Data'!M150</f>
        <v>-43023.930515888496</v>
      </c>
      <c r="P200" s="204">
        <f>'Tahmin Data'!O150</f>
        <v>186514.48178319167</v>
      </c>
      <c r="Q200" s="204">
        <f>'Tahmin Data'!Q150</f>
        <v>54325.379435000126</v>
      </c>
      <c r="R200" s="204">
        <f>'Tahmin Data'!S150</f>
        <v>-69172.49743530713</v>
      </c>
      <c r="S200" s="204">
        <f>'Tahmin Data'!U150</f>
        <v>0</v>
      </c>
      <c r="T200" s="204">
        <f>'Tahmin Data'!W150</f>
        <v>0</v>
      </c>
      <c r="U200" s="227">
        <f t="shared" si="115"/>
        <v>-329346.0090691371</v>
      </c>
      <c r="V200" s="204">
        <f>'Bütçe Değişim eur'!M31</f>
        <v>576205.2642003583</v>
      </c>
      <c r="W200" s="229">
        <f t="shared" si="116"/>
        <v>-1.5715775775255967</v>
      </c>
    </row>
    <row r="201" spans="2:23">
      <c r="B201" s="149" t="s">
        <v>115</v>
      </c>
      <c r="C201" s="156">
        <f>'A -Döviz'!C306</f>
        <v>-17760.80919464046</v>
      </c>
      <c r="D201" s="156">
        <f>'A -Döviz'!B306</f>
        <v>-554871.04796804884</v>
      </c>
      <c r="E201" s="229">
        <f t="shared" si="117"/>
        <v>0.9679911048527744</v>
      </c>
      <c r="F201" s="155"/>
      <c r="G201" s="156">
        <f>'C-Döviz'!C306</f>
        <v>-17760.80919464046</v>
      </c>
      <c r="H201" s="156">
        <f>'C-Döviz'!B306</f>
        <v>-554871.04796804884</v>
      </c>
      <c r="I201" s="229">
        <f t="shared" si="114"/>
        <v>0.9679911048527744</v>
      </c>
      <c r="K201" s="200" t="str">
        <f t="shared" si="118"/>
        <v xml:space="preserve">İncitaş </v>
      </c>
      <c r="L201" s="204">
        <f>'Tahmin Data'!G149</f>
        <v>1094174.1321509883</v>
      </c>
      <c r="M201" s="204">
        <f>'Tahmin Data'!I149</f>
        <v>520914.52</v>
      </c>
      <c r="N201" s="204">
        <f>'Tahmin Data'!K149</f>
        <v>642145.53952392051</v>
      </c>
      <c r="O201" s="204">
        <f>'Tahmin Data'!M149</f>
        <v>628280.2231703375</v>
      </c>
      <c r="P201" s="204">
        <f>'Tahmin Data'!O149</f>
        <v>855047.91971504409</v>
      </c>
      <c r="Q201" s="204">
        <f>'Tahmin Data'!Q149</f>
        <v>843219.19260105048</v>
      </c>
      <c r="R201" s="204">
        <f>'Tahmin Data'!S149</f>
        <v>967115.05001238512</v>
      </c>
      <c r="S201" s="204">
        <f>'Tahmin Data'!U149</f>
        <v>0</v>
      </c>
      <c r="T201" s="204">
        <f>'Tahmin Data'!W149</f>
        <v>0</v>
      </c>
      <c r="U201" s="227">
        <f t="shared" si="115"/>
        <v>-17760.80919464046</v>
      </c>
      <c r="V201" s="204">
        <f>'Bütçe Değişim eur'!M32</f>
        <v>-314950.47293846705</v>
      </c>
      <c r="W201" s="229">
        <f t="shared" si="116"/>
        <v>0.94360761224159051</v>
      </c>
    </row>
    <row r="202" spans="2:23">
      <c r="B202" s="149" t="s">
        <v>119</v>
      </c>
      <c r="C202" s="156">
        <f>'A -Döviz'!C307</f>
        <v>-3617026.1211118</v>
      </c>
      <c r="D202" s="156">
        <f>'A -Döviz'!B307</f>
        <v>-4120092.2884676103</v>
      </c>
      <c r="E202" s="229">
        <f t="shared" si="117"/>
        <v>0.12210070360897575</v>
      </c>
      <c r="F202" s="155"/>
      <c r="G202" s="156">
        <f>'C-Döviz'!C307</f>
        <v>-3617026.1211118</v>
      </c>
      <c r="H202" s="156">
        <f>'C-Döviz'!B307</f>
        <v>-4120092.2884676103</v>
      </c>
      <c r="I202" s="229">
        <f t="shared" si="114"/>
        <v>0.12210070360897575</v>
      </c>
      <c r="K202" s="200" t="str">
        <f t="shared" si="118"/>
        <v xml:space="preserve">İnci GS Yuasa </v>
      </c>
      <c r="L202" s="204">
        <f>'Tahmin Data'!G147/0.4</f>
        <v>3335731.8620342528</v>
      </c>
      <c r="M202" s="204">
        <f>'Tahmin Data'!I147/0.4</f>
        <v>-4184325.3499999996</v>
      </c>
      <c r="N202" s="204">
        <f>'Tahmin Data'!K147/0.4</f>
        <v>30433590.536941215</v>
      </c>
      <c r="O202" s="204">
        <f>'Tahmin Data'!M147/0.4</f>
        <v>27963993.796824947</v>
      </c>
      <c r="P202" s="204">
        <f>'Tahmin Data'!O147/0.4</f>
        <v>23959140.38305838</v>
      </c>
      <c r="Q202" s="204">
        <f>'Tahmin Data'!Q147/0.4</f>
        <v>20239350.592905831</v>
      </c>
      <c r="R202" s="204">
        <f>'Tahmin Data'!S147/0.4</f>
        <v>8570338.407122748</v>
      </c>
      <c r="S202" s="204">
        <f>'Tahmin Data'!U147/0.4</f>
        <v>0</v>
      </c>
      <c r="T202" s="204">
        <f>'Tahmin Data'!W147/0.4</f>
        <v>0</v>
      </c>
      <c r="U202" s="227">
        <f t="shared" si="115"/>
        <v>-3617026.1211118</v>
      </c>
      <c r="V202" s="204">
        <f>'Bütçe Değişim eur'!M33</f>
        <v>15135245.566783566</v>
      </c>
      <c r="W202" s="229">
        <f t="shared" si="116"/>
        <v>-1.2389803393114329</v>
      </c>
    </row>
    <row r="203" spans="2:23">
      <c r="B203" s="149" t="s">
        <v>120</v>
      </c>
      <c r="C203" s="156">
        <f>'A -Döviz'!C308</f>
        <v>221976.66149476956</v>
      </c>
      <c r="D203" s="156">
        <f>'A -Döviz'!B308</f>
        <v>1338887.0699160029</v>
      </c>
      <c r="E203" s="229">
        <f t="shared" si="117"/>
        <v>-0.83420807737825442</v>
      </c>
      <c r="F203" s="155"/>
      <c r="G203" s="156">
        <f>'C-Döviz'!C308</f>
        <v>221976.66149476956</v>
      </c>
      <c r="H203" s="156">
        <f>'C-Döviz'!B308</f>
        <v>1338887.0699160029</v>
      </c>
      <c r="I203" s="229">
        <f t="shared" si="114"/>
        <v>-0.83420807737825442</v>
      </c>
      <c r="K203" s="200" t="str">
        <f t="shared" si="118"/>
        <v xml:space="preserve">Yusen İnci Loj. </v>
      </c>
      <c r="L203" s="204">
        <f>'Tahmin Data'!G154/0.4</f>
        <v>16358209.889585761</v>
      </c>
      <c r="M203" s="204">
        <f>'Tahmin Data'!I154/0.4</f>
        <v>14058787.975</v>
      </c>
      <c r="N203" s="204">
        <f>'Tahmin Data'!K154/0.4</f>
        <v>11974593.165574051</v>
      </c>
      <c r="O203" s="204">
        <f>'Tahmin Data'!M154/0.4</f>
        <v>11811767.162910068</v>
      </c>
      <c r="P203" s="204">
        <f>'Tahmin Data'!O154/0.4</f>
        <v>10367547.184746206</v>
      </c>
      <c r="Q203" s="204">
        <f>'Tahmin Data'!Q154/0.4</f>
        <v>9421759.6312522087</v>
      </c>
      <c r="R203" s="204">
        <f>'Tahmin Data'!S154/0.4</f>
        <v>9601919.6312318221</v>
      </c>
      <c r="S203" s="204">
        <f>'Tahmin Data'!U154/0.4</f>
        <v>0</v>
      </c>
      <c r="T203" s="204">
        <f>'Tahmin Data'!W154/0.4</f>
        <v>0</v>
      </c>
      <c r="U203" s="227">
        <f t="shared" si="115"/>
        <v>221976.66149476956</v>
      </c>
      <c r="V203" s="204">
        <f>'Bütçe Değişim eur'!M34</f>
        <v>4582208.5941325761</v>
      </c>
      <c r="W203" s="229">
        <f t="shared" si="116"/>
        <v>-0.9515568405639574</v>
      </c>
    </row>
    <row r="204" spans="2:23">
      <c r="B204" s="149" t="s">
        <v>121</v>
      </c>
      <c r="C204" s="156">
        <f>'A -Döviz'!C309</f>
        <v>1432787.7399999963</v>
      </c>
      <c r="D204" s="156">
        <f>'A -Döviz'!B309</f>
        <v>-3136859.9909959994</v>
      </c>
      <c r="E204" s="229">
        <f t="shared" si="117"/>
        <v>1.4567585879231624</v>
      </c>
      <c r="F204" s="155"/>
      <c r="G204" s="156">
        <f>'C-Döviz'!C309</f>
        <v>1432787.7399999963</v>
      </c>
      <c r="H204" s="156">
        <f>'C-Döviz'!B309</f>
        <v>-3136859.9909959994</v>
      </c>
      <c r="I204" s="229">
        <f t="shared" si="114"/>
        <v>1.4567585879231624</v>
      </c>
      <c r="K204" s="200" t="str">
        <f t="shared" si="118"/>
        <v xml:space="preserve">Jantaş </v>
      </c>
      <c r="L204" s="204">
        <f>'Tahmin Data'!G153/0.4</f>
        <v>35342509.17499999</v>
      </c>
      <c r="M204" s="204">
        <f>'Tahmin Data'!I153/0.4</f>
        <v>39246708.349999994</v>
      </c>
      <c r="N204" s="204">
        <f>'Tahmin Data'!K153/0.4</f>
        <v>39099792.219239987</v>
      </c>
      <c r="O204" s="204">
        <f>'Tahmin Data'!M153/0.4</f>
        <v>43299201.674999982</v>
      </c>
      <c r="P204" s="204">
        <f>'Tahmin Data'!O153/0.4</f>
        <v>43838952.950529963</v>
      </c>
      <c r="Q204" s="204">
        <f>'Tahmin Data'!Q153/0.4</f>
        <v>38332732.863817483</v>
      </c>
      <c r="R204" s="204">
        <f>'Tahmin Data'!S153/0.4</f>
        <v>33722501.924765021</v>
      </c>
      <c r="S204" s="204">
        <f>'Tahmin Data'!U153/0.4</f>
        <v>0</v>
      </c>
      <c r="T204" s="204">
        <f>'Tahmin Data'!W153/0.4</f>
        <v>0</v>
      </c>
      <c r="U204" s="227">
        <f t="shared" si="115"/>
        <v>1432787.7399999963</v>
      </c>
      <c r="V204" s="204">
        <f>'Bütçe Değişim eur'!M35</f>
        <v>12720926.312276</v>
      </c>
      <c r="W204" s="229">
        <f t="shared" si="116"/>
        <v>-0.88736765666055928</v>
      </c>
    </row>
    <row r="205" spans="2:23">
      <c r="B205" s="149" t="s">
        <v>122</v>
      </c>
      <c r="C205" s="156">
        <f>'A -Döviz'!C310</f>
        <v>266462.00000000169</v>
      </c>
      <c r="D205" s="156">
        <f>'A -Döviz'!B310</f>
        <v>4081678.8193519996</v>
      </c>
      <c r="E205" s="229">
        <f t="shared" si="117"/>
        <v>-0.93471754839291721</v>
      </c>
      <c r="F205" s="155"/>
      <c r="G205" s="156">
        <f>'C-Döviz'!C310</f>
        <v>266462.00000000169</v>
      </c>
      <c r="H205" s="156">
        <f>'C-Döviz'!B310</f>
        <v>4081678.8193519996</v>
      </c>
      <c r="I205" s="229">
        <f t="shared" si="114"/>
        <v>-0.93471754839291721</v>
      </c>
      <c r="K205" s="200" t="str">
        <f t="shared" si="118"/>
        <v xml:space="preserve">Çelik </v>
      </c>
      <c r="L205" s="204">
        <f>'Tahmin Data'!G152/0.4</f>
        <v>56016103.639505006</v>
      </c>
      <c r="M205" s="204">
        <f>'Tahmin Data'!I152/0.4</f>
        <v>58933453.424999997</v>
      </c>
      <c r="N205" s="204">
        <f>'Tahmin Data'!K152/0.4</f>
        <v>59112758.004294984</v>
      </c>
      <c r="O205" s="204">
        <f>'Tahmin Data'!M152/0.4</f>
        <v>62135402.323902488</v>
      </c>
      <c r="P205" s="204">
        <f>'Tahmin Data'!O152/0.4</f>
        <v>62792540.167762496</v>
      </c>
      <c r="Q205" s="204">
        <f>'Tahmin Data'!Q152/0.4</f>
        <v>53966632.469892517</v>
      </c>
      <c r="R205" s="204">
        <f>'Tahmin Data'!S152/0.4</f>
        <v>54625674.368744992</v>
      </c>
      <c r="S205" s="204">
        <f>'Tahmin Data'!U152/0.4</f>
        <v>0</v>
      </c>
      <c r="T205" s="204">
        <f>'Tahmin Data'!W152/0.4</f>
        <v>0</v>
      </c>
      <c r="U205" s="227">
        <f t="shared" si="115"/>
        <v>266462.00000000169</v>
      </c>
      <c r="V205" s="204">
        <f>'Bütçe Değişim eur'!M36</f>
        <v>18468498.662085999</v>
      </c>
      <c r="W205" s="229">
        <f t="shared" si="116"/>
        <v>-0.9855720811488039</v>
      </c>
    </row>
    <row r="206" spans="2:23" ht="10.5" thickBot="1">
      <c r="B206" s="149" t="s">
        <v>124</v>
      </c>
      <c r="C206" s="156">
        <f>'A -Döviz'!C311</f>
        <v>-5006777.6757379873</v>
      </c>
      <c r="D206" s="156">
        <f>'A -Döviz'!B311</f>
        <v>-6276573.562737003</v>
      </c>
      <c r="E206" s="229">
        <f t="shared" si="117"/>
        <v>0.20230717832060274</v>
      </c>
      <c r="F206" s="155"/>
      <c r="G206" s="156">
        <f>'C-Döviz'!C311</f>
        <v>-5006777.6757379873</v>
      </c>
      <c r="H206" s="156">
        <f>'C-Döviz'!B311</f>
        <v>-6276573.562737003</v>
      </c>
      <c r="I206" s="229">
        <f t="shared" si="114"/>
        <v>0.20230717832060274</v>
      </c>
      <c r="K206" s="201" t="str">
        <f t="shared" si="118"/>
        <v xml:space="preserve">Alüminyum </v>
      </c>
      <c r="L206" s="205">
        <f>'Tahmin Data'!G151/0.4</f>
        <v>75485488.31795752</v>
      </c>
      <c r="M206" s="205">
        <f>'Tahmin Data'!I151/0.4</f>
        <v>77564449.375</v>
      </c>
      <c r="N206" s="205">
        <f>'Tahmin Data'!K151/0.4</f>
        <v>80938342.652604997</v>
      </c>
      <c r="O206" s="205">
        <f>'Tahmin Data'!M151/0.4</f>
        <v>82837136.54480508</v>
      </c>
      <c r="P206" s="205">
        <f>'Tahmin Data'!O151/0.4</f>
        <v>75181453.420280024</v>
      </c>
      <c r="Q206" s="205">
        <f>'Tahmin Data'!Q151/0.4</f>
        <v>68067011.45273006</v>
      </c>
      <c r="R206" s="205">
        <f>'Tahmin Data'!S151/0.4</f>
        <v>60458161.260485038</v>
      </c>
      <c r="S206" s="205">
        <f>'Tahmin Data'!U151/0.4</f>
        <v>0</v>
      </c>
      <c r="T206" s="205">
        <f>'Tahmin Data'!W151/0.4</f>
        <v>0</v>
      </c>
      <c r="U206" s="232">
        <f t="shared" si="115"/>
        <v>-5006777.6757379873</v>
      </c>
      <c r="V206" s="205">
        <f>'Bütçe Değişim eur'!M37</f>
        <v>25477882.296076994</v>
      </c>
      <c r="W206" s="264">
        <f t="shared" si="116"/>
        <v>-1.196514671727992</v>
      </c>
    </row>
    <row r="207" spans="2:23" ht="10.5" thickBot="1">
      <c r="B207" s="169" t="s">
        <v>125</v>
      </c>
      <c r="C207" s="192">
        <f>'A -Döviz'!C301</f>
        <v>-2686018.8769063978</v>
      </c>
      <c r="D207" s="192">
        <f>'A -Döviz'!B301</f>
        <v>-4218296.0564112179</v>
      </c>
      <c r="E207" s="246">
        <f t="shared" si="117"/>
        <v>0.3632455282923952</v>
      </c>
      <c r="F207" s="154"/>
      <c r="G207" s="192">
        <f>'C-Döviz'!C301</f>
        <v>-2686018.8769063978</v>
      </c>
      <c r="H207" s="192">
        <f>'C-Döviz'!B301</f>
        <v>-4218296.0564112179</v>
      </c>
      <c r="I207" s="260">
        <f t="shared" si="114"/>
        <v>0.3632455282923952</v>
      </c>
      <c r="K207" s="263" t="s">
        <v>125</v>
      </c>
      <c r="L207" s="248">
        <f>SUM('Tahmin Data'!G147:G154)</f>
        <v>79710022.503097922</v>
      </c>
      <c r="M207" s="248">
        <f>SUM('Tahmin Data'!I147:I154)</f>
        <v>78749313.189999998</v>
      </c>
      <c r="N207" s="248">
        <f>SUM('Tahmin Data'!K147:K154)</f>
        <v>93248476.95200105</v>
      </c>
      <c r="O207" s="248">
        <f>SUM('Tahmin Data'!M147:M154)</f>
        <v>95194963.932313427</v>
      </c>
      <c r="P207" s="248">
        <f>SUM('Tahmin Data'!O147:O154)</f>
        <v>90736943.941437811</v>
      </c>
      <c r="Q207" s="248">
        <f>SUM('Tahmin Data'!Q147:Q154)</f>
        <v>79885440.260728657</v>
      </c>
      <c r="R207" s="248">
        <f>SUM('Tahmin Data'!S147:S154)</f>
        <v>70451485.19197081</v>
      </c>
      <c r="S207" s="248">
        <f>SUM('Tahmin Data'!U147:U154)</f>
        <v>0</v>
      </c>
      <c r="T207" s="248">
        <f>SUM('Tahmin Data'!W147:W154)</f>
        <v>0</v>
      </c>
      <c r="U207" s="248" cm="1">
        <f t="array" ref="U207">SUM(U199:U201,(U202:U206)*0.4)</f>
        <v>-2686018.8769063978</v>
      </c>
      <c r="V207" s="248">
        <f>'Bütçe Değişim eur'!M29</f>
        <v>34029615.881311685</v>
      </c>
      <c r="W207" s="229">
        <f t="shared" si="116"/>
        <v>-1.0789318012367426</v>
      </c>
    </row>
    <row r="208" spans="2:23" ht="10.5" thickBot="1">
      <c r="B208" s="158"/>
      <c r="C208" s="196"/>
      <c r="D208" s="196"/>
      <c r="E208" s="194"/>
      <c r="F208" s="197"/>
      <c r="G208" s="196"/>
      <c r="H208" s="196"/>
      <c r="I208" s="194"/>
      <c r="J208" s="194"/>
      <c r="K208" s="249" t="s">
        <v>9</v>
      </c>
      <c r="L208" s="239">
        <f>SUM(L199:L206)</f>
        <v>191632848.23354745</v>
      </c>
      <c r="M208" s="239">
        <f>SUM(M199:M206)</f>
        <v>190120757.45499998</v>
      </c>
      <c r="N208" s="239">
        <f>SUM(N199:N206)</f>
        <v>226183922.89919418</v>
      </c>
      <c r="O208" s="239">
        <f>SUM(O199:O206)</f>
        <v>232023464.83437899</v>
      </c>
      <c r="P208" s="239">
        <f>SUM(P199:P206)</f>
        <v>220420724.40526408</v>
      </c>
      <c r="Q208" s="239">
        <f t="shared" ref="Q208:V208" si="119">SUM(Q199:Q206)</f>
        <v>193901932.46708751</v>
      </c>
      <c r="R208" s="239">
        <f t="shared" si="119"/>
        <v>170638642.54738057</v>
      </c>
      <c r="S208" s="239">
        <f>SUM(S199:S206)</f>
        <v>0</v>
      </c>
      <c r="T208" s="239">
        <f>SUM(T199:T206)</f>
        <v>0</v>
      </c>
      <c r="U208" s="239">
        <f>SUM(U199:U206)</f>
        <v>-6707565.3141194098</v>
      </c>
      <c r="V208" s="239">
        <f t="shared" si="119"/>
        <v>79860472.740124762</v>
      </c>
      <c r="W208" s="264">
        <f t="shared" si="116"/>
        <v>-1.0839910544475064</v>
      </c>
    </row>
    <row r="209" spans="2:21">
      <c r="B209" s="158"/>
      <c r="C209" s="196"/>
      <c r="D209" s="196"/>
      <c r="E209" s="194"/>
      <c r="F209" s="197"/>
      <c r="G209" s="196"/>
      <c r="H209" s="196"/>
      <c r="I209" s="194"/>
      <c r="J209" s="194"/>
      <c r="K209" s="202"/>
      <c r="L209" s="194"/>
      <c r="M209" s="194"/>
      <c r="N209" s="194"/>
      <c r="O209" s="194"/>
      <c r="P209" s="194"/>
      <c r="Q209" s="194"/>
      <c r="R209" s="194"/>
      <c r="S209" s="194"/>
      <c r="T209" s="194"/>
      <c r="U209" s="194"/>
    </row>
    <row r="210" spans="2:21" ht="12.5">
      <c r="B210" s="209" t="s">
        <v>162</v>
      </c>
      <c r="C210" s="210" t="s">
        <v>0</v>
      </c>
      <c r="D210" s="210"/>
      <c r="E210" s="210"/>
      <c r="F210" s="210"/>
      <c r="G210" s="210"/>
      <c r="H210" s="210" t="s">
        <v>36</v>
      </c>
      <c r="I210" s="210"/>
      <c r="K210" s="149"/>
      <c r="L210" s="177"/>
      <c r="M210" s="177"/>
      <c r="N210" s="177"/>
      <c r="O210" s="177"/>
      <c r="P210" s="177"/>
      <c r="Q210" s="177"/>
      <c r="R210" s="177"/>
      <c r="S210" s="177"/>
      <c r="T210" s="177"/>
      <c r="U210" s="177"/>
    </row>
    <row r="211" spans="2:21" ht="10.5" thickBot="1">
      <c r="B211" s="169"/>
      <c r="C211" s="211" t="s">
        <v>98</v>
      </c>
      <c r="D211" s="211" t="s">
        <v>99</v>
      </c>
      <c r="E211" s="211" t="s">
        <v>100</v>
      </c>
      <c r="F211" s="211"/>
      <c r="G211" s="211" t="str">
        <f>C211</f>
        <v>Gerçekleşen</v>
      </c>
      <c r="H211" s="211" t="s">
        <v>99</v>
      </c>
      <c r="I211" s="211" t="s">
        <v>100</v>
      </c>
      <c r="K211" s="149"/>
      <c r="L211" s="177"/>
      <c r="M211" s="177"/>
    </row>
    <row r="212" spans="2:21" ht="10.5" thickTop="1">
      <c r="B212" s="149" t="s">
        <v>111</v>
      </c>
      <c r="C212" s="156">
        <f>'A -Döviz'!C265</f>
        <v>25017917.400184136</v>
      </c>
      <c r="D212" s="156">
        <f>'A -Döviz'!B265</f>
        <v>23979154.75612228</v>
      </c>
      <c r="E212" s="224">
        <f t="shared" ref="E212:E220" si="120">IF(C212&gt;D212,ABS((C212-D212)/D212),-ABS((D212-C212)/D212))</f>
        <v>4.3319401981700062E-2</v>
      </c>
      <c r="F212" s="155"/>
      <c r="G212" s="156">
        <f>'C-Döviz'!C265</f>
        <v>25017917.400184136</v>
      </c>
      <c r="H212" s="156">
        <f>'C-Döviz'!B265</f>
        <v>23979154.75612228</v>
      </c>
      <c r="I212" s="224">
        <f t="shared" ref="I212:I220" si="121">IF(G212&gt;H212,ABS((G212-H212)/H212),-ABS((H212-G212)/H212))</f>
        <v>4.3319401981700062E-2</v>
      </c>
      <c r="K212" s="149"/>
      <c r="L212" s="177"/>
    </row>
    <row r="213" spans="2:21">
      <c r="B213" s="149" t="s">
        <v>11</v>
      </c>
      <c r="C213" s="156">
        <f>'A -Döviz'!C266</f>
        <v>-1591258.8034229409</v>
      </c>
      <c r="D213" s="156">
        <f>'A -Döviz'!B266</f>
        <v>-1959035.5281961104</v>
      </c>
      <c r="E213" s="229">
        <f t="shared" si="120"/>
        <v>0.18773356556316267</v>
      </c>
      <c r="F213" s="155"/>
      <c r="G213" s="156">
        <f>'C-Döviz'!C266</f>
        <v>-1591258.8034229409</v>
      </c>
      <c r="H213" s="156">
        <f>'C-Döviz'!B266</f>
        <v>-1959035.5281961104</v>
      </c>
      <c r="I213" s="229">
        <f t="shared" si="121"/>
        <v>0.18773356556316267</v>
      </c>
      <c r="K213" s="149"/>
      <c r="L213" s="177"/>
    </row>
    <row r="214" spans="2:21">
      <c r="B214" s="149" t="s">
        <v>115</v>
      </c>
      <c r="C214" s="156">
        <f>'A -Döviz'!C267</f>
        <v>146950.95254999411</v>
      </c>
      <c r="D214" s="156">
        <f>'A -Döviz'!B267</f>
        <v>-345969.2991732239</v>
      </c>
      <c r="E214" s="229">
        <f t="shared" si="120"/>
        <v>1.4247514241904367</v>
      </c>
      <c r="F214" s="155"/>
      <c r="G214" s="156">
        <f>'C-Döviz'!C267</f>
        <v>146950.95254999411</v>
      </c>
      <c r="H214" s="156">
        <f>'C-Döviz'!B267</f>
        <v>-345969.2991732239</v>
      </c>
      <c r="I214" s="229">
        <f t="shared" si="121"/>
        <v>1.4247514241904367</v>
      </c>
      <c r="K214" s="149"/>
      <c r="L214" s="177"/>
    </row>
    <row r="215" spans="2:21">
      <c r="B215" s="149" t="s">
        <v>119</v>
      </c>
      <c r="C215" s="156">
        <f>'A -Döviz'!C268</f>
        <v>-38457623.464769095</v>
      </c>
      <c r="D215" s="156">
        <f>'A -Döviz'!B268</f>
        <v>-35290524.586865842</v>
      </c>
      <c r="E215" s="229">
        <f t="shared" si="120"/>
        <v>-8.9743604408815153E-2</v>
      </c>
      <c r="F215" s="155"/>
      <c r="G215" s="156">
        <f>'C-Döviz'!C268</f>
        <v>-38457623.464769095</v>
      </c>
      <c r="H215" s="156">
        <f>'C-Döviz'!B268</f>
        <v>-35290524.586865842</v>
      </c>
      <c r="I215" s="229">
        <f t="shared" si="121"/>
        <v>-8.9743604408815153E-2</v>
      </c>
      <c r="K215" s="149"/>
      <c r="L215" s="177"/>
    </row>
    <row r="216" spans="2:21">
      <c r="B216" s="149" t="s">
        <v>120</v>
      </c>
      <c r="C216" s="156">
        <f>'A -Döviz'!C269</f>
        <v>796564.25517152366</v>
      </c>
      <c r="D216" s="156">
        <f>'A -Döviz'!B269</f>
        <v>1602174.7421430019</v>
      </c>
      <c r="E216" s="229">
        <f t="shared" si="120"/>
        <v>-0.50282311022699522</v>
      </c>
      <c r="F216" s="155"/>
      <c r="G216" s="156">
        <f>'C-Döviz'!C269</f>
        <v>796564.25517152366</v>
      </c>
      <c r="H216" s="156">
        <f>'C-Döviz'!B269</f>
        <v>1602174.7421430019</v>
      </c>
      <c r="I216" s="229">
        <f t="shared" si="121"/>
        <v>-0.50282311022699522</v>
      </c>
      <c r="K216" s="149"/>
      <c r="L216" s="177"/>
    </row>
    <row r="217" spans="2:21">
      <c r="B217" s="149" t="s">
        <v>121</v>
      </c>
      <c r="C217" s="156">
        <f>'A -Döviz'!C270</f>
        <v>8176307.5499999998</v>
      </c>
      <c r="D217" s="156">
        <f>'A -Döviz'!B270</f>
        <v>6126231.2503359998</v>
      </c>
      <c r="E217" s="229">
        <f t="shared" si="120"/>
        <v>0.33463906533916121</v>
      </c>
      <c r="F217" s="155"/>
      <c r="G217" s="156">
        <f>'C-Döviz'!C270</f>
        <v>8176307.5499999998</v>
      </c>
      <c r="H217" s="156">
        <f>'C-Döviz'!B270</f>
        <v>6126231.2503359998</v>
      </c>
      <c r="I217" s="229">
        <f t="shared" si="121"/>
        <v>0.33463906533916121</v>
      </c>
      <c r="K217" s="149"/>
      <c r="L217" s="177"/>
    </row>
    <row r="218" spans="2:21">
      <c r="B218" s="149" t="s">
        <v>122</v>
      </c>
      <c r="C218" s="156">
        <f>'A -Döviz'!C271</f>
        <v>15586616.51</v>
      </c>
      <c r="D218" s="156">
        <f>'A -Döviz'!B271</f>
        <v>16263649.335984999</v>
      </c>
      <c r="E218" s="229">
        <f t="shared" si="120"/>
        <v>-4.1628592205747737E-2</v>
      </c>
      <c r="F218" s="155"/>
      <c r="G218" s="156">
        <f>'C-Döviz'!$C$271</f>
        <v>15586616.51</v>
      </c>
      <c r="H218" s="156">
        <f>'C-Döviz'!B271</f>
        <v>16263649.335984999</v>
      </c>
      <c r="I218" s="229">
        <f t="shared" si="121"/>
        <v>-4.1628592205747737E-2</v>
      </c>
      <c r="K218" s="149"/>
    </row>
    <row r="219" spans="2:21">
      <c r="B219" s="149" t="s">
        <v>124</v>
      </c>
      <c r="C219" s="156">
        <f>'A -Döviz'!C272</f>
        <v>8173657.8099999996</v>
      </c>
      <c r="D219" s="156">
        <f>'A -Döviz'!B272</f>
        <v>10507170.883184999</v>
      </c>
      <c r="E219" s="229">
        <f t="shared" si="120"/>
        <v>-0.22208766747283076</v>
      </c>
      <c r="F219" s="155"/>
      <c r="G219" s="156">
        <f>'C-Döviz'!C272</f>
        <v>8173657.8099999996</v>
      </c>
      <c r="H219" s="156">
        <f>'C-Döviz'!B272</f>
        <v>10507170.883184999</v>
      </c>
      <c r="I219" s="229">
        <f t="shared" si="121"/>
        <v>-0.22208766747283076</v>
      </c>
      <c r="K219" s="149"/>
    </row>
    <row r="220" spans="2:21" ht="10.5" thickBot="1">
      <c r="B220" s="169" t="s">
        <v>125</v>
      </c>
      <c r="C220" s="192">
        <f>'A -Döviz'!C262</f>
        <v>21283818.613472156</v>
      </c>
      <c r="D220" s="192">
        <f>'A -Döviz'!B262</f>
        <v>21357630.57866621</v>
      </c>
      <c r="E220" s="246">
        <f t="shared" si="120"/>
        <v>-3.4559997150518896E-3</v>
      </c>
      <c r="F220" s="154"/>
      <c r="G220" s="192">
        <f>'C-Döviz'!C262</f>
        <v>21283818.613472156</v>
      </c>
      <c r="H220" s="192">
        <f>'C-Döviz'!B262</f>
        <v>21357630.57866621</v>
      </c>
      <c r="I220" s="260">
        <f t="shared" si="121"/>
        <v>-3.4559997150518896E-3</v>
      </c>
      <c r="K220" s="149"/>
    </row>
  </sheetData>
  <mergeCells count="29">
    <mergeCell ref="C93:E93"/>
    <mergeCell ref="AJ82:AL82"/>
    <mergeCell ref="AJ92:AL92"/>
    <mergeCell ref="Z92:AB92"/>
    <mergeCell ref="AJ72:AL72"/>
    <mergeCell ref="Z72:AB72"/>
    <mergeCell ref="Z42:AB42"/>
    <mergeCell ref="C2:E2"/>
    <mergeCell ref="C80:E80"/>
    <mergeCell ref="C67:E67"/>
    <mergeCell ref="C54:E54"/>
    <mergeCell ref="C28:E28"/>
    <mergeCell ref="C15:E15"/>
    <mergeCell ref="C106:E106"/>
    <mergeCell ref="AH1:AK1"/>
    <mergeCell ref="Z82:AB82"/>
    <mergeCell ref="Z52:AB52"/>
    <mergeCell ref="Z62:AB62"/>
    <mergeCell ref="Z2:AB2"/>
    <mergeCell ref="Z12:AB12"/>
    <mergeCell ref="Z22:AB22"/>
    <mergeCell ref="Z32:AB32"/>
    <mergeCell ref="AJ2:AL2"/>
    <mergeCell ref="AJ12:AL12"/>
    <mergeCell ref="AJ22:AL22"/>
    <mergeCell ref="AJ32:AL32"/>
    <mergeCell ref="AJ42:AL42"/>
    <mergeCell ref="AJ52:AL52"/>
    <mergeCell ref="AJ62:AL62"/>
  </mergeCells>
  <conditionalFormatting sqref="E4:E12">
    <cfRule type="cellIs" dxfId="116" priority="293" operator="lessThan">
      <formula>0</formula>
    </cfRule>
    <cfRule type="cellIs" dxfId="115" priority="292" operator="greaterThanOrEqual">
      <formula>0</formula>
    </cfRule>
  </conditionalFormatting>
  <conditionalFormatting sqref="E13:E14 E26:E27 E39:E40">
    <cfRule type="dataBar" priority="884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{D868DD40-B489-4034-9065-CEE654BCDDAE}</x14:id>
        </ext>
      </extLst>
    </cfRule>
    <cfRule type="dataBar" priority="885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{521C8E30-B0FB-4D50-8C64-865809A3BCDC}</x14:id>
        </ext>
      </extLst>
    </cfRule>
  </conditionalFormatting>
  <conditionalFormatting sqref="E17:E25">
    <cfRule type="cellIs" dxfId="114" priority="291" operator="lessThan">
      <formula>0</formula>
    </cfRule>
    <cfRule type="cellIs" dxfId="113" priority="290" operator="greaterThanOrEqual">
      <formula>0</formula>
    </cfRule>
  </conditionalFormatting>
  <conditionalFormatting sqref="E30:E38">
    <cfRule type="cellIs" dxfId="112" priority="287" operator="lessThan">
      <formula>0</formula>
    </cfRule>
    <cfRule type="cellIs" dxfId="111" priority="286" operator="greaterThanOrEqual">
      <formula>0</formula>
    </cfRule>
  </conditionalFormatting>
  <conditionalFormatting sqref="E43:E51">
    <cfRule type="cellIs" dxfId="110" priority="283" operator="lessThan">
      <formula>0</formula>
    </cfRule>
    <cfRule type="cellIs" dxfId="109" priority="282" operator="greaterThanOrEqual">
      <formula>0</formula>
    </cfRule>
  </conditionalFormatting>
  <conditionalFormatting sqref="E56:E64">
    <cfRule type="cellIs" dxfId="108" priority="279" operator="lessThan">
      <formula>0</formula>
    </cfRule>
    <cfRule type="cellIs" dxfId="107" priority="278" operator="greaterThanOrEqual">
      <formula>0</formula>
    </cfRule>
  </conditionalFormatting>
  <conditionalFormatting sqref="E69:E77">
    <cfRule type="cellIs" dxfId="106" priority="275" operator="lessThan">
      <formula>0</formula>
    </cfRule>
    <cfRule type="cellIs" dxfId="105" priority="274" operator="greaterThanOrEqual">
      <formula>0</formula>
    </cfRule>
  </conditionalFormatting>
  <conditionalFormatting sqref="E82:E90">
    <cfRule type="cellIs" dxfId="104" priority="270" operator="greaterThanOrEqual">
      <formula>0</formula>
    </cfRule>
    <cfRule type="cellIs" dxfId="103" priority="271" operator="lessThan">
      <formula>0</formula>
    </cfRule>
  </conditionalFormatting>
  <conditionalFormatting sqref="E95:E103">
    <cfRule type="cellIs" dxfId="102" priority="397" operator="lessThan">
      <formula>0</formula>
    </cfRule>
    <cfRule type="dataBar" priority="396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{2645A2E6-EE56-4382-9D10-5B6424083F22}</x14:id>
        </ext>
      </extLst>
    </cfRule>
    <cfRule type="dataBar" priority="395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{AE4BADD8-3727-4BBC-A9B3-E66C8ECB36C1}</x14:id>
        </ext>
      </extLst>
    </cfRule>
  </conditionalFormatting>
  <conditionalFormatting sqref="E108:E116">
    <cfRule type="cellIs" dxfId="101" priority="267" operator="lessThan">
      <formula>0</formula>
    </cfRule>
    <cfRule type="cellIs" dxfId="100" priority="266" operator="greaterThanOrEqual">
      <formula>0</formula>
    </cfRule>
  </conditionalFormatting>
  <conditionalFormatting sqref="E117:E118">
    <cfRule type="dataBar" priority="657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{16D5F779-F51E-4EA2-ACF3-537B867B9159}</x14:id>
        </ext>
      </extLst>
    </cfRule>
    <cfRule type="dataBar" priority="658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{5C6A185D-82D6-4420-A4EC-7C61E10941D6}</x14:id>
        </ext>
      </extLst>
    </cfRule>
  </conditionalFormatting>
  <conditionalFormatting sqref="E121:E129">
    <cfRule type="cellIs" dxfId="99" priority="263" operator="lessThan">
      <formula>0</formula>
    </cfRule>
    <cfRule type="cellIs" dxfId="98" priority="262" operator="greaterThanOrEqual">
      <formula>0</formula>
    </cfRule>
  </conditionalFormatting>
  <conditionalFormatting sqref="E134:E142">
    <cfRule type="cellIs" dxfId="97" priority="259" operator="lessThan">
      <formula>0</formula>
    </cfRule>
    <cfRule type="cellIs" dxfId="96" priority="258" operator="greaterThanOrEqual">
      <formula>0</formula>
    </cfRule>
  </conditionalFormatting>
  <conditionalFormatting sqref="E143:E144">
    <cfRule type="dataBar" priority="662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{61838B19-BF37-4568-B0AE-77925DA01424}</x14:id>
        </ext>
      </extLst>
    </cfRule>
    <cfRule type="dataBar" priority="661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{29767E5F-E46E-4430-9462-4BC0DC4EC3CE}</x14:id>
        </ext>
      </extLst>
    </cfRule>
  </conditionalFormatting>
  <conditionalFormatting sqref="E147:E155">
    <cfRule type="cellIs" dxfId="95" priority="231" operator="lessThan">
      <formula>0</formula>
    </cfRule>
    <cfRule type="cellIs" dxfId="94" priority="230" operator="greaterThanOrEqual">
      <formula>0</formula>
    </cfRule>
  </conditionalFormatting>
  <conditionalFormatting sqref="E160:E168">
    <cfRule type="cellIs" dxfId="93" priority="250" operator="greaterThanOrEqual">
      <formula>0</formula>
    </cfRule>
    <cfRule type="cellIs" dxfId="92" priority="251" operator="lessThan">
      <formula>0</formula>
    </cfRule>
  </conditionalFormatting>
  <conditionalFormatting sqref="E173:E181">
    <cfRule type="cellIs" dxfId="91" priority="246" operator="greaterThanOrEqual">
      <formula>0</formula>
    </cfRule>
    <cfRule type="cellIs" dxfId="90" priority="247" operator="lessThan">
      <formula>0</formula>
    </cfRule>
  </conditionalFormatting>
  <conditionalFormatting sqref="E182:E183">
    <cfRule type="dataBar" priority="666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{4DE2F46A-1062-4601-BA17-9587F84CEDAC}</x14:id>
        </ext>
      </extLst>
    </cfRule>
    <cfRule type="dataBar" priority="665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{A82B25CD-C75E-4185-A01C-7253CC1CFDCC}</x14:id>
        </ext>
      </extLst>
    </cfRule>
  </conditionalFormatting>
  <conditionalFormatting sqref="E186:E194">
    <cfRule type="cellIs" dxfId="89" priority="242" operator="greaterThanOrEqual">
      <formula>0</formula>
    </cfRule>
    <cfRule type="cellIs" dxfId="88" priority="243" operator="lessThan">
      <formula>0</formula>
    </cfRule>
  </conditionalFormatting>
  <conditionalFormatting sqref="E199:E207">
    <cfRule type="cellIs" dxfId="87" priority="239" operator="lessThan">
      <formula>0</formula>
    </cfRule>
    <cfRule type="cellIs" dxfId="86" priority="238" operator="greaterThanOrEqual">
      <formula>0</formula>
    </cfRule>
  </conditionalFormatting>
  <conditionalFormatting sqref="E208:E209">
    <cfRule type="dataBar" priority="681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{60123F8C-F4EC-4E3F-B38A-29A09C4845F6}</x14:id>
        </ext>
      </extLst>
    </cfRule>
    <cfRule type="dataBar" priority="682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{C4A5ADAA-AD45-473F-8873-D8AE3088111C}</x14:id>
        </ext>
      </extLst>
    </cfRule>
  </conditionalFormatting>
  <conditionalFormatting sqref="E212:E220">
    <cfRule type="cellIs" dxfId="85" priority="234" operator="greaterThanOrEqual">
      <formula>0</formula>
    </cfRule>
    <cfRule type="cellIs" dxfId="84" priority="235" operator="lessThan">
      <formula>0</formula>
    </cfRule>
  </conditionalFormatting>
  <conditionalFormatting sqref="I4:I12">
    <cfRule type="cellIs" dxfId="83" priority="423" operator="lessThan">
      <formula>0</formula>
    </cfRule>
    <cfRule type="cellIs" dxfId="82" priority="294" operator="greaterThanOrEqual">
      <formula>0</formula>
    </cfRule>
  </conditionalFormatting>
  <conditionalFormatting sqref="I17:I25">
    <cfRule type="cellIs" dxfId="81" priority="289" operator="lessThan">
      <formula>0</formula>
    </cfRule>
    <cfRule type="cellIs" dxfId="80" priority="288" operator="greaterThanOrEqual">
      <formula>0</formula>
    </cfRule>
  </conditionalFormatting>
  <conditionalFormatting sqref="I30:I38">
    <cfRule type="cellIs" dxfId="79" priority="284" operator="greaterThanOrEqual">
      <formula>0</formula>
    </cfRule>
    <cfRule type="cellIs" dxfId="78" priority="285" operator="lessThan">
      <formula>0</formula>
    </cfRule>
  </conditionalFormatting>
  <conditionalFormatting sqref="I43:I51">
    <cfRule type="cellIs" dxfId="77" priority="281" operator="lessThan">
      <formula>0</formula>
    </cfRule>
    <cfRule type="cellIs" dxfId="76" priority="280" operator="greaterThanOrEqual">
      <formula>0</formula>
    </cfRule>
  </conditionalFormatting>
  <conditionalFormatting sqref="I56:I64">
    <cfRule type="cellIs" dxfId="75" priority="277" operator="lessThan">
      <formula>0</formula>
    </cfRule>
    <cfRule type="cellIs" dxfId="74" priority="276" operator="greaterThanOrEqual">
      <formula>0</formula>
    </cfRule>
  </conditionalFormatting>
  <conditionalFormatting sqref="I69:I77">
    <cfRule type="cellIs" dxfId="73" priority="273" operator="lessThan">
      <formula>0</formula>
    </cfRule>
    <cfRule type="cellIs" dxfId="72" priority="272" operator="greaterThanOrEqual">
      <formula>0</formula>
    </cfRule>
  </conditionalFormatting>
  <conditionalFormatting sqref="I82:I90">
    <cfRule type="cellIs" dxfId="71" priority="268" operator="greaterThanOrEqual">
      <formula>0</formula>
    </cfRule>
    <cfRule type="cellIs" dxfId="70" priority="269" operator="lessThan">
      <formula>0</formula>
    </cfRule>
  </conditionalFormatting>
  <conditionalFormatting sqref="I95:I103">
    <cfRule type="dataBar" priority="393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{0DC81145-9C17-44B9-9764-1070298EAAE3}</x14:id>
        </ext>
      </extLst>
    </cfRule>
    <cfRule type="cellIs" dxfId="69" priority="394" operator="lessThan">
      <formula>0</formula>
    </cfRule>
    <cfRule type="dataBar" priority="392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{0CE9AFED-CF9D-4CD0-A81B-D11407921DFB}</x14:id>
        </ext>
      </extLst>
    </cfRule>
  </conditionalFormatting>
  <conditionalFormatting sqref="I108:I116">
    <cfRule type="cellIs" dxfId="68" priority="264" operator="greaterThanOrEqual">
      <formula>0</formula>
    </cfRule>
    <cfRule type="cellIs" dxfId="67" priority="265" operator="lessThan">
      <formula>0</formula>
    </cfRule>
  </conditionalFormatting>
  <conditionalFormatting sqref="I121:I129">
    <cfRule type="cellIs" dxfId="66" priority="260" operator="greaterThanOrEqual">
      <formula>0</formula>
    </cfRule>
    <cfRule type="cellIs" dxfId="65" priority="261" operator="lessThan">
      <formula>0</formula>
    </cfRule>
  </conditionalFormatting>
  <conditionalFormatting sqref="I134:I142">
    <cfRule type="cellIs" dxfId="64" priority="257" operator="lessThan">
      <formula>0</formula>
    </cfRule>
    <cfRule type="cellIs" dxfId="63" priority="256" operator="greaterThanOrEqual">
      <formula>0</formula>
    </cfRule>
  </conditionalFormatting>
  <conditionalFormatting sqref="I147:I155">
    <cfRule type="cellIs" dxfId="62" priority="228" operator="greaterThanOrEqual">
      <formula>0</formula>
    </cfRule>
    <cfRule type="cellIs" dxfId="61" priority="229" operator="lessThan">
      <formula>0</formula>
    </cfRule>
  </conditionalFormatting>
  <conditionalFormatting sqref="I160:I168">
    <cfRule type="cellIs" dxfId="60" priority="248" operator="greaterThanOrEqual">
      <formula>0</formula>
    </cfRule>
    <cfRule type="cellIs" dxfId="59" priority="249" operator="lessThan">
      <formula>0</formula>
    </cfRule>
  </conditionalFormatting>
  <conditionalFormatting sqref="I173:I181">
    <cfRule type="cellIs" dxfId="58" priority="244" operator="greaterThanOrEqual">
      <formula>0</formula>
    </cfRule>
    <cfRule type="cellIs" dxfId="57" priority="245" operator="lessThan">
      <formula>0</formula>
    </cfRule>
  </conditionalFormatting>
  <conditionalFormatting sqref="I186:I194">
    <cfRule type="cellIs" dxfId="56" priority="241" operator="lessThan">
      <formula>0</formula>
    </cfRule>
    <cfRule type="cellIs" dxfId="55" priority="240" operator="greaterThanOrEqual">
      <formula>0</formula>
    </cfRule>
  </conditionalFormatting>
  <conditionalFormatting sqref="I199:I207">
    <cfRule type="cellIs" dxfId="54" priority="236" operator="greaterThanOrEqual">
      <formula>0</formula>
    </cfRule>
    <cfRule type="cellIs" dxfId="53" priority="237" operator="lessThan">
      <formula>0</formula>
    </cfRule>
  </conditionalFormatting>
  <conditionalFormatting sqref="I212:I220">
    <cfRule type="cellIs" dxfId="52" priority="232" operator="greaterThanOrEqual">
      <formula>0</formula>
    </cfRule>
    <cfRule type="cellIs" dxfId="51" priority="233" operator="lessThan">
      <formula>0</formula>
    </cfRule>
  </conditionalFormatting>
  <conditionalFormatting sqref="I13:J13 E13:E14 I14:U14 V14:V15 I26:J26 E26:E27 I27:V27 E39:E40 I40:J40 O40:V40 V53 V66 V78:V79 V92 V105:V106 I117:J117 E117:E118 I118:V118 I143:J143 E143:E144 I144:V144 I182:J182 E182:E183 I183:U183 I208:J208 E208:E209 I209:U209">
    <cfRule type="cellIs" dxfId="50" priority="144" operator="lessThan">
      <formula>0</formula>
    </cfRule>
  </conditionalFormatting>
  <conditionalFormatting sqref="I39:V39">
    <cfRule type="cellIs" dxfId="49" priority="167" operator="lessThan">
      <formula>0</formula>
    </cfRule>
  </conditionalFormatting>
  <conditionalFormatting sqref="J17:J25">
    <cfRule type="dataBar" priority="526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{E43B0573-ABB8-4F3A-B078-08EF81F447BE}</x14:id>
        </ext>
      </extLst>
    </cfRule>
    <cfRule type="dataBar" priority="527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{6F2BA532-F1DB-4F98-BD8D-303532D404FF}</x14:id>
        </ext>
      </extLst>
    </cfRule>
  </conditionalFormatting>
  <conditionalFormatting sqref="J30:J38">
    <cfRule type="dataBar" priority="573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{D996C12F-7A1F-43A2-AFE8-5FC56849393B}</x14:id>
        </ext>
      </extLst>
    </cfRule>
    <cfRule type="dataBar" priority="574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{D67B0C48-18C8-4135-AF4A-AC63165C43C5}</x14:id>
        </ext>
      </extLst>
    </cfRule>
  </conditionalFormatting>
  <conditionalFormatting sqref="J43:J51 I208:J208 I209:U209">
    <cfRule type="dataBar" priority="871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{D2672D72-77DA-4712-8EB1-A9AB28A4D152}</x14:id>
        </ext>
      </extLst>
    </cfRule>
    <cfRule type="dataBar" priority="870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{198AA4B2-A5C8-4141-A703-7AE93828C111}</x14:id>
        </ext>
      </extLst>
    </cfRule>
  </conditionalFormatting>
  <conditionalFormatting sqref="J56:J64">
    <cfRule type="dataBar" priority="413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{432D79E4-D82E-4EF6-81A0-B86F3304F8B7}</x14:id>
        </ext>
      </extLst>
    </cfRule>
    <cfRule type="cellIs" dxfId="48" priority="412" operator="lessThan">
      <formula>0</formula>
    </cfRule>
    <cfRule type="dataBar" priority="414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{9DC7D254-FFCD-4398-8B25-E62C620D7D60}</x14:id>
        </ext>
      </extLst>
    </cfRule>
  </conditionalFormatting>
  <conditionalFormatting sqref="J69:J77 I117:J117 I118:U118">
    <cfRule type="dataBar" priority="846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{F0CFC898-DFEB-43FF-B852-D92AFD3B4AE0}</x14:id>
        </ext>
      </extLst>
    </cfRule>
    <cfRule type="dataBar" priority="847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{BABFDD19-FBA3-4D82-8CEB-F0190FFF7DD5}</x14:id>
        </ext>
      </extLst>
    </cfRule>
  </conditionalFormatting>
  <conditionalFormatting sqref="J82:J90">
    <cfRule type="dataBar" priority="842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{C9D89559-A4EF-4E90-AB5F-0661A7AFBC00}</x14:id>
        </ext>
      </extLst>
    </cfRule>
    <cfRule type="dataBar" priority="843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{C50F4CCA-D198-4350-80A6-4E919EB8C04C}</x14:id>
        </ext>
      </extLst>
    </cfRule>
  </conditionalFormatting>
  <conditionalFormatting sqref="J95:J103">
    <cfRule type="dataBar" priority="404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{53EFC6BB-3C0F-47B1-94B5-7168D7604308}</x14:id>
        </ext>
      </extLst>
    </cfRule>
    <cfRule type="dataBar" priority="403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{AF31055E-30A5-4B40-839D-1F450E715EC2}</x14:id>
        </ext>
      </extLst>
    </cfRule>
  </conditionalFormatting>
  <conditionalFormatting sqref="J108:J116 J121:J129">
    <cfRule type="cellIs" dxfId="47" priority="641" operator="lessThan">
      <formula>0</formula>
    </cfRule>
  </conditionalFormatting>
  <conditionalFormatting sqref="J108:J116">
    <cfRule type="dataBar" priority="874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{775D872B-9144-4776-A1BD-55C322EDAED8}</x14:id>
        </ext>
      </extLst>
    </cfRule>
    <cfRule type="dataBar" priority="875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{1226DFC7-293B-402B-8263-3EB7A536470D}</x14:id>
        </ext>
      </extLst>
    </cfRule>
  </conditionalFormatting>
  <conditionalFormatting sqref="J121:J129">
    <cfRule type="dataBar" priority="882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{B6CB58C3-4BA5-491C-9CEA-2B93E6A5FA27}</x14:id>
        </ext>
      </extLst>
    </cfRule>
    <cfRule type="dataBar" priority="883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{BD9EFEE7-86BB-45BE-A405-9C9971FA07B6}</x14:id>
        </ext>
      </extLst>
    </cfRule>
  </conditionalFormatting>
  <conditionalFormatting sqref="J134:J142 I143:J143 I144:U144">
    <cfRule type="dataBar" priority="850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{624DE663-5EA0-4E10-920C-D55C8798A130}</x14:id>
        </ext>
      </extLst>
    </cfRule>
    <cfRule type="dataBar" priority="851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{3ED3CAA9-5F6F-4973-B04A-819AD5DE858A}</x14:id>
        </ext>
      </extLst>
    </cfRule>
  </conditionalFormatting>
  <conditionalFormatting sqref="J147:J155">
    <cfRule type="dataBar" priority="900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{D6550E2F-2C41-450C-9B8C-69CBF4A8A9CD}</x14:id>
        </ext>
      </extLst>
    </cfRule>
    <cfRule type="dataBar" priority="901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{6ECB374C-D69E-4367-9883-01EE6610978B}</x14:id>
        </ext>
      </extLst>
    </cfRule>
  </conditionalFormatting>
  <conditionalFormatting sqref="J160:J168">
    <cfRule type="dataBar" priority="390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{85EE5B3D-3DEF-432C-B63E-AAB5E3BE3226}</x14:id>
        </ext>
      </extLst>
    </cfRule>
    <cfRule type="dataBar" priority="391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{23D15D89-12CC-42F0-9FC6-72D56DAC55E1}</x14:id>
        </ext>
      </extLst>
    </cfRule>
  </conditionalFormatting>
  <conditionalFormatting sqref="J173:J181 I182:J182 I183:U183">
    <cfRule type="dataBar" priority="855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{EABC8AB9-A076-4DC0-B9FE-4567EF109CD0}</x14:id>
        </ext>
      </extLst>
    </cfRule>
    <cfRule type="dataBar" priority="854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{5F333427-07C8-41D2-87BD-E5BAB11B705B}</x14:id>
        </ext>
      </extLst>
    </cfRule>
  </conditionalFormatting>
  <conditionalFormatting sqref="J186:J194">
    <cfRule type="dataBar" priority="894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{A4B0C112-CBC5-4FCF-8003-49944DF9A601}</x14:id>
        </ext>
      </extLst>
    </cfRule>
    <cfRule type="dataBar" priority="895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{21FE3B57-A7DC-4499-AC43-4E298BCD848F}</x14:id>
        </ext>
      </extLst>
    </cfRule>
  </conditionalFormatting>
  <conditionalFormatting sqref="J4:K11 J12">
    <cfRule type="dataBar" priority="879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{FE6D55D7-57CC-450C-A6F9-FF0F2A87981F}</x14:id>
        </ext>
      </extLst>
    </cfRule>
    <cfRule type="dataBar" priority="878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{3903A3E5-2AA5-47C6-B96B-6F7D10A4D22A}</x14:id>
        </ext>
      </extLst>
    </cfRule>
  </conditionalFormatting>
  <conditionalFormatting sqref="J30:K37 J4:K11 J12 J17:J25 J38 I13:J13 I26:J26 K17:K24 I39:R39 I40:J40 O40:R40 I14:U14 I27:U27 S39:U40">
    <cfRule type="dataBar" priority="893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{44B3FD18-E800-463E-9B79-C176DD671AB1}</x14:id>
        </ext>
      </extLst>
    </cfRule>
    <cfRule type="dataBar" priority="892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{5680BC13-4F5B-47BF-85C7-68BCA5355CA3}</x14:id>
        </ext>
      </extLst>
    </cfRule>
  </conditionalFormatting>
  <conditionalFormatting sqref="J95:K102 J103">
    <cfRule type="cellIs" dxfId="46" priority="402" operator="lessThan">
      <formula>0</formula>
    </cfRule>
  </conditionalFormatting>
  <conditionalFormatting sqref="J160:K167 J168">
    <cfRule type="cellIs" dxfId="45" priority="389" operator="lessThan">
      <formula>0</formula>
    </cfRule>
  </conditionalFormatting>
  <conditionalFormatting sqref="K17:K24">
    <cfRule type="dataBar" priority="127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{8F4A8558-8DB2-491B-ABAC-7F42B82FD4BC}</x14:id>
        </ext>
      </extLst>
    </cfRule>
    <cfRule type="dataBar" priority="126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{29DA8BB3-15C0-42B3-A15B-D076571F0BE3}</x14:id>
        </ext>
      </extLst>
    </cfRule>
  </conditionalFormatting>
  <conditionalFormatting sqref="K30:K37">
    <cfRule type="dataBar" priority="572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{CAF4D1A3-F58B-4242-8881-6A3049AEAFBA}</x14:id>
        </ext>
      </extLst>
    </cfRule>
    <cfRule type="dataBar" priority="571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{0A409F52-E8DB-44F4-BBE1-A673C2EACC20}</x14:id>
        </ext>
      </extLst>
    </cfRule>
  </conditionalFormatting>
  <conditionalFormatting sqref="K43:K50">
    <cfRule type="dataBar" priority="124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{70EAD1D3-D1D3-49C2-BEF2-F6982CAA945D}</x14:id>
        </ext>
      </extLst>
    </cfRule>
    <cfRule type="dataBar" priority="123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{62EBA53D-8084-4A7D-9D54-7A928AAD9A5A}</x14:id>
        </ext>
      </extLst>
    </cfRule>
    <cfRule type="dataBar" priority="122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{33DA0300-2467-4C46-85D8-C79C62A51D75}</x14:id>
        </ext>
      </extLst>
    </cfRule>
    <cfRule type="dataBar" priority="121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{4FC449E6-B831-4F4D-9916-32DF352C1C6C}</x14:id>
        </ext>
      </extLst>
    </cfRule>
  </conditionalFormatting>
  <conditionalFormatting sqref="K56:K63">
    <cfRule type="dataBar" priority="117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{863824F9-4750-4E38-85B7-D83DB63E314A}</x14:id>
        </ext>
      </extLst>
    </cfRule>
    <cfRule type="dataBar" priority="115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{42F95FD3-2DE1-4DC7-BA86-173E30B57ED2}</x14:id>
        </ext>
      </extLst>
    </cfRule>
    <cfRule type="cellIs" dxfId="44" priority="119" operator="lessThan">
      <formula>0</formula>
    </cfRule>
    <cfRule type="dataBar" priority="118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{1F09D9BA-F482-46FB-8C5B-CDEC4E0AC6F9}</x14:id>
        </ext>
      </extLst>
    </cfRule>
    <cfRule type="dataBar" priority="116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{44578F02-7835-4F73-B037-266CFA1DD63B}</x14:id>
        </ext>
      </extLst>
    </cfRule>
  </conditionalFormatting>
  <conditionalFormatting sqref="K69:K76">
    <cfRule type="dataBar" priority="566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{ABEFB29C-D23A-4C24-B846-CEBC2F447FE3}</x14:id>
        </ext>
      </extLst>
    </cfRule>
    <cfRule type="dataBar" priority="565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{7E26E575-DC3E-4C04-BED7-6F6FB3E5E6D7}</x14:id>
        </ext>
      </extLst>
    </cfRule>
    <cfRule type="dataBar" priority="564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{4E2DDFA6-6FC8-440D-90C9-9A5388C1CB4C}</x14:id>
        </ext>
      </extLst>
    </cfRule>
    <cfRule type="dataBar" priority="563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{CAD4BBC0-0439-4301-9530-B90493A141D3}</x14:id>
        </ext>
      </extLst>
    </cfRule>
  </conditionalFormatting>
  <conditionalFormatting sqref="K82:K89">
    <cfRule type="dataBar" priority="110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{21943BC4-1D27-41D3-8A98-52499B41A2B7}</x14:id>
        </ext>
      </extLst>
    </cfRule>
    <cfRule type="cellIs" dxfId="43" priority="113" operator="lessThan">
      <formula>0</formula>
    </cfRule>
    <cfRule type="dataBar" priority="109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{0BDE111F-D81E-475F-98AB-26ABE3915B2A}</x14:id>
        </ext>
      </extLst>
    </cfRule>
    <cfRule type="dataBar" priority="112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{23DC7032-388F-4030-8717-09EC74AF32C0}</x14:id>
        </ext>
      </extLst>
    </cfRule>
    <cfRule type="dataBar" priority="111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{2A7A514E-40FF-4736-A4BE-3DDFA6598373}</x14:id>
        </ext>
      </extLst>
    </cfRule>
  </conditionalFormatting>
  <conditionalFormatting sqref="K95:K102">
    <cfRule type="dataBar" priority="400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{43AECDCB-C01C-449B-8CC8-B93B490E3DCA}</x14:id>
        </ext>
      </extLst>
    </cfRule>
    <cfRule type="dataBar" priority="398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{3C9C0793-F1AC-4F86-A738-0F4551010C90}</x14:id>
        </ext>
      </extLst>
    </cfRule>
    <cfRule type="dataBar" priority="399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{C76F6EED-A9FD-443A-89E0-5F24C58FA449}</x14:id>
        </ext>
      </extLst>
    </cfRule>
    <cfRule type="dataBar" priority="401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{4A2E1245-5BDC-4C2B-B91C-C198B2C11934}</x14:id>
        </ext>
      </extLst>
    </cfRule>
  </conditionalFormatting>
  <conditionalFormatting sqref="K108:K115">
    <cfRule type="dataBar" priority="103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{17D276C5-5E45-45B5-80B8-4E770FE3AC7E}</x14:id>
        </ext>
      </extLst>
    </cfRule>
    <cfRule type="dataBar" priority="104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{CBD7C3B6-F8B8-4FC2-AFCC-EA405555F657}</x14:id>
        </ext>
      </extLst>
    </cfRule>
    <cfRule type="dataBar" priority="105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{450F4D9D-6D2C-4B29-939F-A8DA89061E3F}</x14:id>
        </ext>
      </extLst>
    </cfRule>
    <cfRule type="dataBar" priority="106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{04F3EDAA-5B74-475F-8F9E-4D64E5D723C0}</x14:id>
        </ext>
      </extLst>
    </cfRule>
    <cfRule type="cellIs" dxfId="42" priority="107" operator="lessThan">
      <formula>0</formula>
    </cfRule>
  </conditionalFormatting>
  <conditionalFormatting sqref="K121:K128">
    <cfRule type="dataBar" priority="533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{14200B5F-0BFF-49AB-8715-FC59BC67D893}</x14:id>
        </ext>
      </extLst>
    </cfRule>
    <cfRule type="dataBar" priority="534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{22B358FE-68E1-49FD-83C9-66B3A01E91C8}</x14:id>
        </ext>
      </extLst>
    </cfRule>
    <cfRule type="cellIs" dxfId="41" priority="537" operator="lessThan">
      <formula>0</formula>
    </cfRule>
    <cfRule type="dataBar" priority="536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{BA53A167-37F4-46FF-8C45-5244F60D4B9F}</x14:id>
        </ext>
      </extLst>
    </cfRule>
    <cfRule type="dataBar" priority="535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{098F1548-3DA8-4AFB-8215-6203CB443DEF}</x14:id>
        </ext>
      </extLst>
    </cfRule>
  </conditionalFormatting>
  <conditionalFormatting sqref="K134:K141">
    <cfRule type="dataBar" priority="562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{78E22E8F-A410-4EE8-9129-D241B9619D46}</x14:id>
        </ext>
      </extLst>
    </cfRule>
    <cfRule type="dataBar" priority="560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{A283A8C2-2980-47C5-8887-9E34C0C9B718}</x14:id>
        </ext>
      </extLst>
    </cfRule>
    <cfRule type="dataBar" priority="559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{3D048AFA-C5B1-40D0-AE61-585D47B40CA8}</x14:id>
        </ext>
      </extLst>
    </cfRule>
    <cfRule type="dataBar" priority="561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{F44B4534-5A3D-46C9-B44F-5D6DE23A19EB}</x14:id>
        </ext>
      </extLst>
    </cfRule>
  </conditionalFormatting>
  <conditionalFormatting sqref="K147:K154">
    <cfRule type="dataBar" priority="549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{96B103AE-0BF9-42BA-A136-0DAFA39D7200}</x14:id>
        </ext>
      </extLst>
    </cfRule>
    <cfRule type="dataBar" priority="550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{0AFC4ADC-BD7F-495E-829A-EE1AE58BCA11}</x14:id>
        </ext>
      </extLst>
    </cfRule>
    <cfRule type="dataBar" priority="548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{8577F02E-AE0B-448D-A7DB-A15EE2316B4E}</x14:id>
        </ext>
      </extLst>
    </cfRule>
    <cfRule type="dataBar" priority="547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{07F0416F-9A33-410C-8436-C43A2F845E2B}</x14:id>
        </ext>
      </extLst>
    </cfRule>
  </conditionalFormatting>
  <conditionalFormatting sqref="K160:K167">
    <cfRule type="dataBar" priority="385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{75BD0D99-6594-4BC7-8C88-B357140B1BA0}</x14:id>
        </ext>
      </extLst>
    </cfRule>
    <cfRule type="dataBar" priority="387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{1D5839C8-C827-4FB3-BA29-2ABA1E5936C0}</x14:id>
        </ext>
      </extLst>
    </cfRule>
    <cfRule type="dataBar" priority="388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{8C14FE7A-BA0E-43AA-ABFE-D7DC2A2D4FEF}</x14:id>
        </ext>
      </extLst>
    </cfRule>
    <cfRule type="dataBar" priority="386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{1AE1694E-9F1C-4A8F-9A11-CAA0A149025D}</x14:id>
        </ext>
      </extLst>
    </cfRule>
  </conditionalFormatting>
  <conditionalFormatting sqref="K173:K180">
    <cfRule type="dataBar" priority="557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{964C6DCC-DA28-4001-9006-ABDFC599AB25}</x14:id>
        </ext>
      </extLst>
    </cfRule>
    <cfRule type="dataBar" priority="556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{B6C77BCF-D83F-44D0-85EC-67E295A2F530}</x14:id>
        </ext>
      </extLst>
    </cfRule>
    <cfRule type="dataBar" priority="555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{7E20C353-A68D-4A31-B2A2-A8A6E10A8949}</x14:id>
        </ext>
      </extLst>
    </cfRule>
    <cfRule type="dataBar" priority="558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{23277750-7600-4EFF-8129-F5546A14D4EF}</x14:id>
        </ext>
      </extLst>
    </cfRule>
  </conditionalFormatting>
  <conditionalFormatting sqref="K186:K193">
    <cfRule type="dataBar" priority="553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{0E78A05F-31DF-46BF-9ADF-0B9A2AAFCBBF}</x14:id>
        </ext>
      </extLst>
    </cfRule>
    <cfRule type="dataBar" priority="554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{77FAAC20-C5EA-4B88-945D-CA8F390BECE8}</x14:id>
        </ext>
      </extLst>
    </cfRule>
    <cfRule type="dataBar" priority="552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{2D4298E4-8B2B-4645-8045-BEFE54B4510E}</x14:id>
        </ext>
      </extLst>
    </cfRule>
    <cfRule type="dataBar" priority="551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{59CC107B-5FEC-498E-80ED-78C0E59BE4A7}</x14:id>
        </ext>
      </extLst>
    </cfRule>
  </conditionalFormatting>
  <conditionalFormatting sqref="K199:K206">
    <cfRule type="dataBar" priority="530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{BD8F3EB4-6864-401E-9940-D830DA3AB06D}</x14:id>
        </ext>
      </extLst>
    </cfRule>
    <cfRule type="dataBar" priority="529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{72C1564E-B56C-416B-BDE1-382FE0CB6006}</x14:id>
        </ext>
      </extLst>
    </cfRule>
    <cfRule type="dataBar" priority="528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{FF56CEAF-300C-43DF-97EC-773E2C8FED52}</x14:id>
        </ext>
      </extLst>
    </cfRule>
    <cfRule type="cellIs" dxfId="40" priority="532" operator="lessThan">
      <formula>0</formula>
    </cfRule>
    <cfRule type="dataBar" priority="531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{35B84787-FFC6-4EAD-A391-374FF4454117}</x14:id>
        </ext>
      </extLst>
    </cfRule>
  </conditionalFormatting>
  <conditionalFormatting sqref="L12:T12">
    <cfRule type="cellIs" dxfId="39" priority="128" operator="lessThanOrEqual">
      <formula>0</formula>
    </cfRule>
  </conditionalFormatting>
  <conditionalFormatting sqref="L25:T25">
    <cfRule type="cellIs" dxfId="38" priority="38" operator="lessThanOrEqual">
      <formula>0</formula>
    </cfRule>
  </conditionalFormatting>
  <conditionalFormatting sqref="L51:T51">
    <cfRule type="cellIs" dxfId="37" priority="37" operator="lessThanOrEqual">
      <formula>0</formula>
    </cfRule>
  </conditionalFormatting>
  <conditionalFormatting sqref="L64:T64">
    <cfRule type="cellIs" dxfId="36" priority="36" operator="lessThanOrEqual">
      <formula>0</formula>
    </cfRule>
  </conditionalFormatting>
  <conditionalFormatting sqref="L90:T90">
    <cfRule type="cellIs" dxfId="35" priority="35" operator="lessThanOrEqual">
      <formula>0</formula>
    </cfRule>
  </conditionalFormatting>
  <conditionalFormatting sqref="T142">
    <cfRule type="cellIs" dxfId="34" priority="32" operator="lessThanOrEqual">
      <formula>0</formula>
    </cfRule>
  </conditionalFormatting>
  <conditionalFormatting sqref="T168">
    <cfRule type="cellIs" dxfId="33" priority="30" operator="lessThanOrEqual">
      <formula>0</formula>
    </cfRule>
  </conditionalFormatting>
  <conditionalFormatting sqref="T181">
    <cfRule type="cellIs" dxfId="32" priority="29" operator="lessThanOrEqual">
      <formula>0</formula>
    </cfRule>
  </conditionalFormatting>
  <conditionalFormatting sqref="T194">
    <cfRule type="cellIs" dxfId="31" priority="28" operator="lessThanOrEqual">
      <formula>0</formula>
    </cfRule>
  </conditionalFormatting>
  <conditionalFormatting sqref="T207">
    <cfRule type="cellIs" dxfId="30" priority="27" operator="lessThanOrEqual">
      <formula>0</formula>
    </cfRule>
  </conditionalFormatting>
  <conditionalFormatting sqref="V14:V15 V27 V39:V40">
    <cfRule type="dataBar" priority="178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{C78B6925-77A2-4186-9EFD-D12D0C1191CB}</x14:id>
        </ext>
      </extLst>
    </cfRule>
    <cfRule type="dataBar" priority="179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{C021B799-D95E-42AF-8ABF-1B4F573FA735}</x14:id>
        </ext>
      </extLst>
    </cfRule>
  </conditionalFormatting>
  <conditionalFormatting sqref="V53">
    <cfRule type="dataBar" priority="169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{48F35667-86BD-428E-803E-C3A0C393615D}</x14:id>
        </ext>
      </extLst>
    </cfRule>
    <cfRule type="dataBar" priority="168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{8BAE632B-DE65-42AB-B35E-2F5805A62A00}</x14:id>
        </ext>
      </extLst>
    </cfRule>
  </conditionalFormatting>
  <conditionalFormatting sqref="V66">
    <cfRule type="dataBar" priority="171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{FD732F50-FF7C-49B6-9EC4-16409917EFE6}</x14:id>
        </ext>
      </extLst>
    </cfRule>
    <cfRule type="dataBar" priority="170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{61EC0455-B5E6-48CA-A83B-93EA48B20F8F}</x14:id>
        </ext>
      </extLst>
    </cfRule>
  </conditionalFormatting>
  <conditionalFormatting sqref="V78:V79">
    <cfRule type="dataBar" priority="172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{404EB3A5-9578-4315-B9A4-29FE09A5D65B}</x14:id>
        </ext>
      </extLst>
    </cfRule>
    <cfRule type="dataBar" priority="173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{2BFDC52A-512E-4DCB-96B0-3B4CE29CD9C5}</x14:id>
        </ext>
      </extLst>
    </cfRule>
  </conditionalFormatting>
  <conditionalFormatting sqref="V92">
    <cfRule type="dataBar" priority="175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{11B43CBE-5474-431D-B8F4-FCBF613CEFA0}</x14:id>
        </ext>
      </extLst>
    </cfRule>
    <cfRule type="dataBar" priority="174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{FCAB3AD9-A6E0-4463-9BCB-5C1CF3E5F14A}</x14:id>
        </ext>
      </extLst>
    </cfRule>
  </conditionalFormatting>
  <conditionalFormatting sqref="V105">
    <cfRule type="dataBar" priority="181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{1FEBC78B-61E0-4F65-9323-0392204F4040}</x14:id>
        </ext>
      </extLst>
    </cfRule>
    <cfRule type="dataBar" priority="180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{BB9BFDBC-38E0-410C-8E26-D2D6D4AA3A74}</x14:id>
        </ext>
      </extLst>
    </cfRule>
  </conditionalFormatting>
  <conditionalFormatting sqref="V118 V106">
    <cfRule type="dataBar" priority="182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{3E50CF88-AFB6-4529-BB14-AB5D9A4909B6}</x14:id>
        </ext>
      </extLst>
    </cfRule>
    <cfRule type="dataBar" priority="183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{7DC1E62F-E60A-41D8-9B58-11EB6B9DF304}</x14:id>
        </ext>
      </extLst>
    </cfRule>
  </conditionalFormatting>
  <conditionalFormatting sqref="V131">
    <cfRule type="dataBar" priority="184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{DD0F6A22-EED6-469C-A7AA-EE33C02EC62D}</x14:id>
        </ext>
      </extLst>
    </cfRule>
    <cfRule type="dataBar" priority="185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{BA15D5B1-B393-48C8-BAD5-2636EF46B375}</x14:id>
        </ext>
      </extLst>
    </cfRule>
  </conditionalFormatting>
  <conditionalFormatting sqref="V144">
    <cfRule type="dataBar" priority="176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{A5A458C8-0E7E-49EB-9990-6223577B3348}</x14:id>
        </ext>
      </extLst>
    </cfRule>
    <cfRule type="dataBar" priority="177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{82970295-12AB-4256-86F7-D70147696155}</x14:id>
        </ext>
      </extLst>
    </cfRule>
  </conditionalFormatting>
  <conditionalFormatting sqref="V131:W131">
    <cfRule type="cellIs" dxfId="29" priority="99" operator="lessThan">
      <formula>0</formula>
    </cfRule>
  </conditionalFormatting>
  <conditionalFormatting sqref="W4:W13">
    <cfRule type="cellIs" dxfId="28" priority="10" operator="lessThan">
      <formula>0</formula>
    </cfRule>
    <cfRule type="cellIs" dxfId="27" priority="9" operator="greaterThanOrEqual">
      <formula>0</formula>
    </cfRule>
  </conditionalFormatting>
  <conditionalFormatting sqref="W17:W26">
    <cfRule type="cellIs" dxfId="26" priority="70" operator="lessThan">
      <formula>0</formula>
    </cfRule>
    <cfRule type="cellIs" dxfId="25" priority="69" operator="greaterThanOrEqual">
      <formula>0</formula>
    </cfRule>
  </conditionalFormatting>
  <conditionalFormatting sqref="W43:W52">
    <cfRule type="cellIs" dxfId="24" priority="90" operator="lessThan">
      <formula>0</formula>
    </cfRule>
    <cfRule type="cellIs" dxfId="23" priority="89" operator="greaterThanOrEqual">
      <formula>0</formula>
    </cfRule>
  </conditionalFormatting>
  <conditionalFormatting sqref="W56:W65">
    <cfRule type="cellIs" dxfId="22" priority="8" operator="lessThan">
      <formula>0</formula>
    </cfRule>
    <cfRule type="cellIs" dxfId="21" priority="7" operator="greaterThanOrEqual">
      <formula>0</formula>
    </cfRule>
  </conditionalFormatting>
  <conditionalFormatting sqref="W82:W91">
    <cfRule type="cellIs" dxfId="20" priority="3" operator="greaterThanOrEqual">
      <formula>0</formula>
    </cfRule>
    <cfRule type="cellIs" dxfId="19" priority="4" operator="lessThan">
      <formula>0</formula>
    </cfRule>
  </conditionalFormatting>
  <conditionalFormatting sqref="W108:W117">
    <cfRule type="cellIs" dxfId="18" priority="1" operator="greaterThanOrEqual">
      <formula>0</formula>
    </cfRule>
    <cfRule type="cellIs" dxfId="17" priority="2" operator="lessThan">
      <formula>0</formula>
    </cfRule>
  </conditionalFormatting>
  <conditionalFormatting sqref="W121:W130">
    <cfRule type="cellIs" dxfId="16" priority="24" operator="lessThan">
      <formula>0</formula>
    </cfRule>
    <cfRule type="cellIs" dxfId="15" priority="23" operator="greaterThanOrEqual">
      <formula>0</formula>
    </cfRule>
  </conditionalFormatting>
  <conditionalFormatting sqref="W131">
    <cfRule type="dataBar" priority="97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{EFF1C47E-3A13-46C2-A2BE-C91F005DC7A3}</x14:id>
        </ext>
      </extLst>
    </cfRule>
    <cfRule type="dataBar" priority="96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{42C581B8-A627-487F-9776-607DA0FB3485}</x14:id>
        </ext>
      </extLst>
    </cfRule>
    <cfRule type="dataBar" priority="101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{44F38822-6B09-4B0D-98FF-E69FCC3610A3}</x14:id>
        </ext>
      </extLst>
    </cfRule>
    <cfRule type="dataBar" priority="100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{DCB5E9AE-88F9-442C-A1C1-2EE852FDD314}</x14:id>
        </ext>
      </extLst>
    </cfRule>
    <cfRule type="dataBar" priority="95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{FD70C470-1007-4285-B01D-4349C7CAA3F7}</x14:id>
        </ext>
      </extLst>
    </cfRule>
    <cfRule type="dataBar" priority="98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{1750C13E-76CE-4756-A122-C021E8D878CD}</x14:id>
        </ext>
      </extLst>
    </cfRule>
  </conditionalFormatting>
  <conditionalFormatting sqref="W134:W143">
    <cfRule type="cellIs" dxfId="14" priority="21" operator="greaterThanOrEqual">
      <formula>0</formula>
    </cfRule>
    <cfRule type="cellIs" dxfId="13" priority="22" operator="lessThan">
      <formula>0</formula>
    </cfRule>
  </conditionalFormatting>
  <conditionalFormatting sqref="W147:W156">
    <cfRule type="cellIs" dxfId="12" priority="19" operator="greaterThanOrEqual">
      <formula>0</formula>
    </cfRule>
    <cfRule type="cellIs" dxfId="11" priority="20" operator="lessThan">
      <formula>0</formula>
    </cfRule>
  </conditionalFormatting>
  <conditionalFormatting sqref="W160:W169">
    <cfRule type="cellIs" dxfId="10" priority="18" operator="lessThan">
      <formula>0</formula>
    </cfRule>
    <cfRule type="cellIs" dxfId="9" priority="17" operator="greaterThanOrEqual">
      <formula>0</formula>
    </cfRule>
  </conditionalFormatting>
  <conditionalFormatting sqref="W173:W182">
    <cfRule type="cellIs" dxfId="8" priority="15" operator="greaterThanOrEqual">
      <formula>0</formula>
    </cfRule>
    <cfRule type="cellIs" dxfId="7" priority="16" operator="lessThan">
      <formula>0</formula>
    </cfRule>
  </conditionalFormatting>
  <conditionalFormatting sqref="W186:W195">
    <cfRule type="cellIs" dxfId="6" priority="13" operator="greaterThanOrEqual">
      <formula>0</formula>
    </cfRule>
    <cfRule type="cellIs" dxfId="5" priority="14" operator="lessThan">
      <formula>0</formula>
    </cfRule>
  </conditionalFormatting>
  <conditionalFormatting sqref="W199:W208">
    <cfRule type="cellIs" dxfId="4" priority="12" operator="lessThan">
      <formula>0</formula>
    </cfRule>
    <cfRule type="cellIs" dxfId="3" priority="11" operator="greaterThanOrEqual">
      <formula>0</formula>
    </cfRule>
  </conditionalFormatting>
  <conditionalFormatting sqref="X48">
    <cfRule type="dataBar" priority="303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{CB956C68-8729-4C52-A592-A906DD8BF84E}</x14:id>
        </ext>
      </extLst>
    </cfRule>
    <cfRule type="dataBar" priority="308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{48BFA568-048F-4CA4-A458-EEE8CE8898EA}</x14:id>
        </ext>
      </extLst>
    </cfRule>
    <cfRule type="dataBar" priority="307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{DE59CDE1-6B46-46B9-8B0A-15DD360D8FB3}</x14:id>
        </ext>
      </extLst>
    </cfRule>
    <cfRule type="dataBar" priority="305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{BE8C3034-E50B-4825-8334-2562683DE5A6}</x14:id>
        </ext>
      </extLst>
    </cfRule>
    <cfRule type="dataBar" priority="304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{AB2D506C-7CC6-4BA3-BCFA-305856A91B24}</x14:id>
        </ext>
      </extLst>
    </cfRule>
    <cfRule type="cellIs" dxfId="2" priority="306" operator="lessThan">
      <formula>0</formula>
    </cfRule>
    <cfRule type="dataBar" priority="302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{4E80DCE5-FFB2-4CEA-B89D-ABFD5B6C43A5}</x14:id>
        </ext>
      </extLst>
    </cfRule>
  </conditionalFormatting>
  <conditionalFormatting sqref="X124:X132">
    <cfRule type="dataBar" priority="297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{1C166865-E46B-48E4-A298-5F51709B1066}</x14:id>
        </ext>
      </extLst>
    </cfRule>
    <cfRule type="dataBar" priority="296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{8B852424-C9C4-43C9-BACB-C81F648D547B}</x14:id>
        </ext>
      </extLst>
    </cfRule>
    <cfRule type="dataBar" priority="301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{0EA6F296-C292-4660-8774-D789A59D1F60}</x14:id>
        </ext>
      </extLst>
    </cfRule>
    <cfRule type="dataBar" priority="298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{2E3D9F5B-432A-4340-9437-309953D6ADD3}</x14:id>
        </ext>
      </extLst>
    </cfRule>
    <cfRule type="dataBar" priority="295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{9A609A27-9E2D-4129-89CA-477EDE93B4E3}</x14:id>
        </ext>
      </extLst>
    </cfRule>
    <cfRule type="dataBar" priority="300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{51C91234-CCB3-457E-9E6A-07004D8B16EF}</x14:id>
        </ext>
      </extLst>
    </cfRule>
    <cfRule type="cellIs" dxfId="1" priority="299" operator="lessThan">
      <formula>0</formula>
    </cfRule>
  </conditionalFormatting>
  <conditionalFormatting sqref="AB4:AB10 AF4:AF10 J4:K11 J12 AB14:AB20 AF14:AF20 K17:K24 J17:J25 AB24:AB30 AF24:AF30 J30:K37 AB34:AB40 AF34:AF40 J38 K43:K50 J43:J51 AB44:AB50 AB54:AB60 AF54:AF60 AB64:AB70 AF64:AF70 J69:K76 AB74:AC80 AF74:AF80 J77 J82:J90 AB84:AB90 AF84:AF90 AB94:AB100 AF94:AF100 J134:K141 J142 J147:K154 J155 J173:K180 J181 J186:K193 J194">
    <cfRule type="cellIs" dxfId="0" priority="723" operator="lessThan">
      <formula>0</formula>
    </cfRule>
  </conditionalFormatting>
  <pageMargins left="0.7" right="0.7" top="0.75" bottom="0.75" header="0.3" footer="0.3"/>
  <pageSetup paperSize="9" orientation="portrait" r:id="rId1"/>
  <customProperties>
    <customPr name="_pios_id" r:id="rId2"/>
    <customPr name="EpmWorksheetKeyString_GUID" r:id="rId3"/>
  </customProperties>
  <ignoredErrors>
    <ignoredError sqref="Z86:AA86 AC86:AE86 AG86 AC96:AE96 O89" formula="1"/>
    <ignoredError sqref="L12:Q12 L90:N90 L142:Q142 L155:P155 AI94:AI97 L116:P116 L129:P129 L64:P64 L51:O51 V25 L168:P168 L194:Q194 L207:Q207 P90 L25:Q25 P51:Q51" formulaRange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68DD40-B489-4034-9065-CEE654BCDD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1C8E30-B0FB-4D50-8C64-865809A3BC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E13:E14 E26:E27 E39:E40</xm:sqref>
        </x14:conditionalFormatting>
        <x14:conditionalFormatting xmlns:xm="http://schemas.microsoft.com/office/excel/2006/main">
          <x14:cfRule type="dataBar" id="{2645A2E6-EE56-4382-9D10-5B6424083F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4BADD8-3727-4BBC-A9B3-E66C8ECB36C1}">
            <x14:dataBar minLength="0" maxLength="100" gradient="0" axisPosition="middle">
              <x14:cfvo type="autoMin"/>
              <x14:cfvo type="autoMax"/>
              <x14:negativeFillColor rgb="FFFF0000"/>
              <x14:axisColor rgb="FF000000"/>
            </x14:dataBar>
          </x14:cfRule>
          <xm:sqref>E95:E103</xm:sqref>
        </x14:conditionalFormatting>
        <x14:conditionalFormatting xmlns:xm="http://schemas.microsoft.com/office/excel/2006/main">
          <x14:cfRule type="dataBar" id="{16D5F779-F51E-4EA2-ACF3-537B867B91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6A185D-82D6-4420-A4EC-7C61E10941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E117:E118</xm:sqref>
        </x14:conditionalFormatting>
        <x14:conditionalFormatting xmlns:xm="http://schemas.microsoft.com/office/excel/2006/main">
          <x14:cfRule type="dataBar" id="{61838B19-BF37-4568-B0AE-77925DA014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9767E5F-E46E-4430-9462-4BC0DC4EC3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E143:E144</xm:sqref>
        </x14:conditionalFormatting>
        <x14:conditionalFormatting xmlns:xm="http://schemas.microsoft.com/office/excel/2006/main">
          <x14:cfRule type="dataBar" id="{4DE2F46A-1062-4601-BA17-9587F84CED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2B25CD-C75E-4185-A01C-7253CC1CFD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E182:E183</xm:sqref>
        </x14:conditionalFormatting>
        <x14:conditionalFormatting xmlns:xm="http://schemas.microsoft.com/office/excel/2006/main">
          <x14:cfRule type="dataBar" id="{60123F8C-F4EC-4E3F-B38A-29A09C4845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A5ADAA-AD45-473F-8873-D8AE308811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E208:E209</xm:sqref>
        </x14:conditionalFormatting>
        <x14:conditionalFormatting xmlns:xm="http://schemas.microsoft.com/office/excel/2006/main">
          <x14:cfRule type="dataBar" id="{0DC81145-9C17-44B9-9764-1070298EAA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CE9AFED-CF9D-4CD0-A81B-D11407921DFB}">
            <x14:dataBar minLength="0" maxLength="100" gradient="0" axisPosition="middle">
              <x14:cfvo type="autoMin"/>
              <x14:cfvo type="autoMax"/>
              <x14:negativeFillColor rgb="FFFF0000"/>
              <x14:axisColor rgb="FF000000"/>
            </x14:dataBar>
          </x14:cfRule>
          <xm:sqref>I95:I103</xm:sqref>
        </x14:conditionalFormatting>
        <x14:conditionalFormatting xmlns:xm="http://schemas.microsoft.com/office/excel/2006/main">
          <x14:cfRule type="dataBar" id="{E43B0573-ABB8-4F3A-B078-08EF81F447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F2BA532-F1DB-4F98-BD8D-303532D404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J17:J25</xm:sqref>
        </x14:conditionalFormatting>
        <x14:conditionalFormatting xmlns:xm="http://schemas.microsoft.com/office/excel/2006/main">
          <x14:cfRule type="dataBar" id="{D996C12F-7A1F-43A2-AFE8-5FC5684939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67B0C48-18C8-4135-AF4A-AC63165C43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J30:J38</xm:sqref>
        </x14:conditionalFormatting>
        <x14:conditionalFormatting xmlns:xm="http://schemas.microsoft.com/office/excel/2006/main">
          <x14:cfRule type="dataBar" id="{D2672D72-77DA-4712-8EB1-A9AB28A4D1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98AA4B2-A5C8-4141-A703-7AE93828C1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J43:J51 I208:J208 I209:U209</xm:sqref>
        </x14:conditionalFormatting>
        <x14:conditionalFormatting xmlns:xm="http://schemas.microsoft.com/office/excel/2006/main">
          <x14:cfRule type="dataBar" id="{432D79E4-D82E-4EF6-81A0-B86F3304F8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DC7D254-FFCD-4398-8B25-E62C620D7D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J56:J64</xm:sqref>
        </x14:conditionalFormatting>
        <x14:conditionalFormatting xmlns:xm="http://schemas.microsoft.com/office/excel/2006/main">
          <x14:cfRule type="dataBar" id="{F0CFC898-DFEB-43FF-B852-D92AFD3B4A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BFDD19-FBA3-4D82-8CEB-F0190FFF7D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J69:J77 I117:J117 I118:U118</xm:sqref>
        </x14:conditionalFormatting>
        <x14:conditionalFormatting xmlns:xm="http://schemas.microsoft.com/office/excel/2006/main">
          <x14:cfRule type="dataBar" id="{C9D89559-A4EF-4E90-AB5F-0661A7AFBC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0F4CCA-D198-4350-80A6-4E919EB8C0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J82:J90</xm:sqref>
        </x14:conditionalFormatting>
        <x14:conditionalFormatting xmlns:xm="http://schemas.microsoft.com/office/excel/2006/main">
          <x14:cfRule type="dataBar" id="{53EFC6BB-3C0F-47B1-94B5-7168D7604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F31055E-30A5-4B40-839D-1F450E715E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J95:J103</xm:sqref>
        </x14:conditionalFormatting>
        <x14:conditionalFormatting xmlns:xm="http://schemas.microsoft.com/office/excel/2006/main">
          <x14:cfRule type="dataBar" id="{775D872B-9144-4776-A1BD-55C322EDAE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26DFC7-293B-402B-8263-3EB7A53647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J108:J116</xm:sqref>
        </x14:conditionalFormatting>
        <x14:conditionalFormatting xmlns:xm="http://schemas.microsoft.com/office/excel/2006/main">
          <x14:cfRule type="dataBar" id="{B6CB58C3-4BA5-491C-9CEA-2B93E6A5FA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D9EFEE7-86BB-45BE-A405-9C9971FA07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J121:J129</xm:sqref>
        </x14:conditionalFormatting>
        <x14:conditionalFormatting xmlns:xm="http://schemas.microsoft.com/office/excel/2006/main">
          <x14:cfRule type="dataBar" id="{624DE663-5EA0-4E10-920C-D55C8798A1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ED3CAA9-5F6F-4973-B04A-819AD5DE85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J134:J142 I143:J143 I144:U144</xm:sqref>
        </x14:conditionalFormatting>
        <x14:conditionalFormatting xmlns:xm="http://schemas.microsoft.com/office/excel/2006/main">
          <x14:cfRule type="dataBar" id="{D6550E2F-2C41-450C-9B8C-69CBF4A8A9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CB374C-D69E-4367-9883-01EE661097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J147:J155</xm:sqref>
        </x14:conditionalFormatting>
        <x14:conditionalFormatting xmlns:xm="http://schemas.microsoft.com/office/excel/2006/main">
          <x14:cfRule type="dataBar" id="{85EE5B3D-3DEF-432C-B63E-AAB5E3BE32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D15D89-12CC-42F0-9FC6-72D56DAC55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J160:J168</xm:sqref>
        </x14:conditionalFormatting>
        <x14:conditionalFormatting xmlns:xm="http://schemas.microsoft.com/office/excel/2006/main">
          <x14:cfRule type="dataBar" id="{EABC8AB9-A076-4DC0-B9FE-4567EF109C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F333427-07C8-41D2-87BD-E5BAB11B70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J173:J181 I182:J182 I183:U183</xm:sqref>
        </x14:conditionalFormatting>
        <x14:conditionalFormatting xmlns:xm="http://schemas.microsoft.com/office/excel/2006/main">
          <x14:cfRule type="dataBar" id="{A4B0C112-CBC5-4FCF-8003-49944DF9A6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FE3B57-A7DC-4499-AC43-4E298BCD84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J186:J194</xm:sqref>
        </x14:conditionalFormatting>
        <x14:conditionalFormatting xmlns:xm="http://schemas.microsoft.com/office/excel/2006/main">
          <x14:cfRule type="dataBar" id="{FE6D55D7-57CC-450C-A6F9-FF0F2A8798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03A3E5-2AA5-47C6-B96B-6F7D10A4D2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J4:K11 J12</xm:sqref>
        </x14:conditionalFormatting>
        <x14:conditionalFormatting xmlns:xm="http://schemas.microsoft.com/office/excel/2006/main">
          <x14:cfRule type="dataBar" id="{44B3FD18-E800-463E-9B79-C176DD671A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680BC13-4F5B-47BF-85C7-68BCA5355C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J30:K37 J4:K11 J12 J17:J25 J38 I13:J13 I26:J26 K17:K24 I39:R39 I40:J40 O40:R40 I14:U14 I27:U27 S39:U40</xm:sqref>
        </x14:conditionalFormatting>
        <x14:conditionalFormatting xmlns:xm="http://schemas.microsoft.com/office/excel/2006/main">
          <x14:cfRule type="dataBar" id="{8F4A8558-8DB2-491B-ABAC-7F42B82FD4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9DA8BB3-15C0-42B3-A15B-D076571F0B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K17:K24</xm:sqref>
        </x14:conditionalFormatting>
        <x14:conditionalFormatting xmlns:xm="http://schemas.microsoft.com/office/excel/2006/main">
          <x14:cfRule type="dataBar" id="{CAF4D1A3-F58B-4242-8881-6A3049AEAF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409F52-E8DB-44F4-BBE1-A673C2EACC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K30:K37</xm:sqref>
        </x14:conditionalFormatting>
        <x14:conditionalFormatting xmlns:xm="http://schemas.microsoft.com/office/excel/2006/main">
          <x14:cfRule type="dataBar" id="{70EAD1D3-D1D3-49C2-BEF2-F6982CAA94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EBA53D-8084-4A7D-9D54-7A928AAD9A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DA0300-2467-4C46-85D8-C79C62A51D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C449E6-B831-4F4D-9916-32DF352C1C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K43:K50</xm:sqref>
        </x14:conditionalFormatting>
        <x14:conditionalFormatting xmlns:xm="http://schemas.microsoft.com/office/excel/2006/main">
          <x14:cfRule type="dataBar" id="{863824F9-4750-4E38-85B7-D83DB63E31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F95FD3-2DE1-4DC7-BA86-173E30B57E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F09D9BA-F482-46FB-8C5B-CDEC4E0AC6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4578F02-7835-4F73-B037-266CFA1DD6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K56:K63</xm:sqref>
        </x14:conditionalFormatting>
        <x14:conditionalFormatting xmlns:xm="http://schemas.microsoft.com/office/excel/2006/main">
          <x14:cfRule type="dataBar" id="{ABEFB29C-D23A-4C24-B846-CEBC2F447F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26E575-DC3E-4C04-BED7-6F6FB3E5E6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2DDFA6-6FC8-440D-90C9-9A5388C1CB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AD4BBC0-0439-4301-9530-B90493A141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K69:K76</xm:sqref>
        </x14:conditionalFormatting>
        <x14:conditionalFormatting xmlns:xm="http://schemas.microsoft.com/office/excel/2006/main">
          <x14:cfRule type="dataBar" id="{21943BC4-1D27-41D3-8A98-52499B41A2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DE111F-D81E-475F-98AB-26ABE3915B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DC7032-388F-4030-8717-09EC74AF32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7A514E-40FF-4736-A4BE-3DDFA65983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K82:K89</xm:sqref>
        </x14:conditionalFormatting>
        <x14:conditionalFormatting xmlns:xm="http://schemas.microsoft.com/office/excel/2006/main">
          <x14:cfRule type="dataBar" id="{43AECDCB-C01C-449B-8CC8-B93B490E3D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9C0793-F1AC-4F86-A738-0F4551010C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6F6EED-A9FD-443A-89E0-5F24C58FA4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A2E1245-5BDC-4C2B-B91C-C198B2C119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K95:K102</xm:sqref>
        </x14:conditionalFormatting>
        <x14:conditionalFormatting xmlns:xm="http://schemas.microsoft.com/office/excel/2006/main">
          <x14:cfRule type="dataBar" id="{17D276C5-5E45-45B5-80B8-4E770FE3AC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D7C3B6-F8B8-4FC2-AFCC-EA405555F6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0F4D9D-6D2C-4B29-939F-A8DA89061E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F3EDAA-5B74-475F-8F9E-4D64E5D723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K108:K115</xm:sqref>
        </x14:conditionalFormatting>
        <x14:conditionalFormatting xmlns:xm="http://schemas.microsoft.com/office/excel/2006/main">
          <x14:cfRule type="dataBar" id="{14200B5F-0BFF-49AB-8715-FC59BC67D8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2B358FE-68E1-49FD-83C9-66B3A01E91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53A167-37F4-46FF-8C45-5244F60D4B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98F1548-3DA8-4AFB-8215-6203CB443D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K121:K128</xm:sqref>
        </x14:conditionalFormatting>
        <x14:conditionalFormatting xmlns:xm="http://schemas.microsoft.com/office/excel/2006/main">
          <x14:cfRule type="dataBar" id="{78E22E8F-A410-4EE8-9129-D241B9619D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83A8C2-2980-47C5-8887-9E34C0C9B7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048AFA-C5B1-40D0-AE61-585D47B40C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44B4534-5A3D-46C9-B44F-5D6DE23A19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K134:K141</xm:sqref>
        </x14:conditionalFormatting>
        <x14:conditionalFormatting xmlns:xm="http://schemas.microsoft.com/office/excel/2006/main">
          <x14:cfRule type="dataBar" id="{96B103AE-0BF9-42BA-A136-0DAFA39D72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FC4ADC-BD7F-495E-829A-EE1AE58BCA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577F02E-AE0B-448D-A7DB-A15EE2316B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7F0416F-9A33-410C-8436-C43A2F845E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K147:K154</xm:sqref>
        </x14:conditionalFormatting>
        <x14:conditionalFormatting xmlns:xm="http://schemas.microsoft.com/office/excel/2006/main">
          <x14:cfRule type="dataBar" id="{75BD0D99-6594-4BC7-8C88-B357140B1B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D5839C8-C827-4FB3-BA29-2ABA1E5936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C14FE7A-BA0E-43AA-ABFE-D7DC2A2D4F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E1694E-9F1C-4A8F-9A11-CAA0A14902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K160:K167</xm:sqref>
        </x14:conditionalFormatting>
        <x14:conditionalFormatting xmlns:xm="http://schemas.microsoft.com/office/excel/2006/main">
          <x14:cfRule type="dataBar" id="{964C6DCC-DA28-4001-9006-ABDFC599AB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C77BCF-D83F-44D0-85EC-67E295A2F5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20C353-A68D-4A31-B2A2-A8A6E10A89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277750-7600-4EFF-8129-F5546A14D4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K173:K180</xm:sqref>
        </x14:conditionalFormatting>
        <x14:conditionalFormatting xmlns:xm="http://schemas.microsoft.com/office/excel/2006/main">
          <x14:cfRule type="dataBar" id="{0E78A05F-31DF-46BF-9ADF-0B9A2AAFCB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FAAC20-C5EA-4B88-945D-CA8F390BEC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D4298E4-8B2B-4645-8045-BEFE54B451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CC107B-5FEC-498E-80ED-78C0E59BE4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K186:K193</xm:sqref>
        </x14:conditionalFormatting>
        <x14:conditionalFormatting xmlns:xm="http://schemas.microsoft.com/office/excel/2006/main">
          <x14:cfRule type="dataBar" id="{BD8F3EB4-6864-401E-9940-D830DA3AB0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2C1564E-B56C-416B-BDE1-382FE0CB60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56CEAF-300C-43DF-97EC-773E2C8FED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5B84787-FFC6-4EAD-A391-374FF44541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K199:K206</xm:sqref>
        </x14:conditionalFormatting>
        <x14:conditionalFormatting xmlns:xm="http://schemas.microsoft.com/office/excel/2006/main">
          <x14:cfRule type="dataBar" id="{C78B6925-77A2-4186-9EFD-D12D0C1191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021B799-D95E-42AF-8ABF-1B4F573FA7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V14:V15 V27 V39:V40</xm:sqref>
        </x14:conditionalFormatting>
        <x14:conditionalFormatting xmlns:xm="http://schemas.microsoft.com/office/excel/2006/main">
          <x14:cfRule type="dataBar" id="{48F35667-86BD-428E-803E-C3A0C39361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BAE632B-DE65-42AB-B35E-2F5805A62A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V53</xm:sqref>
        </x14:conditionalFormatting>
        <x14:conditionalFormatting xmlns:xm="http://schemas.microsoft.com/office/excel/2006/main">
          <x14:cfRule type="dataBar" id="{FD732F50-FF7C-49B6-9EC4-16409917EF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1EC0455-B5E6-48CA-A83B-93EA48B20F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V66</xm:sqref>
        </x14:conditionalFormatting>
        <x14:conditionalFormatting xmlns:xm="http://schemas.microsoft.com/office/excel/2006/main">
          <x14:cfRule type="dataBar" id="{404EB3A5-9578-4315-B9A4-29FE09A5D6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FDC52A-512E-4DCB-96B0-3B4CE29CD9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V78:V79</xm:sqref>
        </x14:conditionalFormatting>
        <x14:conditionalFormatting xmlns:xm="http://schemas.microsoft.com/office/excel/2006/main">
          <x14:cfRule type="dataBar" id="{11B43CBE-5474-431D-B8F4-FCBF613CEF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AB3AD9-A6E0-4463-9BCB-5C1CF3E5F1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V92</xm:sqref>
        </x14:conditionalFormatting>
        <x14:conditionalFormatting xmlns:xm="http://schemas.microsoft.com/office/excel/2006/main">
          <x14:cfRule type="dataBar" id="{1FEBC78B-61E0-4F65-9323-0392204F40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B9BFDBC-38E0-410C-8E26-D2D6D4AA3A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V105</xm:sqref>
        </x14:conditionalFormatting>
        <x14:conditionalFormatting xmlns:xm="http://schemas.microsoft.com/office/excel/2006/main">
          <x14:cfRule type="dataBar" id="{3E50CF88-AFB6-4529-BB14-AB5D9A4909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DC1E62F-E60A-41D8-9B58-11EB6B9DF3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V118 V106</xm:sqref>
        </x14:conditionalFormatting>
        <x14:conditionalFormatting xmlns:xm="http://schemas.microsoft.com/office/excel/2006/main">
          <x14:cfRule type="dataBar" id="{DD0F6A22-EED6-469C-A7AA-EE33C02EC6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15D5B1-B393-48C8-BAD5-2636EF46B3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V131</xm:sqref>
        </x14:conditionalFormatting>
        <x14:conditionalFormatting xmlns:xm="http://schemas.microsoft.com/office/excel/2006/main">
          <x14:cfRule type="dataBar" id="{A5A458C8-0E7E-49EB-9990-6223577B33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970295-12AB-4256-86F7-D701476961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V144</xm:sqref>
        </x14:conditionalFormatting>
        <x14:conditionalFormatting xmlns:xm="http://schemas.microsoft.com/office/excel/2006/main">
          <x14:cfRule type="dataBar" id="{EFF1C47E-3A13-46C2-A2BE-C91F005DC7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C581B8-A627-487F-9776-607DA0FB34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4F38822-6B09-4B0D-98FF-E69FCC3610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CB5E9AE-88F9-442C-A1C1-2EE852FDD3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70C470-1007-4285-B01D-4349C7CAA3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750C13E-76CE-4756-A122-C021E8D878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W131</xm:sqref>
        </x14:conditionalFormatting>
        <x14:conditionalFormatting xmlns:xm="http://schemas.microsoft.com/office/excel/2006/main">
          <x14:cfRule type="dataBar" id="{CB956C68-8729-4C52-A592-A906DD8BF8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BFA568-048F-4CA4-A458-EEE8CE8898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59CDE1-6B46-46B9-8B0A-15DD360D8F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8C3034-E50B-4825-8334-2562683DE5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2D506C-7CC6-4BA3-BCFA-305856A91B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80DCE5-FFB2-4CEA-B89D-ABFD5B6C43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X48</xm:sqref>
        </x14:conditionalFormatting>
        <x14:conditionalFormatting xmlns:xm="http://schemas.microsoft.com/office/excel/2006/main">
          <x14:cfRule type="dataBar" id="{1C166865-E46B-48E4-A298-5F51709B10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B852424-C9C4-43C9-BACB-C81F648D54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A6F296-C292-4660-8774-D789A59D1F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E3D9F5B-432A-4340-9437-309953D6AD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A609A27-9E2D-4129-89CA-477EDE93B4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C91234-CCB3-457E-9E6A-07004D8B16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X124:X132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6C41B-AEAB-4E9E-9CEF-1FA046861561}">
  <sheetPr>
    <tabColor rgb="FF92D050"/>
  </sheetPr>
  <dimension ref="A1:W157"/>
  <sheetViews>
    <sheetView showGridLines="0" zoomScale="55" zoomScaleNormal="55" workbookViewId="0">
      <selection activeCell="B1" sqref="B1"/>
    </sheetView>
  </sheetViews>
  <sheetFormatPr defaultColWidth="8.81640625" defaultRowHeight="14.5"/>
  <cols>
    <col min="1" max="1" width="8.81640625" style="78"/>
    <col min="2" max="2" width="34" style="78" bestFit="1" customWidth="1"/>
    <col min="3" max="4" width="15.1796875" customWidth="1"/>
    <col min="5" max="5" width="15.1796875" style="78" bestFit="1" customWidth="1"/>
    <col min="6" max="10" width="13.453125" style="78" bestFit="1" customWidth="1"/>
    <col min="11" max="11" width="13.453125" style="86" bestFit="1" customWidth="1"/>
    <col min="12" max="12" width="7.54296875" style="78" bestFit="1" customWidth="1"/>
    <col min="13" max="13" width="32.453125" style="78" bestFit="1" customWidth="1"/>
    <col min="14" max="15" width="15.1796875" bestFit="1" customWidth="1"/>
    <col min="16" max="20" width="15.1796875" style="78" bestFit="1" customWidth="1"/>
    <col min="21" max="21" width="15.1796875" style="86" bestFit="1" customWidth="1"/>
    <col min="22" max="22" width="15.1796875" style="86" customWidth="1"/>
    <col min="23" max="23" width="7.54296875" style="78" bestFit="1" customWidth="1"/>
    <col min="24" max="16384" width="8.81640625" style="78"/>
  </cols>
  <sheetData>
    <row r="1" spans="1:23">
      <c r="A1" s="79"/>
      <c r="B1" s="83" t="s">
        <v>163</v>
      </c>
      <c r="E1" s="83"/>
      <c r="F1" s="83"/>
      <c r="G1" s="83"/>
      <c r="H1" s="83"/>
      <c r="I1" s="83"/>
      <c r="J1" s="83"/>
      <c r="K1" s="85"/>
      <c r="M1" s="83" t="s">
        <v>164</v>
      </c>
      <c r="P1" s="83"/>
      <c r="Q1" s="83"/>
      <c r="R1" s="83"/>
      <c r="S1" s="83"/>
      <c r="T1" s="83"/>
      <c r="U1" s="82"/>
      <c r="V1" s="82"/>
    </row>
    <row r="2" spans="1:23">
      <c r="A2" s="79"/>
      <c r="B2" s="60" t="s">
        <v>165</v>
      </c>
      <c r="C2" s="61" t="s">
        <v>104</v>
      </c>
      <c r="D2" s="61" t="s">
        <v>166</v>
      </c>
      <c r="E2" s="61" t="s">
        <v>102</v>
      </c>
      <c r="F2" s="61" t="s">
        <v>101</v>
      </c>
      <c r="G2" s="89" t="s">
        <v>131</v>
      </c>
      <c r="H2" s="89" t="s">
        <v>130</v>
      </c>
      <c r="I2" s="89" t="s">
        <v>129</v>
      </c>
      <c r="J2" s="89" t="s">
        <v>167</v>
      </c>
      <c r="K2" s="89" t="s">
        <v>168</v>
      </c>
      <c r="L2" s="85" t="s">
        <v>28</v>
      </c>
      <c r="M2" s="60" t="s">
        <v>165</v>
      </c>
      <c r="N2" s="61" t="s">
        <v>169</v>
      </c>
      <c r="O2" s="61" t="s">
        <v>170</v>
      </c>
      <c r="P2" s="61" t="s">
        <v>39</v>
      </c>
      <c r="Q2" s="61" t="s">
        <v>38</v>
      </c>
      <c r="R2" s="61" t="s">
        <v>37</v>
      </c>
      <c r="S2" s="61" t="s">
        <v>171</v>
      </c>
      <c r="T2" s="61" t="s">
        <v>172</v>
      </c>
      <c r="U2" s="61" t="s">
        <v>173</v>
      </c>
      <c r="V2" s="61" t="s">
        <v>174</v>
      </c>
      <c r="W2" s="85" t="s">
        <v>28</v>
      </c>
    </row>
    <row r="3" spans="1:23">
      <c r="B3" s="61" t="s">
        <v>175</v>
      </c>
      <c r="C3" s="63">
        <v>19.893999999999998</v>
      </c>
      <c r="D3" s="63">
        <v>21.502099999999999</v>
      </c>
      <c r="E3" s="63">
        <v>21.502099999999999</v>
      </c>
      <c r="F3" s="63">
        <v>19.815864006521899</v>
      </c>
      <c r="G3" s="63">
        <v>19.815864006521899</v>
      </c>
      <c r="H3" s="63">
        <v>17.502491250000102</v>
      </c>
      <c r="I3" s="63">
        <v>17.502491250000102</v>
      </c>
      <c r="J3" s="63">
        <v>17.502491250000102</v>
      </c>
      <c r="K3" s="63">
        <v>17.502491250000102</v>
      </c>
      <c r="L3" s="86"/>
      <c r="M3" s="61" t="s">
        <v>175</v>
      </c>
      <c r="N3" s="63">
        <v>19.893999999999998</v>
      </c>
      <c r="O3" s="63">
        <v>21.502099999999999</v>
      </c>
      <c r="P3" s="63">
        <v>21.502099999999999</v>
      </c>
      <c r="Q3" s="63">
        <v>19.815864006521899</v>
      </c>
      <c r="R3" s="63">
        <v>19.815864006521899</v>
      </c>
      <c r="S3" s="63">
        <v>17.502491250000102</v>
      </c>
      <c r="T3" s="63">
        <v>17.502491250000102</v>
      </c>
      <c r="U3" s="63">
        <v>17.502491250000102</v>
      </c>
      <c r="V3" s="63">
        <v>17.502491250000102</v>
      </c>
      <c r="W3" s="86"/>
    </row>
    <row r="4" spans="1:23">
      <c r="A4" s="80"/>
      <c r="B4" s="61" t="s">
        <v>176</v>
      </c>
      <c r="C4" s="63">
        <v>19.307099999999998</v>
      </c>
      <c r="D4" s="63">
        <v>20.908999999999999</v>
      </c>
      <c r="E4" s="63">
        <v>20.908999999999999</v>
      </c>
      <c r="F4" s="63">
        <v>19.249700000000001</v>
      </c>
      <c r="G4" s="63">
        <v>19.249700000000001</v>
      </c>
      <c r="H4" s="63">
        <v>17.4102865421197</v>
      </c>
      <c r="I4" s="63">
        <v>17.4102865421197</v>
      </c>
      <c r="J4" s="63">
        <v>17.4102865421197</v>
      </c>
      <c r="K4" s="63">
        <v>17.4102865421197</v>
      </c>
      <c r="L4" s="87"/>
      <c r="M4" s="61" t="s">
        <v>176</v>
      </c>
      <c r="N4" s="63">
        <v>19.307099999999998</v>
      </c>
      <c r="O4" s="63">
        <v>20.908999999999999</v>
      </c>
      <c r="P4" s="63">
        <v>20.908999999999999</v>
      </c>
      <c r="Q4" s="63">
        <v>19.249700000000001</v>
      </c>
      <c r="R4" s="63">
        <v>19.249700000000001</v>
      </c>
      <c r="S4" s="63">
        <v>17.4102865421197</v>
      </c>
      <c r="T4" s="63">
        <v>17.4102865421197</v>
      </c>
      <c r="U4" s="63">
        <v>17.4102865421197</v>
      </c>
      <c r="V4" s="63">
        <v>17.4102865421197</v>
      </c>
      <c r="W4" s="87"/>
    </row>
    <row r="5" spans="1:23">
      <c r="A5" s="80"/>
      <c r="B5" s="61" t="s">
        <v>177</v>
      </c>
      <c r="C5" s="65">
        <v>364296761.65448701</v>
      </c>
      <c r="D5" s="65">
        <v>360321873.63894397</v>
      </c>
      <c r="E5" s="65">
        <v>360823951.212731</v>
      </c>
      <c r="F5" s="65">
        <v>358591218.38893801</v>
      </c>
      <c r="G5" s="65">
        <v>384480053.47628599</v>
      </c>
      <c r="H5" s="65">
        <v>376466028.80822402</v>
      </c>
      <c r="I5" s="65">
        <v>372494463.34416699</v>
      </c>
      <c r="J5" s="65">
        <v>356896472.28355402</v>
      </c>
      <c r="K5" s="65">
        <v>351269683.50031602</v>
      </c>
      <c r="L5" s="88">
        <f>(C5-D5)/C5</f>
        <v>1.0911126405545651E-2</v>
      </c>
      <c r="M5" s="61" t="s">
        <v>178</v>
      </c>
      <c r="N5" s="65">
        <v>6325154544.6329098</v>
      </c>
      <c r="O5" s="65">
        <v>6429379557.4153605</v>
      </c>
      <c r="P5" s="65">
        <v>6442905766.8635397</v>
      </c>
      <c r="Q5" s="65">
        <v>6153221200.5971899</v>
      </c>
      <c r="R5" s="65">
        <v>6561798755.59408</v>
      </c>
      <c r="S5" s="65">
        <v>6175741572.3171902</v>
      </c>
      <c r="T5" s="65">
        <v>6124270914.2715197</v>
      </c>
      <c r="U5" s="65">
        <v>5845577191.8881302</v>
      </c>
      <c r="V5" s="65">
        <v>5753071625.2124395</v>
      </c>
      <c r="W5" s="88">
        <f>(N5-O5)/N5</f>
        <v>-1.6477860271554762E-2</v>
      </c>
    </row>
    <row r="6" spans="1:23">
      <c r="B6" s="61" t="s">
        <v>179</v>
      </c>
      <c r="C6" s="65">
        <v>8532196.4304975104</v>
      </c>
      <c r="D6" s="65">
        <v>8308949.15726336</v>
      </c>
      <c r="E6" s="65">
        <v>8302562.4651339902</v>
      </c>
      <c r="F6" s="65">
        <v>8338106.7792160697</v>
      </c>
      <c r="G6" s="65">
        <v>8213540.9641968999</v>
      </c>
      <c r="H6" s="65">
        <v>8530815.9579789005</v>
      </c>
      <c r="I6" s="65">
        <v>8268866.4211742198</v>
      </c>
      <c r="J6" s="65">
        <v>7752725.0280248402</v>
      </c>
      <c r="K6" s="65">
        <v>7696749.8208696097</v>
      </c>
      <c r="L6" s="88">
        <f t="shared" ref="L6:L68" si="0">(C6-D6)/C6</f>
        <v>2.616527585278916E-2</v>
      </c>
      <c r="M6" s="61" t="s">
        <v>179</v>
      </c>
      <c r="N6" s="65">
        <v>148529646.82759199</v>
      </c>
      <c r="O6" s="65">
        <v>148529646.82759199</v>
      </c>
      <c r="P6" s="65">
        <v>148492630.50626099</v>
      </c>
      <c r="Q6" s="65">
        <v>143274887.147533</v>
      </c>
      <c r="R6" s="65">
        <v>142781654.97028199</v>
      </c>
      <c r="S6" s="65">
        <v>140095820.127379</v>
      </c>
      <c r="T6" s="65">
        <v>135983614.37754101</v>
      </c>
      <c r="U6" s="65">
        <v>126992181.35486899</v>
      </c>
      <c r="V6" s="65">
        <v>126041514.70485701</v>
      </c>
      <c r="W6" s="88">
        <f t="shared" ref="W6:W68" si="1">(N6-O6)/N6</f>
        <v>0</v>
      </c>
    </row>
    <row r="7" spans="1:23">
      <c r="B7" s="61" t="s">
        <v>180</v>
      </c>
      <c r="C7" s="65">
        <v>11141299.1858417</v>
      </c>
      <c r="D7" s="65">
        <v>10477972.6374317</v>
      </c>
      <c r="E7" s="65">
        <v>10376918.1369395</v>
      </c>
      <c r="F7" s="65">
        <v>10604075.499125799</v>
      </c>
      <c r="G7" s="65">
        <v>10340370.8009868</v>
      </c>
      <c r="H7" s="65">
        <v>10822228.2597069</v>
      </c>
      <c r="I7" s="65">
        <v>10604386.039544901</v>
      </c>
      <c r="J7" s="65">
        <v>9939334.7513533607</v>
      </c>
      <c r="K7" s="65">
        <v>9844825.0695698392</v>
      </c>
      <c r="L7" s="88">
        <f t="shared" si="0"/>
        <v>5.9537629978822566E-2</v>
      </c>
      <c r="M7" s="61" t="s">
        <v>180</v>
      </c>
      <c r="N7" s="65">
        <v>190191630.46343899</v>
      </c>
      <c r="O7" s="65">
        <v>180716181.586539</v>
      </c>
      <c r="P7" s="65">
        <v>179281084.645163</v>
      </c>
      <c r="Q7" s="65">
        <v>179281084.645163</v>
      </c>
      <c r="R7" s="65">
        <v>173627953.68000001</v>
      </c>
      <c r="S7" s="65">
        <v>176697480.53999999</v>
      </c>
      <c r="T7" s="65">
        <v>173703600.15000001</v>
      </c>
      <c r="U7" s="65">
        <v>162270992.44</v>
      </c>
      <c r="V7" s="65">
        <v>161007159.05000001</v>
      </c>
      <c r="W7" s="88">
        <f t="shared" si="1"/>
        <v>4.9820535497861862E-2</v>
      </c>
    </row>
    <row r="8" spans="1:23">
      <c r="A8" s="80"/>
      <c r="B8" s="61" t="s">
        <v>181</v>
      </c>
      <c r="C8" s="65">
        <v>9380607.1110425703</v>
      </c>
      <c r="D8" s="65">
        <v>8996775.9477293696</v>
      </c>
      <c r="E8" s="65">
        <v>8617801.0222490598</v>
      </c>
      <c r="F8" s="65">
        <v>8906930.7080222908</v>
      </c>
      <c r="G8" s="65">
        <v>8057329.7373168198</v>
      </c>
      <c r="H8" s="65">
        <v>8298220.5024480997</v>
      </c>
      <c r="I8" s="65">
        <v>8481161.6461659595</v>
      </c>
      <c r="J8" s="65">
        <v>6562148.1592182796</v>
      </c>
      <c r="K8" s="65">
        <v>6537408.9644589499</v>
      </c>
      <c r="L8" s="88">
        <f t="shared" si="0"/>
        <v>4.0917518319402386E-2</v>
      </c>
      <c r="M8" s="61" t="s">
        <v>181</v>
      </c>
      <c r="N8" s="65">
        <v>164061619.88372201</v>
      </c>
      <c r="O8" s="65">
        <v>161331325.97458199</v>
      </c>
      <c r="P8" s="65">
        <v>154354473.11014399</v>
      </c>
      <c r="Q8" s="65">
        <v>153534815.558018</v>
      </c>
      <c r="R8" s="65">
        <v>137342016.68165499</v>
      </c>
      <c r="S8" s="65">
        <v>136306995.86611199</v>
      </c>
      <c r="T8" s="65">
        <v>139694711.578132</v>
      </c>
      <c r="U8" s="65">
        <v>107451385.877258</v>
      </c>
      <c r="V8" s="65">
        <v>106906980.439174</v>
      </c>
      <c r="W8" s="88">
        <f t="shared" si="1"/>
        <v>1.6641880721859903E-2</v>
      </c>
    </row>
    <row r="9" spans="1:23">
      <c r="A9" s="80"/>
      <c r="B9" s="61" t="s">
        <v>182</v>
      </c>
      <c r="C9" s="65">
        <v>219178312.66323</v>
      </c>
      <c r="D9" s="65">
        <v>228301620.26835901</v>
      </c>
      <c r="E9" s="65">
        <v>236585157.342049</v>
      </c>
      <c r="F9" s="65">
        <v>232334356.51877299</v>
      </c>
      <c r="G9" s="65">
        <v>241508515.34211001</v>
      </c>
      <c r="H9" s="65">
        <v>244572707.801137</v>
      </c>
      <c r="I9" s="65">
        <v>230614981.26133701</v>
      </c>
      <c r="J9" s="65">
        <v>231833038.86429799</v>
      </c>
      <c r="K9" s="65">
        <v>218470880.91334099</v>
      </c>
      <c r="L9" s="88">
        <f t="shared" si="0"/>
        <v>-4.1625047178582265E-2</v>
      </c>
      <c r="M9" s="61" t="s">
        <v>182</v>
      </c>
      <c r="N9" s="65">
        <v>3819095867.2598</v>
      </c>
      <c r="O9" s="65">
        <v>4121688526.22158</v>
      </c>
      <c r="P9" s="65">
        <v>4278863671.8711901</v>
      </c>
      <c r="Q9" s="65">
        <v>4006078278.1360202</v>
      </c>
      <c r="R9" s="65">
        <v>4140986029.54493</v>
      </c>
      <c r="S9" s="65">
        <v>4019731584.82727</v>
      </c>
      <c r="T9" s="65">
        <v>3794945892.8892202</v>
      </c>
      <c r="U9" s="65">
        <v>3797283913.4451799</v>
      </c>
      <c r="V9" s="65">
        <v>3574738343.5382299</v>
      </c>
      <c r="W9" s="88">
        <f t="shared" si="1"/>
        <v>-7.9231490771372079E-2</v>
      </c>
    </row>
    <row r="10" spans="1:23">
      <c r="B10" s="61" t="s">
        <v>183</v>
      </c>
      <c r="C10" s="65">
        <v>113168004.230423</v>
      </c>
      <c r="D10" s="65">
        <v>97838878.337548107</v>
      </c>
      <c r="E10" s="65">
        <v>92026575.493578404</v>
      </c>
      <c r="F10" s="65">
        <v>92134662.831957102</v>
      </c>
      <c r="G10" s="65">
        <v>90400141.601124093</v>
      </c>
      <c r="H10" s="65">
        <v>91145965.021798804</v>
      </c>
      <c r="I10" s="65">
        <v>99406336.069530204</v>
      </c>
      <c r="J10" s="65">
        <v>85247478.372579604</v>
      </c>
      <c r="K10" s="65">
        <v>80665277.945342004</v>
      </c>
      <c r="L10" s="88">
        <f t="shared" si="0"/>
        <v>0.13545459246292832</v>
      </c>
      <c r="M10" s="61" t="s">
        <v>183</v>
      </c>
      <c r="N10" s="65">
        <v>1956633317.3392301</v>
      </c>
      <c r="O10" s="65">
        <v>1702933917.45051</v>
      </c>
      <c r="P10" s="65">
        <v>1598084667.39167</v>
      </c>
      <c r="Q10" s="65">
        <v>1559409507.45068</v>
      </c>
      <c r="R10" s="65">
        <v>1520060152.9240401</v>
      </c>
      <c r="S10" s="65">
        <v>1487478210.6359</v>
      </c>
      <c r="T10" s="65">
        <v>1630291408.02176</v>
      </c>
      <c r="U10" s="65">
        <v>1392554455.4676499</v>
      </c>
      <c r="V10" s="65">
        <v>1318699101.00578</v>
      </c>
      <c r="W10" s="88">
        <f t="shared" si="1"/>
        <v>0.12966118773532825</v>
      </c>
    </row>
    <row r="11" spans="1:23">
      <c r="B11" s="61" t="s">
        <v>184</v>
      </c>
      <c r="C11" s="65">
        <v>154169616.789462</v>
      </c>
      <c r="D11" s="65">
        <v>160458394.36050001</v>
      </c>
      <c r="E11" s="65">
        <v>160458394.36050001</v>
      </c>
      <c r="F11" s="65">
        <v>158422697.38080999</v>
      </c>
      <c r="G11" s="65">
        <v>158422697.38080999</v>
      </c>
      <c r="H11" s="65">
        <v>150118150.06184599</v>
      </c>
      <c r="I11" s="65">
        <v>150118150.06184599</v>
      </c>
      <c r="J11" s="65">
        <v>150118150.06184599</v>
      </c>
      <c r="K11" s="65">
        <v>149272000</v>
      </c>
      <c r="L11" s="88">
        <f t="shared" si="0"/>
        <v>-4.0791290151717279E-2</v>
      </c>
      <c r="M11" s="61" t="s">
        <v>184</v>
      </c>
      <c r="N11" s="65">
        <v>2671233878.7199898</v>
      </c>
      <c r="O11" s="65">
        <v>2872275316.69771</v>
      </c>
      <c r="P11" s="65">
        <v>2870819124.14078</v>
      </c>
      <c r="Q11" s="65">
        <v>2719453284.3197598</v>
      </c>
      <c r="R11" s="65">
        <v>2702569048.5837498</v>
      </c>
      <c r="S11" s="65">
        <v>2461451519.49999</v>
      </c>
      <c r="T11" s="65">
        <v>2466841616.4018002</v>
      </c>
      <c r="U11" s="65">
        <v>2460926812.3006501</v>
      </c>
      <c r="V11" s="65">
        <v>2445997139.3688002</v>
      </c>
      <c r="W11" s="88">
        <f t="shared" si="1"/>
        <v>-7.5261638293557406E-2</v>
      </c>
    </row>
    <row r="12" spans="1:23">
      <c r="B12" s="61" t="s">
        <v>185</v>
      </c>
      <c r="C12" s="65">
        <v>80395515.827337295</v>
      </c>
      <c r="D12" s="65">
        <v>80114000</v>
      </c>
      <c r="E12" s="65">
        <v>80114000</v>
      </c>
      <c r="F12" s="65">
        <v>79331000</v>
      </c>
      <c r="G12" s="65">
        <v>79331000</v>
      </c>
      <c r="H12" s="65">
        <v>82360375.685158104</v>
      </c>
      <c r="I12" s="65">
        <v>82360375.685158104</v>
      </c>
      <c r="J12" s="65">
        <v>75035000</v>
      </c>
      <c r="K12" s="65">
        <v>77699426.667803496</v>
      </c>
      <c r="L12" s="88">
        <f t="shared" si="0"/>
        <v>3.5016359362865057E-3</v>
      </c>
      <c r="M12" s="61" t="s">
        <v>185</v>
      </c>
      <c r="N12" s="65">
        <v>1392679988.2128</v>
      </c>
      <c r="O12" s="65">
        <v>1425060613.15572</v>
      </c>
      <c r="P12" s="65">
        <v>1425781616.5167899</v>
      </c>
      <c r="Q12" s="65">
        <v>1359181851.02753</v>
      </c>
      <c r="R12" s="65">
        <v>1351091376.46579</v>
      </c>
      <c r="S12" s="65">
        <v>1353432983.4135799</v>
      </c>
      <c r="T12" s="65">
        <v>1355578023.31463</v>
      </c>
      <c r="U12" s="65">
        <v>1230115657.63483</v>
      </c>
      <c r="V12" s="65">
        <v>1273977544.55585</v>
      </c>
      <c r="W12" s="88">
        <f t="shared" si="1"/>
        <v>-2.3250585358430702E-2</v>
      </c>
    </row>
    <row r="13" spans="1:23">
      <c r="A13" s="80"/>
      <c r="B13" s="61" t="s">
        <v>186</v>
      </c>
      <c r="C13" s="65">
        <v>271195197.80731201</v>
      </c>
      <c r="D13" s="65">
        <v>264632546.77489299</v>
      </c>
      <c r="E13" s="65">
        <v>264632546.77489299</v>
      </c>
      <c r="F13" s="65">
        <v>264632546.77489299</v>
      </c>
      <c r="G13" s="65">
        <v>264632546.77489299</v>
      </c>
      <c r="H13" s="65">
        <v>242696534.69999999</v>
      </c>
      <c r="I13" s="65">
        <v>242696534.69999999</v>
      </c>
      <c r="J13" s="65">
        <v>231413733.84759599</v>
      </c>
      <c r="K13" s="65">
        <v>237251443.35872301</v>
      </c>
      <c r="L13" s="88">
        <f t="shared" si="0"/>
        <v>2.419899425019274E-2</v>
      </c>
      <c r="M13" s="61" t="s">
        <v>186</v>
      </c>
      <c r="N13" s="65">
        <v>4716286067.1135798</v>
      </c>
      <c r="O13" s="65">
        <v>4725047634.0410805</v>
      </c>
      <c r="P13" s="65">
        <v>4728394866.5845098</v>
      </c>
      <c r="Q13" s="65">
        <v>4548703112.1822004</v>
      </c>
      <c r="R13" s="65">
        <v>4520164710.7505999</v>
      </c>
      <c r="S13" s="65">
        <v>3979575994.87568</v>
      </c>
      <c r="T13" s="65">
        <v>3990829056.5648999</v>
      </c>
      <c r="U13" s="65">
        <v>3791954763.3304</v>
      </c>
      <c r="V13" s="65">
        <v>3890693213.1928201</v>
      </c>
      <c r="W13" s="88">
        <f t="shared" si="1"/>
        <v>-1.8577259315533637E-3</v>
      </c>
    </row>
    <row r="14" spans="1:23">
      <c r="A14" s="80"/>
      <c r="B14" s="61" t="s">
        <v>187</v>
      </c>
      <c r="C14" s="65"/>
      <c r="D14" s="65"/>
      <c r="E14" s="65"/>
      <c r="F14" s="65"/>
      <c r="G14" s="65"/>
      <c r="H14" s="65"/>
      <c r="I14" s="65"/>
      <c r="J14" s="65"/>
      <c r="K14" s="65"/>
      <c r="L14" s="88"/>
      <c r="M14" s="61" t="s">
        <v>187</v>
      </c>
      <c r="N14" s="65"/>
      <c r="O14" s="65"/>
      <c r="P14" s="65"/>
      <c r="Q14" s="65"/>
      <c r="R14" s="65"/>
      <c r="S14" s="65"/>
      <c r="T14" s="65"/>
      <c r="U14" s="65"/>
      <c r="V14" s="65"/>
      <c r="W14" s="88"/>
    </row>
    <row r="15" spans="1:23">
      <c r="B15" s="61" t="s">
        <v>188</v>
      </c>
      <c r="C15" s="65"/>
      <c r="D15" s="65"/>
      <c r="E15" s="65"/>
      <c r="F15" s="65"/>
      <c r="G15" s="65"/>
      <c r="H15" s="65"/>
      <c r="I15" s="65"/>
      <c r="J15" s="65"/>
      <c r="K15" s="65"/>
      <c r="L15" s="88"/>
      <c r="M15" s="61" t="s">
        <v>188</v>
      </c>
      <c r="N15" s="65"/>
      <c r="O15" s="65"/>
      <c r="P15" s="65"/>
      <c r="Q15" s="65"/>
      <c r="R15" s="65"/>
      <c r="S15" s="65"/>
      <c r="T15" s="65"/>
      <c r="U15" s="65"/>
      <c r="V15" s="65"/>
      <c r="W15" s="88"/>
    </row>
    <row r="16" spans="1:23">
      <c r="B16" s="61" t="s">
        <v>189</v>
      </c>
      <c r="C16" s="65">
        <v>-302539782.73360199</v>
      </c>
      <c r="D16" s="65">
        <v>-296885365.28163201</v>
      </c>
      <c r="E16" s="65">
        <v>-296658223.77107</v>
      </c>
      <c r="F16" s="65">
        <v>-295177208.52696699</v>
      </c>
      <c r="G16" s="65">
        <v>-316064087.90388203</v>
      </c>
      <c r="H16" s="65">
        <v>-309391015.69442201</v>
      </c>
      <c r="I16" s="65">
        <v>-306424562.83525097</v>
      </c>
      <c r="J16" s="65">
        <v>-294146258.31582803</v>
      </c>
      <c r="K16" s="65">
        <v>-286606287.87878001</v>
      </c>
      <c r="L16" s="88">
        <f t="shared" si="0"/>
        <v>1.8689831138501593E-2</v>
      </c>
      <c r="M16" s="61" t="s">
        <v>190</v>
      </c>
      <c r="N16" s="65">
        <v>-5259500835.7106199</v>
      </c>
      <c r="O16" s="65">
        <v>-5301783099.9871998</v>
      </c>
      <c r="P16" s="65">
        <v>-5301402438.2535801</v>
      </c>
      <c r="Q16" s="65">
        <v>-5068776129.4982405</v>
      </c>
      <c r="R16" s="65">
        <v>-5394562179.13305</v>
      </c>
      <c r="S16" s="65">
        <v>-5075900609.8040104</v>
      </c>
      <c r="T16" s="65">
        <v>-5038291600.8617001</v>
      </c>
      <c r="U16" s="65">
        <v>-4817824587.8630896</v>
      </c>
      <c r="V16" s="65">
        <v>-4693533956.5279799</v>
      </c>
      <c r="W16" s="88">
        <f t="shared" si="1"/>
        <v>-8.0392161912960381E-3</v>
      </c>
    </row>
    <row r="17" spans="1:23">
      <c r="A17" s="80"/>
      <c r="B17" s="61" t="s">
        <v>191</v>
      </c>
      <c r="C17" s="65"/>
      <c r="D17" s="65"/>
      <c r="E17" s="65"/>
      <c r="F17" s="65"/>
      <c r="G17" s="65"/>
      <c r="H17" s="65"/>
      <c r="I17" s="65"/>
      <c r="J17" s="65"/>
      <c r="K17" s="65"/>
      <c r="L17" s="88"/>
      <c r="M17" s="61" t="s">
        <v>191</v>
      </c>
      <c r="N17" s="65"/>
      <c r="O17" s="65"/>
      <c r="P17" s="65"/>
      <c r="Q17" s="65"/>
      <c r="R17" s="65"/>
      <c r="S17" s="65"/>
      <c r="T17" s="65"/>
      <c r="U17" s="65"/>
      <c r="V17" s="65"/>
      <c r="W17" s="88"/>
    </row>
    <row r="18" spans="1:23">
      <c r="A18" s="80"/>
      <c r="B18" s="61" t="s">
        <v>192</v>
      </c>
      <c r="C18" s="65">
        <v>-8410533.0053686704</v>
      </c>
      <c r="D18" s="65">
        <v>-7908948.7407788299</v>
      </c>
      <c r="E18" s="65">
        <v>-7888478.9275704697</v>
      </c>
      <c r="F18" s="65">
        <v>-8065476.2867898401</v>
      </c>
      <c r="G18" s="65">
        <v>-7693075.4217741098</v>
      </c>
      <c r="H18" s="65">
        <v>-8104532.0535114696</v>
      </c>
      <c r="I18" s="65">
        <v>-7870553.9343721597</v>
      </c>
      <c r="J18" s="65">
        <v>-7327416.2532334505</v>
      </c>
      <c r="K18" s="65">
        <v>-7266718.9675968103</v>
      </c>
      <c r="L18" s="88">
        <f t="shared" si="0"/>
        <v>5.9637631083507524E-2</v>
      </c>
      <c r="M18" s="61" t="s">
        <v>192</v>
      </c>
      <c r="N18" s="65">
        <v>-143585107.22555199</v>
      </c>
      <c r="O18" s="65">
        <v>-136443444.68032199</v>
      </c>
      <c r="P18" s="65">
        <v>-136453110.20169899</v>
      </c>
      <c r="Q18" s="65">
        <v>-136453110.20169899</v>
      </c>
      <c r="R18" s="65">
        <v>-129083613.400546</v>
      </c>
      <c r="S18" s="65">
        <v>-132305316.34999999</v>
      </c>
      <c r="T18" s="65">
        <v>-128912625.00638799</v>
      </c>
      <c r="U18" s="65">
        <v>-119601924.904072</v>
      </c>
      <c r="V18" s="65">
        <v>-118812502.58765399</v>
      </c>
      <c r="W18" s="88">
        <f t="shared" si="1"/>
        <v>4.9738184434486334E-2</v>
      </c>
    </row>
    <row r="19" spans="1:23">
      <c r="A19" s="81"/>
      <c r="B19" s="61" t="s">
        <v>193</v>
      </c>
      <c r="C19" s="65">
        <v>-7888183.4111926202</v>
      </c>
      <c r="D19" s="65">
        <v>-7582720.7501432803</v>
      </c>
      <c r="E19" s="65">
        <v>-7213761.7391436901</v>
      </c>
      <c r="F19" s="65">
        <v>-7453441.8796286201</v>
      </c>
      <c r="G19" s="65">
        <v>-6760780.9403702999</v>
      </c>
      <c r="H19" s="65">
        <v>-6997849.0854379898</v>
      </c>
      <c r="I19" s="65">
        <v>-7122279.73809449</v>
      </c>
      <c r="J19" s="65">
        <v>-5471317.1764374701</v>
      </c>
      <c r="K19" s="65">
        <v>-5481643.6455163304</v>
      </c>
      <c r="L19" s="88">
        <f t="shared" si="0"/>
        <v>3.8724081975061074E-2</v>
      </c>
      <c r="M19" s="61" t="s">
        <v>193</v>
      </c>
      <c r="N19" s="65">
        <v>-138285255.25836301</v>
      </c>
      <c r="O19" s="65">
        <v>-136429540.33847499</v>
      </c>
      <c r="P19" s="65">
        <v>-129593546.00771999</v>
      </c>
      <c r="Q19" s="65">
        <v>-128720751.12412</v>
      </c>
      <c r="R19" s="65">
        <v>-115476947.06512199</v>
      </c>
      <c r="S19" s="65">
        <v>-115065229.152647</v>
      </c>
      <c r="T19" s="65">
        <v>-117412288.069428</v>
      </c>
      <c r="U19" s="65">
        <v>-89670404.472655594</v>
      </c>
      <c r="V19" s="65">
        <v>-89700717.819337606</v>
      </c>
      <c r="W19" s="88">
        <f t="shared" si="1"/>
        <v>1.3419470618331106E-2</v>
      </c>
    </row>
    <row r="20" spans="1:23">
      <c r="B20" s="61" t="s">
        <v>194</v>
      </c>
      <c r="C20" s="65">
        <v>-188457998.921868</v>
      </c>
      <c r="D20" s="65">
        <v>-195286505.39507601</v>
      </c>
      <c r="E20" s="65">
        <v>-200761695.69183701</v>
      </c>
      <c r="F20" s="65">
        <v>-198365034.243357</v>
      </c>
      <c r="G20" s="65">
        <v>-203726049.670598</v>
      </c>
      <c r="H20" s="65">
        <v>-205047352.63854599</v>
      </c>
      <c r="I20" s="65">
        <v>-193444415.95408201</v>
      </c>
      <c r="J20" s="65">
        <v>-194262620.722377</v>
      </c>
      <c r="K20" s="65">
        <v>-183038062.126645</v>
      </c>
      <c r="L20" s="88">
        <f t="shared" si="0"/>
        <v>-3.623357200157374E-2</v>
      </c>
      <c r="M20" s="61" t="s">
        <v>194</v>
      </c>
      <c r="N20" s="65">
        <v>-3285361822.69031</v>
      </c>
      <c r="O20" s="65">
        <v>-3525943843.5611501</v>
      </c>
      <c r="P20" s="65">
        <v>-3629486438.48457</v>
      </c>
      <c r="Q20" s="65">
        <v>-3420867991.0675902</v>
      </c>
      <c r="R20" s="65">
        <v>-3491987968.3620601</v>
      </c>
      <c r="S20" s="65">
        <v>-3369373355.1034198</v>
      </c>
      <c r="T20" s="65">
        <v>-3182585563.4162002</v>
      </c>
      <c r="U20" s="65">
        <v>-3181276344.1375098</v>
      </c>
      <c r="V20" s="65">
        <v>-2994627273.19416</v>
      </c>
      <c r="W20" s="88">
        <f t="shared" si="1"/>
        <v>-7.3228470364896603E-2</v>
      </c>
    </row>
    <row r="21" spans="1:23">
      <c r="B21" s="61" t="s">
        <v>195</v>
      </c>
      <c r="C21" s="65">
        <v>-99836072.267598495</v>
      </c>
      <c r="D21" s="65">
        <v>-86163642.153032094</v>
      </c>
      <c r="E21" s="65">
        <v>-81094170.140385404</v>
      </c>
      <c r="F21" s="65">
        <v>-81239392.302203193</v>
      </c>
      <c r="G21" s="65">
        <v>-79826717.410285994</v>
      </c>
      <c r="H21" s="65">
        <v>-80626849.694268793</v>
      </c>
      <c r="I21" s="65">
        <v>-87988257.068126395</v>
      </c>
      <c r="J21" s="65">
        <v>-75522211.741364107</v>
      </c>
      <c r="K21" s="65">
        <v>-71463458.516438499</v>
      </c>
      <c r="L21" s="88">
        <f t="shared" si="0"/>
        <v>0.13694879820511277</v>
      </c>
      <c r="M21" s="61" t="s">
        <v>195</v>
      </c>
      <c r="N21" s="65">
        <v>-1726686941.1691599</v>
      </c>
      <c r="O21" s="65">
        <v>-1500228432.5590601</v>
      </c>
      <c r="P21" s="65">
        <v>-1408806980.26196</v>
      </c>
      <c r="Q21" s="65">
        <v>-1375349158.57375</v>
      </c>
      <c r="R21" s="65">
        <v>-1342702151.0740099</v>
      </c>
      <c r="S21" s="65">
        <v>-1316043061.45385</v>
      </c>
      <c r="T21" s="65">
        <v>-1443235562.42277</v>
      </c>
      <c r="U21" s="65">
        <v>-1233878725.2762001</v>
      </c>
      <c r="V21" s="65">
        <v>-1168454846.7653401</v>
      </c>
      <c r="W21" s="88">
        <f t="shared" si="1"/>
        <v>0.1311520364292337</v>
      </c>
    </row>
    <row r="22" spans="1:23">
      <c r="B22" s="61" t="s">
        <v>196</v>
      </c>
      <c r="C22" s="65">
        <v>-127318731.294724</v>
      </c>
      <c r="D22" s="65">
        <v>-130615655.848</v>
      </c>
      <c r="E22" s="65">
        <v>-130615655.848</v>
      </c>
      <c r="F22" s="65">
        <v>-127863863.27514499</v>
      </c>
      <c r="G22" s="65">
        <v>-127863863.27514499</v>
      </c>
      <c r="H22" s="65">
        <v>-117980777.95296501</v>
      </c>
      <c r="I22" s="65">
        <v>-117980777.95296501</v>
      </c>
      <c r="J22" s="65">
        <v>-117980777.95296501</v>
      </c>
      <c r="K22" s="65">
        <v>-115650000</v>
      </c>
      <c r="L22" s="88">
        <f t="shared" si="0"/>
        <v>-2.5895047176083701E-2</v>
      </c>
      <c r="M22" s="61" t="s">
        <v>196</v>
      </c>
      <c r="N22" s="65">
        <v>-2217266884.0685101</v>
      </c>
      <c r="O22" s="65">
        <v>-2350022534.3006802</v>
      </c>
      <c r="P22" s="65">
        <v>-2349972838.25809</v>
      </c>
      <c r="Q22" s="65">
        <v>-2202257143.8765998</v>
      </c>
      <c r="R22" s="65">
        <v>-2187984934.7397199</v>
      </c>
      <c r="S22" s="65">
        <v>-1936029431.06374</v>
      </c>
      <c r="T22" s="65">
        <v>-1940040348.36411</v>
      </c>
      <c r="U22" s="65">
        <v>-1934446412.1586201</v>
      </c>
      <c r="V22" s="65">
        <v>-1894799974.33671</v>
      </c>
      <c r="W22" s="88">
        <f t="shared" si="1"/>
        <v>-5.9873554774143356E-2</v>
      </c>
    </row>
    <row r="23" spans="1:23">
      <c r="B23" s="61" t="s">
        <v>197</v>
      </c>
      <c r="C23" s="65">
        <v>-64005344.022786804</v>
      </c>
      <c r="D23" s="65">
        <v>-63573000</v>
      </c>
      <c r="E23" s="65">
        <v>-63573000</v>
      </c>
      <c r="F23" s="65">
        <v>-63832000</v>
      </c>
      <c r="G23" s="65">
        <v>-63832000</v>
      </c>
      <c r="H23" s="65">
        <v>-66788054.073266298</v>
      </c>
      <c r="I23" s="65">
        <v>-66788054.073266298</v>
      </c>
      <c r="J23" s="65">
        <v>-63285000</v>
      </c>
      <c r="K23" s="65">
        <v>-65422403.020834602</v>
      </c>
      <c r="L23" s="88">
        <f t="shared" si="0"/>
        <v>6.7548113268930008E-3</v>
      </c>
      <c r="M23" s="61" t="s">
        <v>197</v>
      </c>
      <c r="N23" s="65">
        <v>-1111378597.60497</v>
      </c>
      <c r="O23" s="65">
        <v>-1134664069.73384</v>
      </c>
      <c r="P23" s="65">
        <v>-1134676158.5794301</v>
      </c>
      <c r="Q23" s="65">
        <v>-1096188740.9071701</v>
      </c>
      <c r="R23" s="65">
        <v>-1089371349.8015699</v>
      </c>
      <c r="S23" s="65">
        <v>-1097268822.9385099</v>
      </c>
      <c r="T23" s="65">
        <v>-1099256147.7463801</v>
      </c>
      <c r="U23" s="65">
        <v>-1037725472.5265501</v>
      </c>
      <c r="V23" s="65">
        <v>-1072611989.9536999</v>
      </c>
      <c r="W23" s="88">
        <f t="shared" si="1"/>
        <v>-2.0951881005312135E-2</v>
      </c>
    </row>
    <row r="24" spans="1:23">
      <c r="A24" s="80"/>
      <c r="B24" s="61" t="s">
        <v>198</v>
      </c>
      <c r="C24" s="65">
        <v>-235984519.28562501</v>
      </c>
      <c r="D24" s="65">
        <v>-227845436.08066601</v>
      </c>
      <c r="E24" s="65">
        <v>-227845436.08066601</v>
      </c>
      <c r="F24" s="65">
        <v>-227845436.08066601</v>
      </c>
      <c r="G24" s="65">
        <v>-227845436.08066601</v>
      </c>
      <c r="H24" s="65">
        <v>-214016713.87</v>
      </c>
      <c r="I24" s="65">
        <v>-214016713.87</v>
      </c>
      <c r="J24" s="65">
        <v>-203752546.61809099</v>
      </c>
      <c r="K24" s="65">
        <v>-203311373.96858701</v>
      </c>
      <c r="L24" s="88">
        <f t="shared" si="0"/>
        <v>3.4489903107194186E-2</v>
      </c>
      <c r="M24" s="61" t="s">
        <v>198</v>
      </c>
      <c r="N24" s="65">
        <v>-4103381937.5338202</v>
      </c>
      <c r="O24" s="65">
        <v>-4061416407.2662601</v>
      </c>
      <c r="P24" s="65">
        <v>-4065447039.52634</v>
      </c>
      <c r="Q24" s="65">
        <v>-3914342636.00595</v>
      </c>
      <c r="R24" s="65">
        <v>-3889960650.6005902</v>
      </c>
      <c r="S24" s="65">
        <v>-3510267151.4180298</v>
      </c>
      <c r="T24" s="65">
        <v>-3519152706.6612</v>
      </c>
      <c r="U24" s="65">
        <v>-3338734606.0826502</v>
      </c>
      <c r="V24" s="65">
        <v>-3333400937.7540302</v>
      </c>
      <c r="W24" s="88">
        <f t="shared" si="1"/>
        <v>1.0227059266333315E-2</v>
      </c>
    </row>
    <row r="25" spans="1:23">
      <c r="A25" s="80"/>
      <c r="B25" s="61" t="s">
        <v>199</v>
      </c>
      <c r="C25" s="65"/>
      <c r="D25" s="65"/>
      <c r="E25" s="65"/>
      <c r="F25" s="65"/>
      <c r="G25" s="65"/>
      <c r="H25" s="65"/>
      <c r="I25" s="65"/>
      <c r="J25" s="65"/>
      <c r="K25" s="65"/>
      <c r="L25" s="88"/>
      <c r="M25" s="61" t="s">
        <v>199</v>
      </c>
      <c r="N25" s="65"/>
      <c r="O25" s="65"/>
      <c r="P25" s="65"/>
      <c r="Q25" s="65"/>
      <c r="R25" s="65"/>
      <c r="S25" s="65"/>
      <c r="T25" s="65"/>
      <c r="U25" s="65"/>
      <c r="V25" s="65"/>
      <c r="W25" s="88"/>
    </row>
    <row r="26" spans="1:23">
      <c r="A26" s="81"/>
      <c r="B26" s="61" t="s">
        <v>200</v>
      </c>
      <c r="C26" s="65"/>
      <c r="D26" s="65"/>
      <c r="E26" s="65"/>
      <c r="F26" s="65"/>
      <c r="G26" s="65"/>
      <c r="H26" s="65"/>
      <c r="I26" s="65"/>
      <c r="J26" s="65"/>
      <c r="K26" s="65"/>
      <c r="L26" s="88"/>
      <c r="M26" s="61" t="s">
        <v>200</v>
      </c>
      <c r="N26" s="65"/>
      <c r="O26" s="65"/>
      <c r="P26" s="65"/>
      <c r="Q26" s="65"/>
      <c r="R26" s="65"/>
      <c r="S26" s="65"/>
      <c r="T26" s="65"/>
      <c r="U26" s="65"/>
      <c r="V26" s="65"/>
      <c r="W26" s="88"/>
    </row>
    <row r="27" spans="1:23">
      <c r="B27" s="61" t="s">
        <v>201</v>
      </c>
      <c r="C27" s="65">
        <v>61756978.920885198</v>
      </c>
      <c r="D27" s="65">
        <v>63436508.3573125</v>
      </c>
      <c r="E27" s="65">
        <v>64165727.441661097</v>
      </c>
      <c r="F27" s="65">
        <v>63414009.861970603</v>
      </c>
      <c r="G27" s="65">
        <v>68415965.572403803</v>
      </c>
      <c r="H27" s="65">
        <v>67075013.113801204</v>
      </c>
      <c r="I27" s="65">
        <v>66069900.508916602</v>
      </c>
      <c r="J27" s="65">
        <v>62750213.967726402</v>
      </c>
      <c r="K27" s="65">
        <v>64663395.621536501</v>
      </c>
      <c r="L27" s="88">
        <f t="shared" si="0"/>
        <v>-2.71957836308491E-2</v>
      </c>
      <c r="M27" s="61" t="s">
        <v>202</v>
      </c>
      <c r="N27" s="65">
        <v>1065653708.92229</v>
      </c>
      <c r="O27" s="65">
        <v>1127596457.42816</v>
      </c>
      <c r="P27" s="65">
        <v>1141503328.6099701</v>
      </c>
      <c r="Q27" s="65">
        <v>1084445071.0989499</v>
      </c>
      <c r="R27" s="65">
        <v>1167236576.46103</v>
      </c>
      <c r="S27" s="65">
        <v>1099840962.51318</v>
      </c>
      <c r="T27" s="65">
        <v>1085979313.4098201</v>
      </c>
      <c r="U27" s="65">
        <v>1027752604.02504</v>
      </c>
      <c r="V27" s="65">
        <v>1059537668.68446</v>
      </c>
      <c r="W27" s="88">
        <f t="shared" si="1"/>
        <v>-5.8126526457186099E-2</v>
      </c>
    </row>
    <row r="28" spans="1:23">
      <c r="B28" s="61" t="s">
        <v>203</v>
      </c>
      <c r="C28" s="65">
        <v>8532196.4304975104</v>
      </c>
      <c r="D28" s="65">
        <v>8308949.15726336</v>
      </c>
      <c r="E28" s="65">
        <v>8302562.4651339902</v>
      </c>
      <c r="F28" s="65">
        <v>8338106.7792160697</v>
      </c>
      <c r="G28" s="65">
        <v>8213540.9641968999</v>
      </c>
      <c r="H28" s="65">
        <v>8530815.9579789005</v>
      </c>
      <c r="I28" s="65">
        <v>8268866.4211742198</v>
      </c>
      <c r="J28" s="65">
        <v>7752725.0280248402</v>
      </c>
      <c r="K28" s="65">
        <v>7696749.8208696097</v>
      </c>
      <c r="L28" s="88">
        <f t="shared" si="0"/>
        <v>2.616527585278916E-2</v>
      </c>
      <c r="M28" s="61" t="s">
        <v>203</v>
      </c>
      <c r="N28" s="65">
        <v>148529646.82759199</v>
      </c>
      <c r="O28" s="65">
        <v>148529646.82759199</v>
      </c>
      <c r="P28" s="65">
        <v>148492630.50626099</v>
      </c>
      <c r="Q28" s="65">
        <v>143274887.147533</v>
      </c>
      <c r="R28" s="65">
        <v>142781654.97028199</v>
      </c>
      <c r="S28" s="65">
        <v>140095820.127379</v>
      </c>
      <c r="T28" s="65">
        <v>135983614.37754101</v>
      </c>
      <c r="U28" s="65">
        <v>126992181.35486899</v>
      </c>
      <c r="V28" s="65">
        <v>126041514.70485701</v>
      </c>
      <c r="W28" s="88">
        <f t="shared" si="1"/>
        <v>0</v>
      </c>
    </row>
    <row r="29" spans="1:23">
      <c r="B29" s="61" t="s">
        <v>204</v>
      </c>
      <c r="C29" s="65">
        <v>2730766.1804730301</v>
      </c>
      <c r="D29" s="65">
        <v>2569023.8966529099</v>
      </c>
      <c r="E29" s="65">
        <v>2488439.2093690298</v>
      </c>
      <c r="F29" s="65">
        <v>2538599.2123359698</v>
      </c>
      <c r="G29" s="65">
        <v>2647295.3792126798</v>
      </c>
      <c r="H29" s="65">
        <v>2717696.2061954499</v>
      </c>
      <c r="I29" s="65">
        <v>2733832.1051727701</v>
      </c>
      <c r="J29" s="65">
        <v>2611918.4981199098</v>
      </c>
      <c r="K29" s="65">
        <v>2578106.1019730298</v>
      </c>
      <c r="L29" s="88">
        <f t="shared" si="0"/>
        <v>5.9229634882948037E-2</v>
      </c>
      <c r="M29" s="61" t="s">
        <v>204</v>
      </c>
      <c r="N29" s="65">
        <v>46606523.237887003</v>
      </c>
      <c r="O29" s="65">
        <v>44272736.906217001</v>
      </c>
      <c r="P29" s="65">
        <v>42827974.443464004</v>
      </c>
      <c r="Q29" s="65">
        <v>42827974.443464004</v>
      </c>
      <c r="R29" s="65">
        <v>44544340.279454</v>
      </c>
      <c r="S29" s="65">
        <v>44392164.189999998</v>
      </c>
      <c r="T29" s="65">
        <v>44790975.143611997</v>
      </c>
      <c r="U29" s="65">
        <v>42669067.535928003</v>
      </c>
      <c r="V29" s="65">
        <v>42194656.462346002</v>
      </c>
      <c r="W29" s="88">
        <f t="shared" si="1"/>
        <v>5.0074242177602257E-2</v>
      </c>
    </row>
    <row r="30" spans="1:23">
      <c r="B30" s="61" t="s">
        <v>205</v>
      </c>
      <c r="C30" s="65">
        <v>1492423.6998499599</v>
      </c>
      <c r="D30" s="65">
        <v>1414055.1975860901</v>
      </c>
      <c r="E30" s="65">
        <v>1404039.2831053699</v>
      </c>
      <c r="F30" s="65">
        <v>1453488.82839366</v>
      </c>
      <c r="G30" s="65">
        <v>1296548.79694651</v>
      </c>
      <c r="H30" s="65">
        <v>1300371.4170101201</v>
      </c>
      <c r="I30" s="65">
        <v>1358881.90807147</v>
      </c>
      <c r="J30" s="65">
        <v>1090830.98278081</v>
      </c>
      <c r="K30" s="65">
        <v>1055765.31894262</v>
      </c>
      <c r="L30" s="88">
        <f t="shared" si="0"/>
        <v>5.2510893703811186E-2</v>
      </c>
      <c r="M30" s="61" t="s">
        <v>205</v>
      </c>
      <c r="N30" s="65">
        <v>25776364.625358999</v>
      </c>
      <c r="O30" s="65">
        <v>24901785.636107001</v>
      </c>
      <c r="P30" s="65">
        <v>24760927.102423999</v>
      </c>
      <c r="Q30" s="65">
        <v>24814064.433897998</v>
      </c>
      <c r="R30" s="65">
        <v>21865069.616533</v>
      </c>
      <c r="S30" s="65">
        <v>21241766.713465001</v>
      </c>
      <c r="T30" s="65">
        <v>22282423.508703999</v>
      </c>
      <c r="U30" s="65">
        <v>17780981.404602401</v>
      </c>
      <c r="V30" s="65">
        <v>17206262.619836401</v>
      </c>
      <c r="W30" s="88">
        <f t="shared" si="1"/>
        <v>3.3929493237831503E-2</v>
      </c>
    </row>
    <row r="31" spans="1:23">
      <c r="B31" s="61" t="s">
        <v>206</v>
      </c>
      <c r="C31" s="65">
        <v>30720313.741362602</v>
      </c>
      <c r="D31" s="65">
        <v>33015114.873282399</v>
      </c>
      <c r="E31" s="65">
        <v>35823461.6502119</v>
      </c>
      <c r="F31" s="65">
        <v>33969322.275416203</v>
      </c>
      <c r="G31" s="65">
        <v>37782465.671511501</v>
      </c>
      <c r="H31" s="65">
        <v>39525355.162591197</v>
      </c>
      <c r="I31" s="65">
        <v>37170565.307255</v>
      </c>
      <c r="J31" s="65">
        <v>37570418.141920403</v>
      </c>
      <c r="K31" s="65">
        <v>35432818.786695696</v>
      </c>
      <c r="L31" s="88">
        <f t="shared" si="0"/>
        <v>-7.4699794775533804E-2</v>
      </c>
      <c r="M31" s="61" t="s">
        <v>206</v>
      </c>
      <c r="N31" s="65">
        <v>533734044.56948501</v>
      </c>
      <c r="O31" s="65">
        <v>595744682.66043198</v>
      </c>
      <c r="P31" s="65">
        <v>649377233.38662302</v>
      </c>
      <c r="Q31" s="65">
        <v>585210287.06843102</v>
      </c>
      <c r="R31" s="65">
        <v>648998061.18287396</v>
      </c>
      <c r="S31" s="65">
        <v>650358229.72385001</v>
      </c>
      <c r="T31" s="65">
        <v>612360329.47302306</v>
      </c>
      <c r="U31" s="65">
        <v>616007569.30767202</v>
      </c>
      <c r="V31" s="65">
        <v>580111070.34406698</v>
      </c>
      <c r="W31" s="88">
        <f t="shared" si="1"/>
        <v>-0.11618265449221128</v>
      </c>
    </row>
    <row r="32" spans="1:23">
      <c r="B32" s="61" t="s">
        <v>207</v>
      </c>
      <c r="C32" s="65">
        <v>13331931.962824101</v>
      </c>
      <c r="D32" s="65">
        <v>11675236.184516</v>
      </c>
      <c r="E32" s="65">
        <v>10932405.353193</v>
      </c>
      <c r="F32" s="65">
        <v>10895270.529754</v>
      </c>
      <c r="G32" s="65">
        <v>10573424.190838</v>
      </c>
      <c r="H32" s="65">
        <v>10519115.327530099</v>
      </c>
      <c r="I32" s="65">
        <v>11418079.001403799</v>
      </c>
      <c r="J32" s="65">
        <v>9725266.6312154606</v>
      </c>
      <c r="K32" s="65">
        <v>9201819.4289034996</v>
      </c>
      <c r="L32" s="88">
        <f t="shared" si="0"/>
        <v>0.12426524399672705</v>
      </c>
      <c r="M32" s="61" t="s">
        <v>207</v>
      </c>
      <c r="N32" s="65">
        <v>229946376.17006999</v>
      </c>
      <c r="O32" s="65">
        <v>202705484.89144999</v>
      </c>
      <c r="P32" s="65">
        <v>189277687.12970999</v>
      </c>
      <c r="Q32" s="65">
        <v>184060348.87693</v>
      </c>
      <c r="R32" s="65">
        <v>177358001.85003</v>
      </c>
      <c r="S32" s="65">
        <v>171435149.18204999</v>
      </c>
      <c r="T32" s="65">
        <v>187055845.59899101</v>
      </c>
      <c r="U32" s="65">
        <v>158675730.19145</v>
      </c>
      <c r="V32" s="65">
        <v>150244254.24044001</v>
      </c>
      <c r="W32" s="88">
        <f t="shared" si="1"/>
        <v>0.11846627780066621</v>
      </c>
    </row>
    <row r="33" spans="2:23">
      <c r="B33" s="61" t="s">
        <v>208</v>
      </c>
      <c r="C33" s="65">
        <v>26850885.494738001</v>
      </c>
      <c r="D33" s="65">
        <v>29842738.512499999</v>
      </c>
      <c r="E33" s="65">
        <v>29842738.512499999</v>
      </c>
      <c r="F33" s="65">
        <v>30558834.105664998</v>
      </c>
      <c r="G33" s="65">
        <v>30558834.105664998</v>
      </c>
      <c r="H33" s="65">
        <v>32137372.108881</v>
      </c>
      <c r="I33" s="65">
        <v>32137372.108881</v>
      </c>
      <c r="J33" s="65">
        <v>32137372.108881</v>
      </c>
      <c r="K33" s="65">
        <v>33622000</v>
      </c>
      <c r="L33" s="88">
        <f t="shared" si="0"/>
        <v>-0.11142474308150153</v>
      </c>
      <c r="M33" s="61" t="s">
        <v>208</v>
      </c>
      <c r="N33" s="65">
        <v>453966994.65147799</v>
      </c>
      <c r="O33" s="65">
        <v>522252782.39703703</v>
      </c>
      <c r="P33" s="65">
        <v>520846285.88268799</v>
      </c>
      <c r="Q33" s="65">
        <v>517196140.44315398</v>
      </c>
      <c r="R33" s="65">
        <v>514584113.84403402</v>
      </c>
      <c r="S33" s="65">
        <v>525422088.436257</v>
      </c>
      <c r="T33" s="65">
        <v>526801268.03769398</v>
      </c>
      <c r="U33" s="65">
        <v>526480400.14203298</v>
      </c>
      <c r="V33" s="65">
        <v>551197165.03208899</v>
      </c>
      <c r="W33" s="88">
        <f t="shared" si="1"/>
        <v>-0.15042015950517235</v>
      </c>
    </row>
    <row r="34" spans="2:23">
      <c r="B34" s="61" t="s">
        <v>209</v>
      </c>
      <c r="C34" s="65">
        <v>16390171.804550501</v>
      </c>
      <c r="D34" s="65">
        <v>16541000</v>
      </c>
      <c r="E34" s="65">
        <v>16541000</v>
      </c>
      <c r="F34" s="65">
        <v>15499000</v>
      </c>
      <c r="G34" s="65">
        <v>15499000</v>
      </c>
      <c r="H34" s="65">
        <v>15572321.611891801</v>
      </c>
      <c r="I34" s="65">
        <v>15572321.611891801</v>
      </c>
      <c r="J34" s="65">
        <v>11750000</v>
      </c>
      <c r="K34" s="65">
        <v>12277023.646968899</v>
      </c>
      <c r="L34" s="88">
        <f t="shared" si="0"/>
        <v>-9.2023559757698267E-3</v>
      </c>
      <c r="M34" s="61" t="s">
        <v>209</v>
      </c>
      <c r="N34" s="65">
        <v>281301390.60782599</v>
      </c>
      <c r="O34" s="65">
        <v>290396543.42187202</v>
      </c>
      <c r="P34" s="65">
        <v>291105457.93735403</v>
      </c>
      <c r="Q34" s="65">
        <v>262993110.12036201</v>
      </c>
      <c r="R34" s="65">
        <v>261720026.66422799</v>
      </c>
      <c r="S34" s="65">
        <v>256164160.47507799</v>
      </c>
      <c r="T34" s="65">
        <v>256321875.56824699</v>
      </c>
      <c r="U34" s="65">
        <v>192390185.10828301</v>
      </c>
      <c r="V34" s="65">
        <v>201365554.602157</v>
      </c>
      <c r="W34" s="88">
        <f t="shared" si="1"/>
        <v>-3.2332413268180239E-2</v>
      </c>
    </row>
    <row r="35" spans="2:23">
      <c r="B35" s="61" t="s">
        <v>210</v>
      </c>
      <c r="C35" s="65">
        <v>35210678.521687001</v>
      </c>
      <c r="D35" s="65">
        <v>36787110.694227003</v>
      </c>
      <c r="E35" s="65">
        <v>36787110.694227003</v>
      </c>
      <c r="F35" s="65">
        <v>36787110.694227003</v>
      </c>
      <c r="G35" s="65">
        <v>36787110.694226898</v>
      </c>
      <c r="H35" s="65">
        <v>28679820.829999998</v>
      </c>
      <c r="I35" s="65">
        <v>28679820.829999998</v>
      </c>
      <c r="J35" s="65">
        <v>27661187.229504999</v>
      </c>
      <c r="K35" s="65">
        <v>33940069.390136003</v>
      </c>
      <c r="L35" s="88">
        <f t="shared" si="0"/>
        <v>-4.4771422725325888E-2</v>
      </c>
      <c r="M35" s="61" t="s">
        <v>210</v>
      </c>
      <c r="N35" s="65">
        <v>612904129.57975805</v>
      </c>
      <c r="O35" s="65">
        <v>663631226.77482104</v>
      </c>
      <c r="P35" s="65">
        <v>662947827.05816698</v>
      </c>
      <c r="Q35" s="65">
        <v>634360476.17625594</v>
      </c>
      <c r="R35" s="65">
        <v>630204060.15000904</v>
      </c>
      <c r="S35" s="65">
        <v>469308843.45764798</v>
      </c>
      <c r="T35" s="65">
        <v>471676349.90369999</v>
      </c>
      <c r="U35" s="65">
        <v>453220157.24774301</v>
      </c>
      <c r="V35" s="65">
        <v>557292275.43878901</v>
      </c>
      <c r="W35" s="88">
        <f t="shared" si="1"/>
        <v>-8.276514180096059E-2</v>
      </c>
    </row>
    <row r="36" spans="2:23">
      <c r="B36" s="61" t="s">
        <v>211</v>
      </c>
      <c r="C36" s="65"/>
      <c r="D36" s="65"/>
      <c r="E36" s="65"/>
      <c r="F36" s="65"/>
      <c r="G36" s="65"/>
      <c r="H36" s="65"/>
      <c r="I36" s="65"/>
      <c r="J36" s="65"/>
      <c r="K36" s="65"/>
      <c r="L36" s="88"/>
      <c r="M36" s="61" t="s">
        <v>211</v>
      </c>
      <c r="N36" s="65"/>
      <c r="O36" s="65"/>
      <c r="P36" s="65"/>
      <c r="Q36" s="65"/>
      <c r="R36" s="65"/>
      <c r="S36" s="65"/>
      <c r="T36" s="65"/>
      <c r="U36" s="65"/>
      <c r="V36" s="65"/>
      <c r="W36" s="88"/>
    </row>
    <row r="37" spans="2:23">
      <c r="B37" s="61" t="s">
        <v>212</v>
      </c>
      <c r="C37" s="65"/>
      <c r="D37" s="65"/>
      <c r="E37" s="65"/>
      <c r="F37" s="65"/>
      <c r="G37" s="65"/>
      <c r="H37" s="65"/>
      <c r="I37" s="65"/>
      <c r="J37" s="65"/>
      <c r="K37" s="65"/>
      <c r="L37" s="88"/>
      <c r="M37" s="61" t="s">
        <v>212</v>
      </c>
      <c r="N37" s="65"/>
      <c r="O37" s="65"/>
      <c r="P37" s="65"/>
      <c r="Q37" s="65"/>
      <c r="R37" s="65"/>
      <c r="S37" s="65"/>
      <c r="T37" s="65"/>
      <c r="U37" s="65"/>
      <c r="V37" s="65"/>
      <c r="W37" s="88"/>
    </row>
    <row r="38" spans="2:23">
      <c r="B38" s="61" t="s">
        <v>213</v>
      </c>
      <c r="C38" s="65">
        <v>-22872056.8792147</v>
      </c>
      <c r="D38" s="65">
        <v>-22040335.100347102</v>
      </c>
      <c r="E38" s="65">
        <v>-22299311.9101777</v>
      </c>
      <c r="F38" s="65">
        <v>-22496483.401030298</v>
      </c>
      <c r="G38" s="65">
        <v>-23518756.077754699</v>
      </c>
      <c r="H38" s="65">
        <v>-23691440.675467901</v>
      </c>
      <c r="I38" s="65">
        <v>-23234642.463828199</v>
      </c>
      <c r="J38" s="65">
        <v>-22353537.7413719</v>
      </c>
      <c r="K38" s="65">
        <v>-22396118.2139837</v>
      </c>
      <c r="L38" s="88">
        <f t="shared" si="0"/>
        <v>3.6364100669207297E-2</v>
      </c>
      <c r="M38" s="61" t="s">
        <v>214</v>
      </c>
      <c r="N38" s="65">
        <v>-398508076.188402</v>
      </c>
      <c r="O38" s="65">
        <v>-394020354.55264401</v>
      </c>
      <c r="P38" s="65">
        <v>-399216915.91286403</v>
      </c>
      <c r="Q38" s="65">
        <v>-387059992.72021598</v>
      </c>
      <c r="R38" s="65">
        <v>-402678414.28535998</v>
      </c>
      <c r="S38" s="65">
        <v>-389005714.91345102</v>
      </c>
      <c r="T38" s="65">
        <v>-382217274.58090699</v>
      </c>
      <c r="U38" s="65">
        <v>-366364313.713889</v>
      </c>
      <c r="V38" s="65">
        <v>-366866659.18037999</v>
      </c>
      <c r="W38" s="88">
        <f t="shared" si="1"/>
        <v>1.1261306618128186E-2</v>
      </c>
    </row>
    <row r="39" spans="2:23">
      <c r="B39" s="61" t="s">
        <v>215</v>
      </c>
      <c r="C39" s="65">
        <v>-3328035.6036580801</v>
      </c>
      <c r="D39" s="65">
        <v>-3223334.13317692</v>
      </c>
      <c r="E39" s="65">
        <v>-3190148.9233539598</v>
      </c>
      <c r="F39" s="65">
        <v>-3667095.25539013</v>
      </c>
      <c r="G39" s="65">
        <v>-3026575.5788383302</v>
      </c>
      <c r="H39" s="65">
        <v>-3151989.5601178501</v>
      </c>
      <c r="I39" s="65">
        <v>-3127750.3909974499</v>
      </c>
      <c r="J39" s="65">
        <v>-3034722.30555544</v>
      </c>
      <c r="K39" s="65">
        <v>-2989817.7838455299</v>
      </c>
      <c r="L39" s="88">
        <f t="shared" si="0"/>
        <v>3.1460441819214702E-2</v>
      </c>
      <c r="M39" s="61" t="s">
        <v>215</v>
      </c>
      <c r="N39" s="65">
        <v>-58526707</v>
      </c>
      <c r="O39" s="65">
        <v>-58526707</v>
      </c>
      <c r="P39" s="65">
        <v>-57726619.393665098</v>
      </c>
      <c r="Q39" s="65">
        <v>-63771205</v>
      </c>
      <c r="R39" s="65">
        <v>-52965707</v>
      </c>
      <c r="S39" s="65">
        <v>-51873385</v>
      </c>
      <c r="T39" s="65">
        <v>-51554770.289387099</v>
      </c>
      <c r="U39" s="65">
        <v>-49803251</v>
      </c>
      <c r="V39" s="65">
        <v>-48971457.967633702</v>
      </c>
      <c r="W39" s="88">
        <f t="shared" si="1"/>
        <v>0</v>
      </c>
    </row>
    <row r="40" spans="2:23">
      <c r="B40" s="61" t="s">
        <v>216</v>
      </c>
      <c r="C40" s="65">
        <v>-1000093.10126513</v>
      </c>
      <c r="D40" s="65">
        <v>-903351.06512467505</v>
      </c>
      <c r="E40" s="65">
        <v>-1099364.4733762799</v>
      </c>
      <c r="F40" s="65">
        <v>-1138876.38295957</v>
      </c>
      <c r="G40" s="65">
        <v>-1035537.50707967</v>
      </c>
      <c r="H40" s="65">
        <v>-1086766.7328342299</v>
      </c>
      <c r="I40" s="65">
        <v>-1077030.53205036</v>
      </c>
      <c r="J40" s="65">
        <v>-1024470.21673908</v>
      </c>
      <c r="K40" s="65">
        <v>-1047667.66991535</v>
      </c>
      <c r="L40" s="88">
        <f t="shared" si="0"/>
        <v>9.6733030172965973E-2</v>
      </c>
      <c r="M40" s="61" t="s">
        <v>216</v>
      </c>
      <c r="N40" s="65">
        <v>-17279691.554120801</v>
      </c>
      <c r="O40" s="65">
        <v>-15759611.253217399</v>
      </c>
      <c r="P40" s="65">
        <v>-19648119.581058599</v>
      </c>
      <c r="Q40" s="65">
        <v>-19648119.581058599</v>
      </c>
      <c r="R40" s="65">
        <v>-17670543.3518827</v>
      </c>
      <c r="S40" s="65">
        <v>-17866373.140000001</v>
      </c>
      <c r="T40" s="65">
        <v>-17738175.615935002</v>
      </c>
      <c r="U40" s="65">
        <v>-16803922.890176199</v>
      </c>
      <c r="V40" s="65">
        <v>-17164520.8040151</v>
      </c>
      <c r="W40" s="88">
        <f t="shared" si="1"/>
        <v>8.7969180245054707E-2</v>
      </c>
    </row>
    <row r="41" spans="2:23">
      <c r="B41" s="61" t="s">
        <v>217</v>
      </c>
      <c r="C41" s="65">
        <v>-680887.22538996802</v>
      </c>
      <c r="D41" s="65">
        <v>-646515.33514642203</v>
      </c>
      <c r="E41" s="65">
        <v>-658207.05098251801</v>
      </c>
      <c r="F41" s="65">
        <v>-677749.70400708995</v>
      </c>
      <c r="G41" s="65">
        <v>-592593.21953942999</v>
      </c>
      <c r="H41" s="65">
        <v>-619506.17684633797</v>
      </c>
      <c r="I41" s="65">
        <v>-612728.21281856601</v>
      </c>
      <c r="J41" s="65">
        <v>-566283.83677381999</v>
      </c>
      <c r="K41" s="65">
        <v>-559920.64414961904</v>
      </c>
      <c r="L41" s="88">
        <f t="shared" si="0"/>
        <v>5.0481032631887024E-2</v>
      </c>
      <c r="M41" s="61" t="s">
        <v>217</v>
      </c>
      <c r="N41" s="65">
        <v>-11875921.296793001</v>
      </c>
      <c r="O41" s="65">
        <v>-11568291.6793149</v>
      </c>
      <c r="P41" s="65">
        <v>-11792165.9186399</v>
      </c>
      <c r="Q41" s="65">
        <v>-11680878.855525499</v>
      </c>
      <c r="R41" s="65">
        <v>-10083156.794283601</v>
      </c>
      <c r="S41" s="65">
        <v>-10168393.187555199</v>
      </c>
      <c r="T41" s="65">
        <v>-10082595.675092001</v>
      </c>
      <c r="U41" s="65">
        <v>-9279606.0842716992</v>
      </c>
      <c r="V41" s="65">
        <v>-9162225.4770909604</v>
      </c>
      <c r="W41" s="88">
        <f t="shared" si="1"/>
        <v>2.5903642318779389E-2</v>
      </c>
    </row>
    <row r="42" spans="2:23">
      <c r="B42" s="61" t="s">
        <v>218</v>
      </c>
      <c r="C42" s="65">
        <v>-15407283.997424999</v>
      </c>
      <c r="D42" s="65">
        <v>-15498863.0941568</v>
      </c>
      <c r="E42" s="65">
        <v>-15926530.548414901</v>
      </c>
      <c r="F42" s="65">
        <v>-15535485.158942699</v>
      </c>
      <c r="G42" s="65">
        <v>-16183692.429251101</v>
      </c>
      <c r="H42" s="65">
        <v>-16935698.647358902</v>
      </c>
      <c r="I42" s="65">
        <v>-15473850.0267599</v>
      </c>
      <c r="J42" s="65">
        <v>-15494001.4997671</v>
      </c>
      <c r="K42" s="65">
        <v>-15500245.6873163</v>
      </c>
      <c r="L42" s="88">
        <f t="shared" si="0"/>
        <v>-5.9438832144008049E-3</v>
      </c>
      <c r="M42" s="61" t="s">
        <v>218</v>
      </c>
      <c r="N42" s="65">
        <v>-268653317.174712</v>
      </c>
      <c r="O42" s="65">
        <v>-278906561.12232101</v>
      </c>
      <c r="P42" s="65">
        <v>-286926669.54651302</v>
      </c>
      <c r="Q42" s="65">
        <v>-267471323.793145</v>
      </c>
      <c r="R42" s="65">
        <v>-277165920.72685701</v>
      </c>
      <c r="S42" s="65">
        <v>-278489690.54056501</v>
      </c>
      <c r="T42" s="65">
        <v>-254570395.39952299</v>
      </c>
      <c r="U42" s="65">
        <v>-253969551.51277399</v>
      </c>
      <c r="V42" s="65">
        <v>-253872204.45673499</v>
      </c>
      <c r="W42" s="88">
        <f t="shared" si="1"/>
        <v>-3.816533536766667E-2</v>
      </c>
    </row>
    <row r="43" spans="2:23">
      <c r="B43" s="61" t="s">
        <v>219</v>
      </c>
      <c r="C43" s="65">
        <v>-6820880.1561320797</v>
      </c>
      <c r="D43" s="65">
        <v>-6048428.9675130397</v>
      </c>
      <c r="E43" s="65">
        <v>-5831903.7521695402</v>
      </c>
      <c r="F43" s="65">
        <v>-5753967.8462563297</v>
      </c>
      <c r="G43" s="65">
        <v>-5688056.7526943795</v>
      </c>
      <c r="H43" s="65">
        <v>-5745984.1858942397</v>
      </c>
      <c r="I43" s="65">
        <v>-6533182.76737375</v>
      </c>
      <c r="J43" s="65">
        <v>-5474002.3155479003</v>
      </c>
      <c r="K43" s="65">
        <v>-5342329.9138860404</v>
      </c>
      <c r="L43" s="88">
        <f t="shared" si="0"/>
        <v>0.11324802238675812</v>
      </c>
      <c r="M43" s="61" t="s">
        <v>219</v>
      </c>
      <c r="N43" s="65">
        <v>-117838189.248004</v>
      </c>
      <c r="O43" s="65">
        <v>-105525315.168446</v>
      </c>
      <c r="P43" s="65">
        <v>-101624822.47498199</v>
      </c>
      <c r="Q43" s="65">
        <v>-97496881.604013607</v>
      </c>
      <c r="R43" s="65">
        <v>-95782797.103348106</v>
      </c>
      <c r="S43" s="65">
        <v>-93805553.9788941</v>
      </c>
      <c r="T43" s="65">
        <v>-107209500.691825</v>
      </c>
      <c r="U43" s="65">
        <v>-89409224.9540077</v>
      </c>
      <c r="V43" s="65">
        <v>-87317174.643370897</v>
      </c>
      <c r="W43" s="88">
        <f t="shared" si="1"/>
        <v>0.10448967485102933</v>
      </c>
    </row>
    <row r="44" spans="2:23">
      <c r="B44" s="61" t="s">
        <v>220</v>
      </c>
      <c r="C44" s="65">
        <v>-7304060.4750318397</v>
      </c>
      <c r="D44" s="65">
        <v>-7165795.0609999998</v>
      </c>
      <c r="E44" s="65">
        <v>-7165795.0609999998</v>
      </c>
      <c r="F44" s="65">
        <v>-6905702.8469069498</v>
      </c>
      <c r="G44" s="65">
        <v>-6905702.8469069498</v>
      </c>
      <c r="H44" s="65">
        <v>-6562725.6684274897</v>
      </c>
      <c r="I44" s="65">
        <v>-6562725.6684274897</v>
      </c>
      <c r="J44" s="65">
        <v>-6562725.6684274897</v>
      </c>
      <c r="K44" s="65">
        <v>-6571000</v>
      </c>
      <c r="L44" s="88">
        <f t="shared" si="0"/>
        <v>1.892993828631152E-2</v>
      </c>
      <c r="M44" s="61" t="s">
        <v>220</v>
      </c>
      <c r="N44" s="65">
        <v>-127012524.914094</v>
      </c>
      <c r="O44" s="65">
        <v>-128002056.355323</v>
      </c>
      <c r="P44" s="65">
        <v>-128093593.372072</v>
      </c>
      <c r="Q44" s="65">
        <v>-118466970.716998</v>
      </c>
      <c r="R44" s="65">
        <v>-117738827.76614299</v>
      </c>
      <c r="S44" s="65">
        <v>-107571805.49907701</v>
      </c>
      <c r="T44" s="65">
        <v>-107860418.526042</v>
      </c>
      <c r="U44" s="65">
        <v>-107606148.734697</v>
      </c>
      <c r="V44" s="65">
        <v>-107697953.819729</v>
      </c>
      <c r="W44" s="88">
        <f t="shared" si="1"/>
        <v>-7.7908178102772041E-3</v>
      </c>
    </row>
    <row r="45" spans="2:23">
      <c r="B45" s="61" t="s">
        <v>221</v>
      </c>
      <c r="C45" s="65">
        <v>-3837920.5504455999</v>
      </c>
      <c r="D45" s="65">
        <v>-3683000</v>
      </c>
      <c r="E45" s="65">
        <v>-3683000</v>
      </c>
      <c r="F45" s="65">
        <v>-3565000</v>
      </c>
      <c r="G45" s="65">
        <v>-3565000</v>
      </c>
      <c r="H45" s="65">
        <v>-3585083.3206534502</v>
      </c>
      <c r="I45" s="65">
        <v>-3585083.3206534502</v>
      </c>
      <c r="J45" s="65">
        <v>-3240000</v>
      </c>
      <c r="K45" s="65">
        <v>-3334000</v>
      </c>
      <c r="L45" s="88">
        <f t="shared" si="0"/>
        <v>4.0365752341489446E-2</v>
      </c>
      <c r="M45" s="61" t="s">
        <v>221</v>
      </c>
      <c r="N45" s="65">
        <v>-66667102.5722863</v>
      </c>
      <c r="O45" s="65">
        <v>-65465154.927416801</v>
      </c>
      <c r="P45" s="65">
        <v>-65537567.654699899</v>
      </c>
      <c r="Q45" s="65">
        <v>-61076576.689521</v>
      </c>
      <c r="R45" s="65">
        <v>-60717293.725619897</v>
      </c>
      <c r="S45" s="65">
        <v>-58905952.475617498</v>
      </c>
      <c r="T45" s="65">
        <v>-59005597.227347702</v>
      </c>
      <c r="U45" s="65">
        <v>-53116027.462982498</v>
      </c>
      <c r="V45" s="65">
        <v>-54669086.803709</v>
      </c>
      <c r="W45" s="88">
        <f t="shared" si="1"/>
        <v>1.8029096788273379E-2</v>
      </c>
    </row>
    <row r="46" spans="2:23">
      <c r="B46" s="61" t="s">
        <v>222</v>
      </c>
      <c r="C46" s="65">
        <v>-11287457.1932193</v>
      </c>
      <c r="D46" s="65">
        <v>-10771749.2945779</v>
      </c>
      <c r="E46" s="65">
        <v>-10771749.2945779</v>
      </c>
      <c r="F46" s="65">
        <v>-10771749.2945779</v>
      </c>
      <c r="G46" s="65">
        <v>-10771749.2945779</v>
      </c>
      <c r="H46" s="65">
        <v>-10019529.029999999</v>
      </c>
      <c r="I46" s="65">
        <v>-10019529.029999999</v>
      </c>
      <c r="J46" s="65">
        <v>-9675923.5970746595</v>
      </c>
      <c r="K46" s="65">
        <v>-9874143.2671515606</v>
      </c>
      <c r="L46" s="88">
        <f t="shared" si="0"/>
        <v>4.5688580679730112E-2</v>
      </c>
      <c r="M46" s="61" t="s">
        <v>222</v>
      </c>
      <c r="N46" s="65">
        <v>-196893256.93462399</v>
      </c>
      <c r="O46" s="65">
        <v>-192515273.97677201</v>
      </c>
      <c r="P46" s="65">
        <v>-192942374.50048301</v>
      </c>
      <c r="Q46" s="65">
        <v>-185387720.40540099</v>
      </c>
      <c r="R46" s="65">
        <v>-184201198.344302</v>
      </c>
      <c r="S46" s="65">
        <v>-164348483.835446</v>
      </c>
      <c r="T46" s="65">
        <v>-164815821.806615</v>
      </c>
      <c r="U46" s="65">
        <v>-158600493.80594799</v>
      </c>
      <c r="V46" s="65">
        <v>-161896666.491373</v>
      </c>
      <c r="W46" s="88">
        <f t="shared" si="1"/>
        <v>2.2235311792854501E-2</v>
      </c>
    </row>
    <row r="47" spans="2:23">
      <c r="B47" s="61" t="s">
        <v>223</v>
      </c>
      <c r="C47" s="65"/>
      <c r="D47" s="65"/>
      <c r="E47" s="65"/>
      <c r="F47" s="65"/>
      <c r="G47" s="65"/>
      <c r="H47" s="65"/>
      <c r="I47" s="65"/>
      <c r="J47" s="65"/>
      <c r="K47" s="65"/>
      <c r="L47" s="88"/>
      <c r="M47" s="61" t="s">
        <v>223</v>
      </c>
      <c r="N47" s="65"/>
      <c r="O47" s="65"/>
      <c r="P47" s="65"/>
      <c r="Q47" s="65"/>
      <c r="R47" s="65"/>
      <c r="S47" s="65"/>
      <c r="T47" s="65"/>
      <c r="U47" s="65"/>
      <c r="V47" s="65"/>
      <c r="W47" s="88"/>
    </row>
    <row r="48" spans="2:23">
      <c r="B48" s="61" t="s">
        <v>224</v>
      </c>
      <c r="C48" s="65"/>
      <c r="D48" s="65"/>
      <c r="E48" s="65"/>
      <c r="F48" s="65"/>
      <c r="G48" s="65"/>
      <c r="H48" s="65"/>
      <c r="I48" s="65"/>
      <c r="J48" s="65"/>
      <c r="K48" s="65"/>
      <c r="L48" s="88"/>
      <c r="M48" s="61" t="s">
        <v>224</v>
      </c>
      <c r="N48" s="65"/>
      <c r="O48" s="65"/>
      <c r="P48" s="65"/>
      <c r="Q48" s="65"/>
      <c r="R48" s="65"/>
      <c r="S48" s="65"/>
      <c r="T48" s="65"/>
      <c r="U48" s="65"/>
      <c r="V48" s="65"/>
      <c r="W48" s="88"/>
    </row>
    <row r="49" spans="2:23">
      <c r="B49" s="61" t="s">
        <v>225</v>
      </c>
      <c r="C49" s="65">
        <v>24629.26</v>
      </c>
      <c r="D49" s="65">
        <v>20228.883999999998</v>
      </c>
      <c r="E49" s="65">
        <v>20228.883999999998</v>
      </c>
      <c r="F49" s="65">
        <v>6272.348</v>
      </c>
      <c r="G49" s="65">
        <v>6272.348</v>
      </c>
      <c r="H49" s="65">
        <v>1211.616</v>
      </c>
      <c r="I49" s="65">
        <v>1211.616</v>
      </c>
      <c r="J49" s="65">
        <v>1211.616</v>
      </c>
      <c r="K49" s="65">
        <v>1200</v>
      </c>
      <c r="L49" s="88">
        <f t="shared" si="0"/>
        <v>0.17866456401856981</v>
      </c>
      <c r="M49" s="61" t="s">
        <v>226</v>
      </c>
      <c r="N49" s="65">
        <v>425013.897618527</v>
      </c>
      <c r="O49" s="65">
        <v>333820.30035434</v>
      </c>
      <c r="P49" s="65">
        <v>341780.76206553302</v>
      </c>
      <c r="Q49" s="65">
        <v>94976.754243656498</v>
      </c>
      <c r="R49" s="65">
        <v>96061.049982288401</v>
      </c>
      <c r="S49" s="65">
        <v>16277.7134885088</v>
      </c>
      <c r="T49" s="65">
        <v>20779.343938781101</v>
      </c>
      <c r="U49" s="65">
        <v>19605.6103519024</v>
      </c>
      <c r="V49" s="65">
        <v>18490.117411338098</v>
      </c>
      <c r="W49" s="88">
        <f t="shared" si="1"/>
        <v>0.21456615366031676</v>
      </c>
    </row>
    <row r="50" spans="2:23">
      <c r="B50" s="61" t="s">
        <v>227</v>
      </c>
      <c r="C50" s="65"/>
      <c r="D50" s="65"/>
      <c r="E50" s="65"/>
      <c r="F50" s="65"/>
      <c r="G50" s="65"/>
      <c r="H50" s="65"/>
      <c r="I50" s="65"/>
      <c r="J50" s="65"/>
      <c r="K50" s="65"/>
      <c r="L50" s="88"/>
      <c r="M50" s="61" t="s">
        <v>227</v>
      </c>
      <c r="N50" s="65"/>
      <c r="O50" s="65"/>
      <c r="P50" s="65"/>
      <c r="Q50" s="65"/>
      <c r="R50" s="65"/>
      <c r="S50" s="65"/>
      <c r="T50" s="65"/>
      <c r="U50" s="65"/>
      <c r="V50" s="65"/>
      <c r="W50" s="88"/>
    </row>
    <row r="51" spans="2:23">
      <c r="B51" s="61" t="s">
        <v>228</v>
      </c>
      <c r="C51" s="65"/>
      <c r="D51" s="65"/>
      <c r="E51" s="65"/>
      <c r="F51" s="65"/>
      <c r="G51" s="65"/>
      <c r="H51" s="65"/>
      <c r="I51" s="65"/>
      <c r="J51" s="65"/>
      <c r="K51" s="65"/>
      <c r="L51" s="88"/>
      <c r="M51" s="61" t="s">
        <v>228</v>
      </c>
      <c r="N51" s="65"/>
      <c r="O51" s="65"/>
      <c r="P51" s="65"/>
      <c r="Q51" s="65"/>
      <c r="R51" s="65"/>
      <c r="S51" s="65"/>
      <c r="T51" s="65"/>
      <c r="U51" s="65"/>
      <c r="V51" s="65"/>
      <c r="W51" s="88"/>
    </row>
    <row r="52" spans="2:23">
      <c r="B52" s="61" t="s">
        <v>229</v>
      </c>
      <c r="C52" s="65"/>
      <c r="D52" s="65"/>
      <c r="E52" s="65"/>
      <c r="F52" s="65"/>
      <c r="G52" s="65"/>
      <c r="H52" s="65"/>
      <c r="I52" s="65"/>
      <c r="J52" s="65"/>
      <c r="K52" s="65"/>
      <c r="L52" s="88"/>
      <c r="M52" s="61" t="s">
        <v>229</v>
      </c>
      <c r="N52" s="65"/>
      <c r="O52" s="65"/>
      <c r="P52" s="65"/>
      <c r="Q52" s="65"/>
      <c r="R52" s="65"/>
      <c r="S52" s="65"/>
      <c r="T52" s="65"/>
      <c r="U52" s="65"/>
      <c r="V52" s="65"/>
      <c r="W52" s="88"/>
    </row>
    <row r="53" spans="2:23">
      <c r="B53" s="61" t="s">
        <v>230</v>
      </c>
      <c r="C53" s="65"/>
      <c r="D53" s="65"/>
      <c r="E53" s="65"/>
      <c r="F53" s="65"/>
      <c r="G53" s="65"/>
      <c r="H53" s="65"/>
      <c r="I53" s="65"/>
      <c r="J53" s="65"/>
      <c r="K53" s="65"/>
      <c r="L53" s="88"/>
      <c r="M53" s="61" t="s">
        <v>230</v>
      </c>
      <c r="N53" s="65"/>
      <c r="O53" s="65"/>
      <c r="P53" s="65"/>
      <c r="Q53" s="65"/>
      <c r="R53" s="65"/>
      <c r="S53" s="65"/>
      <c r="T53" s="65"/>
      <c r="U53" s="65"/>
      <c r="V53" s="65"/>
      <c r="W53" s="88"/>
    </row>
    <row r="54" spans="2:23">
      <c r="B54" s="61" t="s">
        <v>231</v>
      </c>
      <c r="C54" s="65"/>
      <c r="D54" s="65"/>
      <c r="E54" s="65"/>
      <c r="F54" s="65"/>
      <c r="G54" s="65"/>
      <c r="H54" s="65"/>
      <c r="I54" s="65"/>
      <c r="J54" s="65"/>
      <c r="K54" s="65"/>
      <c r="L54" s="88"/>
      <c r="M54" s="61" t="s">
        <v>231</v>
      </c>
      <c r="N54" s="65"/>
      <c r="O54" s="65"/>
      <c r="P54" s="65"/>
      <c r="Q54" s="65"/>
      <c r="R54" s="65"/>
      <c r="S54" s="65"/>
      <c r="T54" s="65"/>
      <c r="U54" s="65"/>
      <c r="V54" s="65"/>
      <c r="W54" s="88"/>
    </row>
    <row r="55" spans="2:23">
      <c r="B55" s="61" t="s">
        <v>232</v>
      </c>
      <c r="C55" s="65">
        <v>60179.14</v>
      </c>
      <c r="D55" s="65">
        <v>49572.21</v>
      </c>
      <c r="E55" s="65">
        <v>49572.21</v>
      </c>
      <c r="F55" s="65">
        <v>14680.87</v>
      </c>
      <c r="G55" s="65">
        <v>14680.87</v>
      </c>
      <c r="H55" s="65">
        <v>2029.04</v>
      </c>
      <c r="I55" s="65">
        <v>2029.04</v>
      </c>
      <c r="J55" s="65">
        <v>2029.04</v>
      </c>
      <c r="K55" s="65">
        <v>2000</v>
      </c>
      <c r="L55" s="88">
        <f t="shared" si="0"/>
        <v>0.17625592522591715</v>
      </c>
      <c r="M55" s="61" t="s">
        <v>232</v>
      </c>
      <c r="N55" s="65">
        <v>1059121.4603170599</v>
      </c>
      <c r="O55" s="65">
        <v>847545.15542409697</v>
      </c>
      <c r="P55" s="65">
        <v>865383.45485217799</v>
      </c>
      <c r="Q55" s="65">
        <v>236751.826139888</v>
      </c>
      <c r="R55" s="65">
        <v>238123.404646754</v>
      </c>
      <c r="S55" s="65">
        <v>30456.346592051901</v>
      </c>
      <c r="T55" s="65">
        <v>31010.577573677401</v>
      </c>
      <c r="U55" s="65">
        <v>31010.577573677401</v>
      </c>
      <c r="V55" s="65">
        <v>30531.759099662799</v>
      </c>
      <c r="W55" s="88">
        <f t="shared" si="1"/>
        <v>0.19976585577788705</v>
      </c>
    </row>
    <row r="56" spans="2:23">
      <c r="B56" s="61" t="s">
        <v>233</v>
      </c>
      <c r="C56" s="65">
        <v>1394.01</v>
      </c>
      <c r="D56" s="65">
        <v>1000</v>
      </c>
      <c r="E56" s="65">
        <v>1000</v>
      </c>
      <c r="F56" s="65">
        <v>1000</v>
      </c>
      <c r="G56" s="65">
        <v>1000</v>
      </c>
      <c r="H56" s="65">
        <v>1000</v>
      </c>
      <c r="I56" s="65">
        <v>1000</v>
      </c>
      <c r="J56" s="65">
        <v>1000</v>
      </c>
      <c r="K56" s="65">
        <v>1000</v>
      </c>
      <c r="L56" s="88">
        <f t="shared" si="0"/>
        <v>0.28264503124080886</v>
      </c>
      <c r="M56" s="61" t="s">
        <v>233</v>
      </c>
      <c r="N56" s="65">
        <v>23100.103299145401</v>
      </c>
      <c r="O56" s="65">
        <v>15268.465031645401</v>
      </c>
      <c r="P56" s="65">
        <v>15378.389881545399</v>
      </c>
      <c r="Q56" s="65">
        <v>15997.6790391454</v>
      </c>
      <c r="R56" s="65">
        <v>16069.039878859699</v>
      </c>
      <c r="S56" s="65">
        <v>16506.4637549902</v>
      </c>
      <c r="T56" s="65">
        <v>16520.7173021038</v>
      </c>
      <c r="U56" s="65">
        <v>18003.448306078499</v>
      </c>
      <c r="V56" s="65">
        <v>15693.5344286825</v>
      </c>
      <c r="W56" s="88">
        <f t="shared" si="1"/>
        <v>0.33903044354739903</v>
      </c>
    </row>
    <row r="57" spans="2:23">
      <c r="B57" s="61" t="s">
        <v>234</v>
      </c>
      <c r="C57" s="65">
        <v>0</v>
      </c>
      <c r="D57" s="65">
        <v>0</v>
      </c>
      <c r="E57" s="65">
        <v>0</v>
      </c>
      <c r="F57" s="65">
        <v>0</v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88"/>
      <c r="M57" s="61" t="s">
        <v>234</v>
      </c>
      <c r="N57" s="65">
        <v>-19686.819569892301</v>
      </c>
      <c r="O57" s="65">
        <v>-28262.8695698923</v>
      </c>
      <c r="P57" s="65">
        <v>-26309.9395698923</v>
      </c>
      <c r="Q57" s="65">
        <v>-15307.6195698923</v>
      </c>
      <c r="R57" s="65">
        <v>-14039.819569892299</v>
      </c>
      <c r="S57" s="65">
        <v>-6268.5266257699996</v>
      </c>
      <c r="T57" s="65">
        <v>4417.0649711714996</v>
      </c>
      <c r="U57" s="65">
        <v>0</v>
      </c>
      <c r="V57" s="65">
        <v>0</v>
      </c>
      <c r="W57" s="88"/>
    </row>
    <row r="58" spans="2:23">
      <c r="B58" s="61" t="s">
        <v>235</v>
      </c>
      <c r="C58" s="65"/>
      <c r="D58" s="65"/>
      <c r="E58" s="65"/>
      <c r="F58" s="65"/>
      <c r="G58" s="65"/>
      <c r="H58" s="65"/>
      <c r="I58" s="65"/>
      <c r="J58" s="65"/>
      <c r="K58" s="65"/>
      <c r="L58" s="88"/>
      <c r="M58" s="61" t="s">
        <v>235</v>
      </c>
      <c r="N58" s="65"/>
      <c r="O58" s="65"/>
      <c r="P58" s="65"/>
      <c r="Q58" s="65"/>
      <c r="R58" s="65"/>
      <c r="S58" s="65"/>
      <c r="T58" s="65"/>
      <c r="U58" s="65"/>
      <c r="V58" s="65"/>
      <c r="W58" s="88"/>
    </row>
    <row r="59" spans="2:23">
      <c r="B59" s="61" t="s">
        <v>236</v>
      </c>
      <c r="C59" s="65"/>
      <c r="D59" s="65"/>
      <c r="E59" s="65"/>
      <c r="F59" s="65"/>
      <c r="G59" s="65"/>
      <c r="H59" s="65"/>
      <c r="I59" s="65"/>
      <c r="J59" s="65"/>
      <c r="K59" s="65"/>
      <c r="L59" s="88"/>
      <c r="M59" s="61" t="s">
        <v>236</v>
      </c>
      <c r="N59" s="65"/>
      <c r="O59" s="65"/>
      <c r="P59" s="65"/>
      <c r="Q59" s="65"/>
      <c r="R59" s="65"/>
      <c r="S59" s="65"/>
      <c r="T59" s="65"/>
      <c r="U59" s="65"/>
      <c r="V59" s="65"/>
      <c r="W59" s="88"/>
    </row>
    <row r="60" spans="2:23">
      <c r="B60" s="61" t="s">
        <v>237</v>
      </c>
      <c r="C60" s="65">
        <v>38909551.301670499</v>
      </c>
      <c r="D60" s="65">
        <v>41416402.140965402</v>
      </c>
      <c r="E60" s="65">
        <v>41886644.415483497</v>
      </c>
      <c r="F60" s="65">
        <v>40923798.808940299</v>
      </c>
      <c r="G60" s="65">
        <v>44903481.842649102</v>
      </c>
      <c r="H60" s="65">
        <v>43384784.054333299</v>
      </c>
      <c r="I60" s="65">
        <v>42836469.6610884</v>
      </c>
      <c r="J60" s="65">
        <v>40397887.842354499</v>
      </c>
      <c r="K60" s="65">
        <v>42268477.407552801</v>
      </c>
      <c r="L60" s="88">
        <f t="shared" si="0"/>
        <v>-6.4427647079735834E-2</v>
      </c>
      <c r="M60" s="61" t="s">
        <v>238</v>
      </c>
      <c r="N60" s="65">
        <v>667570646.63150406</v>
      </c>
      <c r="O60" s="65">
        <v>733909923.17587197</v>
      </c>
      <c r="P60" s="65">
        <v>742628193.45916903</v>
      </c>
      <c r="Q60" s="65">
        <v>697480055.13297606</v>
      </c>
      <c r="R60" s="65">
        <v>764654223.225649</v>
      </c>
      <c r="S60" s="65">
        <v>710851525.31322002</v>
      </c>
      <c r="T60" s="65">
        <v>703782818.17285299</v>
      </c>
      <c r="U60" s="65">
        <v>661407895.92150199</v>
      </c>
      <c r="V60" s="65">
        <v>692689499.62149405</v>
      </c>
      <c r="W60" s="88">
        <f t="shared" si="1"/>
        <v>-9.9374166433334632E-2</v>
      </c>
    </row>
    <row r="61" spans="2:23">
      <c r="B61" s="61" t="s">
        <v>239</v>
      </c>
      <c r="C61" s="65">
        <v>5204160.8268394303</v>
      </c>
      <c r="D61" s="65">
        <v>5085615.02408644</v>
      </c>
      <c r="E61" s="65">
        <v>5112413.5417800397</v>
      </c>
      <c r="F61" s="65">
        <v>4671011.5238259397</v>
      </c>
      <c r="G61" s="65">
        <v>5186965.3853585701</v>
      </c>
      <c r="H61" s="65">
        <v>5378826.3978610504</v>
      </c>
      <c r="I61" s="65">
        <v>5141116.0301767699</v>
      </c>
      <c r="J61" s="65">
        <v>4718002.7224693997</v>
      </c>
      <c r="K61" s="65">
        <v>4706932.0370240798</v>
      </c>
      <c r="L61" s="88">
        <f t="shared" si="0"/>
        <v>2.2779042903826825E-2</v>
      </c>
      <c r="M61" s="61" t="s">
        <v>239</v>
      </c>
      <c r="N61" s="65">
        <v>90002939.827592</v>
      </c>
      <c r="O61" s="65">
        <v>90002939.827592</v>
      </c>
      <c r="P61" s="65">
        <v>90766011.112595901</v>
      </c>
      <c r="Q61" s="65">
        <v>79503682.147533</v>
      </c>
      <c r="R61" s="65">
        <v>89815947.970282093</v>
      </c>
      <c r="S61" s="65">
        <v>88222435.127379</v>
      </c>
      <c r="T61" s="65">
        <v>84428844.088153899</v>
      </c>
      <c r="U61" s="65">
        <v>77188930.354868993</v>
      </c>
      <c r="V61" s="65">
        <v>77070056.737223506</v>
      </c>
      <c r="W61" s="88">
        <f t="shared" si="1"/>
        <v>0</v>
      </c>
    </row>
    <row r="62" spans="2:23">
      <c r="B62" s="61" t="s">
        <v>240</v>
      </c>
      <c r="C62" s="65">
        <v>1730673.0792079</v>
      </c>
      <c r="D62" s="65">
        <v>1665672.8315282401</v>
      </c>
      <c r="E62" s="65">
        <v>1389074.7359927499</v>
      </c>
      <c r="F62" s="65">
        <v>1399722.8293764</v>
      </c>
      <c r="G62" s="65">
        <v>1611757.8721330101</v>
      </c>
      <c r="H62" s="65">
        <v>1630929.47336122</v>
      </c>
      <c r="I62" s="65">
        <v>1656801.5731224101</v>
      </c>
      <c r="J62" s="65">
        <v>1587448.2813808401</v>
      </c>
      <c r="K62" s="65">
        <v>1530438.4320576801</v>
      </c>
      <c r="L62" s="88">
        <f t="shared" si="0"/>
        <v>3.7557785153397881E-2</v>
      </c>
      <c r="M62" s="61" t="s">
        <v>240</v>
      </c>
      <c r="N62" s="65">
        <v>29326831.683766201</v>
      </c>
      <c r="O62" s="65">
        <v>28513125.652999599</v>
      </c>
      <c r="P62" s="65">
        <v>23179854.862405401</v>
      </c>
      <c r="Q62" s="65">
        <v>23179854.862405401</v>
      </c>
      <c r="R62" s="65">
        <v>26873796.9275713</v>
      </c>
      <c r="S62" s="65">
        <v>26525791.050000001</v>
      </c>
      <c r="T62" s="65">
        <v>27052799.527677</v>
      </c>
      <c r="U62" s="65">
        <v>25865144.6457518</v>
      </c>
      <c r="V62" s="65">
        <v>25030135.658330899</v>
      </c>
      <c r="W62" s="88">
        <f t="shared" si="1"/>
        <v>2.7746128171664303E-2</v>
      </c>
    </row>
    <row r="63" spans="2:23">
      <c r="B63" s="61" t="s">
        <v>241</v>
      </c>
      <c r="C63" s="65">
        <v>811536.47445998795</v>
      </c>
      <c r="D63" s="65">
        <v>767539.86243966396</v>
      </c>
      <c r="E63" s="65">
        <v>745832.23212285305</v>
      </c>
      <c r="F63" s="65">
        <v>775739.12438657298</v>
      </c>
      <c r="G63" s="65">
        <v>703955.57740708406</v>
      </c>
      <c r="H63" s="65">
        <v>680865.24016378098</v>
      </c>
      <c r="I63" s="65">
        <v>746153.69525290397</v>
      </c>
      <c r="J63" s="65">
        <v>524547.14600698603</v>
      </c>
      <c r="K63" s="65">
        <v>495844.67479300202</v>
      </c>
      <c r="L63" s="88">
        <f t="shared" si="0"/>
        <v>5.4213967461659907E-2</v>
      </c>
      <c r="M63" s="61" t="s">
        <v>241</v>
      </c>
      <c r="N63" s="65">
        <v>13900443.328566</v>
      </c>
      <c r="O63" s="65">
        <v>13333493.956792099</v>
      </c>
      <c r="P63" s="65">
        <v>12968761.183784099</v>
      </c>
      <c r="Q63" s="65">
        <v>13133185.578372501</v>
      </c>
      <c r="R63" s="65">
        <v>11781912.822249399</v>
      </c>
      <c r="S63" s="65">
        <v>11073373.5259098</v>
      </c>
      <c r="T63" s="65">
        <v>12199827.833612001</v>
      </c>
      <c r="U63" s="65">
        <v>8501375.3203306906</v>
      </c>
      <c r="V63" s="65">
        <v>8044037.1427454799</v>
      </c>
      <c r="W63" s="88">
        <f t="shared" si="1"/>
        <v>4.0786423740082844E-2</v>
      </c>
    </row>
    <row r="64" spans="2:23">
      <c r="B64" s="61" t="s">
        <v>242</v>
      </c>
      <c r="C64" s="65">
        <v>15313029.7439376</v>
      </c>
      <c r="D64" s="65">
        <v>17516251.779125601</v>
      </c>
      <c r="E64" s="65">
        <v>19896931.101797</v>
      </c>
      <c r="F64" s="65">
        <v>18433837.1164735</v>
      </c>
      <c r="G64" s="65">
        <v>21598773.2422604</v>
      </c>
      <c r="H64" s="65">
        <v>22589656.515232299</v>
      </c>
      <c r="I64" s="65">
        <v>21696715.2804951</v>
      </c>
      <c r="J64" s="65">
        <v>22076416.642153401</v>
      </c>
      <c r="K64" s="65">
        <v>19932573.099379402</v>
      </c>
      <c r="L64" s="88">
        <f t="shared" si="0"/>
        <v>-0.14387891044620038</v>
      </c>
      <c r="M64" s="61" t="s">
        <v>242</v>
      </c>
      <c r="N64" s="65">
        <v>265080727.39477301</v>
      </c>
      <c r="O64" s="65">
        <v>316838121.53811097</v>
      </c>
      <c r="P64" s="65">
        <v>362450563.84011</v>
      </c>
      <c r="Q64" s="65">
        <v>317738963.27528602</v>
      </c>
      <c r="R64" s="65">
        <v>371832140.45601702</v>
      </c>
      <c r="S64" s="65">
        <v>371868539.183285</v>
      </c>
      <c r="T64" s="65">
        <v>357789934.07349998</v>
      </c>
      <c r="U64" s="65">
        <v>362038017.79489797</v>
      </c>
      <c r="V64" s="65">
        <v>326238865.88733202</v>
      </c>
      <c r="W64" s="88">
        <f t="shared" si="1"/>
        <v>-0.19525144152127652</v>
      </c>
    </row>
    <row r="65" spans="2:23">
      <c r="B65" s="61" t="s">
        <v>243</v>
      </c>
      <c r="C65" s="65">
        <v>6511051.8066919902</v>
      </c>
      <c r="D65" s="65">
        <v>5626807.217003</v>
      </c>
      <c r="E65" s="65">
        <v>5100501.6010234598</v>
      </c>
      <c r="F65" s="65">
        <v>5141302.6834976496</v>
      </c>
      <c r="G65" s="65">
        <v>4885367.4381436398</v>
      </c>
      <c r="H65" s="65">
        <v>4773131.1416358398</v>
      </c>
      <c r="I65" s="65">
        <v>4884896.2340300102</v>
      </c>
      <c r="J65" s="65">
        <v>4251264.3156675603</v>
      </c>
      <c r="K65" s="65">
        <v>3859489.5150174601</v>
      </c>
      <c r="L65" s="88">
        <f t="shared" si="0"/>
        <v>0.13580672001106994</v>
      </c>
      <c r="M65" s="61" t="s">
        <v>243</v>
      </c>
      <c r="N65" s="65">
        <v>112108186.922066</v>
      </c>
      <c r="O65" s="65">
        <v>97180169.723003894</v>
      </c>
      <c r="P65" s="65">
        <v>87652864.654728204</v>
      </c>
      <c r="Q65" s="65">
        <v>86563467.272916496</v>
      </c>
      <c r="R65" s="65">
        <v>81575204.746681795</v>
      </c>
      <c r="S65" s="65">
        <v>77629595.203155994</v>
      </c>
      <c r="T65" s="65">
        <v>79846344.907166198</v>
      </c>
      <c r="U65" s="65">
        <v>69266505.2374423</v>
      </c>
      <c r="V65" s="65">
        <v>62927079.5970691</v>
      </c>
      <c r="W65" s="88">
        <f t="shared" si="1"/>
        <v>0.13315724398825204</v>
      </c>
    </row>
    <row r="66" spans="2:23">
      <c r="B66" s="61" t="s">
        <v>244</v>
      </c>
      <c r="C66" s="65">
        <v>19607004.159706101</v>
      </c>
      <c r="D66" s="65">
        <v>22726515.661499999</v>
      </c>
      <c r="E66" s="65">
        <v>22726515.661499999</v>
      </c>
      <c r="F66" s="65">
        <v>23667812.128757998</v>
      </c>
      <c r="G66" s="65">
        <v>23667812.128757998</v>
      </c>
      <c r="H66" s="65">
        <v>25576675.480453499</v>
      </c>
      <c r="I66" s="65">
        <v>25576675.480453499</v>
      </c>
      <c r="J66" s="65">
        <v>25576675.480453499</v>
      </c>
      <c r="K66" s="65">
        <v>27053000</v>
      </c>
      <c r="L66" s="88">
        <f t="shared" si="0"/>
        <v>-0.15910189422026719</v>
      </c>
      <c r="M66" s="61" t="s">
        <v>244</v>
      </c>
      <c r="N66" s="65">
        <v>328013591.19770098</v>
      </c>
      <c r="O66" s="65">
        <v>395098271.19713801</v>
      </c>
      <c r="P66" s="65">
        <v>393618075.96546799</v>
      </c>
      <c r="Q66" s="65">
        <v>398965921.552297</v>
      </c>
      <c r="R66" s="65">
        <v>397083409.48253798</v>
      </c>
      <c r="S66" s="65">
        <v>417880739.28377199</v>
      </c>
      <c r="T66" s="65">
        <v>418971860.08922601</v>
      </c>
      <c r="U66" s="65">
        <v>418905261.984909</v>
      </c>
      <c r="V66" s="65">
        <v>443529742.97145998</v>
      </c>
      <c r="W66" s="88">
        <f t="shared" si="1"/>
        <v>-0.20451798888724593</v>
      </c>
    </row>
    <row r="67" spans="2:23">
      <c r="B67" s="61" t="s">
        <v>245</v>
      </c>
      <c r="C67" s="65">
        <v>12553645.264104901</v>
      </c>
      <c r="D67" s="65">
        <v>12859000</v>
      </c>
      <c r="E67" s="65">
        <v>12859000</v>
      </c>
      <c r="F67" s="65">
        <v>11935000</v>
      </c>
      <c r="G67" s="65">
        <v>11935000</v>
      </c>
      <c r="H67" s="65">
        <v>11988238.291238301</v>
      </c>
      <c r="I67" s="65">
        <v>11988238.291238399</v>
      </c>
      <c r="J67" s="65">
        <v>8510999.9999999907</v>
      </c>
      <c r="K67" s="65">
        <v>8944023.6469688602</v>
      </c>
      <c r="L67" s="88">
        <f t="shared" si="0"/>
        <v>-2.4323989524238917E-2</v>
      </c>
      <c r="M67" s="61" t="s">
        <v>245</v>
      </c>
      <c r="N67" s="65">
        <v>214657388.13883901</v>
      </c>
      <c r="O67" s="65">
        <v>224946656.95948699</v>
      </c>
      <c r="P67" s="65">
        <v>225583268.672535</v>
      </c>
      <c r="Q67" s="65">
        <v>201932531.10988</v>
      </c>
      <c r="R67" s="65">
        <v>201018801.97848701</v>
      </c>
      <c r="S67" s="65">
        <v>197274714.46321601</v>
      </c>
      <c r="T67" s="65">
        <v>197332799.05820099</v>
      </c>
      <c r="U67" s="65">
        <v>139292161.093606</v>
      </c>
      <c r="V67" s="65">
        <v>146712161.33287701</v>
      </c>
      <c r="W67" s="88">
        <f t="shared" si="1"/>
        <v>-4.7933448319015942E-2</v>
      </c>
    </row>
    <row r="68" spans="2:23">
      <c r="B68" s="61" t="s">
        <v>246</v>
      </c>
      <c r="C68" s="65">
        <v>23923221.328467701</v>
      </c>
      <c r="D68" s="65">
        <v>26015361.399649099</v>
      </c>
      <c r="E68" s="65">
        <v>26015361.399649099</v>
      </c>
      <c r="F68" s="65">
        <v>26015361.399649099</v>
      </c>
      <c r="G68" s="65">
        <v>26015361.399649002</v>
      </c>
      <c r="H68" s="65">
        <v>18660291.800000001</v>
      </c>
      <c r="I68" s="65">
        <v>18660291.800000001</v>
      </c>
      <c r="J68" s="65">
        <v>17985263.6324303</v>
      </c>
      <c r="K68" s="65">
        <v>24065926.122984398</v>
      </c>
      <c r="L68" s="88">
        <f t="shared" si="0"/>
        <v>-8.7452272520332899E-2</v>
      </c>
      <c r="M68" s="61" t="s">
        <v>246</v>
      </c>
      <c r="N68" s="65">
        <v>415991185.82556403</v>
      </c>
      <c r="O68" s="65">
        <v>471087689.92848003</v>
      </c>
      <c r="P68" s="65">
        <v>469979142.61811399</v>
      </c>
      <c r="Q68" s="65">
        <v>448957448.15128499</v>
      </c>
      <c r="R68" s="65">
        <v>445988821.98613697</v>
      </c>
      <c r="S68" s="65">
        <v>304954091.095577</v>
      </c>
      <c r="T68" s="65">
        <v>306864945.16205698</v>
      </c>
      <c r="U68" s="65">
        <v>294619663.44179499</v>
      </c>
      <c r="V68" s="65">
        <v>395395608.94741601</v>
      </c>
      <c r="W68" s="88">
        <f t="shared" si="1"/>
        <v>-0.13244632574022711</v>
      </c>
    </row>
    <row r="69" spans="2:23">
      <c r="B69" s="61" t="s">
        <v>247</v>
      </c>
      <c r="C69" s="65"/>
      <c r="D69" s="65"/>
      <c r="E69" s="65"/>
      <c r="F69" s="65"/>
      <c r="G69" s="65"/>
      <c r="H69" s="65"/>
      <c r="I69" s="65"/>
      <c r="J69" s="65"/>
      <c r="K69" s="65"/>
      <c r="L69" s="88"/>
      <c r="M69" s="61" t="s">
        <v>247</v>
      </c>
      <c r="N69" s="65"/>
      <c r="O69" s="65"/>
      <c r="P69" s="65"/>
      <c r="Q69" s="65"/>
      <c r="R69" s="65"/>
      <c r="S69" s="65"/>
      <c r="T69" s="65"/>
      <c r="U69" s="65"/>
      <c r="V69" s="65"/>
      <c r="W69" s="88"/>
    </row>
    <row r="70" spans="2:23">
      <c r="B70" s="61" t="s">
        <v>248</v>
      </c>
      <c r="C70" s="65"/>
      <c r="D70" s="65"/>
      <c r="E70" s="65"/>
      <c r="F70" s="65"/>
      <c r="G70" s="65"/>
      <c r="H70" s="65"/>
      <c r="I70" s="65"/>
      <c r="J70" s="65"/>
      <c r="K70" s="65"/>
      <c r="L70" s="88"/>
      <c r="M70" s="61" t="s">
        <v>248</v>
      </c>
      <c r="N70" s="65"/>
      <c r="O70" s="65"/>
      <c r="P70" s="65"/>
      <c r="Q70" s="65"/>
      <c r="R70" s="65"/>
      <c r="S70" s="65"/>
      <c r="T70" s="65"/>
      <c r="U70" s="65"/>
      <c r="V70" s="65"/>
      <c r="W70" s="88"/>
    </row>
    <row r="71" spans="2:23">
      <c r="B71" s="61" t="s">
        <v>249</v>
      </c>
      <c r="C71" s="65">
        <v>6727994.6735778302</v>
      </c>
      <c r="D71" s="65">
        <v>8767868.39655127</v>
      </c>
      <c r="E71" s="65">
        <v>8684656.6762112007</v>
      </c>
      <c r="F71" s="65">
        <v>8484015.3408788405</v>
      </c>
      <c r="G71" s="65">
        <v>8784581.3231556602</v>
      </c>
      <c r="H71" s="65">
        <v>9054000.0540542398</v>
      </c>
      <c r="I71" s="65">
        <v>9157280.4789180607</v>
      </c>
      <c r="J71" s="65">
        <v>9056581.80086568</v>
      </c>
      <c r="K71" s="65">
        <v>9101800.8827959895</v>
      </c>
      <c r="L71" s="88">
        <f t="shared" ref="L71:L133" si="2">(C71-D71)/C71</f>
        <v>-0.30319193488431684</v>
      </c>
      <c r="M71" s="61" t="s">
        <v>250</v>
      </c>
      <c r="N71" s="65">
        <v>114454215.205596</v>
      </c>
      <c r="O71" s="65">
        <v>157067373.07816401</v>
      </c>
      <c r="P71" s="65">
        <v>155390445.079382</v>
      </c>
      <c r="Q71" s="65">
        <v>145595637.31080899</v>
      </c>
      <c r="R71" s="65">
        <v>149914199.28706601</v>
      </c>
      <c r="S71" s="65">
        <v>148659210.287002</v>
      </c>
      <c r="T71" s="65">
        <v>150651256.46773201</v>
      </c>
      <c r="U71" s="65">
        <v>148490161.36539599</v>
      </c>
      <c r="V71" s="65">
        <v>149157014.76101899</v>
      </c>
      <c r="W71" s="88">
        <f t="shared" ref="W71:W134" si="3">(N71-O71)/N71</f>
        <v>-0.37231619469865124</v>
      </c>
    </row>
    <row r="72" spans="2:23">
      <c r="B72" s="61" t="s">
        <v>251</v>
      </c>
      <c r="C72" s="65">
        <v>103903.061641521</v>
      </c>
      <c r="D72" s="65">
        <v>101275.87807358299</v>
      </c>
      <c r="E72" s="65">
        <v>101341.267838648</v>
      </c>
      <c r="F72" s="65">
        <v>104924.670799368</v>
      </c>
      <c r="G72" s="65">
        <v>105598.85527496001</v>
      </c>
      <c r="H72" s="65">
        <v>109711.179635732</v>
      </c>
      <c r="I72" s="65">
        <v>109511.768838838</v>
      </c>
      <c r="J72" s="65">
        <v>109733.372978418</v>
      </c>
      <c r="K72" s="65">
        <v>109841.605208008</v>
      </c>
      <c r="L72" s="88">
        <f t="shared" si="2"/>
        <v>2.5284948551392308E-2</v>
      </c>
      <c r="M72" s="61" t="s">
        <v>251</v>
      </c>
      <c r="N72" s="65">
        <v>1800869</v>
      </c>
      <c r="O72" s="65">
        <v>1800869</v>
      </c>
      <c r="P72" s="65">
        <v>1800869</v>
      </c>
      <c r="Q72" s="65">
        <v>1800869</v>
      </c>
      <c r="R72" s="65">
        <v>1800869</v>
      </c>
      <c r="S72" s="65">
        <v>1800869</v>
      </c>
      <c r="T72" s="65">
        <v>1800874</v>
      </c>
      <c r="U72" s="65">
        <v>1798241.4196757099</v>
      </c>
      <c r="V72" s="65">
        <v>1798241.4196757099</v>
      </c>
      <c r="W72" s="88">
        <f t="shared" si="3"/>
        <v>0</v>
      </c>
    </row>
    <row r="73" spans="2:23">
      <c r="B73" s="61" t="s">
        <v>252</v>
      </c>
      <c r="C73" s="65">
        <v>104212.362761329</v>
      </c>
      <c r="D73" s="65">
        <v>101760.478330732</v>
      </c>
      <c r="E73" s="65">
        <v>85705.710684734106</v>
      </c>
      <c r="F73" s="65">
        <v>88094.8045295333</v>
      </c>
      <c r="G73" s="65">
        <v>70219.099830326799</v>
      </c>
      <c r="H73" s="65">
        <v>74101.180046655601</v>
      </c>
      <c r="I73" s="65">
        <v>74609.133677069898</v>
      </c>
      <c r="J73" s="65">
        <v>75673.927687848103</v>
      </c>
      <c r="K73" s="65">
        <v>77940.214337543803</v>
      </c>
      <c r="L73" s="88">
        <f t="shared" si="2"/>
        <v>2.3527769312863524E-2</v>
      </c>
      <c r="M73" s="61" t="s">
        <v>252</v>
      </c>
      <c r="N73" s="65">
        <v>1834287.56</v>
      </c>
      <c r="O73" s="65">
        <v>1834287.56</v>
      </c>
      <c r="P73" s="65">
        <v>1524528.19</v>
      </c>
      <c r="Q73" s="65">
        <v>1524528.19</v>
      </c>
      <c r="R73" s="65">
        <v>1195164.6100000001</v>
      </c>
      <c r="S73" s="65">
        <v>1216098</v>
      </c>
      <c r="T73" s="65">
        <v>1226912</v>
      </c>
      <c r="U73" s="65">
        <v>1237387</v>
      </c>
      <c r="V73" s="65">
        <v>1275685.3799999999</v>
      </c>
      <c r="W73" s="88">
        <f t="shared" si="3"/>
        <v>0</v>
      </c>
    </row>
    <row r="74" spans="2:23">
      <c r="B74" s="61" t="s">
        <v>253</v>
      </c>
      <c r="C74" s="65">
        <v>11528.480436166999</v>
      </c>
      <c r="D74" s="65">
        <v>11081.566294865999</v>
      </c>
      <c r="E74" s="65">
        <v>7659.3138099154703</v>
      </c>
      <c r="F74" s="65">
        <v>8147.5569327065896</v>
      </c>
      <c r="G74" s="65">
        <v>6808.9439980635798</v>
      </c>
      <c r="H74" s="65">
        <v>7098.9879727551297</v>
      </c>
      <c r="I74" s="65">
        <v>7190.8546524421999</v>
      </c>
      <c r="J74" s="65">
        <v>7294.5101739581996</v>
      </c>
      <c r="K74" s="65">
        <v>7410.9883253262497</v>
      </c>
      <c r="L74" s="88">
        <f t="shared" si="2"/>
        <v>3.876609270194422E-2</v>
      </c>
      <c r="M74" s="61" t="s">
        <v>253</v>
      </c>
      <c r="N74" s="65">
        <v>204004.9</v>
      </c>
      <c r="O74" s="65">
        <v>199500.68</v>
      </c>
      <c r="P74" s="65">
        <v>137171.82999999999</v>
      </c>
      <c r="Q74" s="65">
        <v>140691.43111111099</v>
      </c>
      <c r="R74" s="65">
        <v>115849.387777778</v>
      </c>
      <c r="S74" s="65">
        <v>116476.35888888899</v>
      </c>
      <c r="T74" s="65">
        <v>118233.26</v>
      </c>
      <c r="U74" s="65">
        <v>119559.28111111101</v>
      </c>
      <c r="V74" s="65">
        <v>121406.18222222201</v>
      </c>
      <c r="W74" s="88">
        <f t="shared" si="3"/>
        <v>2.2078979475492998E-2</v>
      </c>
    </row>
    <row r="75" spans="2:23">
      <c r="B75" s="61" t="s">
        <v>254</v>
      </c>
      <c r="C75" s="65">
        <v>-2186294.8852976598</v>
      </c>
      <c r="D75" s="65">
        <v>2382928.42580052</v>
      </c>
      <c r="E75" s="65">
        <v>2230353.2376648099</v>
      </c>
      <c r="F75" s="65">
        <v>2116771.90592852</v>
      </c>
      <c r="G75" s="65">
        <v>2324507.89594424</v>
      </c>
      <c r="H75" s="65">
        <v>2472519.79825335</v>
      </c>
      <c r="I75" s="65">
        <v>2456560.3950375901</v>
      </c>
      <c r="J75" s="65">
        <v>2469049.0349552501</v>
      </c>
      <c r="K75" s="65">
        <v>2528179.4646951701</v>
      </c>
      <c r="L75" s="88">
        <f t="shared" si="2"/>
        <v>2.0899391668640752</v>
      </c>
      <c r="M75" s="61" t="s">
        <v>254</v>
      </c>
      <c r="N75" s="65">
        <v>-42709105.095038697</v>
      </c>
      <c r="O75" s="65">
        <v>44416308.909360297</v>
      </c>
      <c r="P75" s="65">
        <v>41135241.092365101</v>
      </c>
      <c r="Q75" s="65">
        <v>36808981.9452549</v>
      </c>
      <c r="R75" s="65">
        <v>40221445.898630701</v>
      </c>
      <c r="S75" s="65">
        <v>40817627.589071497</v>
      </c>
      <c r="T75" s="65">
        <v>40580941.829474598</v>
      </c>
      <c r="U75" s="65">
        <v>40565189.369291998</v>
      </c>
      <c r="V75" s="65">
        <v>41455644.856770702</v>
      </c>
      <c r="W75" s="88">
        <f t="shared" si="3"/>
        <v>2.0399728303958287</v>
      </c>
    </row>
    <row r="76" spans="2:23">
      <c r="B76" s="61" t="s">
        <v>255</v>
      </c>
      <c r="C76" s="65">
        <v>389082.05678684701</v>
      </c>
      <c r="D76" s="65">
        <v>380344.43549569597</v>
      </c>
      <c r="E76" s="65">
        <v>373419.39869580301</v>
      </c>
      <c r="F76" s="65">
        <v>392230.38503986498</v>
      </c>
      <c r="G76" s="65">
        <v>401132.70962569601</v>
      </c>
      <c r="H76" s="65">
        <v>430680.68835990003</v>
      </c>
      <c r="I76" s="65">
        <v>707829.98075618094</v>
      </c>
      <c r="J76" s="65">
        <v>404096.233263826</v>
      </c>
      <c r="K76" s="65">
        <v>402308.19188992202</v>
      </c>
      <c r="L76" s="88">
        <f t="shared" si="2"/>
        <v>2.2457014243496245E-2</v>
      </c>
      <c r="M76" s="61" t="s">
        <v>255</v>
      </c>
      <c r="N76" s="65">
        <v>6706024.0159096001</v>
      </c>
      <c r="O76" s="65">
        <v>6706024.0159096001</v>
      </c>
      <c r="P76" s="65">
        <v>6585584.2417747704</v>
      </c>
      <c r="Q76" s="65">
        <v>6694527.8385352697</v>
      </c>
      <c r="R76" s="65">
        <v>6811063.3932169499</v>
      </c>
      <c r="S76" s="65">
        <v>7057706.8541864399</v>
      </c>
      <c r="T76" s="65">
        <v>11694302.509207301</v>
      </c>
      <c r="U76" s="65">
        <v>6609282.8282135604</v>
      </c>
      <c r="V76" s="65">
        <v>6609282.8282135604</v>
      </c>
      <c r="W76" s="88">
        <f t="shared" si="3"/>
        <v>0</v>
      </c>
    </row>
    <row r="77" spans="2:23">
      <c r="B77" s="61" t="s">
        <v>256</v>
      </c>
      <c r="C77" s="65">
        <v>5236742.4013255602</v>
      </c>
      <c r="D77" s="65">
        <v>5668340.5801999997</v>
      </c>
      <c r="E77" s="65">
        <v>5668340.5802000202</v>
      </c>
      <c r="F77" s="65">
        <v>5215355.73744056</v>
      </c>
      <c r="G77" s="65">
        <v>5215355.7374405796</v>
      </c>
      <c r="H77" s="65">
        <v>5586897.0563211897</v>
      </c>
      <c r="I77" s="65">
        <v>5586897.0563211897</v>
      </c>
      <c r="J77" s="65">
        <v>5586897.0563211897</v>
      </c>
      <c r="K77" s="65">
        <v>5539999.9999999898</v>
      </c>
      <c r="L77" s="88">
        <f t="shared" si="2"/>
        <v>-8.2417301787689703E-2</v>
      </c>
      <c r="M77" s="61" t="s">
        <v>256</v>
      </c>
      <c r="N77" s="65">
        <v>91009696.209976703</v>
      </c>
      <c r="O77" s="65">
        <v>102318188.683175</v>
      </c>
      <c r="P77" s="65">
        <v>102206193.85083801</v>
      </c>
      <c r="Q77" s="65">
        <v>89615187.643577203</v>
      </c>
      <c r="R77" s="65">
        <v>89048303.631944999</v>
      </c>
      <c r="S77" s="65">
        <v>91829211.466054007</v>
      </c>
      <c r="T77" s="65">
        <v>91978071.130792394</v>
      </c>
      <c r="U77" s="65">
        <v>91679832.253590405</v>
      </c>
      <c r="V77" s="65">
        <v>90824912.502499893</v>
      </c>
      <c r="W77" s="88">
        <f t="shared" si="3"/>
        <v>-0.124255908371647</v>
      </c>
    </row>
    <row r="78" spans="2:23">
      <c r="B78" s="61" t="s">
        <v>257</v>
      </c>
      <c r="C78" s="65">
        <v>3041373.1974999998</v>
      </c>
      <c r="D78" s="65">
        <v>3114000</v>
      </c>
      <c r="E78" s="65">
        <v>3114000</v>
      </c>
      <c r="F78" s="65">
        <v>3144000</v>
      </c>
      <c r="G78" s="65">
        <v>3143999.9999999902</v>
      </c>
      <c r="H78" s="65">
        <v>3194917.0534999701</v>
      </c>
      <c r="I78" s="65">
        <v>3194917.0534999198</v>
      </c>
      <c r="J78" s="65">
        <v>3222000.0000000098</v>
      </c>
      <c r="K78" s="65">
        <v>3245976.3530311398</v>
      </c>
      <c r="L78" s="88">
        <f t="shared" si="2"/>
        <v>-2.3879608908140327E-2</v>
      </c>
      <c r="M78" s="61" t="s">
        <v>257</v>
      </c>
      <c r="N78" s="65">
        <v>52689166.04157</v>
      </c>
      <c r="O78" s="65">
        <v>55578928.703347899</v>
      </c>
      <c r="P78" s="65">
        <v>55598149.067816697</v>
      </c>
      <c r="Q78" s="65">
        <v>54003164.4761554</v>
      </c>
      <c r="R78" s="65">
        <v>53663224.454191603</v>
      </c>
      <c r="S78" s="65">
        <v>52455728.956023999</v>
      </c>
      <c r="T78" s="65">
        <v>52553730.216280296</v>
      </c>
      <c r="U78" s="65">
        <v>52841908.971876301</v>
      </c>
      <c r="V78" s="65">
        <v>53206792.765878297</v>
      </c>
      <c r="W78" s="88">
        <f t="shared" si="3"/>
        <v>-5.4845481127903446E-2</v>
      </c>
    </row>
    <row r="79" spans="2:23">
      <c r="B79" s="61" t="s">
        <v>258</v>
      </c>
      <c r="C79" s="65">
        <v>9789974.1515322905</v>
      </c>
      <c r="D79" s="65">
        <v>9838762.7431341093</v>
      </c>
      <c r="E79" s="65">
        <v>9838762.7431340907</v>
      </c>
      <c r="F79" s="65">
        <v>9838762.7431341093</v>
      </c>
      <c r="G79" s="65">
        <v>9838762.7431342099</v>
      </c>
      <c r="H79" s="65">
        <v>9854577.2199999895</v>
      </c>
      <c r="I79" s="65">
        <v>9854577.2199999895</v>
      </c>
      <c r="J79" s="65">
        <v>9860395.3917845599</v>
      </c>
      <c r="K79" s="65">
        <v>9918011.3115227502</v>
      </c>
      <c r="L79" s="88">
        <f t="shared" si="2"/>
        <v>-4.9835260897172634E-3</v>
      </c>
      <c r="M79" s="61" t="s">
        <v>258</v>
      </c>
      <c r="N79" s="65">
        <v>168841853.19157299</v>
      </c>
      <c r="O79" s="65">
        <v>174062339.28361899</v>
      </c>
      <c r="P79" s="65">
        <v>174294521.895661</v>
      </c>
      <c r="Q79" s="65">
        <v>168202009.82072401</v>
      </c>
      <c r="R79" s="65">
        <v>167206391.870579</v>
      </c>
      <c r="S79" s="65">
        <v>161449735.557679</v>
      </c>
      <c r="T79" s="65">
        <v>161810811.87620601</v>
      </c>
      <c r="U79" s="65">
        <v>161499923.396227</v>
      </c>
      <c r="V79" s="65">
        <v>162443660.28024799</v>
      </c>
      <c r="W79" s="88">
        <f t="shared" si="3"/>
        <v>-3.0919383987823644E-2</v>
      </c>
    </row>
    <row r="80" spans="2:23">
      <c r="B80" s="61" t="s">
        <v>259</v>
      </c>
      <c r="C80" s="65"/>
      <c r="D80" s="65"/>
      <c r="E80" s="65"/>
      <c r="F80" s="65"/>
      <c r="G80" s="65"/>
      <c r="H80" s="65"/>
      <c r="I80" s="65"/>
      <c r="J80" s="65"/>
      <c r="K80" s="65"/>
      <c r="L80" s="88"/>
      <c r="M80" s="61" t="s">
        <v>259</v>
      </c>
      <c r="N80" s="65"/>
      <c r="O80" s="65"/>
      <c r="P80" s="65"/>
      <c r="Q80" s="65"/>
      <c r="R80" s="65"/>
      <c r="S80" s="65"/>
      <c r="T80" s="65"/>
      <c r="U80" s="65"/>
      <c r="V80" s="65"/>
      <c r="W80" s="88"/>
    </row>
    <row r="81" spans="2:23">
      <c r="B81" s="61" t="s">
        <v>260</v>
      </c>
      <c r="C81" s="65"/>
      <c r="D81" s="65"/>
      <c r="E81" s="65"/>
      <c r="F81" s="65"/>
      <c r="G81" s="65"/>
      <c r="H81" s="65"/>
      <c r="I81" s="65"/>
      <c r="J81" s="65"/>
      <c r="K81" s="65"/>
      <c r="L81" s="88"/>
      <c r="M81" s="61" t="s">
        <v>260</v>
      </c>
      <c r="N81" s="65"/>
      <c r="O81" s="65"/>
      <c r="P81" s="65"/>
      <c r="Q81" s="65"/>
      <c r="R81" s="65"/>
      <c r="S81" s="65"/>
      <c r="T81" s="65"/>
      <c r="U81" s="65"/>
      <c r="V81" s="65"/>
      <c r="W81" s="88"/>
    </row>
    <row r="82" spans="2:23">
      <c r="B82" s="61" t="s">
        <v>261</v>
      </c>
      <c r="C82" s="65">
        <v>45637545.975248396</v>
      </c>
      <c r="D82" s="65">
        <v>50184270.537516601</v>
      </c>
      <c r="E82" s="65">
        <v>50571301.091694601</v>
      </c>
      <c r="F82" s="65">
        <v>49407814.149819203</v>
      </c>
      <c r="G82" s="65">
        <v>53688063.165804803</v>
      </c>
      <c r="H82" s="65">
        <v>52438784.1083875</v>
      </c>
      <c r="I82" s="65">
        <v>51993750.140006401</v>
      </c>
      <c r="J82" s="65">
        <v>49454469.643220097</v>
      </c>
      <c r="K82" s="65">
        <v>51370278.290348798</v>
      </c>
      <c r="L82" s="88">
        <f t="shared" si="2"/>
        <v>-9.9626841564490101E-2</v>
      </c>
      <c r="M82" s="61" t="s">
        <v>262</v>
      </c>
      <c r="N82" s="65">
        <v>782024861.83710003</v>
      </c>
      <c r="O82" s="65">
        <v>890977296.25403595</v>
      </c>
      <c r="P82" s="65">
        <v>898018638.53855097</v>
      </c>
      <c r="Q82" s="65">
        <v>843075692.44378495</v>
      </c>
      <c r="R82" s="65">
        <v>914568422.51271498</v>
      </c>
      <c r="S82" s="65">
        <v>859510735.60022199</v>
      </c>
      <c r="T82" s="65">
        <v>854434074.64058495</v>
      </c>
      <c r="U82" s="65">
        <v>809898057.28689802</v>
      </c>
      <c r="V82" s="65">
        <v>841846514.382514</v>
      </c>
      <c r="W82" s="88">
        <f t="shared" si="3"/>
        <v>-0.13932093432552697</v>
      </c>
    </row>
    <row r="83" spans="2:23">
      <c r="B83" s="61" t="s">
        <v>263</v>
      </c>
      <c r="C83" s="65">
        <v>5308063.8884809501</v>
      </c>
      <c r="D83" s="65">
        <v>5186890.9021600196</v>
      </c>
      <c r="E83" s="65">
        <v>5213754.8096186901</v>
      </c>
      <c r="F83" s="65">
        <v>4775936.1946253097</v>
      </c>
      <c r="G83" s="65">
        <v>5292564.2406335296</v>
      </c>
      <c r="H83" s="65">
        <v>5488537.5774967801</v>
      </c>
      <c r="I83" s="65">
        <v>5250627.7990156095</v>
      </c>
      <c r="J83" s="65">
        <v>4827736.0954478197</v>
      </c>
      <c r="K83" s="65">
        <v>4816773.6422320902</v>
      </c>
      <c r="L83" s="88">
        <f t="shared" si="2"/>
        <v>2.2828094926266525E-2</v>
      </c>
      <c r="M83" s="61" t="s">
        <v>263</v>
      </c>
      <c r="N83" s="65">
        <v>91803808.827592</v>
      </c>
      <c r="O83" s="65">
        <v>91803808.827592</v>
      </c>
      <c r="P83" s="65">
        <v>92566880.112595901</v>
      </c>
      <c r="Q83" s="65">
        <v>91616816.970282093</v>
      </c>
      <c r="R83" s="65">
        <v>90023304.127379</v>
      </c>
      <c r="S83" s="65">
        <v>86229718.088153899</v>
      </c>
      <c r="T83" s="65">
        <v>78987171.774544701</v>
      </c>
      <c r="U83" s="65">
        <v>78868298.156899199</v>
      </c>
      <c r="V83" s="65">
        <v>78868298.156899199</v>
      </c>
      <c r="W83" s="88">
        <f t="shared" si="3"/>
        <v>0</v>
      </c>
    </row>
    <row r="84" spans="2:23">
      <c r="B84" s="61" t="s">
        <v>264</v>
      </c>
      <c r="C84" s="65">
        <v>1834885.4419692201</v>
      </c>
      <c r="D84" s="65">
        <v>1767433.3098589701</v>
      </c>
      <c r="E84" s="65">
        <v>1474780.4466774899</v>
      </c>
      <c r="F84" s="65">
        <v>1487817.63390593</v>
      </c>
      <c r="G84" s="65">
        <v>1681976.9719633299</v>
      </c>
      <c r="H84" s="65">
        <v>1705030.6534078801</v>
      </c>
      <c r="I84" s="65">
        <v>1731410.7067994799</v>
      </c>
      <c r="J84" s="65">
        <v>1663122.2090686799</v>
      </c>
      <c r="K84" s="65">
        <v>1608378.64639523</v>
      </c>
      <c r="L84" s="88">
        <f t="shared" si="2"/>
        <v>3.6760950066648056E-2</v>
      </c>
      <c r="M84" s="61" t="s">
        <v>264</v>
      </c>
      <c r="N84" s="65">
        <v>31161119.2437662</v>
      </c>
      <c r="O84" s="65">
        <v>30347413.212999601</v>
      </c>
      <c r="P84" s="65">
        <v>24704383.052405398</v>
      </c>
      <c r="Q84" s="65">
        <v>28068961.5375713</v>
      </c>
      <c r="R84" s="65">
        <v>27741889.050000001</v>
      </c>
      <c r="S84" s="65">
        <v>28279711.527677</v>
      </c>
      <c r="T84" s="65">
        <v>27102531.6457518</v>
      </c>
      <c r="U84" s="65">
        <v>26305821.038330901</v>
      </c>
      <c r="V84" s="65">
        <v>26305821.038330901</v>
      </c>
      <c r="W84" s="88">
        <f t="shared" si="3"/>
        <v>2.6112862776242585E-2</v>
      </c>
    </row>
    <row r="85" spans="2:23">
      <c r="B85" s="61" t="s">
        <v>265</v>
      </c>
      <c r="C85" s="65">
        <v>823064.95489615505</v>
      </c>
      <c r="D85" s="65">
        <v>778621.42873452895</v>
      </c>
      <c r="E85" s="65">
        <v>753491.54593276803</v>
      </c>
      <c r="F85" s="65">
        <v>783886.68131927995</v>
      </c>
      <c r="G85" s="65">
        <v>710764.52140514797</v>
      </c>
      <c r="H85" s="65">
        <v>687964.22813653597</v>
      </c>
      <c r="I85" s="65">
        <v>753344.54990534601</v>
      </c>
      <c r="J85" s="65">
        <v>531841.65618094394</v>
      </c>
      <c r="K85" s="65">
        <v>503255.66311832803</v>
      </c>
      <c r="L85" s="88">
        <f t="shared" si="2"/>
        <v>5.3997592653223188E-2</v>
      </c>
      <c r="M85" s="61" t="s">
        <v>265</v>
      </c>
      <c r="N85" s="65">
        <v>14104448.228566</v>
      </c>
      <c r="O85" s="65">
        <v>13532994.636792099</v>
      </c>
      <c r="P85" s="65">
        <v>13105933.013784099</v>
      </c>
      <c r="Q85" s="65">
        <v>11897762.210027199</v>
      </c>
      <c r="R85" s="65">
        <v>11189849.8847987</v>
      </c>
      <c r="S85" s="65">
        <v>12318061.093612</v>
      </c>
      <c r="T85" s="65">
        <v>8620934.6014418006</v>
      </c>
      <c r="U85" s="65">
        <v>8165443.3249677001</v>
      </c>
      <c r="V85" s="65">
        <v>8165443.3249677001</v>
      </c>
      <c r="W85" s="88">
        <f t="shared" si="3"/>
        <v>4.0515841705634791E-2</v>
      </c>
    </row>
    <row r="86" spans="2:23">
      <c r="B86" s="61" t="s">
        <v>266</v>
      </c>
      <c r="C86" s="65">
        <v>13126734.85864</v>
      </c>
      <c r="D86" s="65">
        <v>19899180.2049261</v>
      </c>
      <c r="E86" s="65">
        <v>22127284.3394618</v>
      </c>
      <c r="F86" s="65">
        <v>20550609.022402</v>
      </c>
      <c r="G86" s="65">
        <v>23923281.138204601</v>
      </c>
      <c r="H86" s="65">
        <v>25062176.313485701</v>
      </c>
      <c r="I86" s="65">
        <v>24153275.675532699</v>
      </c>
      <c r="J86" s="65">
        <v>24545465.677108601</v>
      </c>
      <c r="K86" s="65">
        <v>22460752.564074598</v>
      </c>
      <c r="L86" s="88">
        <f t="shared" si="2"/>
        <v>-0.51592764074369069</v>
      </c>
      <c r="M86" s="61" t="s">
        <v>266</v>
      </c>
      <c r="N86" s="65">
        <v>222371622.299734</v>
      </c>
      <c r="O86" s="65">
        <v>361254430.44747102</v>
      </c>
      <c r="P86" s="65">
        <v>403585804.93247497</v>
      </c>
      <c r="Q86" s="65">
        <v>412053586.35464799</v>
      </c>
      <c r="R86" s="65">
        <v>412686166.77235597</v>
      </c>
      <c r="S86" s="65">
        <v>398370875.90297502</v>
      </c>
      <c r="T86" s="65">
        <v>402603207.16418999</v>
      </c>
      <c r="U86" s="65">
        <v>367694510.744102</v>
      </c>
      <c r="V86" s="65">
        <v>367694510.744102</v>
      </c>
      <c r="W86" s="88">
        <f t="shared" si="3"/>
        <v>-0.62455274963339225</v>
      </c>
    </row>
    <row r="87" spans="2:23">
      <c r="B87" s="61" t="s">
        <v>267</v>
      </c>
      <c r="C87" s="65">
        <v>6900133.8634788403</v>
      </c>
      <c r="D87" s="65">
        <v>6007151.6524986904</v>
      </c>
      <c r="E87" s="65">
        <v>5473920.9997192696</v>
      </c>
      <c r="F87" s="65">
        <v>5533533.06853751</v>
      </c>
      <c r="G87" s="65">
        <v>5286500.1477693301</v>
      </c>
      <c r="H87" s="65">
        <v>5203811.8299957402</v>
      </c>
      <c r="I87" s="65">
        <v>5592726.2147861896</v>
      </c>
      <c r="J87" s="65">
        <v>4655360.54893139</v>
      </c>
      <c r="K87" s="65">
        <v>4261797.7069073897</v>
      </c>
      <c r="L87" s="88">
        <f t="shared" si="2"/>
        <v>0.12941520101610537</v>
      </c>
      <c r="M87" s="61" t="s">
        <v>267</v>
      </c>
      <c r="N87" s="65">
        <v>118814210.937976</v>
      </c>
      <c r="O87" s="65">
        <v>103886193.738913</v>
      </c>
      <c r="P87" s="65">
        <v>94238448.896503001</v>
      </c>
      <c r="Q87" s="65">
        <v>88386268.139898807</v>
      </c>
      <c r="R87" s="65">
        <v>84687302.057342395</v>
      </c>
      <c r="S87" s="65">
        <v>91540647.416373506</v>
      </c>
      <c r="T87" s="65">
        <v>75875788.065655902</v>
      </c>
      <c r="U87" s="65">
        <v>69536362.425282598</v>
      </c>
      <c r="V87" s="65">
        <v>69536362.425282598</v>
      </c>
      <c r="W87" s="88">
        <f t="shared" si="3"/>
        <v>0.12564168108523485</v>
      </c>
    </row>
    <row r="88" spans="2:23">
      <c r="B88" s="61" t="s">
        <v>268</v>
      </c>
      <c r="C88" s="65">
        <v>24843746.561031699</v>
      </c>
      <c r="D88" s="65">
        <v>28394856.241700001</v>
      </c>
      <c r="E88" s="65">
        <v>28394856.241700001</v>
      </c>
      <c r="F88" s="65">
        <v>28883167.866198599</v>
      </c>
      <c r="G88" s="65">
        <v>28883167.866198599</v>
      </c>
      <c r="H88" s="65">
        <v>31163572.536774699</v>
      </c>
      <c r="I88" s="65">
        <v>31163572.536774699</v>
      </c>
      <c r="J88" s="65">
        <v>31163572.536774699</v>
      </c>
      <c r="K88" s="65">
        <v>32593000</v>
      </c>
      <c r="L88" s="88">
        <f t="shared" si="2"/>
        <v>-0.14293776793868698</v>
      </c>
      <c r="M88" s="61" t="s">
        <v>268</v>
      </c>
      <c r="N88" s="65">
        <v>419023287.40767801</v>
      </c>
      <c r="O88" s="65">
        <v>497416459.88031298</v>
      </c>
      <c r="P88" s="65">
        <v>495824269.81630599</v>
      </c>
      <c r="Q88" s="65">
        <v>486131713.114483</v>
      </c>
      <c r="R88" s="65">
        <v>509709950.74982601</v>
      </c>
      <c r="S88" s="65">
        <v>510949931.22001803</v>
      </c>
      <c r="T88" s="65">
        <v>510585094.2385</v>
      </c>
      <c r="U88" s="65">
        <v>534354655.47395998</v>
      </c>
      <c r="V88" s="65">
        <v>534354655.47395998</v>
      </c>
      <c r="W88" s="88">
        <f t="shared" si="3"/>
        <v>-0.18708547908547224</v>
      </c>
    </row>
    <row r="89" spans="2:23">
      <c r="B89" s="61" t="s">
        <v>269</v>
      </c>
      <c r="C89" s="65">
        <v>15595018.461604901</v>
      </c>
      <c r="D89" s="65">
        <v>15973000</v>
      </c>
      <c r="E89" s="65">
        <v>15973000</v>
      </c>
      <c r="F89" s="65">
        <v>15079000</v>
      </c>
      <c r="G89" s="65">
        <v>15079000</v>
      </c>
      <c r="H89" s="65">
        <v>15183155.344738301</v>
      </c>
      <c r="I89" s="65">
        <v>15183155.344738301</v>
      </c>
      <c r="J89" s="65">
        <v>11733000</v>
      </c>
      <c r="K89" s="65">
        <v>12190000</v>
      </c>
      <c r="L89" s="88">
        <f t="shared" si="2"/>
        <v>-2.4237325484781816E-2</v>
      </c>
      <c r="M89" s="61" t="s">
        <v>269</v>
      </c>
      <c r="N89" s="65">
        <v>267346554.18040901</v>
      </c>
      <c r="O89" s="65">
        <v>280525585.662835</v>
      </c>
      <c r="P89" s="65">
        <v>281181417.74035197</v>
      </c>
      <c r="Q89" s="65">
        <v>254682026.432679</v>
      </c>
      <c r="R89" s="65">
        <v>249730443.41924</v>
      </c>
      <c r="S89" s="65">
        <v>249886529.274481</v>
      </c>
      <c r="T89" s="65">
        <v>192134070.065483</v>
      </c>
      <c r="U89" s="65">
        <v>199918954.098755</v>
      </c>
      <c r="V89" s="65">
        <v>199918954.098755</v>
      </c>
      <c r="W89" s="88">
        <f t="shared" si="3"/>
        <v>-4.9295684856789299E-2</v>
      </c>
    </row>
    <row r="90" spans="2:23">
      <c r="B90" s="61" t="s">
        <v>270</v>
      </c>
      <c r="C90" s="65">
        <v>33713195.479999997</v>
      </c>
      <c r="D90" s="65">
        <v>35854124.142783202</v>
      </c>
      <c r="E90" s="65">
        <v>35854124.142783202</v>
      </c>
      <c r="F90" s="65">
        <v>35854124.142783202</v>
      </c>
      <c r="G90" s="65">
        <v>35854124.142783202</v>
      </c>
      <c r="H90" s="65">
        <v>28514869.02</v>
      </c>
      <c r="I90" s="65">
        <v>28514869.02</v>
      </c>
      <c r="J90" s="65">
        <v>27845659.024214901</v>
      </c>
      <c r="K90" s="65">
        <v>33983937.434507199</v>
      </c>
      <c r="L90" s="88">
        <f t="shared" si="2"/>
        <v>-6.3504174917304687E-2</v>
      </c>
      <c r="M90" s="61" t="s">
        <v>270</v>
      </c>
      <c r="N90" s="65">
        <v>584833039.01713705</v>
      </c>
      <c r="O90" s="65">
        <v>645150029.21209896</v>
      </c>
      <c r="P90" s="65">
        <v>644273664.51377499</v>
      </c>
      <c r="Q90" s="65">
        <v>613195213.85671699</v>
      </c>
      <c r="R90" s="65">
        <v>466403826.653256</v>
      </c>
      <c r="S90" s="65">
        <v>468675757.03826201</v>
      </c>
      <c r="T90" s="65">
        <v>456119586.83802199</v>
      </c>
      <c r="U90" s="65">
        <v>557839269.22766399</v>
      </c>
      <c r="V90" s="65">
        <v>557839269.22766399</v>
      </c>
      <c r="W90" s="88">
        <f t="shared" si="3"/>
        <v>-0.1031354013383544</v>
      </c>
    </row>
    <row r="91" spans="2:23">
      <c r="B91" s="61" t="s">
        <v>271</v>
      </c>
      <c r="C91" s="65"/>
      <c r="D91" s="65"/>
      <c r="E91" s="65"/>
      <c r="F91" s="65"/>
      <c r="G91" s="65"/>
      <c r="H91" s="65"/>
      <c r="I91" s="65"/>
      <c r="J91" s="65"/>
      <c r="K91" s="65"/>
      <c r="L91" s="88"/>
      <c r="M91" s="61" t="s">
        <v>271</v>
      </c>
      <c r="N91" s="65"/>
      <c r="O91" s="65"/>
      <c r="P91" s="65"/>
      <c r="Q91" s="65"/>
      <c r="R91" s="65"/>
      <c r="S91" s="65"/>
      <c r="T91" s="65"/>
      <c r="U91" s="65"/>
      <c r="V91" s="65"/>
      <c r="W91" s="88"/>
    </row>
    <row r="92" spans="2:23">
      <c r="B92" s="61" t="s">
        <v>272</v>
      </c>
      <c r="C92" s="65"/>
      <c r="D92" s="65"/>
      <c r="E92" s="65"/>
      <c r="F92" s="65"/>
      <c r="G92" s="65"/>
      <c r="H92" s="65"/>
      <c r="I92" s="65"/>
      <c r="J92" s="65"/>
      <c r="K92" s="65"/>
      <c r="L92" s="88"/>
      <c r="M92" s="61" t="s">
        <v>272</v>
      </c>
      <c r="N92" s="65"/>
      <c r="O92" s="65"/>
      <c r="P92" s="65"/>
      <c r="Q92" s="65"/>
      <c r="R92" s="65"/>
      <c r="S92" s="65"/>
      <c r="T92" s="65"/>
      <c r="U92" s="65"/>
      <c r="V92" s="65"/>
      <c r="W92" s="88"/>
    </row>
    <row r="93" spans="2:23">
      <c r="B93" s="61" t="s">
        <v>273</v>
      </c>
      <c r="C93" s="65">
        <v>-3075099.04380866</v>
      </c>
      <c r="D93" s="65">
        <v>-2572931.7507620598</v>
      </c>
      <c r="E93" s="65">
        <v>-2940610.4406645698</v>
      </c>
      <c r="F93" s="65">
        <v>-3416013.5091349799</v>
      </c>
      <c r="G93" s="65">
        <v>-2797890.6835451098</v>
      </c>
      <c r="H93" s="65">
        <v>-1997781.02029267</v>
      </c>
      <c r="I93" s="65">
        <v>-1760230.7029786401</v>
      </c>
      <c r="J93" s="65">
        <v>-1727298.1109444001</v>
      </c>
      <c r="K93" s="65">
        <v>-1674964.2595553901</v>
      </c>
      <c r="L93" s="88">
        <f t="shared" si="2"/>
        <v>0.16330117693530988</v>
      </c>
      <c r="M93" s="61" t="s">
        <v>274</v>
      </c>
      <c r="N93" s="65">
        <v>-55013067.944306903</v>
      </c>
      <c r="O93" s="65">
        <v>-47212717.744823202</v>
      </c>
      <c r="P93" s="65">
        <v>-54498141.684366599</v>
      </c>
      <c r="Q93" s="65">
        <v>-48434142.704242803</v>
      </c>
      <c r="R93" s="65">
        <v>-32964857.137076799</v>
      </c>
      <c r="S93" s="65">
        <v>-29089566.579130299</v>
      </c>
      <c r="T93" s="65">
        <v>-28443764.818282701</v>
      </c>
      <c r="U93" s="65">
        <v>-27475687.464228898</v>
      </c>
      <c r="V93" s="65">
        <v>-27475687.464228898</v>
      </c>
      <c r="W93" s="88">
        <f t="shared" si="3"/>
        <v>0.14179085971683078</v>
      </c>
    </row>
    <row r="94" spans="2:23">
      <c r="B94" s="61" t="s">
        <v>275</v>
      </c>
      <c r="C94" s="65">
        <v>155154.76523230001</v>
      </c>
      <c r="D94" s="65">
        <v>154929.256429047</v>
      </c>
      <c r="E94" s="65">
        <v>162222.64580007899</v>
      </c>
      <c r="F94" s="65">
        <v>-42405.471340871103</v>
      </c>
      <c r="G94" s="65">
        <v>-62455.680394369898</v>
      </c>
      <c r="H94" s="65">
        <v>-70314.237646309994</v>
      </c>
      <c r="I94" s="65">
        <v>-83120.764318444199</v>
      </c>
      <c r="J94" s="65">
        <v>-49427.7338927807</v>
      </c>
      <c r="K94" s="65">
        <v>38681.5242399454</v>
      </c>
      <c r="L94" s="88">
        <f t="shared" si="2"/>
        <v>1.453444262026814E-3</v>
      </c>
      <c r="M94" s="61" t="s">
        <v>275</v>
      </c>
      <c r="N94" s="65">
        <v>2678104.7802898302</v>
      </c>
      <c r="O94" s="65">
        <v>2678104.7802898302</v>
      </c>
      <c r="P94" s="65">
        <v>2924247.3625657801</v>
      </c>
      <c r="Q94" s="65">
        <v>-1079043.7739623301</v>
      </c>
      <c r="R94" s="65">
        <v>-1224878.34390939</v>
      </c>
      <c r="S94" s="65">
        <v>-1426008</v>
      </c>
      <c r="T94" s="65">
        <v>-848678.89752274996</v>
      </c>
      <c r="U94" s="65">
        <v>630191.89087524195</v>
      </c>
      <c r="V94" s="65">
        <v>630191.89087524195</v>
      </c>
      <c r="W94" s="88">
        <f t="shared" si="3"/>
        <v>0</v>
      </c>
    </row>
    <row r="95" spans="2:23">
      <c r="B95" s="61" t="s">
        <v>276</v>
      </c>
      <c r="C95" s="65">
        <v>-142593.76964962701</v>
      </c>
      <c r="D95" s="65">
        <v>-137739.99399588001</v>
      </c>
      <c r="E95" s="65">
        <v>-182382.050966298</v>
      </c>
      <c r="F95" s="65">
        <v>-333245.61341217603</v>
      </c>
      <c r="G95" s="65">
        <v>-287332.51082673302</v>
      </c>
      <c r="H95" s="65">
        <v>-301984.68704358401</v>
      </c>
      <c r="I95" s="65">
        <v>-297945.14293643797</v>
      </c>
      <c r="J95" s="65">
        <v>-316266.42499635997</v>
      </c>
      <c r="K95" s="65">
        <v>-315097.86383943999</v>
      </c>
      <c r="L95" s="88">
        <f t="shared" si="2"/>
        <v>3.4039184640909687E-2</v>
      </c>
      <c r="M95" s="61" t="s">
        <v>276</v>
      </c>
      <c r="N95" s="65">
        <v>-2532254</v>
      </c>
      <c r="O95" s="65">
        <v>-2532254</v>
      </c>
      <c r="P95" s="65">
        <v>-3400626</v>
      </c>
      <c r="Q95" s="65">
        <v>-5045958</v>
      </c>
      <c r="R95" s="65">
        <v>-5012737</v>
      </c>
      <c r="S95" s="65">
        <v>-4936533</v>
      </c>
      <c r="T95" s="65">
        <v>-5212322</v>
      </c>
      <c r="U95" s="65">
        <v>-5174260</v>
      </c>
      <c r="V95" s="65">
        <v>-5174260</v>
      </c>
      <c r="W95" s="88">
        <f t="shared" si="3"/>
        <v>0</v>
      </c>
    </row>
    <row r="96" spans="2:23">
      <c r="B96" s="61" t="s">
        <v>277</v>
      </c>
      <c r="C96" s="65">
        <v>-82807.482835915405</v>
      </c>
      <c r="D96" s="65">
        <v>-69781.211211147296</v>
      </c>
      <c r="E96" s="65">
        <v>-72536.375956526696</v>
      </c>
      <c r="F96" s="65">
        <v>-69013.416281042693</v>
      </c>
      <c r="G96" s="65">
        <v>-46099.628098739799</v>
      </c>
      <c r="H96" s="65">
        <v>-45532.089983886202</v>
      </c>
      <c r="I96" s="65">
        <v>-48971.767058345999</v>
      </c>
      <c r="J96" s="65">
        <v>-27345.660024066201</v>
      </c>
      <c r="K96" s="65">
        <v>-16654.458658447002</v>
      </c>
      <c r="L96" s="88">
        <f t="shared" si="2"/>
        <v>0.15730790477691386</v>
      </c>
      <c r="M96" s="61" t="s">
        <v>277</v>
      </c>
      <c r="N96" s="65">
        <v>-1447102.3660266299</v>
      </c>
      <c r="O96" s="65">
        <v>-1233258.2178923399</v>
      </c>
      <c r="P96" s="65">
        <v>-1289302.58712634</v>
      </c>
      <c r="Q96" s="65">
        <v>-765753.681890329</v>
      </c>
      <c r="R96" s="65">
        <v>-737746.69570407399</v>
      </c>
      <c r="S96" s="65">
        <v>-799166.03742943599</v>
      </c>
      <c r="T96" s="65">
        <v>-439109.94732832402</v>
      </c>
      <c r="U96" s="65">
        <v>-266506.54372972</v>
      </c>
      <c r="V96" s="65">
        <v>-266506.54372972</v>
      </c>
      <c r="W96" s="88">
        <f t="shared" si="3"/>
        <v>0.14777402978163245</v>
      </c>
    </row>
    <row r="97" spans="2:23">
      <c r="B97" s="61" t="s">
        <v>278</v>
      </c>
      <c r="C97" s="65">
        <v>-7528035.9303123197</v>
      </c>
      <c r="D97" s="65">
        <v>-5924248.7905546697</v>
      </c>
      <c r="E97" s="65">
        <v>-6743736.9299631696</v>
      </c>
      <c r="F97" s="65">
        <v>-7080204.2864368297</v>
      </c>
      <c r="G97" s="65">
        <v>-4525249.8531583296</v>
      </c>
      <c r="H97" s="65">
        <v>-3131098.4244730398</v>
      </c>
      <c r="I97" s="65">
        <v>-2674953.8021867699</v>
      </c>
      <c r="J97" s="65">
        <v>-2675279.5460201502</v>
      </c>
      <c r="K97" s="65">
        <v>-2827822.66091988</v>
      </c>
      <c r="L97" s="88">
        <f t="shared" si="2"/>
        <v>0.21304190822201785</v>
      </c>
      <c r="M97" s="61" t="s">
        <v>278</v>
      </c>
      <c r="N97" s="65">
        <v>-135721652.49444401</v>
      </c>
      <c r="O97" s="65">
        <v>-109567085.827778</v>
      </c>
      <c r="P97" s="65">
        <v>-125964986.114722</v>
      </c>
      <c r="Q97" s="65">
        <v>-78685831.116906106</v>
      </c>
      <c r="R97" s="65">
        <v>-51736437.8827549</v>
      </c>
      <c r="S97" s="65">
        <v>-44272558.374046102</v>
      </c>
      <c r="T97" s="65">
        <v>-44122558.374046102</v>
      </c>
      <c r="U97" s="65">
        <v>-46460392.549046099</v>
      </c>
      <c r="V97" s="65">
        <v>-46460392.549046099</v>
      </c>
      <c r="W97" s="88">
        <f t="shared" si="3"/>
        <v>0.19270739919510407</v>
      </c>
    </row>
    <row r="98" spans="2:23">
      <c r="B98" s="61" t="s">
        <v>279</v>
      </c>
      <c r="C98" s="65">
        <v>-100580.413564795</v>
      </c>
      <c r="D98" s="65">
        <v>-92531.905005527005</v>
      </c>
      <c r="E98" s="65">
        <v>-91980.909491390194</v>
      </c>
      <c r="F98" s="65">
        <v>-99084.147486723101</v>
      </c>
      <c r="G98" s="65">
        <v>-99360.757786561895</v>
      </c>
      <c r="H98" s="65">
        <v>-107946.746678332</v>
      </c>
      <c r="I98" s="65">
        <v>-53735.082152493</v>
      </c>
      <c r="J98" s="65">
        <v>100875.16951644501</v>
      </c>
      <c r="K98" s="65">
        <v>323407.842906226</v>
      </c>
      <c r="L98" s="88">
        <f t="shared" si="2"/>
        <v>8.002063497266354E-2</v>
      </c>
      <c r="M98" s="61" t="s">
        <v>279</v>
      </c>
      <c r="N98" s="65">
        <v>-1711649.36716171</v>
      </c>
      <c r="O98" s="65">
        <v>-1592978.8018095701</v>
      </c>
      <c r="P98" s="65">
        <v>-1585388.54295448</v>
      </c>
      <c r="Q98" s="65">
        <v>-1663488.61977817</v>
      </c>
      <c r="R98" s="65">
        <v>-1755643.8772028501</v>
      </c>
      <c r="S98" s="65">
        <v>-859094.48067001801</v>
      </c>
      <c r="T98" s="65">
        <v>1694325.0175785001</v>
      </c>
      <c r="U98" s="65">
        <v>5337482.2023772197</v>
      </c>
      <c r="V98" s="65">
        <v>5337482.2023772197</v>
      </c>
      <c r="W98" s="88">
        <f t="shared" si="3"/>
        <v>6.9331118644306119E-2</v>
      </c>
    </row>
    <row r="99" spans="2:23">
      <c r="B99" s="61" t="s">
        <v>280</v>
      </c>
      <c r="C99" s="65">
        <v>-139657.55547338701</v>
      </c>
      <c r="D99" s="65">
        <v>-97641.359400000001</v>
      </c>
      <c r="E99" s="65">
        <v>-97641.359400000001</v>
      </c>
      <c r="F99" s="65">
        <v>-75656.6363286837</v>
      </c>
      <c r="G99" s="65">
        <v>-75656.6363286837</v>
      </c>
      <c r="H99" s="65">
        <v>-167578.17706923999</v>
      </c>
      <c r="I99" s="65">
        <v>-167578.17706923999</v>
      </c>
      <c r="J99" s="65">
        <v>-167578.17706923999</v>
      </c>
      <c r="K99" s="65">
        <v>-189000</v>
      </c>
      <c r="L99" s="88">
        <f t="shared" si="2"/>
        <v>0.30085157892795544</v>
      </c>
      <c r="M99" s="61" t="s">
        <v>280</v>
      </c>
      <c r="N99" s="65">
        <v>-2484287.30736522</v>
      </c>
      <c r="O99" s="65">
        <v>-1779156.03301605</v>
      </c>
      <c r="P99" s="65">
        <v>-1792092.5070951299</v>
      </c>
      <c r="Q99" s="65">
        <v>-1300179.7384983201</v>
      </c>
      <c r="R99" s="65">
        <v>-2776717.8463308802</v>
      </c>
      <c r="S99" s="65">
        <v>-2776356.7432212499</v>
      </c>
      <c r="T99" s="65">
        <v>-2759628.9857016299</v>
      </c>
      <c r="U99" s="65">
        <v>-3094370.6753507298</v>
      </c>
      <c r="V99" s="65">
        <v>-3094370.6753507298</v>
      </c>
      <c r="W99" s="88">
        <f t="shared" si="3"/>
        <v>0.28383644365877175</v>
      </c>
    </row>
    <row r="100" spans="2:23">
      <c r="B100" s="61" t="s">
        <v>281</v>
      </c>
      <c r="C100" s="65">
        <v>-149692.44203802501</v>
      </c>
      <c r="D100" s="65">
        <v>-205000</v>
      </c>
      <c r="E100" s="65">
        <v>-205000</v>
      </c>
      <c r="F100" s="65">
        <v>-192000</v>
      </c>
      <c r="G100" s="65">
        <v>-192000</v>
      </c>
      <c r="H100" s="65">
        <v>-157933.36970834699</v>
      </c>
      <c r="I100" s="65">
        <v>-157933.36970834699</v>
      </c>
      <c r="J100" s="65">
        <v>-148000</v>
      </c>
      <c r="K100" s="65">
        <v>-137000</v>
      </c>
      <c r="L100" s="88">
        <f t="shared" si="2"/>
        <v>-0.36947461881826815</v>
      </c>
      <c r="M100" s="61" t="s">
        <v>281</v>
      </c>
      <c r="N100" s="65">
        <v>-2485438.4280459099</v>
      </c>
      <c r="O100" s="65">
        <v>-3601239.7004255499</v>
      </c>
      <c r="P100" s="65">
        <v>-3591655.2410272099</v>
      </c>
      <c r="Q100" s="65">
        <v>-3210156.3551003202</v>
      </c>
      <c r="R100" s="65">
        <v>-2573848.1504293</v>
      </c>
      <c r="S100" s="65">
        <v>-2574342.6836393401</v>
      </c>
      <c r="T100" s="65">
        <v>-2409651.62805518</v>
      </c>
      <c r="U100" s="65">
        <v>-2240823.6951979301</v>
      </c>
      <c r="V100" s="65">
        <v>-2240823.6951979301</v>
      </c>
      <c r="W100" s="88">
        <f t="shared" si="3"/>
        <v>-0.44893539095108476</v>
      </c>
    </row>
    <row r="101" spans="2:23">
      <c r="B101" s="61" t="s">
        <v>282</v>
      </c>
      <c r="C101" s="65">
        <v>405834.95</v>
      </c>
      <c r="D101" s="65">
        <v>18572.550000001102</v>
      </c>
      <c r="E101" s="65">
        <v>18572.550000001102</v>
      </c>
      <c r="F101" s="65">
        <v>18572.550000001102</v>
      </c>
      <c r="G101" s="65">
        <v>18572.550000001102</v>
      </c>
      <c r="H101" s="65">
        <v>397456.31</v>
      </c>
      <c r="I101" s="65">
        <v>397456.31</v>
      </c>
      <c r="J101" s="65">
        <v>223156.71</v>
      </c>
      <c r="K101" s="65">
        <v>82636.830000000395</v>
      </c>
      <c r="L101" s="88">
        <f t="shared" si="2"/>
        <v>0.95423619873054033</v>
      </c>
      <c r="M101" s="61" t="s">
        <v>282</v>
      </c>
      <c r="N101" s="65">
        <v>8123486.7005915102</v>
      </c>
      <c r="O101" s="65">
        <v>1227184.5949774701</v>
      </c>
      <c r="P101" s="65">
        <v>1102971.2562837999</v>
      </c>
      <c r="Q101" s="65">
        <v>672645.48853410105</v>
      </c>
      <c r="R101" s="65">
        <v>6803019.4837482404</v>
      </c>
      <c r="S101" s="65">
        <v>6730843.0208360702</v>
      </c>
      <c r="T101" s="65">
        <v>3769018.6301567801</v>
      </c>
      <c r="U101" s="65">
        <v>1410420.8260429599</v>
      </c>
      <c r="V101" s="65">
        <v>1410420.8260429599</v>
      </c>
      <c r="W101" s="88">
        <f t="shared" si="3"/>
        <v>0.84893375957787764</v>
      </c>
    </row>
    <row r="102" spans="2:23">
      <c r="B102" s="61" t="s">
        <v>283</v>
      </c>
      <c r="C102" s="65"/>
      <c r="D102" s="65"/>
      <c r="E102" s="65"/>
      <c r="F102" s="65"/>
      <c r="G102" s="65"/>
      <c r="H102" s="65"/>
      <c r="I102" s="65"/>
      <c r="J102" s="65"/>
      <c r="K102" s="65"/>
      <c r="L102" s="88"/>
      <c r="M102" s="61" t="s">
        <v>283</v>
      </c>
      <c r="N102" s="65"/>
      <c r="O102" s="65"/>
      <c r="P102" s="65"/>
      <c r="Q102" s="65"/>
      <c r="R102" s="65"/>
      <c r="S102" s="65"/>
      <c r="T102" s="65"/>
      <c r="U102" s="65"/>
      <c r="V102" s="65"/>
      <c r="W102" s="88"/>
    </row>
    <row r="103" spans="2:23">
      <c r="B103" s="61" t="s">
        <v>284</v>
      </c>
      <c r="C103" s="65"/>
      <c r="D103" s="65"/>
      <c r="E103" s="65"/>
      <c r="F103" s="65"/>
      <c r="G103" s="65"/>
      <c r="H103" s="65"/>
      <c r="I103" s="65"/>
      <c r="J103" s="65"/>
      <c r="K103" s="65"/>
      <c r="L103" s="88"/>
      <c r="M103" s="61" t="s">
        <v>284</v>
      </c>
      <c r="N103" s="65"/>
      <c r="O103" s="65"/>
      <c r="P103" s="65"/>
      <c r="Q103" s="65"/>
      <c r="R103" s="65"/>
      <c r="S103" s="65"/>
      <c r="T103" s="65"/>
      <c r="U103" s="65"/>
      <c r="V103" s="65"/>
      <c r="W103" s="88"/>
    </row>
    <row r="104" spans="2:23">
      <c r="B104" s="61" t="s">
        <v>285</v>
      </c>
      <c r="C104" s="65">
        <v>1048764.57370849</v>
      </c>
      <c r="D104" s="65">
        <v>872344.88962901104</v>
      </c>
      <c r="E104" s="65">
        <v>2129969.9811336002</v>
      </c>
      <c r="F104" s="65">
        <v>2191872.3715296602</v>
      </c>
      <c r="G104" s="65">
        <v>368355.72844099201</v>
      </c>
      <c r="H104" s="65">
        <v>3243032.61991707</v>
      </c>
      <c r="I104" s="65">
        <v>-5171421.2079883497</v>
      </c>
      <c r="J104" s="65">
        <v>-3673159.1733772601</v>
      </c>
      <c r="K104" s="65">
        <v>-3836974.1752621899</v>
      </c>
      <c r="L104" s="88">
        <f t="shared" si="2"/>
        <v>0.16821666988202044</v>
      </c>
      <c r="M104" s="61" t="s">
        <v>286</v>
      </c>
      <c r="N104" s="65">
        <v>7336019.5699407198</v>
      </c>
      <c r="O104" s="65">
        <v>2854783.3553261999</v>
      </c>
      <c r="P104" s="65">
        <v>24866202.4804492</v>
      </c>
      <c r="Q104" s="65">
        <v>-1793287.2770762399</v>
      </c>
      <c r="R104" s="65">
        <v>56544859.785883598</v>
      </c>
      <c r="S104" s="65">
        <v>-85456772.108011305</v>
      </c>
      <c r="T104" s="65">
        <v>-60940691.726600602</v>
      </c>
      <c r="U104" s="65">
        <v>-62615787.116380103</v>
      </c>
      <c r="V104" s="65">
        <v>-62615787.116380103</v>
      </c>
      <c r="W104" s="88">
        <f t="shared" si="3"/>
        <v>0.61085390679386253</v>
      </c>
    </row>
    <row r="105" spans="2:23">
      <c r="B105" s="61" t="s">
        <v>287</v>
      </c>
      <c r="C105" s="65">
        <v>11169128.1536982</v>
      </c>
      <c r="D105" s="65">
        <v>11112957.4951634</v>
      </c>
      <c r="E105" s="65">
        <v>11263162.2002846</v>
      </c>
      <c r="F105" s="65">
        <v>10881953.7063403</v>
      </c>
      <c r="G105" s="65">
        <v>11159363.407431601</v>
      </c>
      <c r="H105" s="65">
        <v>10882271.8676516</v>
      </c>
      <c r="I105" s="65">
        <v>2334084.3354123798</v>
      </c>
      <c r="J105" s="65">
        <v>3102265.9718013401</v>
      </c>
      <c r="K105" s="65">
        <v>2512438.6986326799</v>
      </c>
      <c r="L105" s="88">
        <f t="shared" si="2"/>
        <v>5.0290996541392545E-3</v>
      </c>
      <c r="M105" s="61" t="s">
        <v>287</v>
      </c>
      <c r="N105" s="65">
        <v>181374939.12712601</v>
      </c>
      <c r="O105" s="65">
        <v>181374939.12712601</v>
      </c>
      <c r="P105" s="65">
        <v>184134075.85124099</v>
      </c>
      <c r="Q105" s="65">
        <v>179666461.16017199</v>
      </c>
      <c r="R105" s="65">
        <v>180485100.032758</v>
      </c>
      <c r="S105" s="65">
        <v>37305083</v>
      </c>
      <c r="T105" s="65">
        <v>50008152.263839804</v>
      </c>
      <c r="U105" s="65">
        <v>40589496.279267997</v>
      </c>
      <c r="V105" s="65">
        <v>40589496.279267997</v>
      </c>
      <c r="W105" s="88">
        <f t="shared" si="3"/>
        <v>0</v>
      </c>
    </row>
    <row r="106" spans="2:23">
      <c r="B106" s="61" t="s">
        <v>288</v>
      </c>
      <c r="C106" s="65">
        <v>92753.399052830704</v>
      </c>
      <c r="D106" s="65">
        <v>87472.374290792795</v>
      </c>
      <c r="E106" s="65">
        <v>84905.3447912876</v>
      </c>
      <c r="F106" s="65">
        <v>89364.792329358694</v>
      </c>
      <c r="G106" s="65">
        <v>59093.928022075197</v>
      </c>
      <c r="H106" s="65">
        <v>46564.4125327324</v>
      </c>
      <c r="I106" s="65">
        <v>45719.447275146202</v>
      </c>
      <c r="J106" s="65">
        <v>42198.343620204701</v>
      </c>
      <c r="K106" s="65">
        <v>33811.050166438603</v>
      </c>
      <c r="L106" s="88">
        <f t="shared" si="2"/>
        <v>5.6936185799831764E-2</v>
      </c>
      <c r="M106" s="61" t="s">
        <v>288</v>
      </c>
      <c r="N106" s="65">
        <v>1687593</v>
      </c>
      <c r="O106" s="65">
        <v>1630408</v>
      </c>
      <c r="P106" s="65">
        <v>1595139</v>
      </c>
      <c r="Q106" s="65">
        <v>1042433</v>
      </c>
      <c r="R106" s="65">
        <v>798863</v>
      </c>
      <c r="S106" s="65">
        <v>788041</v>
      </c>
      <c r="T106" s="65">
        <v>720903</v>
      </c>
      <c r="U106" s="65">
        <v>582677</v>
      </c>
      <c r="V106" s="65">
        <v>582677</v>
      </c>
      <c r="W106" s="88">
        <f t="shared" si="3"/>
        <v>3.3885539937650845E-2</v>
      </c>
    </row>
    <row r="107" spans="2:23">
      <c r="B107" s="61" t="s">
        <v>289</v>
      </c>
      <c r="C107" s="65">
        <v>251782.90957295799</v>
      </c>
      <c r="D107" s="65">
        <v>262566.06610733899</v>
      </c>
      <c r="E107" s="65">
        <v>258098.15515016799</v>
      </c>
      <c r="F107" s="65">
        <v>205950.19905716501</v>
      </c>
      <c r="G107" s="65">
        <v>214601.92277382399</v>
      </c>
      <c r="H107" s="65">
        <v>133441.892370816</v>
      </c>
      <c r="I107" s="65">
        <v>133966.929091803</v>
      </c>
      <c r="J107" s="65">
        <v>105946.43176553</v>
      </c>
      <c r="K107" s="65">
        <v>96229.366035592597</v>
      </c>
      <c r="L107" s="88">
        <f t="shared" si="2"/>
        <v>-4.2827198051964763E-2</v>
      </c>
      <c r="M107" s="61" t="s">
        <v>289</v>
      </c>
      <c r="N107" s="65">
        <v>4189259.75290005</v>
      </c>
      <c r="O107" s="65">
        <v>4422003.7500761896</v>
      </c>
      <c r="P107" s="65">
        <v>4336768.4599747201</v>
      </c>
      <c r="Q107" s="65">
        <v>3515321.0624973401</v>
      </c>
      <c r="R107" s="65">
        <v>2137790.2990669301</v>
      </c>
      <c r="S107" s="65">
        <v>2145766.4002357102</v>
      </c>
      <c r="T107" s="65">
        <v>1685267.0542721101</v>
      </c>
      <c r="U107" s="65">
        <v>1541226.3535095099</v>
      </c>
      <c r="V107" s="65">
        <v>1541226.3535095099</v>
      </c>
      <c r="W107" s="88">
        <f t="shared" si="3"/>
        <v>-5.5557308666530081E-2</v>
      </c>
    </row>
    <row r="108" spans="2:23">
      <c r="B108" s="61" t="s">
        <v>290</v>
      </c>
      <c r="C108" s="65">
        <v>-27231200.857334599</v>
      </c>
      <c r="D108" s="65">
        <v>-27041188.699627198</v>
      </c>
      <c r="E108" s="65">
        <v>-24299860.107273702</v>
      </c>
      <c r="F108" s="65">
        <v>-22863512.500051901</v>
      </c>
      <c r="G108" s="65">
        <v>-22469104.5210733</v>
      </c>
      <c r="H108" s="65">
        <v>-15771899.0765719</v>
      </c>
      <c r="I108" s="65">
        <v>-15673002.9688145</v>
      </c>
      <c r="J108" s="65">
        <v>-14032177.6169717</v>
      </c>
      <c r="K108" s="65">
        <v>-12400602.966172799</v>
      </c>
      <c r="L108" s="88">
        <f t="shared" si="2"/>
        <v>6.9777369974567873E-3</v>
      </c>
      <c r="M108" s="61" t="s">
        <v>290</v>
      </c>
      <c r="N108" s="65">
        <v>-466911378.17549098</v>
      </c>
      <c r="O108" s="65">
        <v>-469272019.46673602</v>
      </c>
      <c r="P108" s="65">
        <v>-422003215.91021901</v>
      </c>
      <c r="Q108" s="65">
        <v>-376905186.509094</v>
      </c>
      <c r="R108" s="65">
        <v>-255020414.325618</v>
      </c>
      <c r="S108" s="65">
        <v>-256020771.898729</v>
      </c>
      <c r="T108" s="65">
        <v>-229381231.89864799</v>
      </c>
      <c r="U108" s="65">
        <v>-202157233.387593</v>
      </c>
      <c r="V108" s="65">
        <v>-202157233.387593</v>
      </c>
      <c r="W108" s="88">
        <f t="shared" si="3"/>
        <v>-5.0558658486103214E-3</v>
      </c>
    </row>
    <row r="109" spans="2:23">
      <c r="B109" s="61" t="s">
        <v>291</v>
      </c>
      <c r="C109" s="65">
        <v>1537049.0438953701</v>
      </c>
      <c r="D109" s="65">
        <v>1526834.88099595</v>
      </c>
      <c r="E109" s="65">
        <v>1571644.6057426401</v>
      </c>
      <c r="F109" s="65">
        <v>1055235.8027834599</v>
      </c>
      <c r="G109" s="65">
        <v>1079835.9450997901</v>
      </c>
      <c r="H109" s="65">
        <v>247917.65558634399</v>
      </c>
      <c r="I109" s="65">
        <v>459431.60306569102</v>
      </c>
      <c r="J109" s="65">
        <v>141796.746705314</v>
      </c>
      <c r="K109" s="65">
        <v>131120.482473746</v>
      </c>
      <c r="L109" s="88">
        <f t="shared" si="2"/>
        <v>6.6453070837181622E-3</v>
      </c>
      <c r="M109" s="61" t="s">
        <v>291</v>
      </c>
      <c r="N109" s="65">
        <v>25520166.25</v>
      </c>
      <c r="O109" s="65">
        <v>25337392.329999998</v>
      </c>
      <c r="P109" s="65">
        <v>26132175.030000001</v>
      </c>
      <c r="Q109" s="65">
        <v>17393217.370000001</v>
      </c>
      <c r="R109" s="65">
        <v>3756636.19</v>
      </c>
      <c r="S109" s="65">
        <v>7192926.5137844803</v>
      </c>
      <c r="T109" s="65">
        <v>1926284.96952792</v>
      </c>
      <c r="U109" s="65">
        <v>1937647.97952792</v>
      </c>
      <c r="V109" s="65">
        <v>1937647.97952792</v>
      </c>
      <c r="W109" s="88">
        <f t="shared" si="3"/>
        <v>7.1619408043629724E-3</v>
      </c>
    </row>
    <row r="110" spans="2:23">
      <c r="B110" s="61" t="s">
        <v>292</v>
      </c>
      <c r="C110" s="65">
        <v>-60319.603145449903</v>
      </c>
      <c r="D110" s="65">
        <v>-419273.79619999998</v>
      </c>
      <c r="E110" s="65">
        <v>-419273.79619999998</v>
      </c>
      <c r="F110" s="65">
        <v>81785.881775649803</v>
      </c>
      <c r="G110" s="65">
        <v>81785.881775649803</v>
      </c>
      <c r="H110" s="65">
        <v>153500.47309847001</v>
      </c>
      <c r="I110" s="65">
        <v>153500.47309847001</v>
      </c>
      <c r="J110" s="65">
        <v>153500.47309847001</v>
      </c>
      <c r="K110" s="65">
        <v>-860000</v>
      </c>
      <c r="L110" s="88">
        <f t="shared" si="2"/>
        <v>-5.9508712646699022</v>
      </c>
      <c r="M110" s="61" t="s">
        <v>292</v>
      </c>
      <c r="N110" s="65">
        <v>-947629.11166818999</v>
      </c>
      <c r="O110" s="65">
        <v>-6982710.4242203999</v>
      </c>
      <c r="P110" s="65">
        <v>-7164457.8809998799</v>
      </c>
      <c r="Q110" s="65">
        <v>1725427.2458707001</v>
      </c>
      <c r="R110" s="65">
        <v>2547569.24633874</v>
      </c>
      <c r="S110" s="65">
        <v>2996177.97753355</v>
      </c>
      <c r="T110" s="65">
        <v>2903155.9184687398</v>
      </c>
      <c r="U110" s="65">
        <v>-12732051.839752</v>
      </c>
      <c r="V110" s="65">
        <v>-12732051.839752</v>
      </c>
      <c r="W110" s="88">
        <f t="shared" si="3"/>
        <v>-6.3686111351393127</v>
      </c>
    </row>
    <row r="111" spans="2:23">
      <c r="B111" s="61" t="s">
        <v>293</v>
      </c>
      <c r="C111" s="65">
        <v>-407778.30495404999</v>
      </c>
      <c r="D111" s="65">
        <v>-543000</v>
      </c>
      <c r="E111" s="65">
        <v>-543000</v>
      </c>
      <c r="F111" s="65">
        <v>-737000</v>
      </c>
      <c r="G111" s="65">
        <v>-737000</v>
      </c>
      <c r="H111" s="65">
        <v>-234658.16456517001</v>
      </c>
      <c r="I111" s="65">
        <v>-234658.16456517001</v>
      </c>
      <c r="J111" s="65">
        <v>-64000</v>
      </c>
      <c r="K111" s="65">
        <v>31000</v>
      </c>
      <c r="L111" s="88">
        <f t="shared" si="2"/>
        <v>-0.33160590792388356</v>
      </c>
      <c r="M111" s="61" t="s">
        <v>293</v>
      </c>
      <c r="N111" s="65">
        <v>-5852007.2114314698</v>
      </c>
      <c r="O111" s="65">
        <v>-8197043.4338362403</v>
      </c>
      <c r="P111" s="65">
        <v>-7945585.0466634603</v>
      </c>
      <c r="Q111" s="65">
        <v>-11943049.884369699</v>
      </c>
      <c r="R111" s="65">
        <v>-3905134.6762876501</v>
      </c>
      <c r="S111" s="65">
        <v>-3597979.2638645298</v>
      </c>
      <c r="T111" s="65">
        <v>-859285.39880150696</v>
      </c>
      <c r="U111" s="65">
        <v>616435.50316572096</v>
      </c>
      <c r="V111" s="65">
        <v>616435.50316572096</v>
      </c>
      <c r="W111" s="88">
        <f t="shared" si="3"/>
        <v>-0.40072339928493478</v>
      </c>
    </row>
    <row r="112" spans="2:23">
      <c r="B112" s="61" t="s">
        <v>294</v>
      </c>
      <c r="C112" s="65">
        <v>0</v>
      </c>
      <c r="D112" s="65">
        <v>0</v>
      </c>
      <c r="E112" s="65">
        <v>0</v>
      </c>
      <c r="F112" s="65">
        <v>0</v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r="L112" s="88"/>
      <c r="M112" s="61" t="s">
        <v>294</v>
      </c>
      <c r="N112" s="65">
        <v>-1598582.5266221699</v>
      </c>
      <c r="O112" s="65">
        <v>-2317037.809897</v>
      </c>
      <c r="P112" s="65">
        <v>-2018368.26903267</v>
      </c>
      <c r="Q112" s="65">
        <v>-1087867.8444967801</v>
      </c>
      <c r="R112" s="65">
        <v>-815786.71788185998</v>
      </c>
      <c r="S112" s="65">
        <v>-804316.62465979997</v>
      </c>
      <c r="T112" s="65">
        <v>-631150.72766644903</v>
      </c>
      <c r="U112" s="65">
        <v>-448456.78134443401</v>
      </c>
      <c r="V112" s="65">
        <v>-448456.78134443401</v>
      </c>
      <c r="W112" s="88"/>
    </row>
    <row r="113" spans="2:23">
      <c r="B113" s="61" t="s">
        <v>295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88"/>
      <c r="M113" s="61" t="s">
        <v>295</v>
      </c>
      <c r="N113" s="65"/>
      <c r="O113" s="65"/>
      <c r="P113" s="65"/>
      <c r="Q113" s="65"/>
      <c r="R113" s="65"/>
      <c r="S113" s="65"/>
      <c r="T113" s="65"/>
      <c r="U113" s="65"/>
      <c r="V113" s="65"/>
      <c r="W113" s="88"/>
    </row>
    <row r="114" spans="2:23">
      <c r="B114" s="61" t="s">
        <v>296</v>
      </c>
      <c r="C114" s="65"/>
      <c r="D114" s="65"/>
      <c r="E114" s="65"/>
      <c r="F114" s="65"/>
      <c r="G114" s="65"/>
      <c r="H114" s="65"/>
      <c r="I114" s="65"/>
      <c r="J114" s="65"/>
      <c r="K114" s="65"/>
      <c r="L114" s="88"/>
      <c r="M114" s="61" t="s">
        <v>296</v>
      </c>
      <c r="N114" s="65"/>
      <c r="O114" s="65"/>
      <c r="P114" s="65"/>
      <c r="Q114" s="65"/>
      <c r="R114" s="65"/>
      <c r="S114" s="65"/>
      <c r="T114" s="65"/>
      <c r="U114" s="65"/>
      <c r="V114" s="65"/>
      <c r="W114" s="88"/>
    </row>
    <row r="115" spans="2:23">
      <c r="B115" s="61" t="s">
        <v>297</v>
      </c>
      <c r="C115" s="65">
        <v>36883216.831570402</v>
      </c>
      <c r="D115" s="65">
        <v>39715815.279832304</v>
      </c>
      <c r="E115" s="65">
        <v>41076003.955952503</v>
      </c>
      <c r="F115" s="65">
        <v>39699657.671334997</v>
      </c>
      <c r="G115" s="65">
        <v>42473946.887544997</v>
      </c>
      <c r="H115" s="65">
        <v>44630035.653957702</v>
      </c>
      <c r="I115" s="65">
        <v>35904817.7501214</v>
      </c>
      <c r="J115" s="65">
        <v>34997430.558032803</v>
      </c>
      <c r="K115" s="65">
        <v>36756538.972735196</v>
      </c>
      <c r="L115" s="88">
        <f t="shared" si="2"/>
        <v>-7.679911600978695E-2</v>
      </c>
      <c r="M115" s="61" t="s">
        <v>298</v>
      </c>
      <c r="N115" s="65">
        <v>619893598.25713694</v>
      </c>
      <c r="O115" s="65">
        <v>689551988.78637505</v>
      </c>
      <c r="P115" s="65">
        <v>712996254.255252</v>
      </c>
      <c r="Q115" s="65">
        <v>714426793.24433005</v>
      </c>
      <c r="R115" s="65">
        <v>734431527.962026</v>
      </c>
      <c r="S115" s="65">
        <v>589236479.48571205</v>
      </c>
      <c r="T115" s="65">
        <v>572023439.37661898</v>
      </c>
      <c r="U115" s="65">
        <v>602598025.04088604</v>
      </c>
      <c r="V115" s="65">
        <v>602598025.04088604</v>
      </c>
      <c r="W115" s="88">
        <f t="shared" si="3"/>
        <v>-0.11237152750905363</v>
      </c>
    </row>
    <row r="116" spans="2:23">
      <c r="B116" s="61" t="s">
        <v>299</v>
      </c>
      <c r="C116" s="65">
        <v>16528443.745769899</v>
      </c>
      <c r="D116" s="65">
        <v>16353501.775678899</v>
      </c>
      <c r="E116" s="65">
        <v>16537798.3878647</v>
      </c>
      <c r="F116" s="65">
        <v>15510559.7588253</v>
      </c>
      <c r="G116" s="65">
        <v>16283873.112395801</v>
      </c>
      <c r="H116" s="65">
        <v>16190784.027866401</v>
      </c>
      <c r="I116" s="65">
        <v>7392079.6012706999</v>
      </c>
      <c r="J116" s="65">
        <v>7770840.9603779595</v>
      </c>
      <c r="K116" s="65">
        <v>7258052.2598967003</v>
      </c>
      <c r="L116" s="88">
        <f t="shared" si="2"/>
        <v>1.058429775856985E-2</v>
      </c>
      <c r="M116" s="61" t="s">
        <v>299</v>
      </c>
      <c r="N116" s="65">
        <v>274055983.735008</v>
      </c>
      <c r="O116" s="65">
        <v>274055983.735008</v>
      </c>
      <c r="P116" s="65">
        <v>277824334.32640201</v>
      </c>
      <c r="Q116" s="65">
        <v>268403365.356491</v>
      </c>
      <c r="R116" s="65">
        <v>267482656.816228</v>
      </c>
      <c r="S116" s="65">
        <v>120307919.088154</v>
      </c>
      <c r="T116" s="65">
        <v>126348403.721186</v>
      </c>
      <c r="U116" s="65">
        <v>118289744.90736701</v>
      </c>
      <c r="V116" s="65">
        <v>118289744.90736701</v>
      </c>
      <c r="W116" s="88">
        <f t="shared" si="3"/>
        <v>0</v>
      </c>
    </row>
    <row r="117" spans="2:23">
      <c r="B117" s="61" t="s">
        <v>300</v>
      </c>
      <c r="C117" s="65">
        <v>1680832.7086111</v>
      </c>
      <c r="D117" s="65">
        <v>1615405.21182315</v>
      </c>
      <c r="E117" s="65">
        <v>1291598.02981774</v>
      </c>
      <c r="F117" s="65">
        <v>1155842.00829358</v>
      </c>
      <c r="G117" s="65">
        <v>1383519.28932835</v>
      </c>
      <c r="H117" s="65">
        <v>1375509.19885037</v>
      </c>
      <c r="I117" s="65">
        <v>1404575.87746112</v>
      </c>
      <c r="J117" s="65">
        <v>1313380.2000046801</v>
      </c>
      <c r="K117" s="65">
        <v>1249151.61838468</v>
      </c>
      <c r="L117" s="88">
        <f t="shared" si="2"/>
        <v>3.8925644683588861E-2</v>
      </c>
      <c r="M117" s="61" t="s">
        <v>300</v>
      </c>
      <c r="N117" s="65">
        <v>28482170.683766201</v>
      </c>
      <c r="O117" s="65">
        <v>27611279.652999599</v>
      </c>
      <c r="P117" s="65">
        <v>21374367.862405401</v>
      </c>
      <c r="Q117" s="65">
        <v>22870271.9275713</v>
      </c>
      <c r="R117" s="65">
        <v>22311917.050000001</v>
      </c>
      <c r="S117" s="65">
        <v>22904307.527677</v>
      </c>
      <c r="T117" s="65">
        <v>21373725.6457518</v>
      </c>
      <c r="U117" s="65">
        <v>20438552.658330899</v>
      </c>
      <c r="V117" s="65">
        <v>20438552.658330899</v>
      </c>
      <c r="W117" s="88">
        <f t="shared" si="3"/>
        <v>3.0576708511299622E-2</v>
      </c>
    </row>
    <row r="118" spans="2:23">
      <c r="B118" s="61" t="s">
        <v>301</v>
      </c>
      <c r="C118" s="65">
        <v>980511.90119702998</v>
      </c>
      <c r="D118" s="65">
        <v>960324.71733585501</v>
      </c>
      <c r="E118" s="65">
        <v>931394.01131649397</v>
      </c>
      <c r="F118" s="65">
        <v>912675.90716269496</v>
      </c>
      <c r="G118" s="65">
        <v>872457.87208216905</v>
      </c>
      <c r="H118" s="65">
        <v>768775.04255071096</v>
      </c>
      <c r="I118" s="65">
        <v>831148.85728636105</v>
      </c>
      <c r="J118" s="65">
        <v>603147.91774844995</v>
      </c>
      <c r="K118" s="65">
        <v>575419.58217014803</v>
      </c>
      <c r="L118" s="88">
        <f t="shared" si="2"/>
        <v>2.058841288568759E-2</v>
      </c>
      <c r="M118" s="61" t="s">
        <v>301</v>
      </c>
      <c r="N118" s="65">
        <v>16642600.7154394</v>
      </c>
      <c r="O118" s="65">
        <v>16522239.488976</v>
      </c>
      <c r="P118" s="65">
        <v>16016227.0566325</v>
      </c>
      <c r="Q118" s="65">
        <v>14531480.202856399</v>
      </c>
      <c r="R118" s="65">
        <v>12473417.129272601</v>
      </c>
      <c r="S118" s="65">
        <v>13546428.1964183</v>
      </c>
      <c r="T118" s="65">
        <v>9747532.4272744805</v>
      </c>
      <c r="U118" s="65">
        <v>9318756.9525252692</v>
      </c>
      <c r="V118" s="65">
        <v>9318756.9525252692</v>
      </c>
      <c r="W118" s="88">
        <f t="shared" si="3"/>
        <v>7.2321164535144016E-3</v>
      </c>
    </row>
    <row r="119" spans="2:23">
      <c r="B119" s="61" t="s">
        <v>302</v>
      </c>
      <c r="C119" s="65">
        <v>-19446207.043709401</v>
      </c>
      <c r="D119" s="65">
        <v>-15449185.7110563</v>
      </c>
      <c r="E119" s="65">
        <v>-11146665.935439801</v>
      </c>
      <c r="F119" s="65">
        <v>-11509879.6700153</v>
      </c>
      <c r="G119" s="65">
        <v>-5395581.1319712298</v>
      </c>
      <c r="H119" s="65">
        <v>3686659.01418739</v>
      </c>
      <c r="I119" s="65">
        <v>3348758.5094937799</v>
      </c>
      <c r="J119" s="65">
        <v>5368959.4791615102</v>
      </c>
      <c r="K119" s="65">
        <v>4704147.4722867599</v>
      </c>
      <c r="L119" s="88">
        <f t="shared" si="2"/>
        <v>0.20554246510226717</v>
      </c>
      <c r="M119" s="61" t="s">
        <v>302</v>
      </c>
      <c r="N119" s="65">
        <v>-337552303.27516198</v>
      </c>
      <c r="O119" s="65">
        <v>-262000983.756403</v>
      </c>
      <c r="P119" s="65">
        <v>-185517638.18483099</v>
      </c>
      <c r="Q119" s="65">
        <v>-83758877.169983104</v>
      </c>
      <c r="R119" s="65">
        <v>65111686.9749121</v>
      </c>
      <c r="S119" s="65">
        <v>57496603.800725102</v>
      </c>
      <c r="T119" s="65">
        <v>88534227.522204399</v>
      </c>
      <c r="U119" s="65">
        <v>77621239.950692594</v>
      </c>
      <c r="V119" s="65">
        <v>77621239.950692594</v>
      </c>
      <c r="W119" s="88">
        <f t="shared" si="3"/>
        <v>0.22382107538804713</v>
      </c>
    </row>
    <row r="120" spans="2:23">
      <c r="B120" s="61" t="s">
        <v>303</v>
      </c>
      <c r="C120" s="65">
        <v>7947520.4370225696</v>
      </c>
      <c r="D120" s="65">
        <v>7061110.1929934099</v>
      </c>
      <c r="E120" s="65">
        <v>6580165.2972747097</v>
      </c>
      <c r="F120" s="65">
        <v>6097454.3387943897</v>
      </c>
      <c r="G120" s="65">
        <v>5865842.6254568603</v>
      </c>
      <c r="H120" s="65">
        <v>4913102.0505438596</v>
      </c>
      <c r="I120" s="65">
        <v>5290592.7549432097</v>
      </c>
      <c r="J120" s="65">
        <v>4493936.2318893196</v>
      </c>
      <c r="K120" s="65">
        <v>4314017.8403974399</v>
      </c>
      <c r="L120" s="88">
        <f t="shared" si="2"/>
        <v>0.11153293043449426</v>
      </c>
      <c r="M120" s="61" t="s">
        <v>303</v>
      </c>
      <c r="N120" s="65">
        <v>135916703.80490401</v>
      </c>
      <c r="O120" s="65">
        <v>120924583.251194</v>
      </c>
      <c r="P120" s="65">
        <v>112199651.141774</v>
      </c>
      <c r="Q120" s="65">
        <v>97304933.496903598</v>
      </c>
      <c r="R120" s="65">
        <v>79630587.515953198</v>
      </c>
      <c r="S120" s="65">
        <v>86180176.940280706</v>
      </c>
      <c r="T120" s="65">
        <v>72887115.224548697</v>
      </c>
      <c r="U120" s="65">
        <v>70202209.778974205</v>
      </c>
      <c r="V120" s="65">
        <v>70202209.778974205</v>
      </c>
      <c r="W120" s="88">
        <f t="shared" si="3"/>
        <v>0.11030373849582042</v>
      </c>
    </row>
    <row r="121" spans="2:23">
      <c r="B121" s="61" t="s">
        <v>304</v>
      </c>
      <c r="C121" s="65">
        <v>19407027.0010873</v>
      </c>
      <c r="D121" s="65">
        <v>22209600.505899999</v>
      </c>
      <c r="E121" s="65">
        <v>22209600.505899999</v>
      </c>
      <c r="F121" s="65">
        <v>23673941.374205001</v>
      </c>
      <c r="G121" s="65">
        <v>23673941.374205001</v>
      </c>
      <c r="H121" s="65">
        <v>25562597.776482701</v>
      </c>
      <c r="I121" s="65">
        <v>25562597.776482701</v>
      </c>
      <c r="J121" s="65">
        <v>25562597.776482701</v>
      </c>
      <c r="K121" s="65">
        <v>26004000</v>
      </c>
      <c r="L121" s="88">
        <f t="shared" si="2"/>
        <v>-0.14441024401396882</v>
      </c>
      <c r="M121" s="61" t="s">
        <v>304</v>
      </c>
      <c r="N121" s="65">
        <v>324581674.77866799</v>
      </c>
      <c r="O121" s="65">
        <v>386336404.73990202</v>
      </c>
      <c r="P121" s="65">
        <v>384661525.57737303</v>
      </c>
      <c r="Q121" s="65">
        <v>397508656.98991001</v>
      </c>
      <c r="R121" s="65">
        <v>417651590.68378001</v>
      </c>
      <c r="S121" s="65">
        <v>419191681.32353801</v>
      </c>
      <c r="T121" s="65">
        <v>419048788.91767597</v>
      </c>
      <c r="U121" s="65">
        <v>427703320.456357</v>
      </c>
      <c r="V121" s="65">
        <v>427703320.456357</v>
      </c>
      <c r="W121" s="88">
        <f t="shared" si="3"/>
        <v>-0.19025944703546355</v>
      </c>
    </row>
    <row r="122" spans="2:23">
      <c r="B122" s="61" t="s">
        <v>305</v>
      </c>
      <c r="C122" s="65">
        <v>11996174.517112801</v>
      </c>
      <c r="D122" s="65">
        <v>12111000</v>
      </c>
      <c r="E122" s="65">
        <v>12111000</v>
      </c>
      <c r="F122" s="65">
        <v>11006000</v>
      </c>
      <c r="G122" s="65">
        <v>11006000</v>
      </c>
      <c r="H122" s="65">
        <v>11595646.756964801</v>
      </c>
      <c r="I122" s="65">
        <v>11595646.7569649</v>
      </c>
      <c r="J122" s="65">
        <v>8298999.9999999898</v>
      </c>
      <c r="K122" s="65">
        <v>8838023.6469688602</v>
      </c>
      <c r="L122" s="88">
        <f t="shared" si="2"/>
        <v>-9.5718416503026132E-3</v>
      </c>
      <c r="M122" s="61" t="s">
        <v>305</v>
      </c>
      <c r="N122" s="65">
        <v>206319942.49936199</v>
      </c>
      <c r="O122" s="65">
        <v>213148373.82522601</v>
      </c>
      <c r="P122" s="65">
        <v>214046028.38484499</v>
      </c>
      <c r="Q122" s="65">
        <v>185865595.73901701</v>
      </c>
      <c r="R122" s="65">
        <v>190795731.63649899</v>
      </c>
      <c r="S122" s="65">
        <v>191160477.110697</v>
      </c>
      <c r="T122" s="65">
        <v>136023224.06674999</v>
      </c>
      <c r="U122" s="65">
        <v>145087773.140845</v>
      </c>
      <c r="V122" s="65">
        <v>145087773.140845</v>
      </c>
      <c r="W122" s="88">
        <f t="shared" si="3"/>
        <v>-3.3096322358102309E-2</v>
      </c>
    </row>
    <row r="123" spans="2:23">
      <c r="B123" s="61" t="s">
        <v>306</v>
      </c>
      <c r="C123" s="65">
        <v>24329056.2784677</v>
      </c>
      <c r="D123" s="65">
        <v>26033933.949649099</v>
      </c>
      <c r="E123" s="65">
        <v>26033933.949649099</v>
      </c>
      <c r="F123" s="65">
        <v>26033933.949649099</v>
      </c>
      <c r="G123" s="65">
        <v>26033933.949648999</v>
      </c>
      <c r="H123" s="65">
        <v>19057748.109999999</v>
      </c>
      <c r="I123" s="65">
        <v>19057748.109999999</v>
      </c>
      <c r="J123" s="65">
        <v>18208420.342430301</v>
      </c>
      <c r="K123" s="65">
        <v>24148562.9529844</v>
      </c>
      <c r="L123" s="88">
        <f t="shared" si="2"/>
        <v>-7.0075783115775531E-2</v>
      </c>
      <c r="M123" s="61" t="s">
        <v>306</v>
      </c>
      <c r="N123" s="65">
        <v>422516089.999533</v>
      </c>
      <c r="O123" s="65">
        <v>469997836.71355999</v>
      </c>
      <c r="P123" s="65">
        <v>469063745.60536599</v>
      </c>
      <c r="Q123" s="65">
        <v>445573599.63017499</v>
      </c>
      <c r="R123" s="65">
        <v>310941323.86144298</v>
      </c>
      <c r="S123" s="65">
        <v>312791471.55823302</v>
      </c>
      <c r="T123" s="65">
        <v>297757531.34428501</v>
      </c>
      <c r="U123" s="65">
        <v>396357572.99211401</v>
      </c>
      <c r="V123" s="65">
        <v>396357572.99211401</v>
      </c>
      <c r="W123" s="88">
        <f t="shared" si="3"/>
        <v>-0.11237855276488871</v>
      </c>
    </row>
    <row r="124" spans="2:23">
      <c r="B124" s="61" t="s">
        <v>307</v>
      </c>
      <c r="C124" s="65"/>
      <c r="D124" s="65"/>
      <c r="E124" s="65"/>
      <c r="F124" s="65"/>
      <c r="G124" s="65"/>
      <c r="H124" s="65"/>
      <c r="I124" s="65"/>
      <c r="J124" s="65"/>
      <c r="K124" s="65"/>
      <c r="L124" s="88"/>
      <c r="M124" s="61" t="s">
        <v>307</v>
      </c>
      <c r="N124" s="65"/>
      <c r="O124" s="65"/>
      <c r="P124" s="65"/>
      <c r="Q124" s="65"/>
      <c r="R124" s="65"/>
      <c r="S124" s="65"/>
      <c r="T124" s="65"/>
      <c r="U124" s="65"/>
      <c r="V124" s="65"/>
      <c r="W124" s="88"/>
    </row>
    <row r="125" spans="2:23">
      <c r="B125" s="61" t="s">
        <v>308</v>
      </c>
      <c r="C125" s="65"/>
      <c r="D125" s="65"/>
      <c r="E125" s="65"/>
      <c r="F125" s="65"/>
      <c r="G125" s="65"/>
      <c r="H125" s="65"/>
      <c r="I125" s="65"/>
      <c r="J125" s="65"/>
      <c r="K125" s="65"/>
      <c r="L125" s="88"/>
      <c r="M125" s="61" t="s">
        <v>308</v>
      </c>
      <c r="N125" s="65"/>
      <c r="O125" s="65"/>
      <c r="P125" s="65"/>
      <c r="Q125" s="65"/>
      <c r="R125" s="65"/>
      <c r="S125" s="65"/>
      <c r="T125" s="65"/>
      <c r="U125" s="65"/>
      <c r="V125" s="65"/>
      <c r="W125" s="88"/>
    </row>
    <row r="126" spans="2:23">
      <c r="B126" s="61" t="s">
        <v>309</v>
      </c>
      <c r="C126" s="65">
        <v>-8898780.88867555</v>
      </c>
      <c r="D126" s="65">
        <v>-9719490.3933255095</v>
      </c>
      <c r="E126" s="65">
        <v>-9696928.9893700499</v>
      </c>
      <c r="F126" s="65">
        <v>-9294721.1973490994</v>
      </c>
      <c r="G126" s="65">
        <v>-9448526.4249125496</v>
      </c>
      <c r="H126" s="65">
        <v>-8957446.5824087299</v>
      </c>
      <c r="I126" s="65">
        <v>-6873864.5375091797</v>
      </c>
      <c r="J126" s="65">
        <v>-7105479.0005125497</v>
      </c>
      <c r="K126" s="65">
        <v>-7468046.3328936603</v>
      </c>
      <c r="L126" s="88">
        <f t="shared" si="2"/>
        <v>-9.2227184253337632E-2</v>
      </c>
      <c r="M126" s="61" t="s">
        <v>310</v>
      </c>
      <c r="N126" s="65">
        <v>-149870969.50572199</v>
      </c>
      <c r="O126" s="65">
        <v>-169794352.56318301</v>
      </c>
      <c r="P126" s="65">
        <v>-167994977.987645</v>
      </c>
      <c r="Q126" s="65">
        <v>-158225492.79855999</v>
      </c>
      <c r="R126" s="65">
        <v>-147173601.387611</v>
      </c>
      <c r="S126" s="65">
        <v>-112311336.725503</v>
      </c>
      <c r="T126" s="65">
        <v>-115671541.652234</v>
      </c>
      <c r="U126" s="65">
        <v>-122073762.682239</v>
      </c>
      <c r="V126" s="65">
        <v>-122073762.682239</v>
      </c>
      <c r="W126" s="88">
        <f t="shared" si="3"/>
        <v>-0.13293690648141407</v>
      </c>
    </row>
    <row r="127" spans="2:23">
      <c r="B127" s="61" t="s">
        <v>311</v>
      </c>
      <c r="C127" s="65">
        <v>-3636257.6240693899</v>
      </c>
      <c r="D127" s="65">
        <v>-3597770.3906493499</v>
      </c>
      <c r="E127" s="65">
        <v>-3638315.6453302298</v>
      </c>
      <c r="F127" s="65">
        <v>-3412323.1469415701</v>
      </c>
      <c r="G127" s="65">
        <v>-3582452.0847270698</v>
      </c>
      <c r="H127" s="65">
        <v>-3561972.4861305999</v>
      </c>
      <c r="I127" s="65">
        <v>-1626257.5122795501</v>
      </c>
      <c r="J127" s="65">
        <v>-1709585.0112831499</v>
      </c>
      <c r="K127" s="65">
        <v>-1596771.49717727</v>
      </c>
      <c r="L127" s="88">
        <f t="shared" si="2"/>
        <v>1.0584297758575301E-2</v>
      </c>
      <c r="M127" s="61" t="s">
        <v>311</v>
      </c>
      <c r="N127" s="65">
        <v>-60292316.421701699</v>
      </c>
      <c r="O127" s="65">
        <v>-60292316.421701699</v>
      </c>
      <c r="P127" s="65">
        <v>-61121353.551808499</v>
      </c>
      <c r="Q127" s="65">
        <v>-59048740.378428102</v>
      </c>
      <c r="R127" s="65">
        <v>-58846184.499570101</v>
      </c>
      <c r="S127" s="65">
        <v>-26467742.199393898</v>
      </c>
      <c r="T127" s="65">
        <v>-27796648.8186609</v>
      </c>
      <c r="U127" s="65">
        <v>-26023743.879620701</v>
      </c>
      <c r="V127" s="65">
        <v>-26023743.879620701</v>
      </c>
      <c r="W127" s="88">
        <f t="shared" si="3"/>
        <v>0</v>
      </c>
    </row>
    <row r="128" spans="2:23">
      <c r="B128" s="61" t="s">
        <v>312</v>
      </c>
      <c r="C128" s="65">
        <v>-100849.962516666</v>
      </c>
      <c r="D128" s="65">
        <v>-96924.312709389094</v>
      </c>
      <c r="E128" s="65">
        <v>-77495.881789064602</v>
      </c>
      <c r="F128" s="65">
        <v>-69350.520497614998</v>
      </c>
      <c r="G128" s="65">
        <v>-83011.157359700999</v>
      </c>
      <c r="H128" s="65">
        <v>-82530.551931022201</v>
      </c>
      <c r="I128" s="65">
        <v>-84274.552647667297</v>
      </c>
      <c r="J128" s="65">
        <v>-78802.812000280799</v>
      </c>
      <c r="K128" s="65">
        <v>-74949.097103081003</v>
      </c>
      <c r="L128" s="88">
        <f t="shared" si="2"/>
        <v>3.8925644683587939E-2</v>
      </c>
      <c r="M128" s="61" t="s">
        <v>312</v>
      </c>
      <c r="N128" s="65">
        <v>-1708930.2410259701</v>
      </c>
      <c r="O128" s="65">
        <v>-1656676.77917998</v>
      </c>
      <c r="P128" s="65">
        <v>-1282462.07174433</v>
      </c>
      <c r="Q128" s="65">
        <v>-1372216.3156542799</v>
      </c>
      <c r="R128" s="65">
        <v>-1338715.023</v>
      </c>
      <c r="S128" s="65">
        <v>-1374258.45166062</v>
      </c>
      <c r="T128" s="65">
        <v>-1282423.5387451099</v>
      </c>
      <c r="U128" s="65">
        <v>-1226313.1594998499</v>
      </c>
      <c r="V128" s="65">
        <v>-1226313.1594998499</v>
      </c>
      <c r="W128" s="88">
        <f t="shared" si="3"/>
        <v>3.0576708511296079E-2</v>
      </c>
    </row>
    <row r="129" spans="2:23">
      <c r="B129" s="61" t="s">
        <v>313</v>
      </c>
      <c r="C129" s="65">
        <v>-185216.98402509399</v>
      </c>
      <c r="D129" s="65">
        <v>-161965.42601589</v>
      </c>
      <c r="E129" s="65">
        <v>-162398.23305888701</v>
      </c>
      <c r="F129" s="65">
        <v>-181581.29124962201</v>
      </c>
      <c r="G129" s="65">
        <v>-173462.69773302</v>
      </c>
      <c r="H129" s="65">
        <v>-180788.47359803101</v>
      </c>
      <c r="I129" s="65">
        <v>-198111.344756607</v>
      </c>
      <c r="J129" s="65">
        <v>-143414.94642473801</v>
      </c>
      <c r="K129" s="65">
        <v>-139087.38571485001</v>
      </c>
      <c r="L129" s="88">
        <f t="shared" si="2"/>
        <v>0.12553685684706845</v>
      </c>
      <c r="M129" s="61" t="s">
        <v>313</v>
      </c>
      <c r="N129" s="65">
        <v>-3827798.2214710498</v>
      </c>
      <c r="O129" s="65">
        <v>-3800115.1542424099</v>
      </c>
      <c r="P129" s="65">
        <v>-3683732.2944815801</v>
      </c>
      <c r="Q129" s="65">
        <v>-3342240.5906551098</v>
      </c>
      <c r="R129" s="65">
        <v>-3118354.4447930399</v>
      </c>
      <c r="S129" s="65">
        <v>-3386607.2890794398</v>
      </c>
      <c r="T129" s="65">
        <v>-2436968.2675043601</v>
      </c>
      <c r="U129" s="65">
        <v>-2329689.4881563601</v>
      </c>
      <c r="V129" s="65">
        <v>-2329689.4881563601</v>
      </c>
      <c r="W129" s="88">
        <f t="shared" si="3"/>
        <v>7.2321124643819823E-3</v>
      </c>
    </row>
    <row r="130" spans="2:23">
      <c r="B130" s="61" t="s">
        <v>314</v>
      </c>
      <c r="C130" s="65">
        <v>0</v>
      </c>
      <c r="D130" s="65">
        <v>0</v>
      </c>
      <c r="E130" s="65">
        <v>0</v>
      </c>
      <c r="F130" s="65">
        <v>0</v>
      </c>
      <c r="G130" s="65">
        <v>0</v>
      </c>
      <c r="H130" s="65">
        <v>0</v>
      </c>
      <c r="I130" s="65">
        <v>0</v>
      </c>
      <c r="J130" s="65">
        <v>0</v>
      </c>
      <c r="K130" s="65">
        <v>0</v>
      </c>
      <c r="L130" s="88"/>
      <c r="M130" s="61" t="s">
        <v>314</v>
      </c>
      <c r="N130" s="65">
        <v>0</v>
      </c>
      <c r="O130" s="65">
        <v>0</v>
      </c>
      <c r="P130" s="65">
        <v>0</v>
      </c>
      <c r="Q130" s="65">
        <v>0</v>
      </c>
      <c r="R130" s="65">
        <v>0</v>
      </c>
      <c r="S130" s="65">
        <v>0</v>
      </c>
      <c r="T130" s="65">
        <v>0</v>
      </c>
      <c r="U130" s="65">
        <v>0</v>
      </c>
      <c r="V130" s="65">
        <v>0</v>
      </c>
      <c r="W130" s="88"/>
    </row>
    <row r="131" spans="2:23">
      <c r="B131" s="61" t="s">
        <v>315</v>
      </c>
      <c r="C131" s="65">
        <v>-1613115.3233351801</v>
      </c>
      <c r="D131" s="65">
        <v>-1397276.5190097601</v>
      </c>
      <c r="E131" s="65">
        <v>-1286998.93211225</v>
      </c>
      <c r="F131" s="65">
        <v>-1176071.46485405</v>
      </c>
      <c r="G131" s="65">
        <v>-1121407.08093524</v>
      </c>
      <c r="H131" s="65">
        <v>-901295.11287802795</v>
      </c>
      <c r="I131" s="65">
        <v>-483960.25556872902</v>
      </c>
      <c r="J131" s="65">
        <v>-432047.83894527401</v>
      </c>
      <c r="K131" s="65">
        <v>-339402.01929237199</v>
      </c>
      <c r="L131" s="88">
        <f t="shared" si="2"/>
        <v>0.13380246359520326</v>
      </c>
      <c r="M131" s="61" t="s">
        <v>315</v>
      </c>
      <c r="N131" s="65">
        <v>-27847266.990315501</v>
      </c>
      <c r="O131" s="65">
        <v>-24163314.838559601</v>
      </c>
      <c r="P131" s="65">
        <v>-22161960.382105298</v>
      </c>
      <c r="Q131" s="65">
        <v>-18734257.322845198</v>
      </c>
      <c r="R131" s="65">
        <v>-14673629.932417801</v>
      </c>
      <c r="S131" s="65">
        <v>-7765779.5925857704</v>
      </c>
      <c r="T131" s="65">
        <v>-6881936.2144473596</v>
      </c>
      <c r="U131" s="65">
        <v>-5443562.1661145203</v>
      </c>
      <c r="V131" s="65">
        <v>-5443562.1661145203</v>
      </c>
      <c r="W131" s="88">
        <f t="shared" si="3"/>
        <v>0.13229133591591141</v>
      </c>
    </row>
    <row r="132" spans="2:23">
      <c r="B132" s="61" t="s">
        <v>316</v>
      </c>
      <c r="C132" s="65">
        <v>-4212199.9592832401</v>
      </c>
      <c r="D132" s="65">
        <v>-6058410.1733999997</v>
      </c>
      <c r="E132" s="65">
        <v>-6058410.1733999997</v>
      </c>
      <c r="F132" s="65">
        <v>-5970205.1643292503</v>
      </c>
      <c r="G132" s="65">
        <v>-5970205.1643292503</v>
      </c>
      <c r="H132" s="65">
        <v>-5835100.4776071496</v>
      </c>
      <c r="I132" s="65">
        <v>-5835100.4776071496</v>
      </c>
      <c r="J132" s="65">
        <v>-5835100.4776071496</v>
      </c>
      <c r="K132" s="65">
        <v>-5964000</v>
      </c>
      <c r="L132" s="88">
        <f t="shared" si="2"/>
        <v>-0.43830070556073886</v>
      </c>
      <c r="M132" s="61" t="s">
        <v>316</v>
      </c>
      <c r="N132" s="65">
        <v>-67839911.757290706</v>
      </c>
      <c r="O132" s="65">
        <v>-106001304.20360599</v>
      </c>
      <c r="P132" s="65">
        <v>-103602559.041234</v>
      </c>
      <c r="Q132" s="65">
        <v>-99049402.908808604</v>
      </c>
      <c r="R132" s="65">
        <v>-94673160.524976403</v>
      </c>
      <c r="S132" s="65">
        <v>-94790722.194177598</v>
      </c>
      <c r="T132" s="65">
        <v>-95020412.991577193</v>
      </c>
      <c r="U132" s="65">
        <v>-97447916.649776906</v>
      </c>
      <c r="V132" s="65">
        <v>-97447916.649776906</v>
      </c>
      <c r="W132" s="88">
        <f t="shared" si="3"/>
        <v>-0.56252125714497425</v>
      </c>
    </row>
    <row r="133" spans="2:23">
      <c r="B133" s="61" t="s">
        <v>317</v>
      </c>
      <c r="C133" s="65">
        <v>-2190527.9538851702</v>
      </c>
      <c r="D133" s="65">
        <v>-2365000</v>
      </c>
      <c r="E133" s="65">
        <v>-2365000</v>
      </c>
      <c r="F133" s="65">
        <v>-2096000</v>
      </c>
      <c r="G133" s="65">
        <v>-2096000</v>
      </c>
      <c r="H133" s="65">
        <v>-2494088.37638751</v>
      </c>
      <c r="I133" s="65">
        <v>-2494088.37638751</v>
      </c>
      <c r="J133" s="65">
        <v>-1940000</v>
      </c>
      <c r="K133" s="65">
        <v>-2043000</v>
      </c>
      <c r="L133" s="88">
        <f t="shared" si="2"/>
        <v>-7.9648399740976705E-2</v>
      </c>
      <c r="M133" s="61" t="s">
        <v>317</v>
      </c>
      <c r="N133" s="65">
        <v>-37788296.675714202</v>
      </c>
      <c r="O133" s="65">
        <v>-42910490.027067199</v>
      </c>
      <c r="P133" s="65">
        <v>-42383479.872040398</v>
      </c>
      <c r="Q133" s="65">
        <v>-35595068.776756197</v>
      </c>
      <c r="R133" s="65">
        <v>-41377090.828678101</v>
      </c>
      <c r="S133" s="65">
        <v>-41239520.847262502</v>
      </c>
      <c r="T133" s="65">
        <v>-31775525.5724409</v>
      </c>
      <c r="U133" s="65">
        <v>-33537834.961333402</v>
      </c>
      <c r="V133" s="65">
        <v>-33537834.961333402</v>
      </c>
      <c r="W133" s="88">
        <f t="shared" si="3"/>
        <v>-0.1355497284069152</v>
      </c>
    </row>
    <row r="134" spans="2:23">
      <c r="B134" s="61" t="s">
        <v>318</v>
      </c>
      <c r="C134" s="65">
        <v>-4425297.5586574096</v>
      </c>
      <c r="D134" s="65">
        <v>-4836388.9674674198</v>
      </c>
      <c r="E134" s="65">
        <v>-4836388.9674674198</v>
      </c>
      <c r="F134" s="65">
        <v>-4836388.9674674198</v>
      </c>
      <c r="G134" s="65">
        <v>-4836388.9674674198</v>
      </c>
      <c r="H134" s="65">
        <v>-3599903.71</v>
      </c>
      <c r="I134" s="65">
        <v>-3599903.71</v>
      </c>
      <c r="J134" s="65">
        <v>-4727042.2604585299</v>
      </c>
      <c r="K134" s="65">
        <v>-5796693.8629537504</v>
      </c>
      <c r="L134" s="88">
        <f t="shared" ref="L134:L156" si="4">(C134-D134)/C134</f>
        <v>-9.2895766524394158E-2</v>
      </c>
      <c r="M134" s="61" t="s">
        <v>318</v>
      </c>
      <c r="N134" s="65">
        <v>-76629336.130487502</v>
      </c>
      <c r="O134" s="65">
        <v>-87038001.450915307</v>
      </c>
      <c r="P134" s="65">
        <v>-86620575.878646895</v>
      </c>
      <c r="Q134" s="65">
        <v>-82777009.776147395</v>
      </c>
      <c r="R134" s="65">
        <v>-58951987.264547899</v>
      </c>
      <c r="S134" s="65">
        <v>-58910799.329396702</v>
      </c>
      <c r="T134" s="65">
        <v>-76710877.789843202</v>
      </c>
      <c r="U134" s="65">
        <v>-94805726.610180095</v>
      </c>
      <c r="V134" s="65">
        <v>-94805726.610180095</v>
      </c>
      <c r="W134" s="88">
        <f t="shared" si="3"/>
        <v>-0.13583133883221321</v>
      </c>
    </row>
    <row r="135" spans="2:23">
      <c r="B135" s="61" t="s">
        <v>319</v>
      </c>
      <c r="C135" s="65"/>
      <c r="D135" s="65"/>
      <c r="E135" s="65"/>
      <c r="F135" s="65"/>
      <c r="G135" s="65"/>
      <c r="H135" s="65"/>
      <c r="I135" s="65"/>
      <c r="J135" s="65"/>
      <c r="K135" s="65"/>
      <c r="L135" s="88"/>
      <c r="M135" s="61" t="s">
        <v>319</v>
      </c>
      <c r="N135" s="65"/>
      <c r="O135" s="65"/>
      <c r="P135" s="65"/>
      <c r="Q135" s="65"/>
      <c r="R135" s="65"/>
      <c r="S135" s="65"/>
      <c r="T135" s="65"/>
      <c r="U135" s="65"/>
      <c r="V135" s="65"/>
      <c r="W135" s="88"/>
    </row>
    <row r="136" spans="2:23">
      <c r="B136" s="61" t="s">
        <v>320</v>
      </c>
      <c r="C136" s="65"/>
      <c r="D136" s="65"/>
      <c r="E136" s="65"/>
      <c r="F136" s="65"/>
      <c r="G136" s="65"/>
      <c r="H136" s="65"/>
      <c r="I136" s="65"/>
      <c r="J136" s="65"/>
      <c r="K136" s="65"/>
      <c r="L136" s="88"/>
      <c r="M136" s="61" t="s">
        <v>320</v>
      </c>
      <c r="N136" s="65"/>
      <c r="O136" s="65"/>
      <c r="P136" s="65"/>
      <c r="Q136" s="65"/>
      <c r="R136" s="65"/>
      <c r="S136" s="65"/>
      <c r="T136" s="65"/>
      <c r="U136" s="65"/>
      <c r="V136" s="65"/>
      <c r="W136" s="88"/>
    </row>
    <row r="137" spans="2:23">
      <c r="B137" s="61" t="s">
        <v>321</v>
      </c>
      <c r="C137" s="65">
        <v>27984435.942894801</v>
      </c>
      <c r="D137" s="65">
        <v>29996324.8865068</v>
      </c>
      <c r="E137" s="65">
        <v>31379074.966582399</v>
      </c>
      <c r="F137" s="65">
        <v>30404936.473985899</v>
      </c>
      <c r="G137" s="65">
        <v>33225420.462632399</v>
      </c>
      <c r="H137" s="65">
        <v>35672589.071548998</v>
      </c>
      <c r="I137" s="65">
        <v>29030953.212612201</v>
      </c>
      <c r="J137" s="65">
        <v>27891951.5575202</v>
      </c>
      <c r="K137" s="65">
        <v>29288492.639841601</v>
      </c>
      <c r="L137" s="88">
        <f t="shared" si="4"/>
        <v>-7.1893139019041513E-2</v>
      </c>
      <c r="M137" s="61" t="s">
        <v>322</v>
      </c>
      <c r="N137" s="65">
        <v>470022628.75141603</v>
      </c>
      <c r="O137" s="65">
        <v>519757636.22319198</v>
      </c>
      <c r="P137" s="65">
        <v>545001276.26760602</v>
      </c>
      <c r="Q137" s="65">
        <v>556201300.44576895</v>
      </c>
      <c r="R137" s="65">
        <v>587257926.57441497</v>
      </c>
      <c r="S137" s="65">
        <v>476925142.76020902</v>
      </c>
      <c r="T137" s="65">
        <v>456351897.72438502</v>
      </c>
      <c r="U137" s="65">
        <v>480524262.35864598</v>
      </c>
      <c r="V137" s="65">
        <v>480524262.35864598</v>
      </c>
      <c r="W137" s="88">
        <f t="shared" ref="W137:W156" si="5">(N137-O137)/N137</f>
        <v>-0.10581407027975163</v>
      </c>
    </row>
    <row r="138" spans="2:23">
      <c r="B138" s="61" t="s">
        <v>323</v>
      </c>
      <c r="C138" s="65">
        <v>12892186.1217006</v>
      </c>
      <c r="D138" s="65">
        <v>12755731.3850295</v>
      </c>
      <c r="E138" s="65">
        <v>12899482.7425345</v>
      </c>
      <c r="F138" s="65">
        <v>12098236.6118838</v>
      </c>
      <c r="G138" s="65">
        <v>12701421.0276687</v>
      </c>
      <c r="H138" s="65">
        <v>12628811.5417358</v>
      </c>
      <c r="I138" s="65">
        <v>5765822.0889911503</v>
      </c>
      <c r="J138" s="65">
        <v>6061255.9490948096</v>
      </c>
      <c r="K138" s="65">
        <v>5661280.76271943</v>
      </c>
      <c r="L138" s="88">
        <f t="shared" si="4"/>
        <v>1.0584297758579038E-2</v>
      </c>
      <c r="M138" s="61" t="s">
        <v>323</v>
      </c>
      <c r="N138" s="65">
        <v>213763667.313306</v>
      </c>
      <c r="O138" s="65">
        <v>213763667.313306</v>
      </c>
      <c r="P138" s="65">
        <v>216702980.77459401</v>
      </c>
      <c r="Q138" s="65">
        <v>209354624.97806299</v>
      </c>
      <c r="R138" s="65">
        <v>208636472.31665799</v>
      </c>
      <c r="S138" s="65">
        <v>93840176.88876</v>
      </c>
      <c r="T138" s="65">
        <v>98551754.902525097</v>
      </c>
      <c r="U138" s="65">
        <v>92266001.027746096</v>
      </c>
      <c r="V138" s="65">
        <v>92266001.027746096</v>
      </c>
      <c r="W138" s="88">
        <f t="shared" si="5"/>
        <v>0</v>
      </c>
    </row>
    <row r="139" spans="2:23">
      <c r="B139" s="61" t="s">
        <v>324</v>
      </c>
      <c r="C139" s="65">
        <v>1579982.7460944301</v>
      </c>
      <c r="D139" s="65">
        <v>1518480.8991137601</v>
      </c>
      <c r="E139" s="65">
        <v>1214102.1480286799</v>
      </c>
      <c r="F139" s="65">
        <v>1086491.4877959699</v>
      </c>
      <c r="G139" s="65">
        <v>1300508.13196865</v>
      </c>
      <c r="H139" s="65">
        <v>1292978.6469193499</v>
      </c>
      <c r="I139" s="65">
        <v>1320301.32481345</v>
      </c>
      <c r="J139" s="65">
        <v>1234577.3880044001</v>
      </c>
      <c r="K139" s="65">
        <v>1174202.5212816</v>
      </c>
      <c r="L139" s="88">
        <f t="shared" si="4"/>
        <v>3.8925644683587099E-2</v>
      </c>
      <c r="M139" s="61" t="s">
        <v>324</v>
      </c>
      <c r="N139" s="65">
        <v>26773240.442740198</v>
      </c>
      <c r="O139" s="65">
        <v>25954602.873819701</v>
      </c>
      <c r="P139" s="65">
        <v>20091905.7906611</v>
      </c>
      <c r="Q139" s="65">
        <v>21498055.611917</v>
      </c>
      <c r="R139" s="65">
        <v>20973202.026999999</v>
      </c>
      <c r="S139" s="65">
        <v>21530049.0760164</v>
      </c>
      <c r="T139" s="65">
        <v>20091302.107006699</v>
      </c>
      <c r="U139" s="65">
        <v>19212239.498831</v>
      </c>
      <c r="V139" s="65">
        <v>19212239.498831</v>
      </c>
      <c r="W139" s="88">
        <f t="shared" si="5"/>
        <v>3.0576708511295566E-2</v>
      </c>
    </row>
    <row r="140" spans="2:23">
      <c r="B140" s="61" t="s">
        <v>325</v>
      </c>
      <c r="C140" s="65">
        <v>795294.91717193602</v>
      </c>
      <c r="D140" s="65">
        <v>798359.29131996597</v>
      </c>
      <c r="E140" s="65">
        <v>768995.77825760702</v>
      </c>
      <c r="F140" s="65">
        <v>731094.61591307295</v>
      </c>
      <c r="G140" s="65">
        <v>698995.17434914899</v>
      </c>
      <c r="H140" s="65">
        <v>587986.56895267998</v>
      </c>
      <c r="I140" s="65">
        <v>633037.51252975396</v>
      </c>
      <c r="J140" s="65">
        <v>459732.97132371197</v>
      </c>
      <c r="K140" s="65">
        <v>436332.19645529799</v>
      </c>
      <c r="L140" s="88">
        <f t="shared" si="4"/>
        <v>-3.8531293006710599E-3</v>
      </c>
      <c r="M140" s="61" t="s">
        <v>325</v>
      </c>
      <c r="N140" s="65">
        <v>12814802.493968399</v>
      </c>
      <c r="O140" s="65">
        <v>12722124.3347336</v>
      </c>
      <c r="P140" s="65">
        <v>12332494.7621509</v>
      </c>
      <c r="Q140" s="65">
        <v>11189239.6122013</v>
      </c>
      <c r="R140" s="65">
        <v>9355062.6844795905</v>
      </c>
      <c r="S140" s="65">
        <v>10159820.9073388</v>
      </c>
      <c r="T140" s="65">
        <v>7310564.1597701199</v>
      </c>
      <c r="U140" s="65">
        <v>6989067.4643689096</v>
      </c>
      <c r="V140" s="65">
        <v>6989067.4643689096</v>
      </c>
      <c r="W140" s="88">
        <f t="shared" si="5"/>
        <v>7.2321176450765188E-3</v>
      </c>
    </row>
    <row r="141" spans="2:23">
      <c r="B141" s="61" t="s">
        <v>326</v>
      </c>
      <c r="C141" s="65">
        <v>-19446207.043709401</v>
      </c>
      <c r="D141" s="65">
        <v>-15449185.7110563</v>
      </c>
      <c r="E141" s="65">
        <v>-11146665.935439801</v>
      </c>
      <c r="F141" s="65">
        <v>-11509879.6700153</v>
      </c>
      <c r="G141" s="65">
        <v>-5395581.1319712298</v>
      </c>
      <c r="H141" s="65">
        <v>3686659.01418739</v>
      </c>
      <c r="I141" s="65">
        <v>3348758.5094937799</v>
      </c>
      <c r="J141" s="65">
        <v>5368959.4791615102</v>
      </c>
      <c r="K141" s="65">
        <v>4704147.4722867599</v>
      </c>
      <c r="L141" s="88">
        <f t="shared" si="4"/>
        <v>0.20554246510226717</v>
      </c>
      <c r="M141" s="61" t="s">
        <v>326</v>
      </c>
      <c r="N141" s="65">
        <v>-337552303.27516198</v>
      </c>
      <c r="O141" s="65">
        <v>-262000983.756403</v>
      </c>
      <c r="P141" s="65">
        <v>-185517638.18483099</v>
      </c>
      <c r="Q141" s="65">
        <v>-83758877.169983104</v>
      </c>
      <c r="R141" s="65">
        <v>65111686.9749121</v>
      </c>
      <c r="S141" s="65">
        <v>57496603.800725102</v>
      </c>
      <c r="T141" s="65">
        <v>88534227.522204399</v>
      </c>
      <c r="U141" s="65">
        <v>77621239.950692594</v>
      </c>
      <c r="V141" s="65">
        <v>77621239.950692594</v>
      </c>
      <c r="W141" s="88">
        <f t="shared" si="5"/>
        <v>0.22382107538804713</v>
      </c>
    </row>
    <row r="142" spans="2:23">
      <c r="B142" s="61" t="s">
        <v>327</v>
      </c>
      <c r="C142" s="65">
        <v>6334405.1136873802</v>
      </c>
      <c r="D142" s="65">
        <v>5663833.6739836503</v>
      </c>
      <c r="E142" s="65">
        <v>5293166.3651624601</v>
      </c>
      <c r="F142" s="65">
        <v>4921382.8739403402</v>
      </c>
      <c r="G142" s="65">
        <v>4744435.5445216196</v>
      </c>
      <c r="H142" s="65">
        <v>4011806.9376658299</v>
      </c>
      <c r="I142" s="65">
        <v>4806632.49937448</v>
      </c>
      <c r="J142" s="65">
        <v>4061888.39294405</v>
      </c>
      <c r="K142" s="65">
        <v>3974615.8211050602</v>
      </c>
      <c r="L142" s="88">
        <f t="shared" si="4"/>
        <v>0.10586178617700964</v>
      </c>
      <c r="M142" s="61" t="s">
        <v>327</v>
      </c>
      <c r="N142" s="65">
        <v>108069436.81458899</v>
      </c>
      <c r="O142" s="65">
        <v>96761268.412634701</v>
      </c>
      <c r="P142" s="65">
        <v>90037690.759668395</v>
      </c>
      <c r="Q142" s="65">
        <v>78570676.174058393</v>
      </c>
      <c r="R142" s="65">
        <v>64956957.583535403</v>
      </c>
      <c r="S142" s="65">
        <v>78414397.347694993</v>
      </c>
      <c r="T142" s="65">
        <v>66005179.0101014</v>
      </c>
      <c r="U142" s="65">
        <v>64758647.612859704</v>
      </c>
      <c r="V142" s="65">
        <v>64758647.612859704</v>
      </c>
      <c r="W142" s="88">
        <f t="shared" si="5"/>
        <v>0.10463798771668745</v>
      </c>
    </row>
    <row r="143" spans="2:23">
      <c r="B143" s="61" t="s">
        <v>328</v>
      </c>
      <c r="C143" s="65">
        <v>15194827.041804099</v>
      </c>
      <c r="D143" s="65">
        <v>16151190.3325</v>
      </c>
      <c r="E143" s="65">
        <v>16151190.3325</v>
      </c>
      <c r="F143" s="65">
        <v>17703736.2098758</v>
      </c>
      <c r="G143" s="65">
        <v>17703736.209875699</v>
      </c>
      <c r="H143" s="65">
        <v>19727497.2988756</v>
      </c>
      <c r="I143" s="65">
        <v>19727497.2988756</v>
      </c>
      <c r="J143" s="65">
        <v>19727497.2988756</v>
      </c>
      <c r="K143" s="65">
        <v>20040000</v>
      </c>
      <c r="L143" s="88">
        <f t="shared" si="4"/>
        <v>-6.2940057696263846E-2</v>
      </c>
      <c r="M143" s="61" t="s">
        <v>328</v>
      </c>
      <c r="N143" s="65">
        <v>256741763.021377</v>
      </c>
      <c r="O143" s="65">
        <v>280335100.53629601</v>
      </c>
      <c r="P143" s="65">
        <v>281058966.53613901</v>
      </c>
      <c r="Q143" s="65">
        <v>298459254.08110201</v>
      </c>
      <c r="R143" s="65">
        <v>322978430.158804</v>
      </c>
      <c r="S143" s="65">
        <v>324400959.12936097</v>
      </c>
      <c r="T143" s="65">
        <v>324028375.926099</v>
      </c>
      <c r="U143" s="65">
        <v>330255403.80658001</v>
      </c>
      <c r="V143" s="65">
        <v>330255403.80658001</v>
      </c>
      <c r="W143" s="88">
        <f t="shared" si="5"/>
        <v>-9.189520722016141E-2</v>
      </c>
    </row>
    <row r="144" spans="2:23">
      <c r="B144" s="61" t="s">
        <v>329</v>
      </c>
      <c r="C144" s="65">
        <v>9805646.5632276498</v>
      </c>
      <c r="D144" s="65">
        <v>9746000</v>
      </c>
      <c r="E144" s="65">
        <v>9746000</v>
      </c>
      <c r="F144" s="65">
        <v>8910000</v>
      </c>
      <c r="G144" s="65">
        <v>8910000.0000000093</v>
      </c>
      <c r="H144" s="65">
        <v>9101558.3805772997</v>
      </c>
      <c r="I144" s="65">
        <v>9101558.38057735</v>
      </c>
      <c r="J144" s="65">
        <v>6358999.9999999898</v>
      </c>
      <c r="K144" s="65">
        <v>6795023.6469688602</v>
      </c>
      <c r="L144" s="88">
        <f t="shared" si="4"/>
        <v>6.0828791699806461E-3</v>
      </c>
      <c r="M144" s="61" t="s">
        <v>329</v>
      </c>
      <c r="N144" s="65">
        <v>168531645.82364801</v>
      </c>
      <c r="O144" s="65">
        <v>170237883.79815799</v>
      </c>
      <c r="P144" s="65">
        <v>171662548.512804</v>
      </c>
      <c r="Q144" s="65">
        <v>150270526.96226099</v>
      </c>
      <c r="R144" s="65">
        <v>149418640.80782101</v>
      </c>
      <c r="S144" s="65">
        <v>149920956.26343501</v>
      </c>
      <c r="T144" s="65">
        <v>104247698.49430899</v>
      </c>
      <c r="U144" s="65">
        <v>111549938.179511</v>
      </c>
      <c r="V144" s="65">
        <v>111549938.179511</v>
      </c>
      <c r="W144" s="88">
        <f t="shared" si="5"/>
        <v>-1.0124139986714404E-2</v>
      </c>
    </row>
    <row r="145" spans="2:23">
      <c r="B145" s="61" t="s">
        <v>330</v>
      </c>
      <c r="C145" s="65">
        <v>19903758.7198103</v>
      </c>
      <c r="D145" s="65">
        <v>21197544.982181702</v>
      </c>
      <c r="E145" s="65">
        <v>21197544.982181702</v>
      </c>
      <c r="F145" s="65">
        <v>21197544.982181702</v>
      </c>
      <c r="G145" s="65">
        <v>21197544.982181601</v>
      </c>
      <c r="H145" s="65">
        <v>15457844.4</v>
      </c>
      <c r="I145" s="65">
        <v>15457844.4</v>
      </c>
      <c r="J145" s="65">
        <v>13481378.0819718</v>
      </c>
      <c r="K145" s="65">
        <v>18351869.0900307</v>
      </c>
      <c r="L145" s="88">
        <f t="shared" si="4"/>
        <v>-6.5002107420227662E-2</v>
      </c>
      <c r="M145" s="61" t="s">
        <v>330</v>
      </c>
      <c r="N145" s="65">
        <v>345886753.86904597</v>
      </c>
      <c r="O145" s="65">
        <v>382959835.26264501</v>
      </c>
      <c r="P145" s="65">
        <v>382443169.72671902</v>
      </c>
      <c r="Q145" s="65">
        <v>362796589.85402697</v>
      </c>
      <c r="R145" s="65">
        <v>251989336.59689501</v>
      </c>
      <c r="S145" s="65">
        <v>253880672.22883701</v>
      </c>
      <c r="T145" s="65">
        <v>221046653.55444199</v>
      </c>
      <c r="U145" s="65">
        <v>301551846.38193399</v>
      </c>
      <c r="V145" s="65">
        <v>301551846.38193399</v>
      </c>
      <c r="W145" s="88">
        <f t="shared" si="5"/>
        <v>-0.10718271509071736</v>
      </c>
    </row>
    <row r="146" spans="2:23">
      <c r="B146" s="61" t="s">
        <v>331</v>
      </c>
      <c r="C146" s="65"/>
      <c r="D146" s="65"/>
      <c r="E146" s="65"/>
      <c r="F146" s="65"/>
      <c r="G146" s="65"/>
      <c r="H146" s="65"/>
      <c r="I146" s="65"/>
      <c r="J146" s="65"/>
      <c r="K146" s="65"/>
      <c r="L146" s="88"/>
      <c r="M146" s="61" t="s">
        <v>331</v>
      </c>
      <c r="N146" s="65"/>
      <c r="O146" s="65"/>
      <c r="P146" s="65"/>
      <c r="Q146" s="65"/>
      <c r="R146" s="65"/>
      <c r="S146" s="65"/>
      <c r="T146" s="65"/>
      <c r="U146" s="65"/>
      <c r="V146" s="65"/>
      <c r="W146" s="88"/>
    </row>
    <row r="147" spans="2:23">
      <c r="B147" s="61" t="s">
        <v>332</v>
      </c>
      <c r="C147" s="65"/>
      <c r="D147" s="65"/>
      <c r="E147" s="65"/>
      <c r="F147" s="65"/>
      <c r="G147" s="65"/>
      <c r="H147" s="65"/>
      <c r="I147" s="65"/>
      <c r="J147" s="65"/>
      <c r="K147" s="65"/>
      <c r="L147" s="88"/>
      <c r="M147" s="61" t="s">
        <v>332</v>
      </c>
      <c r="N147" s="65"/>
      <c r="O147" s="65"/>
      <c r="P147" s="65"/>
      <c r="Q147" s="65"/>
      <c r="R147" s="65"/>
      <c r="S147" s="65"/>
      <c r="T147" s="65"/>
      <c r="U147" s="65"/>
      <c r="V147" s="65"/>
      <c r="W147" s="88"/>
    </row>
    <row r="148" spans="2:23">
      <c r="B148" s="61" t="s">
        <v>333</v>
      </c>
      <c r="C148" s="65">
        <v>21175044.659752298</v>
      </c>
      <c r="D148" s="65">
        <v>27531047.0680888</v>
      </c>
      <c r="E148" s="65">
        <v>30095086.5779966</v>
      </c>
      <c r="F148" s="93">
        <v>30124447.015170209</v>
      </c>
      <c r="G148" s="65">
        <v>35993478.555202603</v>
      </c>
      <c r="H148" s="65">
        <v>35525383.096606597</v>
      </c>
      <c r="I148" s="65">
        <v>36648877.562580302</v>
      </c>
      <c r="J148" s="65">
        <v>32460433.033107501</v>
      </c>
      <c r="K148" s="65">
        <v>35632864.182530798</v>
      </c>
      <c r="L148" s="88">
        <f t="shared" si="4"/>
        <v>-0.30016476991982188</v>
      </c>
      <c r="M148" s="61" t="s">
        <v>334</v>
      </c>
      <c r="N148" s="65">
        <v>241578471.16868499</v>
      </c>
      <c r="O148" s="65">
        <v>337151929.67237002</v>
      </c>
      <c r="P148" s="65">
        <v>392317793.23543</v>
      </c>
      <c r="Q148" s="65">
        <v>511862104.61657602</v>
      </c>
      <c r="R148" s="65">
        <v>529279077.90217501</v>
      </c>
      <c r="S148" s="65">
        <v>550049960.29280603</v>
      </c>
      <c r="T148" s="65">
        <v>477343029.336905</v>
      </c>
      <c r="U148" s="65">
        <v>531205266.245543</v>
      </c>
      <c r="V148" s="65">
        <v>531205266.245543</v>
      </c>
      <c r="W148" s="88">
        <f t="shared" si="5"/>
        <v>-0.39562076058072965</v>
      </c>
    </row>
    <row r="149" spans="2:23">
      <c r="B149" s="61" t="s">
        <v>335</v>
      </c>
      <c r="C149" s="65">
        <v>2549798.2591730799</v>
      </c>
      <c r="D149" s="65">
        <v>2480003.4618082801</v>
      </c>
      <c r="E149" s="65">
        <v>1230702.89028225</v>
      </c>
      <c r="F149" s="65">
        <v>1017901.17437008</v>
      </c>
      <c r="G149" s="65">
        <v>1436776.85369796</v>
      </c>
      <c r="H149" s="65">
        <v>1478468.26244998</v>
      </c>
      <c r="I149" s="65">
        <v>3290174.0247675302</v>
      </c>
      <c r="J149" s="65">
        <v>2828548.5418578698</v>
      </c>
      <c r="K149" s="65">
        <v>2930399.6027480098</v>
      </c>
      <c r="L149" s="88">
        <f t="shared" si="4"/>
        <v>2.7372674333629353E-2</v>
      </c>
      <c r="M149" s="61" t="s">
        <v>335</v>
      </c>
      <c r="N149" s="65">
        <v>43504116.378482997</v>
      </c>
      <c r="O149" s="65">
        <v>43504117.378482997</v>
      </c>
      <c r="P149" s="65">
        <v>16869743.410477001</v>
      </c>
      <c r="Q149" s="65">
        <v>20425674.306329701</v>
      </c>
      <c r="R149" s="65">
        <v>20371546.065819699</v>
      </c>
      <c r="S149" s="65">
        <v>50949946.0031427</v>
      </c>
      <c r="T149" s="65">
        <v>43158994.258450598</v>
      </c>
      <c r="U149" s="65">
        <v>44813025.579845399</v>
      </c>
      <c r="V149" s="65">
        <v>44813025.579845399</v>
      </c>
      <c r="W149" s="88">
        <f t="shared" si="5"/>
        <v>-2.2986330564677251E-8</v>
      </c>
    </row>
    <row r="150" spans="2:23">
      <c r="B150" s="61" t="s">
        <v>336</v>
      </c>
      <c r="C150" s="65">
        <v>1637912.87578408</v>
      </c>
      <c r="D150" s="65">
        <v>1646260.8787419701</v>
      </c>
      <c r="E150" s="65">
        <v>1373036.4464808099</v>
      </c>
      <c r="F150" s="65">
        <v>1146913.0703064001</v>
      </c>
      <c r="G150" s="65">
        <v>1328773.2618676701</v>
      </c>
      <c r="H150" s="65">
        <v>1202095.3472356601</v>
      </c>
      <c r="I150" s="65">
        <v>1226731.3999106199</v>
      </c>
      <c r="J150" s="65">
        <v>1163914.64282721</v>
      </c>
      <c r="K150" s="65">
        <v>1113024.79505095</v>
      </c>
      <c r="L150" s="88">
        <f t="shared" si="4"/>
        <v>-5.096731994303297E-3</v>
      </c>
      <c r="M150" s="61" t="s">
        <v>336</v>
      </c>
      <c r="N150" s="65">
        <v>23032223.143816799</v>
      </c>
      <c r="O150" s="65">
        <v>22270770.574896298</v>
      </c>
      <c r="P150" s="65">
        <v>17001955.1217377</v>
      </c>
      <c r="Q150" s="65">
        <v>16895535.6335936</v>
      </c>
      <c r="R150" s="65">
        <v>16601964.438676599</v>
      </c>
      <c r="S150" s="65">
        <v>17104243.487693001</v>
      </c>
      <c r="T150" s="65">
        <v>16018898.518683299</v>
      </c>
      <c r="U150" s="65">
        <v>15278298.2905077</v>
      </c>
      <c r="V150" s="65">
        <v>15278298.2905077</v>
      </c>
      <c r="W150" s="88">
        <f t="shared" si="5"/>
        <v>3.3060315722276211E-2</v>
      </c>
    </row>
    <row r="151" spans="2:23">
      <c r="B151" s="61" t="s">
        <v>337</v>
      </c>
      <c r="C151" s="65">
        <v>316929.10909776599</v>
      </c>
      <c r="D151" s="65">
        <v>413844.47132571402</v>
      </c>
      <c r="E151" s="65">
        <v>290226.97192098701</v>
      </c>
      <c r="F151" s="65">
        <v>220860.72264789001</v>
      </c>
      <c r="G151" s="65">
        <v>297295.74810467998</v>
      </c>
      <c r="H151" s="65">
        <v>197800.60830089799</v>
      </c>
      <c r="I151" s="65">
        <v>162584.61672083801</v>
      </c>
      <c r="J151" s="65">
        <v>-85540.284344904096</v>
      </c>
      <c r="K151" s="65">
        <v>201159.21544610601</v>
      </c>
      <c r="L151" s="88">
        <f t="shared" si="4"/>
        <v>-0.30579507986453741</v>
      </c>
      <c r="M151" s="61" t="s">
        <v>337</v>
      </c>
      <c r="N151" s="65">
        <v>1983647.6418683401</v>
      </c>
      <c r="O151" s="65">
        <v>2874440.4980592998</v>
      </c>
      <c r="P151" s="65">
        <v>455377.41417274898</v>
      </c>
      <c r="Q151" s="65">
        <v>1919566.4988408601</v>
      </c>
      <c r="R151" s="65">
        <v>1623841.76333792</v>
      </c>
      <c r="S151" s="65">
        <v>1026307.43457187</v>
      </c>
      <c r="T151" s="65">
        <v>-3144454.7197825601</v>
      </c>
      <c r="U151" s="65">
        <v>1949871.2695552399</v>
      </c>
      <c r="V151" s="65">
        <v>1949871.2695552399</v>
      </c>
      <c r="W151" s="88">
        <f t="shared" si="5"/>
        <v>-0.44906808920557473</v>
      </c>
    </row>
    <row r="152" spans="2:23">
      <c r="B152" s="61" t="s">
        <v>338</v>
      </c>
      <c r="C152" s="65">
        <v>-16262706.6778208</v>
      </c>
      <c r="D152" s="65">
        <v>-2917437.34636966</v>
      </c>
      <c r="E152" s="65">
        <v>6853597.14224206</v>
      </c>
      <c r="F152" s="65">
        <v>302104.86263302999</v>
      </c>
      <c r="G152" s="65">
        <v>10779300.0069589</v>
      </c>
      <c r="H152" s="65">
        <v>12164895.106400499</v>
      </c>
      <c r="I152" s="65">
        <v>10164632.997843301</v>
      </c>
      <c r="J152" s="65">
        <v>11128170.2354877</v>
      </c>
      <c r="K152" s="65">
        <v>8246067.3589613698</v>
      </c>
      <c r="L152" s="88">
        <f t="shared" si="4"/>
        <v>0.82060567135798601</v>
      </c>
      <c r="M152" s="61" t="s">
        <v>338</v>
      </c>
      <c r="N152" s="65">
        <v>-312064425.814381</v>
      </c>
      <c r="O152" s="65">
        <v>-63612189.962138698</v>
      </c>
      <c r="P152" s="65">
        <v>140908027.289242</v>
      </c>
      <c r="Q152" s="65">
        <v>201078563.85660601</v>
      </c>
      <c r="R152" s="65">
        <v>214136480.70184401</v>
      </c>
      <c r="S152" s="65">
        <v>180719645.242625</v>
      </c>
      <c r="T152" s="65">
        <v>194951976.50384</v>
      </c>
      <c r="U152" s="65">
        <v>146086972.72538799</v>
      </c>
      <c r="V152" s="65">
        <v>146086972.72538799</v>
      </c>
      <c r="W152" s="88">
        <f t="shared" si="5"/>
        <v>0.79615686794118634</v>
      </c>
    </row>
    <row r="153" spans="2:23">
      <c r="B153" s="61" t="s">
        <v>339</v>
      </c>
      <c r="C153" s="65">
        <v>5590096.7474603998</v>
      </c>
      <c r="D153" s="65">
        <v>4245110.6792122899</v>
      </c>
      <c r="E153" s="65">
        <v>4999531.2233498702</v>
      </c>
      <c r="F153" s="65">
        <v>5022716.80088457</v>
      </c>
      <c r="G153" s="65">
        <v>4830348.2640351998</v>
      </c>
      <c r="H153" s="65">
        <v>5015524.6894322401</v>
      </c>
      <c r="I153" s="65">
        <v>5821773.9315319899</v>
      </c>
      <c r="J153" s="65">
        <v>4936373.63585696</v>
      </c>
      <c r="K153" s="65">
        <v>4656603.2914590696</v>
      </c>
      <c r="L153" s="88">
        <f t="shared" si="4"/>
        <v>0.24060157256833556</v>
      </c>
      <c r="M153" s="61" t="s">
        <v>339</v>
      </c>
      <c r="N153" s="65">
        <v>83736542.254352301</v>
      </c>
      <c r="O153" s="65">
        <v>54528437.847045898</v>
      </c>
      <c r="P153" s="65">
        <v>72198052.561089694</v>
      </c>
      <c r="Q153" s="65">
        <v>69773574.8637456</v>
      </c>
      <c r="R153" s="65">
        <v>75317831.580158606</v>
      </c>
      <c r="S153" s="65">
        <v>89079027.2790218</v>
      </c>
      <c r="T153" s="65">
        <v>74298788.786442503</v>
      </c>
      <c r="U153" s="65">
        <v>69708219.064408094</v>
      </c>
      <c r="V153" s="65">
        <v>69708219.064408094</v>
      </c>
      <c r="W153" s="88">
        <f t="shared" si="5"/>
        <v>0.34880953549032268</v>
      </c>
    </row>
    <row r="154" spans="2:23">
      <c r="B154" s="61" t="s">
        <v>340</v>
      </c>
      <c r="C154" s="65">
        <v>19504696.321544401</v>
      </c>
      <c r="D154" s="65">
        <v>17665111.819200002</v>
      </c>
      <c r="E154" s="65">
        <v>17665111.819200002</v>
      </c>
      <c r="F154" s="65">
        <v>22898468.8621278</v>
      </c>
      <c r="G154" s="65">
        <v>22898468.8621278</v>
      </c>
      <c r="H154" s="65">
        <v>24800088.035472602</v>
      </c>
      <c r="I154" s="65">
        <v>24800088.035472602</v>
      </c>
      <c r="J154" s="65">
        <v>24800088.035472602</v>
      </c>
      <c r="K154" s="65">
        <v>26558489.521499999</v>
      </c>
      <c r="L154" s="88">
        <f t="shared" si="4"/>
        <v>9.4314952256520937E-2</v>
      </c>
      <c r="M154" s="61" t="s">
        <v>340</v>
      </c>
      <c r="N154" s="65">
        <v>262261180.76622301</v>
      </c>
      <c r="O154" s="65">
        <v>203946636.481038</v>
      </c>
      <c r="P154" s="65">
        <v>204753191.57940301</v>
      </c>
      <c r="Q154" s="65">
        <v>321287532.24122202</v>
      </c>
      <c r="R154" s="65">
        <v>369801303.91439801</v>
      </c>
      <c r="S154" s="65">
        <v>370923722.71538901</v>
      </c>
      <c r="T154" s="65">
        <v>370329194.93647099</v>
      </c>
      <c r="U154" s="65">
        <v>399685180.23211098</v>
      </c>
      <c r="V154" s="65">
        <v>399685180.23211098</v>
      </c>
      <c r="W154" s="88">
        <f t="shared" si="5"/>
        <v>0.22235293883301016</v>
      </c>
    </row>
    <row r="155" spans="2:23">
      <c r="B155" s="61" t="s">
        <v>341</v>
      </c>
      <c r="C155" s="65">
        <v>13643858.003842101</v>
      </c>
      <c r="D155" s="65">
        <v>14110824.84</v>
      </c>
      <c r="E155" s="65">
        <v>14110824.84</v>
      </c>
      <c r="F155" s="65">
        <v>14340061.580597199</v>
      </c>
      <c r="G155" s="65">
        <v>14340061.580597199</v>
      </c>
      <c r="H155" s="65">
        <v>13271411.838644501</v>
      </c>
      <c r="I155" s="65">
        <v>13271411.838644501</v>
      </c>
      <c r="J155" s="65">
        <v>6951383.0224727001</v>
      </c>
      <c r="K155" s="65">
        <v>14512465.84</v>
      </c>
      <c r="L155" s="88">
        <f t="shared" si="4"/>
        <v>-3.422542480480241E-2</v>
      </c>
      <c r="M155" s="61" t="s">
        <v>341</v>
      </c>
      <c r="N155" s="65">
        <v>154099122.20962599</v>
      </c>
      <c r="O155" s="65">
        <v>143453087.93990001</v>
      </c>
      <c r="P155" s="65">
        <v>144635930.17244399</v>
      </c>
      <c r="Q155" s="65">
        <v>166959901.70223799</v>
      </c>
      <c r="R155" s="65">
        <v>175136033.94219899</v>
      </c>
      <c r="S155" s="65">
        <v>175429689.77885601</v>
      </c>
      <c r="T155" s="65">
        <v>67213363.562857598</v>
      </c>
      <c r="U155" s="65">
        <v>199377842.159035</v>
      </c>
      <c r="V155" s="65">
        <v>199377842.159035</v>
      </c>
      <c r="W155" s="88">
        <f t="shared" si="5"/>
        <v>6.9085625648430599E-2</v>
      </c>
    </row>
    <row r="156" spans="2:23">
      <c r="B156" s="61" t="s">
        <v>342</v>
      </c>
      <c r="C156" s="67">
        <v>21609909.009100001</v>
      </c>
      <c r="D156" s="67">
        <v>26783578.013372</v>
      </c>
      <c r="E156" s="67">
        <v>26783578.013372</v>
      </c>
      <c r="F156" s="67">
        <v>26783578.013372</v>
      </c>
      <c r="G156" s="67">
        <v>26783578.013372</v>
      </c>
      <c r="H156" s="67">
        <v>23324403.75</v>
      </c>
      <c r="I156" s="67">
        <v>23324403.75</v>
      </c>
      <c r="J156" s="67">
        <v>20785717.8437564</v>
      </c>
      <c r="K156" s="67">
        <v>22435558.571553402</v>
      </c>
      <c r="L156" s="88">
        <f t="shared" si="4"/>
        <v>-0.23941188285861595</v>
      </c>
      <c r="M156" s="61" t="s">
        <v>342</v>
      </c>
      <c r="N156" s="67">
        <v>279995819.149387</v>
      </c>
      <c r="O156" s="67">
        <v>368322559.30040002</v>
      </c>
      <c r="P156" s="67">
        <v>367863620.17434502</v>
      </c>
      <c r="Q156" s="67">
        <v>372184106.81656599</v>
      </c>
      <c r="R156" s="67">
        <v>338778543.77179003</v>
      </c>
      <c r="S156" s="67">
        <v>341091662.09194797</v>
      </c>
      <c r="T156" s="67">
        <v>297742660.28331202</v>
      </c>
      <c r="U156" s="67">
        <v>321530220.40179598</v>
      </c>
      <c r="V156" s="67">
        <v>321530220.40179598</v>
      </c>
      <c r="W156" s="88">
        <f t="shared" si="5"/>
        <v>-0.31545735368244121</v>
      </c>
    </row>
    <row r="157" spans="2:23">
      <c r="K157" s="78"/>
      <c r="L157" s="86"/>
      <c r="U157" s="78"/>
      <c r="V157" s="78"/>
      <c r="W157" s="86"/>
    </row>
  </sheetData>
  <autoFilter ref="L1:L157" xr:uid="{7046C41B-AEAB-4E9E-9CEF-1FA046861561}"/>
  <pageMargins left="0.7" right="0.7" top="0.75" bottom="0.75" header="0.3" footer="0.3"/>
  <pageSetup paperSize="9" orientation="portrait" r:id="rId1"/>
  <customProperties>
    <customPr name="_pios_id" r:id="rId2"/>
    <customPr name="EpmWorksheetKeyString_GUID" r:id="rId3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F0480-F0E7-44E6-8585-5774D12A373B}">
  <sheetPr>
    <tabColor rgb="FF00B0F0"/>
  </sheetPr>
  <dimension ref="A1:Q155"/>
  <sheetViews>
    <sheetView zoomScale="85" zoomScaleNormal="85" workbookViewId="0">
      <selection activeCell="I7" sqref="I7"/>
    </sheetView>
  </sheetViews>
  <sheetFormatPr defaultColWidth="8.81640625" defaultRowHeight="14.5"/>
  <cols>
    <col min="1" max="1" width="29.81640625" bestFit="1" customWidth="1"/>
    <col min="2" max="9" width="10.453125" customWidth="1"/>
    <col min="10" max="10" width="11.453125" customWidth="1"/>
    <col min="11" max="13" width="10.453125" customWidth="1"/>
    <col min="14" max="14" width="11.453125" bestFit="1" customWidth="1"/>
    <col min="16" max="16" width="11.453125" bestFit="1" customWidth="1"/>
    <col min="17" max="17" width="10.7265625" bestFit="1" customWidth="1"/>
  </cols>
  <sheetData>
    <row r="1" spans="1:17">
      <c r="A1" s="60" t="s">
        <v>165</v>
      </c>
      <c r="B1" s="61" t="s">
        <v>168</v>
      </c>
      <c r="C1" s="61" t="s">
        <v>167</v>
      </c>
      <c r="D1" s="61" t="s">
        <v>129</v>
      </c>
      <c r="E1" s="61" t="s">
        <v>130</v>
      </c>
      <c r="F1" s="61" t="s">
        <v>131</v>
      </c>
      <c r="G1" s="61" t="s">
        <v>101</v>
      </c>
      <c r="H1" s="61" t="s">
        <v>102</v>
      </c>
      <c r="I1" s="61" t="s">
        <v>103</v>
      </c>
      <c r="J1" s="61" t="s">
        <v>104</v>
      </c>
      <c r="K1" s="61" t="s">
        <v>105</v>
      </c>
      <c r="L1" s="61" t="s">
        <v>106</v>
      </c>
      <c r="M1" s="61" t="s">
        <v>343</v>
      </c>
      <c r="N1" s="61" t="s">
        <v>9</v>
      </c>
      <c r="P1" s="61" t="s">
        <v>103</v>
      </c>
      <c r="Q1" s="61" t="s">
        <v>102</v>
      </c>
    </row>
    <row r="2" spans="1:17">
      <c r="A2" s="61" t="s">
        <v>175</v>
      </c>
      <c r="B2" s="62">
        <v>15.15</v>
      </c>
      <c r="C2" s="62">
        <v>15.7097</v>
      </c>
      <c r="D2" s="62">
        <v>16.308599999999998</v>
      </c>
      <c r="E2" s="62">
        <v>15.5448</v>
      </c>
      <c r="F2" s="62">
        <v>17.601900000000001</v>
      </c>
      <c r="G2" s="62">
        <v>17.522099999999998</v>
      </c>
      <c r="H2" s="62">
        <v>18.217600000000001</v>
      </c>
      <c r="I2" s="62">
        <v>18.093299999999999</v>
      </c>
      <c r="J2" s="62">
        <v>17.923200000000001</v>
      </c>
      <c r="K2" s="62">
        <v>18.325945056972699</v>
      </c>
      <c r="L2" s="62">
        <v>18.720240712475299</v>
      </c>
      <c r="M2" s="62">
        <v>19.893999999999998</v>
      </c>
      <c r="N2" s="63">
        <v>19.893999999999998</v>
      </c>
      <c r="P2" s="63">
        <v>21.502099999999999</v>
      </c>
      <c r="Q2" s="63">
        <v>19.815864006521899</v>
      </c>
    </row>
    <row r="3" spans="1:17">
      <c r="A3" s="61" t="s">
        <v>176</v>
      </c>
      <c r="B3" s="62">
        <v>15.283374193548401</v>
      </c>
      <c r="C3" s="62">
        <v>15.473907142857099</v>
      </c>
      <c r="D3" s="62">
        <v>16.067516129032299</v>
      </c>
      <c r="E3" s="62">
        <v>15.9533566666667</v>
      </c>
      <c r="F3" s="62">
        <v>16.394945161290298</v>
      </c>
      <c r="G3" s="62">
        <v>17.985406666666702</v>
      </c>
      <c r="H3" s="62">
        <v>17.736203225806399</v>
      </c>
      <c r="I3" s="62">
        <v>18.2604774193548</v>
      </c>
      <c r="J3" s="62">
        <v>18.1432033333333</v>
      </c>
      <c r="K3" s="62">
        <v>18.124600000000001</v>
      </c>
      <c r="L3" s="62">
        <v>18.523099999999999</v>
      </c>
      <c r="M3" s="62">
        <v>19.307099999999998</v>
      </c>
      <c r="N3" s="63">
        <v>19.307099999999998</v>
      </c>
      <c r="P3" s="63">
        <v>20.908999999999999</v>
      </c>
      <c r="Q3" s="63">
        <v>19.249700000000001</v>
      </c>
    </row>
    <row r="4" spans="1:17">
      <c r="A4" s="61" t="s">
        <v>177</v>
      </c>
      <c r="B4" s="64">
        <v>27781541.989431798</v>
      </c>
      <c r="C4" s="64">
        <v>26999522.589874301</v>
      </c>
      <c r="D4" s="64">
        <v>26053549.874326099</v>
      </c>
      <c r="E4" s="64">
        <v>30377457.555587798</v>
      </c>
      <c r="F4" s="64">
        <v>29625676.364734501</v>
      </c>
      <c r="G4" s="64">
        <v>28923741.318215899</v>
      </c>
      <c r="H4" s="64">
        <v>27089468.453544199</v>
      </c>
      <c r="I4" s="64">
        <v>31233465.408500899</v>
      </c>
      <c r="J4" s="64">
        <v>33772847.957609899</v>
      </c>
      <c r="K4" s="64">
        <v>34531253.729544297</v>
      </c>
      <c r="L4" s="64">
        <v>34190310.388000801</v>
      </c>
      <c r="M4" s="64">
        <v>33560628.306554802</v>
      </c>
      <c r="N4" s="65">
        <v>364139463.93592501</v>
      </c>
      <c r="P4" s="65">
        <v>360321873.63894397</v>
      </c>
      <c r="Q4" s="65">
        <v>358591218.38893801</v>
      </c>
    </row>
    <row r="5" spans="1:17">
      <c r="A5" s="61" t="s">
        <v>179</v>
      </c>
      <c r="B5" s="64">
        <v>595656.35668613901</v>
      </c>
      <c r="C5" s="64">
        <v>620485.03660770995</v>
      </c>
      <c r="D5" s="64">
        <v>676120.26543235697</v>
      </c>
      <c r="E5" s="64">
        <v>621193.670214021</v>
      </c>
      <c r="F5" s="64">
        <v>647210.75829233904</v>
      </c>
      <c r="G5" s="64">
        <v>690721.41210040206</v>
      </c>
      <c r="H5" s="64">
        <v>599346.02037785796</v>
      </c>
      <c r="I5" s="64">
        <v>758420.19745447196</v>
      </c>
      <c r="J5" s="64">
        <v>806376.86858311296</v>
      </c>
      <c r="K5" s="64">
        <v>808767.39394088695</v>
      </c>
      <c r="L5" s="64">
        <v>791367.83304204</v>
      </c>
      <c r="M5" s="64">
        <v>759232.89920397196</v>
      </c>
      <c r="N5" s="65">
        <v>8374898.7119353097</v>
      </c>
      <c r="P5" s="65">
        <v>8308949.15726336</v>
      </c>
      <c r="Q5" s="65">
        <v>8338106.7792160697</v>
      </c>
    </row>
    <row r="6" spans="1:17">
      <c r="A6" s="61" t="s">
        <v>180</v>
      </c>
      <c r="B6" s="64">
        <v>940219.67060558603</v>
      </c>
      <c r="C6" s="64">
        <v>1081253.70247703</v>
      </c>
      <c r="D6" s="64">
        <v>1001048.3624744799</v>
      </c>
      <c r="E6" s="64">
        <v>1182857.5279977601</v>
      </c>
      <c r="F6" s="64">
        <v>1205761.1236586899</v>
      </c>
      <c r="G6" s="64">
        <v>1180742.5931545401</v>
      </c>
      <c r="H6" s="64">
        <v>998192.84908960899</v>
      </c>
      <c r="I6" s="64">
        <v>866681.96929098596</v>
      </c>
      <c r="J6" s="64">
        <v>878802.49281044095</v>
      </c>
      <c r="K6" s="64">
        <v>618988.92481305299</v>
      </c>
      <c r="L6" s="64">
        <v>605672.19669853605</v>
      </c>
      <c r="M6" s="64">
        <v>581077.77277098398</v>
      </c>
      <c r="N6" s="65">
        <v>11141299.1858417</v>
      </c>
      <c r="P6" s="65">
        <v>10477972.6374317</v>
      </c>
      <c r="Q6" s="65">
        <v>10604075.499125799</v>
      </c>
    </row>
    <row r="7" spans="1:17">
      <c r="A7" s="61" t="s">
        <v>181</v>
      </c>
      <c r="B7" s="64">
        <v>631992.94329110696</v>
      </c>
      <c r="C7" s="64">
        <v>410650.75751945702</v>
      </c>
      <c r="D7" s="64">
        <v>718253.93591156497</v>
      </c>
      <c r="E7" s="64">
        <v>727716.29134683497</v>
      </c>
      <c r="F7" s="64">
        <v>716676.63565855299</v>
      </c>
      <c r="G7" s="64">
        <v>655769.75592433906</v>
      </c>
      <c r="H7" s="64">
        <v>769511.09300223202</v>
      </c>
      <c r="I7" s="64">
        <v>1070121.62065861</v>
      </c>
      <c r="J7" s="64">
        <v>856037.00430703198</v>
      </c>
      <c r="K7" s="64">
        <v>967996.33602437202</v>
      </c>
      <c r="L7" s="64">
        <v>947171.17501429794</v>
      </c>
      <c r="M7" s="64">
        <v>908709.56238416606</v>
      </c>
      <c r="N7" s="65">
        <v>9380607.1110425703</v>
      </c>
      <c r="P7" s="65">
        <v>8996775.9477293696</v>
      </c>
      <c r="Q7" s="65">
        <v>8906930.7080222908</v>
      </c>
    </row>
    <row r="8" spans="1:17">
      <c r="A8" s="61" t="s">
        <v>182</v>
      </c>
      <c r="B8" s="64">
        <v>19381117.9536453</v>
      </c>
      <c r="C8" s="64">
        <v>16913817.524686798</v>
      </c>
      <c r="D8" s="64">
        <v>9035943.9077846296</v>
      </c>
      <c r="E8" s="64">
        <v>19466079.388994399</v>
      </c>
      <c r="F8" s="64">
        <v>14400705.1329454</v>
      </c>
      <c r="G8" s="64">
        <v>13048368.306725301</v>
      </c>
      <c r="H8" s="64">
        <v>15970733.3673665</v>
      </c>
      <c r="I8" s="64">
        <v>18827714.679644801</v>
      </c>
      <c r="J8" s="64">
        <v>19523078.941009801</v>
      </c>
      <c r="K8" s="64">
        <v>24890227.682774901</v>
      </c>
      <c r="L8" s="64">
        <v>24354747.351103298</v>
      </c>
      <c r="M8" s="64">
        <v>23365778.426548898</v>
      </c>
      <c r="N8" s="65">
        <v>219178312.66323</v>
      </c>
      <c r="P8" s="65">
        <v>228301620.26835901</v>
      </c>
      <c r="Q8" s="65">
        <v>232334356.51877299</v>
      </c>
    </row>
    <row r="9" spans="1:17">
      <c r="A9" s="61" t="s">
        <v>183</v>
      </c>
      <c r="B9" s="64">
        <v>8507987.3634769805</v>
      </c>
      <c r="C9" s="64">
        <v>8082885.6884884601</v>
      </c>
      <c r="D9" s="64">
        <v>10899650.1684846</v>
      </c>
      <c r="E9" s="64">
        <v>9314115.3560786508</v>
      </c>
      <c r="F9" s="64">
        <v>9489627.7748668902</v>
      </c>
      <c r="G9" s="64">
        <v>9394465.4358663205</v>
      </c>
      <c r="H9" s="64">
        <v>8835111.8503196705</v>
      </c>
      <c r="I9" s="64">
        <v>11632878.7030972</v>
      </c>
      <c r="J9" s="64">
        <v>11515306.8987634</v>
      </c>
      <c r="K9" s="64">
        <v>8739760.8794363309</v>
      </c>
      <c r="L9" s="64">
        <v>8551736.4823075905</v>
      </c>
      <c r="M9" s="64">
        <v>8204477.6292364802</v>
      </c>
      <c r="N9" s="65">
        <v>113168004.230423</v>
      </c>
      <c r="P9" s="65">
        <v>97838878.337548107</v>
      </c>
      <c r="Q9" s="65">
        <v>92134662.831957102</v>
      </c>
    </row>
    <row r="10" spans="1:17">
      <c r="A10" s="61" t="s">
        <v>184</v>
      </c>
      <c r="B10" s="64">
        <v>12644850.99</v>
      </c>
      <c r="C10" s="64">
        <v>10865336.32</v>
      </c>
      <c r="D10" s="64">
        <v>13803063.83</v>
      </c>
      <c r="E10" s="64">
        <v>12121264.6</v>
      </c>
      <c r="F10" s="64">
        <v>13003015.67</v>
      </c>
      <c r="G10" s="64">
        <v>12318501.51</v>
      </c>
      <c r="H10" s="64">
        <v>10761518.439999999</v>
      </c>
      <c r="I10" s="64">
        <v>12034822.26</v>
      </c>
      <c r="J10" s="64">
        <v>13132192.560000001</v>
      </c>
      <c r="K10" s="64">
        <v>14495016.869820699</v>
      </c>
      <c r="L10" s="64">
        <v>14495016.869820699</v>
      </c>
      <c r="M10" s="64">
        <v>14495016.869820699</v>
      </c>
      <c r="N10" s="65">
        <v>154169616.789462</v>
      </c>
      <c r="P10" s="65">
        <v>160458394.36050001</v>
      </c>
      <c r="Q10" s="65">
        <v>158422697.38080999</v>
      </c>
    </row>
    <row r="11" spans="1:17">
      <c r="A11" s="61" t="s">
        <v>185</v>
      </c>
      <c r="B11" s="64">
        <v>5933616.5499999998</v>
      </c>
      <c r="C11" s="64">
        <v>5841847.4199999999</v>
      </c>
      <c r="D11" s="64">
        <v>6604982.3099999996</v>
      </c>
      <c r="E11" s="64">
        <v>5707537.4199999999</v>
      </c>
      <c r="F11" s="64">
        <v>8949237.5500000007</v>
      </c>
      <c r="G11" s="64">
        <v>7242324.9199999999</v>
      </c>
      <c r="H11" s="64">
        <v>5438885.23999999</v>
      </c>
      <c r="I11" s="64">
        <v>6383219.7400000002</v>
      </c>
      <c r="J11" s="64">
        <v>6514630.3499999996</v>
      </c>
      <c r="K11" s="64">
        <v>7259744.7757791001</v>
      </c>
      <c r="L11" s="64">
        <v>7259744.7757791001</v>
      </c>
      <c r="M11" s="64">
        <v>7259744.7757791001</v>
      </c>
      <c r="N11" s="65">
        <v>80395515.827337295</v>
      </c>
      <c r="P11" s="65">
        <v>80114000</v>
      </c>
      <c r="Q11" s="65">
        <v>79331000</v>
      </c>
    </row>
    <row r="12" spans="1:17">
      <c r="A12" s="61" t="s">
        <v>186</v>
      </c>
      <c r="B12" s="64">
        <v>17566609.690000001</v>
      </c>
      <c r="C12" s="64">
        <v>20513945.780000001</v>
      </c>
      <c r="D12" s="64">
        <v>18801678.059999999</v>
      </c>
      <c r="E12" s="64">
        <v>23005228.399999999</v>
      </c>
      <c r="F12" s="64">
        <v>21797483.489999998</v>
      </c>
      <c r="G12" s="64">
        <v>23987608.719999999</v>
      </c>
      <c r="H12" s="64">
        <v>20799797.329999998</v>
      </c>
      <c r="I12" s="64">
        <v>22466968.670000002</v>
      </c>
      <c r="J12" s="64">
        <v>27393870.23</v>
      </c>
      <c r="K12" s="64">
        <v>24954002.479104001</v>
      </c>
      <c r="L12" s="64">
        <v>24954002.479104001</v>
      </c>
      <c r="M12" s="64">
        <v>24954002.479104001</v>
      </c>
      <c r="N12" s="65">
        <v>271195197.80731201</v>
      </c>
      <c r="P12" s="65">
        <v>264632546.77489299</v>
      </c>
      <c r="Q12" s="65">
        <v>264632546.77489299</v>
      </c>
    </row>
    <row r="13" spans="1:17">
      <c r="A13" s="61" t="s">
        <v>187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5"/>
      <c r="P13" s="65"/>
      <c r="Q13" s="65"/>
    </row>
    <row r="14" spans="1:17">
      <c r="A14" s="61" t="s">
        <v>188</v>
      </c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5"/>
      <c r="P14" s="65"/>
      <c r="Q14" s="65"/>
    </row>
    <row r="15" spans="1:17">
      <c r="A15" s="61" t="s">
        <v>189</v>
      </c>
      <c r="B15" s="64">
        <v>-23073316.841185801</v>
      </c>
      <c r="C15" s="64">
        <v>-21962038.261647899</v>
      </c>
      <c r="D15" s="64">
        <v>-20747225.6255459</v>
      </c>
      <c r="E15" s="64">
        <v>-24620639.149900999</v>
      </c>
      <c r="F15" s="64">
        <v>-23517982.069924701</v>
      </c>
      <c r="G15" s="64">
        <v>-24170338.0899758</v>
      </c>
      <c r="H15" s="64">
        <v>-23078587.578814201</v>
      </c>
      <c r="I15" s="64">
        <v>-26531609.765406799</v>
      </c>
      <c r="J15" s="64">
        <v>-28794429.175464101</v>
      </c>
      <c r="K15" s="64">
        <v>-29038465.5992116</v>
      </c>
      <c r="L15" s="64">
        <v>-28759855.375704199</v>
      </c>
      <c r="M15" s="64">
        <v>-28245295.200819999</v>
      </c>
      <c r="N15" s="65">
        <v>-302539782.73360199</v>
      </c>
      <c r="P15" s="65">
        <v>-296885365.28163201</v>
      </c>
      <c r="Q15" s="65">
        <v>-295177208.52696699</v>
      </c>
    </row>
    <row r="16" spans="1:17">
      <c r="A16" s="61" t="s">
        <v>191</v>
      </c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5"/>
      <c r="P16" s="65"/>
      <c r="Q16" s="65"/>
    </row>
    <row r="17" spans="1:17">
      <c r="A17" s="61" t="s">
        <v>192</v>
      </c>
      <c r="B17" s="64">
        <v>-720202.19149648305</v>
      </c>
      <c r="C17" s="64">
        <v>-789607.89951859799</v>
      </c>
      <c r="D17" s="64">
        <v>-733416.35431899095</v>
      </c>
      <c r="E17" s="64">
        <v>-927716.69152140303</v>
      </c>
      <c r="F17" s="64">
        <v>-901550.75136179803</v>
      </c>
      <c r="G17" s="64">
        <v>-838428.37750891701</v>
      </c>
      <c r="H17" s="64">
        <v>-801997.99078889005</v>
      </c>
      <c r="I17" s="64">
        <v>-657879.98430705594</v>
      </c>
      <c r="J17" s="64">
        <v>-687676.05786062998</v>
      </c>
      <c r="K17" s="64">
        <v>-463471.28580308403</v>
      </c>
      <c r="L17" s="64">
        <v>-453500.314022306</v>
      </c>
      <c r="M17" s="64">
        <v>-435085.106860511</v>
      </c>
      <c r="N17" s="65">
        <v>-8410533.0053686704</v>
      </c>
      <c r="P17" s="65">
        <v>-7908948.7407788299</v>
      </c>
      <c r="Q17" s="65">
        <v>-8065476.2867898401</v>
      </c>
    </row>
    <row r="18" spans="1:17">
      <c r="A18" s="61" t="s">
        <v>193</v>
      </c>
      <c r="B18" s="64">
        <v>-480287.68301038002</v>
      </c>
      <c r="C18" s="64">
        <v>-323259.23917082598</v>
      </c>
      <c r="D18" s="64">
        <v>-598394.96925272804</v>
      </c>
      <c r="E18" s="64">
        <v>-602011.68949397595</v>
      </c>
      <c r="F18" s="64">
        <v>-576265.65365446103</v>
      </c>
      <c r="G18" s="64">
        <v>-532335.20417108398</v>
      </c>
      <c r="H18" s="64">
        <v>-667178.10116105003</v>
      </c>
      <c r="I18" s="64">
        <v>-932872.18394106405</v>
      </c>
      <c r="J18" s="64">
        <v>-716348.32070264802</v>
      </c>
      <c r="K18" s="64">
        <v>-842999.154158124</v>
      </c>
      <c r="L18" s="64">
        <v>-824863.14220915199</v>
      </c>
      <c r="M18" s="64">
        <v>-791368.07026712096</v>
      </c>
      <c r="N18" s="65">
        <v>-7888183.4111926202</v>
      </c>
      <c r="P18" s="65">
        <v>-7582720.7501432803</v>
      </c>
      <c r="Q18" s="65">
        <v>-7453441.8796286201</v>
      </c>
    </row>
    <row r="19" spans="1:17">
      <c r="A19" s="61" t="s">
        <v>194</v>
      </c>
      <c r="B19" s="64">
        <v>-16525046.204923</v>
      </c>
      <c r="C19" s="64">
        <v>-14412286.537797</v>
      </c>
      <c r="D19" s="64">
        <v>-7647158.2611534698</v>
      </c>
      <c r="E19" s="64">
        <v>-16316357.151872599</v>
      </c>
      <c r="F19" s="64">
        <v>-12524978.7085844</v>
      </c>
      <c r="G19" s="64">
        <v>-11331646.471361401</v>
      </c>
      <c r="H19" s="64">
        <v>-13730157.967811</v>
      </c>
      <c r="I19" s="64">
        <v>-16496878.865653001</v>
      </c>
      <c r="J19" s="64">
        <v>-17321460.9784716</v>
      </c>
      <c r="K19" s="64">
        <v>-21305082.904697999</v>
      </c>
      <c r="L19" s="64">
        <v>-20846732.221630801</v>
      </c>
      <c r="M19" s="64">
        <v>-20000212.647911299</v>
      </c>
      <c r="N19" s="65">
        <v>-188457998.921868</v>
      </c>
      <c r="P19" s="65">
        <v>-195286505.39507601</v>
      </c>
      <c r="Q19" s="65">
        <v>-198365034.243357</v>
      </c>
    </row>
    <row r="20" spans="1:17">
      <c r="A20" s="61" t="s">
        <v>195</v>
      </c>
      <c r="B20" s="64">
        <v>-7449140.67177442</v>
      </c>
      <c r="C20" s="64">
        <v>-7101697.8195990203</v>
      </c>
      <c r="D20" s="64">
        <v>-9606888.4737820104</v>
      </c>
      <c r="E20" s="64">
        <v>-8185882.48034155</v>
      </c>
      <c r="F20" s="64">
        <v>-8320484.1236867597</v>
      </c>
      <c r="G20" s="64">
        <v>-8214674.13937819</v>
      </c>
      <c r="H20" s="64">
        <v>-7800159.3293497004</v>
      </c>
      <c r="I20" s="64">
        <v>-10241812.0372437</v>
      </c>
      <c r="J20" s="64">
        <v>-10147206.5337804</v>
      </c>
      <c r="K20" s="64">
        <v>-7804682.2190493904</v>
      </c>
      <c r="L20" s="64">
        <v>-7636774.8026724802</v>
      </c>
      <c r="M20" s="64">
        <v>-7326669.6369409496</v>
      </c>
      <c r="N20" s="65">
        <v>-99836072.267598495</v>
      </c>
      <c r="P20" s="65">
        <v>-86163642.153032094</v>
      </c>
      <c r="Q20" s="65">
        <v>-81239392.302203193</v>
      </c>
    </row>
    <row r="21" spans="1:17">
      <c r="A21" s="61" t="s">
        <v>196</v>
      </c>
      <c r="B21" s="64">
        <v>-10013501.01</v>
      </c>
      <c r="C21" s="64">
        <v>-8129545.7800000003</v>
      </c>
      <c r="D21" s="64">
        <v>-9411053.0700000003</v>
      </c>
      <c r="E21" s="64">
        <v>-9320034.7300000004</v>
      </c>
      <c r="F21" s="64">
        <v>-9966187.5199999996</v>
      </c>
      <c r="G21" s="64">
        <v>-9910781.2599999998</v>
      </c>
      <c r="H21" s="64">
        <v>-9661519.75</v>
      </c>
      <c r="I21" s="64">
        <v>-11051544.32</v>
      </c>
      <c r="J21" s="64">
        <v>-12085417.970000001</v>
      </c>
      <c r="K21" s="64">
        <v>-12589715.294908</v>
      </c>
      <c r="L21" s="64">
        <v>-12589715.294908</v>
      </c>
      <c r="M21" s="64">
        <v>-12589715.294908</v>
      </c>
      <c r="N21" s="65">
        <v>-127318731.294724</v>
      </c>
      <c r="P21" s="65">
        <v>-130615655.848</v>
      </c>
      <c r="Q21" s="65">
        <v>-127863863.27514499</v>
      </c>
    </row>
    <row r="22" spans="1:17">
      <c r="A22" s="61" t="s">
        <v>197</v>
      </c>
      <c r="B22" s="64">
        <v>-5053060.68</v>
      </c>
      <c r="C22" s="64">
        <v>-4655465.93</v>
      </c>
      <c r="D22" s="64">
        <v>-4998114.6399999997</v>
      </c>
      <c r="E22" s="64">
        <v>-4954794.99</v>
      </c>
      <c r="F22" s="64">
        <v>-5149367.26</v>
      </c>
      <c r="G22" s="64">
        <v>-6156307.0999999996</v>
      </c>
      <c r="H22" s="64">
        <v>-4347157.8</v>
      </c>
      <c r="I22" s="64">
        <v>-4885309.8600000003</v>
      </c>
      <c r="J22" s="64">
        <v>-5337234.5599999996</v>
      </c>
      <c r="K22" s="64">
        <v>-6156177.0675956002</v>
      </c>
      <c r="L22" s="64">
        <v>-6156177.0675956002</v>
      </c>
      <c r="M22" s="64">
        <v>-6156177.0675956002</v>
      </c>
      <c r="N22" s="65">
        <v>-64005344.022786804</v>
      </c>
      <c r="P22" s="65">
        <v>-63573000</v>
      </c>
      <c r="Q22" s="65">
        <v>-63832000</v>
      </c>
    </row>
    <row r="23" spans="1:17">
      <c r="A23" s="61" t="s">
        <v>198</v>
      </c>
      <c r="B23" s="64">
        <v>-15641318.85</v>
      </c>
      <c r="C23" s="64">
        <v>-17823931.739999998</v>
      </c>
      <c r="D23" s="64">
        <v>-16875321.309999999</v>
      </c>
      <c r="E23" s="64">
        <v>-18950207.57</v>
      </c>
      <c r="F23" s="64">
        <v>-19139396.550000001</v>
      </c>
      <c r="G23" s="64">
        <v>-21385527.300000001</v>
      </c>
      <c r="H23" s="64">
        <v>-18484533.870000001</v>
      </c>
      <c r="I23" s="64">
        <v>-19676598.91</v>
      </c>
      <c r="J23" s="64">
        <v>-23584691.949999999</v>
      </c>
      <c r="K23" s="64">
        <v>-21474330.411874998</v>
      </c>
      <c r="L23" s="64">
        <v>-21474330.411874998</v>
      </c>
      <c r="M23" s="64">
        <v>-21474330.411874998</v>
      </c>
      <c r="N23" s="65">
        <v>-235984519.28562501</v>
      </c>
      <c r="P23" s="65">
        <v>-227845436.08066601</v>
      </c>
      <c r="Q23" s="65">
        <v>-227845436.08066601</v>
      </c>
    </row>
    <row r="24" spans="1:17">
      <c r="A24" s="61" t="s">
        <v>199</v>
      </c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5"/>
      <c r="P24" s="65"/>
      <c r="Q24" s="65"/>
    </row>
    <row r="25" spans="1:17">
      <c r="A25" s="61" t="s">
        <v>200</v>
      </c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5"/>
      <c r="P25" s="65"/>
      <c r="Q25" s="65"/>
    </row>
    <row r="26" spans="1:17">
      <c r="A26" s="61" t="s">
        <v>201</v>
      </c>
      <c r="B26" s="64">
        <v>4708225.1482459297</v>
      </c>
      <c r="C26" s="64">
        <v>5037484.3282264201</v>
      </c>
      <c r="D26" s="64">
        <v>5306324.2487801602</v>
      </c>
      <c r="E26" s="64">
        <v>5756818.4056868302</v>
      </c>
      <c r="F26" s="64">
        <v>6107694.2948097801</v>
      </c>
      <c r="G26" s="64">
        <v>4753403.2282400699</v>
      </c>
      <c r="H26" s="64">
        <v>4010880.87472997</v>
      </c>
      <c r="I26" s="64">
        <v>4701855.6430941103</v>
      </c>
      <c r="J26" s="64">
        <v>4978418.7821458103</v>
      </c>
      <c r="K26" s="64">
        <v>5492788.1303327195</v>
      </c>
      <c r="L26" s="64">
        <v>5430455.0122965602</v>
      </c>
      <c r="M26" s="64">
        <v>5315333.1057348</v>
      </c>
      <c r="N26" s="65">
        <v>61599681.202322997</v>
      </c>
      <c r="P26" s="65">
        <v>63436508.3573125</v>
      </c>
      <c r="Q26" s="65">
        <v>63414009.861970603</v>
      </c>
    </row>
    <row r="27" spans="1:17">
      <c r="A27" s="61" t="s">
        <v>203</v>
      </c>
      <c r="B27" s="64">
        <v>595656.35668613901</v>
      </c>
      <c r="C27" s="64">
        <v>620485.03660770995</v>
      </c>
      <c r="D27" s="64">
        <v>676120.26543235697</v>
      </c>
      <c r="E27" s="64">
        <v>621193.670214021</v>
      </c>
      <c r="F27" s="64">
        <v>647210.75829233904</v>
      </c>
      <c r="G27" s="64">
        <v>690721.41210040206</v>
      </c>
      <c r="H27" s="64">
        <v>599346.02037785796</v>
      </c>
      <c r="I27" s="64">
        <v>758420.19745447196</v>
      </c>
      <c r="J27" s="64">
        <v>806376.86858311296</v>
      </c>
      <c r="K27" s="64">
        <v>808767.39394088695</v>
      </c>
      <c r="L27" s="64">
        <v>791367.83304204</v>
      </c>
      <c r="M27" s="64">
        <v>759232.89920397196</v>
      </c>
      <c r="N27" s="65">
        <v>8374898.7119353097</v>
      </c>
      <c r="P27" s="65">
        <v>8308949.15726336</v>
      </c>
      <c r="Q27" s="65">
        <v>8338106.7792160697</v>
      </c>
    </row>
    <row r="28" spans="1:17">
      <c r="A28" s="61" t="s">
        <v>204</v>
      </c>
      <c r="B28" s="64">
        <v>220017.479109104</v>
      </c>
      <c r="C28" s="64">
        <v>291645.802958432</v>
      </c>
      <c r="D28" s="64">
        <v>267632.00815548399</v>
      </c>
      <c r="E28" s="64">
        <v>255140.83647635899</v>
      </c>
      <c r="F28" s="64">
        <v>304210.37229689199</v>
      </c>
      <c r="G28" s="64">
        <v>342314.21564562398</v>
      </c>
      <c r="H28" s="64">
        <v>196194.858300719</v>
      </c>
      <c r="I28" s="64">
        <v>208801.98498392999</v>
      </c>
      <c r="J28" s="64">
        <v>191126.434949811</v>
      </c>
      <c r="K28" s="64">
        <v>155517.63900996899</v>
      </c>
      <c r="L28" s="64">
        <v>152171.88267622999</v>
      </c>
      <c r="M28" s="64">
        <v>145992.66591047199</v>
      </c>
      <c r="N28" s="65">
        <v>2730766.1804730301</v>
      </c>
      <c r="P28" s="65">
        <v>2569023.8966529099</v>
      </c>
      <c r="Q28" s="65">
        <v>2538599.2123359698</v>
      </c>
    </row>
    <row r="29" spans="1:17">
      <c r="A29" s="61" t="s">
        <v>205</v>
      </c>
      <c r="B29" s="64">
        <v>151705.26028072601</v>
      </c>
      <c r="C29" s="64">
        <v>87391.518348630401</v>
      </c>
      <c r="D29" s="64">
        <v>119858.966658836</v>
      </c>
      <c r="E29" s="64">
        <v>125704.60185286</v>
      </c>
      <c r="F29" s="64">
        <v>140410.98200409199</v>
      </c>
      <c r="G29" s="64">
        <v>123434.551753254</v>
      </c>
      <c r="H29" s="64">
        <v>102332.991841182</v>
      </c>
      <c r="I29" s="64">
        <v>137249.436717551</v>
      </c>
      <c r="J29" s="64">
        <v>139688.68360438399</v>
      </c>
      <c r="K29" s="64">
        <v>124997.18186624799</v>
      </c>
      <c r="L29" s="64">
        <v>122308.03280514599</v>
      </c>
      <c r="M29" s="64">
        <v>117341.492117045</v>
      </c>
      <c r="N29" s="65">
        <v>1492423.6998499599</v>
      </c>
      <c r="P29" s="65">
        <v>1414055.1975860901</v>
      </c>
      <c r="Q29" s="65">
        <v>1453488.82839366</v>
      </c>
    </row>
    <row r="30" spans="1:17">
      <c r="A30" s="61" t="s">
        <v>206</v>
      </c>
      <c r="B30" s="64">
        <v>2856071.74872234</v>
      </c>
      <c r="C30" s="64">
        <v>2501530.9868896999</v>
      </c>
      <c r="D30" s="64">
        <v>1388785.6466311601</v>
      </c>
      <c r="E30" s="64">
        <v>3149722.2371218302</v>
      </c>
      <c r="F30" s="64">
        <v>1875726.4243610101</v>
      </c>
      <c r="G30" s="64">
        <v>1716721.83536385</v>
      </c>
      <c r="H30" s="64">
        <v>2240575.3995555802</v>
      </c>
      <c r="I30" s="64">
        <v>2330835.8139918302</v>
      </c>
      <c r="J30" s="64">
        <v>2201617.9625382298</v>
      </c>
      <c r="K30" s="64">
        <v>3585144.77807693</v>
      </c>
      <c r="L30" s="64">
        <v>3508015.12947255</v>
      </c>
      <c r="M30" s="64">
        <v>3365565.7786375498</v>
      </c>
      <c r="N30" s="65">
        <v>30720313.741362602</v>
      </c>
      <c r="P30" s="65">
        <v>33015114.873282399</v>
      </c>
      <c r="Q30" s="65">
        <v>33969322.275416203</v>
      </c>
    </row>
    <row r="31" spans="1:17">
      <c r="A31" s="61" t="s">
        <v>207</v>
      </c>
      <c r="B31" s="64">
        <v>1058846.6917025601</v>
      </c>
      <c r="C31" s="64">
        <v>981187.86888943706</v>
      </c>
      <c r="D31" s="64">
        <v>1292761.6947025899</v>
      </c>
      <c r="E31" s="64">
        <v>1128232.8757370999</v>
      </c>
      <c r="F31" s="64">
        <v>1169143.65118013</v>
      </c>
      <c r="G31" s="64">
        <v>1179791.29648813</v>
      </c>
      <c r="H31" s="64">
        <v>1034952.52096997</v>
      </c>
      <c r="I31" s="64">
        <v>1391066.66585355</v>
      </c>
      <c r="J31" s="64">
        <v>1368100.3649830499</v>
      </c>
      <c r="K31" s="64">
        <v>935078.66038693604</v>
      </c>
      <c r="L31" s="64">
        <v>914961.67963510996</v>
      </c>
      <c r="M31" s="64">
        <v>877807.99229553202</v>
      </c>
      <c r="N31" s="65">
        <v>13331931.962824101</v>
      </c>
      <c r="P31" s="65">
        <v>11675236.184516</v>
      </c>
      <c r="Q31" s="65">
        <v>10895270.529754</v>
      </c>
    </row>
    <row r="32" spans="1:17">
      <c r="A32" s="61" t="s">
        <v>208</v>
      </c>
      <c r="B32" s="64">
        <v>2631349.98</v>
      </c>
      <c r="C32" s="64">
        <v>2735790.54</v>
      </c>
      <c r="D32" s="64">
        <v>4392010.76</v>
      </c>
      <c r="E32" s="64">
        <v>2801229.87</v>
      </c>
      <c r="F32" s="64">
        <v>3036828.1499999901</v>
      </c>
      <c r="G32" s="64">
        <v>2407720.2500000098</v>
      </c>
      <c r="H32" s="64">
        <v>1099998.69</v>
      </c>
      <c r="I32" s="64">
        <v>983277.94000000996</v>
      </c>
      <c r="J32" s="64">
        <v>1046774.59</v>
      </c>
      <c r="K32" s="64">
        <v>1905301.5749126601</v>
      </c>
      <c r="L32" s="64">
        <v>1905301.5749126601</v>
      </c>
      <c r="M32" s="64">
        <v>1905301.5749126601</v>
      </c>
      <c r="N32" s="65">
        <v>26850885.494738001</v>
      </c>
      <c r="P32" s="65">
        <v>29842738.512499999</v>
      </c>
      <c r="Q32" s="65">
        <v>30558834.105664998</v>
      </c>
    </row>
    <row r="33" spans="1:17">
      <c r="A33" s="61" t="s">
        <v>209</v>
      </c>
      <c r="B33" s="64">
        <v>880555.87</v>
      </c>
      <c r="C33" s="64">
        <v>1186381.49</v>
      </c>
      <c r="D33" s="64">
        <v>1606867.67</v>
      </c>
      <c r="E33" s="64">
        <v>752742.43</v>
      </c>
      <c r="F33" s="64">
        <v>3799870.29</v>
      </c>
      <c r="G33" s="64">
        <v>1086017.82</v>
      </c>
      <c r="H33" s="64">
        <v>1091727.44</v>
      </c>
      <c r="I33" s="64">
        <v>1497909.88</v>
      </c>
      <c r="J33" s="64">
        <v>1177395.79</v>
      </c>
      <c r="K33" s="64">
        <v>1103567.7081835</v>
      </c>
      <c r="L33" s="64">
        <v>1103567.7081835</v>
      </c>
      <c r="M33" s="64">
        <v>1103567.7081835</v>
      </c>
      <c r="N33" s="65">
        <v>16390171.804550501</v>
      </c>
      <c r="P33" s="65">
        <v>16541000</v>
      </c>
      <c r="Q33" s="65">
        <v>15499000</v>
      </c>
    </row>
    <row r="34" spans="1:17">
      <c r="A34" s="61" t="s">
        <v>210</v>
      </c>
      <c r="B34" s="64">
        <v>1925290.84</v>
      </c>
      <c r="C34" s="64">
        <v>2690014.04</v>
      </c>
      <c r="D34" s="64">
        <v>1926356.75</v>
      </c>
      <c r="E34" s="64">
        <v>4055020.83</v>
      </c>
      <c r="F34" s="64">
        <v>2658086.94</v>
      </c>
      <c r="G34" s="64">
        <v>2602081.42</v>
      </c>
      <c r="H34" s="64">
        <v>2315263.46</v>
      </c>
      <c r="I34" s="64">
        <v>2790369.76</v>
      </c>
      <c r="J34" s="64">
        <v>3809178.28</v>
      </c>
      <c r="K34" s="64">
        <v>3479672.0672289999</v>
      </c>
      <c r="L34" s="64">
        <v>3479672.0672289999</v>
      </c>
      <c r="M34" s="64">
        <v>3479672.0672289999</v>
      </c>
      <c r="N34" s="65">
        <v>35210678.521687001</v>
      </c>
      <c r="P34" s="65">
        <v>36787110.694227003</v>
      </c>
      <c r="Q34" s="65">
        <v>36787110.694227003</v>
      </c>
    </row>
    <row r="35" spans="1:17">
      <c r="A35" s="61" t="s">
        <v>211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5"/>
      <c r="P35" s="65"/>
      <c r="Q35" s="65"/>
    </row>
    <row r="36" spans="1:17">
      <c r="A36" s="61" t="s">
        <v>212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5"/>
      <c r="P36" s="65"/>
      <c r="Q36" s="65"/>
    </row>
    <row r="37" spans="1:17">
      <c r="A37" s="61" t="s">
        <v>213</v>
      </c>
      <c r="B37" s="64">
        <v>-1651566.8592147101</v>
      </c>
      <c r="C37" s="64">
        <v>-1532012.48886085</v>
      </c>
      <c r="D37" s="64">
        <v>-1663015.2382837301</v>
      </c>
      <c r="E37" s="64">
        <v>-1791314.34496124</v>
      </c>
      <c r="F37" s="64">
        <v>-1703172.3196480901</v>
      </c>
      <c r="G37" s="64">
        <v>-1847202.5679019899</v>
      </c>
      <c r="H37" s="64">
        <v>-1770780.9752996501</v>
      </c>
      <c r="I37" s="64">
        <v>-1876984.0358458699</v>
      </c>
      <c r="J37" s="64">
        <v>-2054810.4682803</v>
      </c>
      <c r="K37" s="64">
        <v>-2384786.9723787201</v>
      </c>
      <c r="L37" s="64">
        <v>-2351832.1393426298</v>
      </c>
      <c r="M37" s="64">
        <v>-2290968.4551717602</v>
      </c>
      <c r="N37" s="65">
        <v>-22918446.865189601</v>
      </c>
      <c r="P37" s="65">
        <v>-22040335.100347102</v>
      </c>
      <c r="Q37" s="65">
        <v>-22496483.401030298</v>
      </c>
    </row>
    <row r="38" spans="1:17">
      <c r="A38" s="61" t="s">
        <v>215</v>
      </c>
      <c r="B38" s="64">
        <v>-218871.241889247</v>
      </c>
      <c r="C38" s="64">
        <v>-172565.67881322801</v>
      </c>
      <c r="D38" s="64">
        <v>-197437.77722232501</v>
      </c>
      <c r="E38" s="64">
        <v>-225110.53159763399</v>
      </c>
      <c r="F38" s="64">
        <v>-226544.49670069499</v>
      </c>
      <c r="G38" s="64">
        <v>-303876.329364807</v>
      </c>
      <c r="H38" s="64">
        <v>-185128.70303732701</v>
      </c>
      <c r="I38" s="64">
        <v>-214288.889065544</v>
      </c>
      <c r="J38" s="64">
        <v>-314904.834886747</v>
      </c>
      <c r="K38" s="64">
        <v>-451007.58490302297</v>
      </c>
      <c r="L38" s="64">
        <v>-441304.75316406699</v>
      </c>
      <c r="M38" s="64">
        <v>-423384.76898826502</v>
      </c>
      <c r="N38" s="65">
        <v>-3374425.5896329102</v>
      </c>
      <c r="P38" s="65">
        <v>-3223334.13317692</v>
      </c>
      <c r="Q38" s="65">
        <v>-3667095.25539013</v>
      </c>
    </row>
    <row r="39" spans="1:17">
      <c r="A39" s="61" t="s">
        <v>216</v>
      </c>
      <c r="B39" s="64">
        <v>-74348.883278326495</v>
      </c>
      <c r="C39" s="64">
        <v>-66291.213763332998</v>
      </c>
      <c r="D39" s="64">
        <v>-79785.745068736898</v>
      </c>
      <c r="E39" s="64">
        <v>-83255.267329299793</v>
      </c>
      <c r="F39" s="64">
        <v>-97438.920725179807</v>
      </c>
      <c r="G39" s="64">
        <v>-98908.877069615803</v>
      </c>
      <c r="H39" s="64">
        <v>-123129.40023646101</v>
      </c>
      <c r="I39" s="64">
        <v>-85035.692822742407</v>
      </c>
      <c r="J39" s="64">
        <v>-93347.484442938803</v>
      </c>
      <c r="K39" s="64">
        <v>-68061.474460125202</v>
      </c>
      <c r="L39" s="64">
        <v>-66597.221847314198</v>
      </c>
      <c r="M39" s="64">
        <v>-63892.920221057801</v>
      </c>
      <c r="N39" s="65">
        <v>-1000093.10126513</v>
      </c>
      <c r="P39" s="65">
        <v>-903351.06512467505</v>
      </c>
      <c r="Q39" s="65">
        <v>-1138876.38295957</v>
      </c>
    </row>
    <row r="40" spans="1:17">
      <c r="A40" s="61" t="s">
        <v>217</v>
      </c>
      <c r="B40" s="64">
        <v>-49248.092971362901</v>
      </c>
      <c r="C40" s="64">
        <v>-35209.984952087601</v>
      </c>
      <c r="D40" s="64">
        <v>-48659.072508246303</v>
      </c>
      <c r="E40" s="64">
        <v>-57246.6048733317</v>
      </c>
      <c r="F40" s="64">
        <v>-52415.423720293104</v>
      </c>
      <c r="G40" s="64">
        <v>-46430.599011568898</v>
      </c>
      <c r="H40" s="64">
        <v>-62020.493688026698</v>
      </c>
      <c r="I40" s="64">
        <v>-50776.608874505298</v>
      </c>
      <c r="J40" s="64">
        <v>-73293.699264523093</v>
      </c>
      <c r="K40" s="64">
        <v>-70473.010839495793</v>
      </c>
      <c r="L40" s="64">
        <v>-68956.877210700506</v>
      </c>
      <c r="M40" s="64">
        <v>-66156.757475826307</v>
      </c>
      <c r="N40" s="65">
        <v>-680887.22538996802</v>
      </c>
      <c r="P40" s="65">
        <v>-646515.33514642203</v>
      </c>
      <c r="Q40" s="65">
        <v>-677749.70400708995</v>
      </c>
    </row>
    <row r="41" spans="1:17">
      <c r="A41" s="61" t="s">
        <v>218</v>
      </c>
      <c r="B41" s="64">
        <v>-1164947.71098497</v>
      </c>
      <c r="C41" s="64">
        <v>-1112066.4486357199</v>
      </c>
      <c r="D41" s="64">
        <v>-1060727.29024221</v>
      </c>
      <c r="E41" s="64">
        <v>-1224219.7324583801</v>
      </c>
      <c r="F41" s="64">
        <v>-1013037.36716482</v>
      </c>
      <c r="G41" s="64">
        <v>-1020966.48526651</v>
      </c>
      <c r="H41" s="64">
        <v>-1180886.9481951201</v>
      </c>
      <c r="I41" s="64">
        <v>-1190032.1010497699</v>
      </c>
      <c r="J41" s="64">
        <v>-1251299.9060782499</v>
      </c>
      <c r="K41" s="64">
        <v>-1778770.6985027101</v>
      </c>
      <c r="L41" s="64">
        <v>-1740502.7993198901</v>
      </c>
      <c r="M41" s="64">
        <v>-1669826.50952666</v>
      </c>
      <c r="N41" s="65">
        <v>-15407283.997424999</v>
      </c>
      <c r="P41" s="65">
        <v>-15498863.0941568</v>
      </c>
      <c r="Q41" s="65">
        <v>-15535485.158942699</v>
      </c>
    </row>
    <row r="42" spans="1:17">
      <c r="A42" s="61" t="s">
        <v>219</v>
      </c>
      <c r="B42" s="64">
        <v>-564436.74170446896</v>
      </c>
      <c r="C42" s="64">
        <v>-512449.53969477402</v>
      </c>
      <c r="D42" s="64">
        <v>-638654.62846883305</v>
      </c>
      <c r="E42" s="64">
        <v>-529211.32044406096</v>
      </c>
      <c r="F42" s="64">
        <v>-574504.69908998301</v>
      </c>
      <c r="G42" s="64">
        <v>-511952.08087348001</v>
      </c>
      <c r="H42" s="64">
        <v>-650387.36764946103</v>
      </c>
      <c r="I42" s="64">
        <v>-580038.471657941</v>
      </c>
      <c r="J42" s="64">
        <v>-576303.72813699301</v>
      </c>
      <c r="K42" s="64">
        <v>-576895.25403857406</v>
      </c>
      <c r="L42" s="64">
        <v>-564484.11558257195</v>
      </c>
      <c r="M42" s="64">
        <v>-541562.20879093895</v>
      </c>
      <c r="N42" s="65">
        <v>-6820880.1561320797</v>
      </c>
      <c r="P42" s="65">
        <v>-6048428.9675130397</v>
      </c>
      <c r="Q42" s="65">
        <v>-5753967.8462563297</v>
      </c>
    </row>
    <row r="43" spans="1:17">
      <c r="A43" s="61" t="s">
        <v>220</v>
      </c>
      <c r="B43" s="64">
        <v>-536381.71</v>
      </c>
      <c r="C43" s="64">
        <v>-474724.17</v>
      </c>
      <c r="D43" s="64">
        <v>-613312.19999999995</v>
      </c>
      <c r="E43" s="64">
        <v>-598019.63</v>
      </c>
      <c r="F43" s="64">
        <v>-532358.1</v>
      </c>
      <c r="G43" s="64">
        <v>-582499.89</v>
      </c>
      <c r="H43" s="64">
        <v>-579773.75</v>
      </c>
      <c r="I43" s="64">
        <v>-617407.6</v>
      </c>
      <c r="J43" s="64">
        <v>-677902.51</v>
      </c>
      <c r="K43" s="64">
        <v>-697226.97167728003</v>
      </c>
      <c r="L43" s="64">
        <v>-697226.97167728003</v>
      </c>
      <c r="M43" s="64">
        <v>-697226.97167728003</v>
      </c>
      <c r="N43" s="65">
        <v>-7304060.4750318397</v>
      </c>
      <c r="P43" s="65">
        <v>-7165795.0609999998</v>
      </c>
      <c r="Q43" s="65">
        <v>-6905702.8469069498</v>
      </c>
    </row>
    <row r="44" spans="1:17">
      <c r="A44" s="61" t="s">
        <v>221</v>
      </c>
      <c r="B44" s="64">
        <v>-251234.37</v>
      </c>
      <c r="C44" s="64">
        <v>-258247.15</v>
      </c>
      <c r="D44" s="64">
        <v>-298282.3</v>
      </c>
      <c r="E44" s="64">
        <v>-256117.48</v>
      </c>
      <c r="F44" s="64">
        <v>-433999.94</v>
      </c>
      <c r="G44" s="64">
        <v>-372025.96</v>
      </c>
      <c r="H44" s="64">
        <v>-277092.69</v>
      </c>
      <c r="I44" s="64">
        <v>-309936.21000000002</v>
      </c>
      <c r="J44" s="64">
        <v>-364786.63</v>
      </c>
      <c r="K44" s="64">
        <v>-338732.60681520001</v>
      </c>
      <c r="L44" s="64">
        <v>-338732.60681520001</v>
      </c>
      <c r="M44" s="64">
        <v>-338732.60681520001</v>
      </c>
      <c r="N44" s="65">
        <v>-3837920.5504455999</v>
      </c>
      <c r="P44" s="65">
        <v>-3683000</v>
      </c>
      <c r="Q44" s="65">
        <v>-3565000</v>
      </c>
    </row>
    <row r="45" spans="1:17">
      <c r="A45" s="61" t="s">
        <v>222</v>
      </c>
      <c r="B45" s="64">
        <v>-755746.07</v>
      </c>
      <c r="C45" s="64">
        <v>-787376.72</v>
      </c>
      <c r="D45" s="64">
        <v>-731855.19</v>
      </c>
      <c r="E45" s="64">
        <v>-956686.69</v>
      </c>
      <c r="F45" s="64">
        <v>-763033.59</v>
      </c>
      <c r="G45" s="64">
        <v>-1007522.49</v>
      </c>
      <c r="H45" s="64">
        <v>-813115.19</v>
      </c>
      <c r="I45" s="64">
        <v>-1119792.73</v>
      </c>
      <c r="J45" s="64">
        <v>-1062868.3500000001</v>
      </c>
      <c r="K45" s="64">
        <v>-1096486.72440643</v>
      </c>
      <c r="L45" s="64">
        <v>-1096486.72440643</v>
      </c>
      <c r="M45" s="64">
        <v>-1096486.72440643</v>
      </c>
      <c r="N45" s="65">
        <v>-11287457.1932193</v>
      </c>
      <c r="P45" s="65">
        <v>-10771749.2945779</v>
      </c>
      <c r="Q45" s="65">
        <v>-10771749.2945779</v>
      </c>
    </row>
    <row r="46" spans="1:17">
      <c r="A46" s="61" t="s">
        <v>223</v>
      </c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5"/>
      <c r="P46" s="65"/>
      <c r="Q46" s="65"/>
    </row>
    <row r="47" spans="1:17">
      <c r="A47" s="61" t="s">
        <v>224</v>
      </c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5"/>
      <c r="P47" s="65"/>
      <c r="Q47" s="65"/>
    </row>
    <row r="48" spans="1:17">
      <c r="A48" s="61" t="s">
        <v>225</v>
      </c>
      <c r="B48" s="64">
        <v>1075.4480000000001</v>
      </c>
      <c r="C48" s="64">
        <v>-821.43600000000004</v>
      </c>
      <c r="D48" s="64">
        <v>-1684.7919999999999</v>
      </c>
      <c r="E48" s="64">
        <v>5883.732</v>
      </c>
      <c r="F48" s="64">
        <v>4777</v>
      </c>
      <c r="G48" s="64">
        <v>13515.308000000001</v>
      </c>
      <c r="H48" s="64">
        <v>441.22800000000001</v>
      </c>
      <c r="I48" s="64">
        <v>4414.6759999999604</v>
      </c>
      <c r="J48" s="64">
        <v>-171.90400000003899</v>
      </c>
      <c r="K48" s="64">
        <v>-933.333333333307</v>
      </c>
      <c r="L48" s="64">
        <v>-933.333333333307</v>
      </c>
      <c r="M48" s="64">
        <v>-933.333333333307</v>
      </c>
      <c r="N48" s="65">
        <v>24629.26</v>
      </c>
      <c r="P48" s="65">
        <v>20228.883999999998</v>
      </c>
      <c r="Q48" s="65">
        <v>6272.348</v>
      </c>
    </row>
    <row r="49" spans="1:17">
      <c r="A49" s="61" t="s">
        <v>227</v>
      </c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5"/>
      <c r="P49" s="65"/>
      <c r="Q49" s="65"/>
    </row>
    <row r="50" spans="1:17">
      <c r="A50" s="61" t="s">
        <v>228</v>
      </c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5"/>
      <c r="P50" s="65"/>
      <c r="Q50" s="65"/>
    </row>
    <row r="51" spans="1:17">
      <c r="A51" s="61" t="s">
        <v>229</v>
      </c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5"/>
      <c r="P51" s="65"/>
      <c r="Q51" s="65"/>
    </row>
    <row r="52" spans="1:17">
      <c r="A52" s="61" t="s">
        <v>230</v>
      </c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5"/>
      <c r="P52" s="65"/>
      <c r="Q52" s="65"/>
    </row>
    <row r="53" spans="1:17">
      <c r="A53" s="61" t="s">
        <v>231</v>
      </c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5"/>
      <c r="P53" s="65"/>
      <c r="Q53" s="65"/>
    </row>
    <row r="54" spans="1:17">
      <c r="A54" s="61" t="s">
        <v>232</v>
      </c>
      <c r="B54" s="64">
        <v>2029.04</v>
      </c>
      <c r="C54" s="64">
        <v>0</v>
      </c>
      <c r="D54" s="64">
        <v>0</v>
      </c>
      <c r="E54" s="64">
        <v>709.33</v>
      </c>
      <c r="F54" s="64">
        <v>11942.5</v>
      </c>
      <c r="G54" s="64">
        <v>33788.269999999997</v>
      </c>
      <c r="H54" s="64">
        <v>1103.07</v>
      </c>
      <c r="I54" s="64">
        <v>11036.6899999999</v>
      </c>
      <c r="J54" s="64">
        <v>-429.76000000009702</v>
      </c>
      <c r="K54" s="64">
        <v>0</v>
      </c>
      <c r="L54" s="64">
        <v>0</v>
      </c>
      <c r="M54" s="64">
        <v>0</v>
      </c>
      <c r="N54" s="65">
        <v>60179.14</v>
      </c>
      <c r="P54" s="65">
        <v>49572.21</v>
      </c>
      <c r="Q54" s="65">
        <v>14680.87</v>
      </c>
    </row>
    <row r="55" spans="1:17">
      <c r="A55" s="61" t="s">
        <v>233</v>
      </c>
      <c r="B55" s="64">
        <v>659.58</v>
      </c>
      <c r="C55" s="64">
        <v>-2053.59</v>
      </c>
      <c r="D55" s="64">
        <v>2788.02</v>
      </c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v>0</v>
      </c>
      <c r="M55" s="64">
        <v>0</v>
      </c>
      <c r="N55" s="65">
        <v>1394.01</v>
      </c>
      <c r="P55" s="65">
        <v>1000</v>
      </c>
      <c r="Q55" s="65">
        <v>1000</v>
      </c>
    </row>
    <row r="56" spans="1:17">
      <c r="A56" s="61" t="s">
        <v>234</v>
      </c>
      <c r="B56" s="64">
        <v>0</v>
      </c>
      <c r="C56" s="64">
        <v>0</v>
      </c>
      <c r="D56" s="64">
        <v>-7000</v>
      </c>
      <c r="E56" s="64">
        <v>14000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-2333.3333333333298</v>
      </c>
      <c r="L56" s="64">
        <v>-2333.3333333333298</v>
      </c>
      <c r="M56" s="64">
        <v>-2333.3333333333298</v>
      </c>
      <c r="N56" s="65">
        <v>0</v>
      </c>
      <c r="P56" s="65">
        <v>0</v>
      </c>
      <c r="Q56" s="65">
        <v>0</v>
      </c>
    </row>
    <row r="57" spans="1:17">
      <c r="A57" s="61" t="s">
        <v>235</v>
      </c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5"/>
      <c r="P57" s="65"/>
      <c r="Q57" s="65"/>
    </row>
    <row r="58" spans="1:17">
      <c r="A58" s="61" t="s">
        <v>236</v>
      </c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5"/>
      <c r="P58" s="65"/>
      <c r="Q58" s="65"/>
    </row>
    <row r="59" spans="1:17">
      <c r="A59" s="61" t="s">
        <v>237</v>
      </c>
      <c r="B59" s="64">
        <v>3057733.73703122</v>
      </c>
      <c r="C59" s="64">
        <v>3504650.4033655799</v>
      </c>
      <c r="D59" s="64">
        <v>3641624.2184964302</v>
      </c>
      <c r="E59" s="64">
        <v>3971387.7927255798</v>
      </c>
      <c r="F59" s="64">
        <v>4409298.9751616903</v>
      </c>
      <c r="G59" s="64">
        <v>2919715.9683380802</v>
      </c>
      <c r="H59" s="64">
        <v>2240541.1274303198</v>
      </c>
      <c r="I59" s="64">
        <v>2829286.2832482401</v>
      </c>
      <c r="J59" s="64">
        <v>2923436.4098655102</v>
      </c>
      <c r="K59" s="64">
        <v>3107067.8246206599</v>
      </c>
      <c r="L59" s="64">
        <v>3077689.5396206002</v>
      </c>
      <c r="M59" s="64">
        <v>3023431.3172297101</v>
      </c>
      <c r="N59" s="65">
        <v>38705863.597133502</v>
      </c>
      <c r="P59" s="65">
        <v>41416402.140965402</v>
      </c>
      <c r="Q59" s="65">
        <v>40923798.808940299</v>
      </c>
    </row>
    <row r="60" spans="1:17">
      <c r="A60" s="61" t="s">
        <v>239</v>
      </c>
      <c r="B60" s="64">
        <v>376785.11479689198</v>
      </c>
      <c r="C60" s="64">
        <v>447919.35779448203</v>
      </c>
      <c r="D60" s="64">
        <v>478682.488210032</v>
      </c>
      <c r="E60" s="64">
        <v>396083.13861638698</v>
      </c>
      <c r="F60" s="64">
        <v>420666.26159164403</v>
      </c>
      <c r="G60" s="64">
        <v>386845.082735595</v>
      </c>
      <c r="H60" s="64">
        <v>414217.31734053098</v>
      </c>
      <c r="I60" s="64">
        <v>544131.30838892795</v>
      </c>
      <c r="J60" s="64">
        <v>491472.03369636601</v>
      </c>
      <c r="K60" s="64">
        <v>357759.80903786398</v>
      </c>
      <c r="L60" s="64">
        <v>350063.07987797202</v>
      </c>
      <c r="M60" s="64">
        <v>335848.130215707</v>
      </c>
      <c r="N60" s="65">
        <v>5000473.1223023999</v>
      </c>
      <c r="P60" s="65">
        <v>5085615.02408644</v>
      </c>
      <c r="Q60" s="65">
        <v>4671011.5238259397</v>
      </c>
    </row>
    <row r="61" spans="1:17">
      <c r="A61" s="61" t="s">
        <v>240</v>
      </c>
      <c r="B61" s="64">
        <v>145668.59583077699</v>
      </c>
      <c r="C61" s="64">
        <v>225354.58919509899</v>
      </c>
      <c r="D61" s="64">
        <v>187846.263086747</v>
      </c>
      <c r="E61" s="64">
        <v>171885.569147059</v>
      </c>
      <c r="F61" s="64">
        <v>206771.45157171201</v>
      </c>
      <c r="G61" s="64">
        <v>243405.33857600801</v>
      </c>
      <c r="H61" s="64">
        <v>73065.4580642582</v>
      </c>
      <c r="I61" s="64">
        <v>123766.292161188</v>
      </c>
      <c r="J61" s="64">
        <v>97778.950506872003</v>
      </c>
      <c r="K61" s="64">
        <v>87456.164549843801</v>
      </c>
      <c r="L61" s="64">
        <v>85574.660828916298</v>
      </c>
      <c r="M61" s="64">
        <v>82099.745689414704</v>
      </c>
      <c r="N61" s="65">
        <v>1730673.0792079</v>
      </c>
      <c r="P61" s="65">
        <v>1665672.8315282401</v>
      </c>
      <c r="Q61" s="65">
        <v>1399722.8293764</v>
      </c>
    </row>
    <row r="62" spans="1:17">
      <c r="A62" s="61" t="s">
        <v>241</v>
      </c>
      <c r="B62" s="64">
        <v>102457.167309364</v>
      </c>
      <c r="C62" s="64">
        <v>52181.5333965428</v>
      </c>
      <c r="D62" s="64">
        <v>71199.894150590204</v>
      </c>
      <c r="E62" s="64">
        <v>68457.996979528005</v>
      </c>
      <c r="F62" s="64">
        <v>87995.558283798702</v>
      </c>
      <c r="G62" s="64">
        <v>77003.9527416856</v>
      </c>
      <c r="H62" s="64">
        <v>40312.498153155801</v>
      </c>
      <c r="I62" s="64">
        <v>86472.827843045496</v>
      </c>
      <c r="J62" s="64">
        <v>66394.984339860806</v>
      </c>
      <c r="K62" s="64">
        <v>54524.171026752003</v>
      </c>
      <c r="L62" s="64">
        <v>53351.155594445299</v>
      </c>
      <c r="M62" s="64">
        <v>51184.7346412185</v>
      </c>
      <c r="N62" s="65">
        <v>811536.47445998795</v>
      </c>
      <c r="P62" s="65">
        <v>767539.86243966396</v>
      </c>
      <c r="Q62" s="65">
        <v>775739.12438657298</v>
      </c>
    </row>
    <row r="63" spans="1:17">
      <c r="A63" s="61" t="s">
        <v>242</v>
      </c>
      <c r="B63" s="64">
        <v>1691124.03773738</v>
      </c>
      <c r="C63" s="64">
        <v>1389464.53825398</v>
      </c>
      <c r="D63" s="64">
        <v>328058.35638894601</v>
      </c>
      <c r="E63" s="64">
        <v>1925502.5046634399</v>
      </c>
      <c r="F63" s="64">
        <v>862689.05719618604</v>
      </c>
      <c r="G63" s="64">
        <v>695755.35009733797</v>
      </c>
      <c r="H63" s="64">
        <v>1059688.4513604599</v>
      </c>
      <c r="I63" s="64">
        <v>1140803.7129420601</v>
      </c>
      <c r="J63" s="64">
        <v>950318.056459983</v>
      </c>
      <c r="K63" s="64">
        <v>1806374.0795742201</v>
      </c>
      <c r="L63" s="64">
        <v>1767512.3301526599</v>
      </c>
      <c r="M63" s="64">
        <v>1695739.2691108801</v>
      </c>
      <c r="N63" s="65">
        <v>15313029.7439376</v>
      </c>
      <c r="P63" s="65">
        <v>17516251.779125601</v>
      </c>
      <c r="Q63" s="65">
        <v>18433837.1164735</v>
      </c>
    </row>
    <row r="64" spans="1:17">
      <c r="A64" s="61" t="s">
        <v>243</v>
      </c>
      <c r="B64" s="64">
        <v>494409.94999809097</v>
      </c>
      <c r="C64" s="64">
        <v>468738.32919466298</v>
      </c>
      <c r="D64" s="64">
        <v>654107.06623375299</v>
      </c>
      <c r="E64" s="64">
        <v>599021.55529303895</v>
      </c>
      <c r="F64" s="64">
        <v>594638.95209014998</v>
      </c>
      <c r="G64" s="64">
        <v>667839.21561465098</v>
      </c>
      <c r="H64" s="64">
        <v>384565.15332050802</v>
      </c>
      <c r="I64" s="64">
        <v>811028.19419560896</v>
      </c>
      <c r="J64" s="64">
        <v>791796.63684605702</v>
      </c>
      <c r="K64" s="64">
        <v>358183.40634836198</v>
      </c>
      <c r="L64" s="64">
        <v>350477.56405253801</v>
      </c>
      <c r="M64" s="64">
        <v>336245.78350459301</v>
      </c>
      <c r="N64" s="65">
        <v>6511051.8066919902</v>
      </c>
      <c r="P64" s="65">
        <v>5626807.217003</v>
      </c>
      <c r="Q64" s="65">
        <v>5141302.6834976496</v>
      </c>
    </row>
    <row r="65" spans="1:17">
      <c r="A65" s="61" t="s">
        <v>244</v>
      </c>
      <c r="B65" s="64">
        <v>2096997.31</v>
      </c>
      <c r="C65" s="64">
        <v>2261066.37</v>
      </c>
      <c r="D65" s="64">
        <v>3778698.56</v>
      </c>
      <c r="E65" s="64">
        <v>2203919.5699999998</v>
      </c>
      <c r="F65" s="64">
        <v>2516412.54999999</v>
      </c>
      <c r="G65" s="64">
        <v>1859008.6300000099</v>
      </c>
      <c r="H65" s="64">
        <v>521328.01</v>
      </c>
      <c r="I65" s="64">
        <v>376907.03000000998</v>
      </c>
      <c r="J65" s="64">
        <v>368442.32</v>
      </c>
      <c r="K65" s="64">
        <v>1208074.60323538</v>
      </c>
      <c r="L65" s="64">
        <v>1208074.60323538</v>
      </c>
      <c r="M65" s="64">
        <v>1208074.60323538</v>
      </c>
      <c r="N65" s="65">
        <v>19607004.159706101</v>
      </c>
      <c r="P65" s="65">
        <v>22726515.661499999</v>
      </c>
      <c r="Q65" s="65">
        <v>23667812.128757998</v>
      </c>
    </row>
    <row r="66" spans="1:17">
      <c r="A66" s="61" t="s">
        <v>245</v>
      </c>
      <c r="B66" s="64">
        <v>629981.07999999996</v>
      </c>
      <c r="C66" s="64">
        <v>926080.75000000105</v>
      </c>
      <c r="D66" s="64">
        <v>1311373.3899999999</v>
      </c>
      <c r="E66" s="64">
        <v>496624.95</v>
      </c>
      <c r="F66" s="64">
        <v>3365870.35</v>
      </c>
      <c r="G66" s="64">
        <v>713991.86</v>
      </c>
      <c r="H66" s="64">
        <v>814634.74999999802</v>
      </c>
      <c r="I66" s="64">
        <v>1187973.67</v>
      </c>
      <c r="J66" s="64">
        <v>812609.16</v>
      </c>
      <c r="K66" s="64">
        <v>764835.10136830003</v>
      </c>
      <c r="L66" s="64">
        <v>764835.10136830003</v>
      </c>
      <c r="M66" s="64">
        <v>764835.10136830003</v>
      </c>
      <c r="N66" s="65">
        <v>12553645.264104901</v>
      </c>
      <c r="P66" s="65">
        <v>12859000</v>
      </c>
      <c r="Q66" s="65">
        <v>11935000</v>
      </c>
    </row>
    <row r="67" spans="1:17">
      <c r="A67" s="61" t="s">
        <v>246</v>
      </c>
      <c r="B67" s="64">
        <v>1169544.77</v>
      </c>
      <c r="C67" s="64">
        <v>1902637.32</v>
      </c>
      <c r="D67" s="64">
        <v>1187501.56</v>
      </c>
      <c r="E67" s="64">
        <v>3112334.14</v>
      </c>
      <c r="F67" s="64">
        <v>1895053.35</v>
      </c>
      <c r="G67" s="64">
        <v>1594558.93</v>
      </c>
      <c r="H67" s="64">
        <v>1502148.27</v>
      </c>
      <c r="I67" s="64">
        <v>1670577.03</v>
      </c>
      <c r="J67" s="64">
        <v>2746309.93</v>
      </c>
      <c r="K67" s="64">
        <v>2380852.0094892299</v>
      </c>
      <c r="L67" s="64">
        <v>2380852.0094892299</v>
      </c>
      <c r="M67" s="64">
        <v>2380852.0094892299</v>
      </c>
      <c r="N67" s="65">
        <v>23923221.328467701</v>
      </c>
      <c r="P67" s="65">
        <v>26015361.399649099</v>
      </c>
      <c r="Q67" s="65">
        <v>26015361.399649099</v>
      </c>
    </row>
    <row r="68" spans="1:17">
      <c r="A68" s="61" t="s">
        <v>247</v>
      </c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5"/>
      <c r="P68" s="65"/>
      <c r="Q68" s="65"/>
    </row>
    <row r="69" spans="1:17">
      <c r="A69" s="61" t="s">
        <v>248</v>
      </c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5"/>
      <c r="P69" s="65"/>
      <c r="Q69" s="65"/>
    </row>
    <row r="70" spans="1:17">
      <c r="A70" s="61" t="s">
        <v>249</v>
      </c>
      <c r="B70" s="64">
        <v>726896.68240134895</v>
      </c>
      <c r="C70" s="64">
        <v>623356.92877334799</v>
      </c>
      <c r="D70" s="64">
        <v>652177.93676634994</v>
      </c>
      <c r="E70" s="64">
        <v>654886.92039719597</v>
      </c>
      <c r="F70" s="64">
        <v>659220.87541026203</v>
      </c>
      <c r="G70" s="64">
        <v>648542.80219351605</v>
      </c>
      <c r="H70" s="64">
        <v>663552.51665284601</v>
      </c>
      <c r="I70" s="64">
        <v>688021.24950413499</v>
      </c>
      <c r="J70" s="64">
        <v>730599.15208835201</v>
      </c>
      <c r="K70" s="64">
        <v>215472.643448599</v>
      </c>
      <c r="L70" s="64">
        <v>224394.591162898</v>
      </c>
      <c r="M70" s="64">
        <v>240872.37477895801</v>
      </c>
      <c r="N70" s="65">
        <v>6727994.6735778302</v>
      </c>
      <c r="P70" s="65">
        <v>8767868.39655127</v>
      </c>
      <c r="Q70" s="65">
        <v>8484015.3408788405</v>
      </c>
    </row>
    <row r="71" spans="1:17">
      <c r="A71" s="61" t="s">
        <v>251</v>
      </c>
      <c r="B71" s="64">
        <v>8938.8637790253106</v>
      </c>
      <c r="C71" s="64">
        <v>7481.2533726129996</v>
      </c>
      <c r="D71" s="64">
        <v>7950.1659730210804</v>
      </c>
      <c r="E71" s="64">
        <v>9439.5501302024604</v>
      </c>
      <c r="F71" s="64">
        <v>8078.4027452993596</v>
      </c>
      <c r="G71" s="64">
        <v>7360.05265009297</v>
      </c>
      <c r="H71" s="64">
        <v>7509.0608911279396</v>
      </c>
      <c r="I71" s="64">
        <v>7310.1730548683799</v>
      </c>
      <c r="J71" s="64">
        <v>7702.4744435979001</v>
      </c>
      <c r="K71" s="64">
        <v>11014.8876848776</v>
      </c>
      <c r="L71" s="64">
        <v>10777.9169433482</v>
      </c>
      <c r="M71" s="64">
        <v>10340.2599734467</v>
      </c>
      <c r="N71" s="65">
        <v>103903.061641521</v>
      </c>
      <c r="P71" s="65">
        <v>101275.87807358299</v>
      </c>
      <c r="Q71" s="65">
        <v>104924.670799368</v>
      </c>
    </row>
    <row r="72" spans="1:17">
      <c r="A72" s="61" t="s">
        <v>252</v>
      </c>
      <c r="B72" s="64">
        <v>5393.3116441522097</v>
      </c>
      <c r="C72" s="64">
        <v>5608.66749417339</v>
      </c>
      <c r="D72" s="64">
        <v>5996.0730225078296</v>
      </c>
      <c r="E72" s="64">
        <v>5590.4272601356297</v>
      </c>
      <c r="F72" s="64">
        <v>5654.2140939192004</v>
      </c>
      <c r="G72" s="64">
        <v>18312.823618852399</v>
      </c>
      <c r="H72" s="64">
        <v>9935.2188152427007</v>
      </c>
      <c r="I72" s="64">
        <v>10955.882773796</v>
      </c>
      <c r="J72" s="64">
        <v>8196.7399729669396</v>
      </c>
      <c r="K72" s="64">
        <v>9793.1639870673007</v>
      </c>
      <c r="L72" s="64">
        <v>9582.4770151864395</v>
      </c>
      <c r="M72" s="64">
        <v>9193.3630633290304</v>
      </c>
      <c r="N72" s="65">
        <v>104212.362761329</v>
      </c>
      <c r="P72" s="65">
        <v>101760.478330732</v>
      </c>
      <c r="Q72" s="65">
        <v>88094.8045295333</v>
      </c>
    </row>
    <row r="73" spans="1:17">
      <c r="A73" s="61" t="s">
        <v>253</v>
      </c>
      <c r="B73" s="64">
        <v>536.19049669406695</v>
      </c>
      <c r="C73" s="64">
        <v>545.74322580824003</v>
      </c>
      <c r="D73" s="64">
        <v>558.01219852517397</v>
      </c>
      <c r="E73" s="64">
        <v>535.006530496089</v>
      </c>
      <c r="F73" s="64">
        <v>589.50608891450304</v>
      </c>
      <c r="G73" s="64">
        <v>773.19130213346898</v>
      </c>
      <c r="H73" s="64">
        <v>639.86862664537398</v>
      </c>
      <c r="I73" s="64">
        <v>4159.3069149165503</v>
      </c>
      <c r="J73" s="64">
        <v>999.07550320496705</v>
      </c>
      <c r="K73" s="64">
        <v>751.59396621166798</v>
      </c>
      <c r="L73" s="64">
        <v>735.42441599948199</v>
      </c>
      <c r="M73" s="64">
        <v>705.56116661746205</v>
      </c>
      <c r="N73" s="65">
        <v>11528.480436166999</v>
      </c>
      <c r="P73" s="65">
        <v>11081.566294865999</v>
      </c>
      <c r="Q73" s="65">
        <v>8147.5569327065896</v>
      </c>
    </row>
    <row r="74" spans="1:17">
      <c r="A74" s="61" t="s">
        <v>254</v>
      </c>
      <c r="B74" s="64">
        <v>149794.047328563</v>
      </c>
      <c r="C74" s="64">
        <v>133420.040407416</v>
      </c>
      <c r="D74" s="64">
        <v>63759.956610286601</v>
      </c>
      <c r="E74" s="64">
        <v>133347.955921738</v>
      </c>
      <c r="F74" s="64">
        <v>94847.017986448598</v>
      </c>
      <c r="G74" s="64">
        <v>70939.417596583706</v>
      </c>
      <c r="H74" s="64">
        <v>105446.30175230101</v>
      </c>
      <c r="I74" s="64">
        <v>111135.583461662</v>
      </c>
      <c r="J74" s="64">
        <v>233896.437764895</v>
      </c>
      <c r="K74" s="64">
        <v>-1125338.4338239899</v>
      </c>
      <c r="L74" s="64">
        <v>-1101128.26566214</v>
      </c>
      <c r="M74" s="64">
        <v>-1056414.9446414199</v>
      </c>
      <c r="N74" s="65">
        <v>-2186294.8852976598</v>
      </c>
      <c r="P74" s="65">
        <v>2382928.42580052</v>
      </c>
      <c r="Q74" s="65">
        <v>2116771.90592852</v>
      </c>
    </row>
    <row r="75" spans="1:17">
      <c r="A75" s="61" t="s">
        <v>255</v>
      </c>
      <c r="B75" s="64">
        <v>36354.143875132097</v>
      </c>
      <c r="C75" s="64">
        <v>38490.421294458502</v>
      </c>
      <c r="D75" s="64">
        <v>31500.747320456201</v>
      </c>
      <c r="E75" s="64">
        <v>29852.535269174001</v>
      </c>
      <c r="F75" s="64">
        <v>29479.063218863099</v>
      </c>
      <c r="G75" s="64">
        <v>30877.008959532301</v>
      </c>
      <c r="H75" s="64">
        <v>31745.9990472707</v>
      </c>
      <c r="I75" s="64">
        <v>29952.6734397357</v>
      </c>
      <c r="J75" s="64">
        <v>29708.907656571599</v>
      </c>
      <c r="K75" s="64">
        <v>34663.098230819996</v>
      </c>
      <c r="L75" s="64">
        <v>33917.367513770398</v>
      </c>
      <c r="M75" s="64">
        <v>32540.090961062</v>
      </c>
      <c r="N75" s="65">
        <v>389082.05678684701</v>
      </c>
      <c r="P75" s="65">
        <v>380344.43549569597</v>
      </c>
      <c r="Q75" s="65">
        <v>392230.38503986498</v>
      </c>
    </row>
    <row r="76" spans="1:17">
      <c r="A76" s="61" t="s">
        <v>256</v>
      </c>
      <c r="B76" s="64">
        <v>431528.85</v>
      </c>
      <c r="C76" s="64">
        <v>366896.77999999799</v>
      </c>
      <c r="D76" s="64">
        <v>403931.07</v>
      </c>
      <c r="E76" s="64">
        <v>393517.96000000503</v>
      </c>
      <c r="F76" s="64">
        <v>401097.47000000603</v>
      </c>
      <c r="G76" s="64">
        <v>394430.19999998802</v>
      </c>
      <c r="H76" s="64">
        <v>389490.68999999901</v>
      </c>
      <c r="I76" s="64">
        <v>429119.54999999201</v>
      </c>
      <c r="J76" s="64">
        <v>485202.46999999898</v>
      </c>
      <c r="K76" s="64">
        <v>513842.45377518598</v>
      </c>
      <c r="L76" s="64">
        <v>513842.45377518598</v>
      </c>
      <c r="M76" s="64">
        <v>513842.45377518598</v>
      </c>
      <c r="N76" s="65">
        <v>5236742.4013255602</v>
      </c>
      <c r="P76" s="65">
        <v>5668340.5801999997</v>
      </c>
      <c r="Q76" s="65">
        <v>5215355.73744056</v>
      </c>
    </row>
    <row r="77" spans="1:17">
      <c r="A77" s="61" t="s">
        <v>257</v>
      </c>
      <c r="B77" s="64">
        <v>260313.45</v>
      </c>
      <c r="C77" s="64">
        <v>225630.549999999</v>
      </c>
      <c r="D77" s="64">
        <v>240850.96999999901</v>
      </c>
      <c r="E77" s="64">
        <v>239698.48</v>
      </c>
      <c r="F77" s="64">
        <v>246808.260000001</v>
      </c>
      <c r="G77" s="64">
        <v>239867.46</v>
      </c>
      <c r="H77" s="64">
        <v>254981.680000002</v>
      </c>
      <c r="I77" s="64">
        <v>254559.91999999699</v>
      </c>
      <c r="J77" s="64">
        <v>245191.6</v>
      </c>
      <c r="K77" s="64">
        <v>277823.60916666797</v>
      </c>
      <c r="L77" s="64">
        <v>277823.60916666797</v>
      </c>
      <c r="M77" s="64">
        <v>277823.60916666797</v>
      </c>
      <c r="N77" s="65">
        <v>3041373.1974999998</v>
      </c>
      <c r="P77" s="65">
        <v>3114000</v>
      </c>
      <c r="Q77" s="65">
        <v>3144000</v>
      </c>
    </row>
    <row r="78" spans="1:17">
      <c r="A78" s="61" t="s">
        <v>258</v>
      </c>
      <c r="B78" s="64">
        <v>902080.3</v>
      </c>
      <c r="C78" s="64">
        <v>759865.37</v>
      </c>
      <c r="D78" s="64">
        <v>854141.47</v>
      </c>
      <c r="E78" s="64">
        <v>801887.91</v>
      </c>
      <c r="F78" s="64">
        <v>840015.07</v>
      </c>
      <c r="G78" s="64">
        <v>819127.75</v>
      </c>
      <c r="H78" s="64">
        <v>832006.25000000105</v>
      </c>
      <c r="I78" s="64">
        <v>839221.99</v>
      </c>
      <c r="J78" s="64">
        <v>790252.73999999801</v>
      </c>
      <c r="K78" s="64">
        <v>783791.76717743301</v>
      </c>
      <c r="L78" s="64">
        <v>783791.76717743301</v>
      </c>
      <c r="M78" s="64">
        <v>783791.76717743301</v>
      </c>
      <c r="N78" s="65">
        <v>9789974.1515322905</v>
      </c>
      <c r="P78" s="65">
        <v>9838762.7431341093</v>
      </c>
      <c r="Q78" s="65">
        <v>9838762.7431341093</v>
      </c>
    </row>
    <row r="79" spans="1:17">
      <c r="A79" s="61" t="s">
        <v>259</v>
      </c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5"/>
      <c r="P79" s="65"/>
      <c r="Q79" s="65"/>
    </row>
    <row r="80" spans="1:17">
      <c r="A80" s="61" t="s">
        <v>260</v>
      </c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5"/>
      <c r="P80" s="65"/>
      <c r="Q80" s="65"/>
    </row>
    <row r="81" spans="1:17">
      <c r="A81" s="61" t="s">
        <v>261</v>
      </c>
      <c r="B81" s="64">
        <v>3784630.4194325702</v>
      </c>
      <c r="C81" s="64">
        <v>4128007.3321389202</v>
      </c>
      <c r="D81" s="64">
        <v>4293802.1552627804</v>
      </c>
      <c r="E81" s="64">
        <v>4626274.7131227804</v>
      </c>
      <c r="F81" s="64">
        <v>5068519.85057195</v>
      </c>
      <c r="G81" s="64">
        <v>3568258.7705315999</v>
      </c>
      <c r="H81" s="64">
        <v>2904093.6440831702</v>
      </c>
      <c r="I81" s="64">
        <v>3517307.53275237</v>
      </c>
      <c r="J81" s="64">
        <v>3654035.5619538599</v>
      </c>
      <c r="K81" s="64">
        <v>3322540.46806926</v>
      </c>
      <c r="L81" s="64">
        <v>3302084.1307835001</v>
      </c>
      <c r="M81" s="64">
        <v>3264303.69200867</v>
      </c>
      <c r="N81" s="65">
        <v>45433858.270711303</v>
      </c>
      <c r="P81" s="65">
        <v>50184270.537516601</v>
      </c>
      <c r="Q81" s="65">
        <v>49407814.149819203</v>
      </c>
    </row>
    <row r="82" spans="1:17">
      <c r="A82" s="61" t="s">
        <v>263</v>
      </c>
      <c r="B82" s="64">
        <v>385723.97857591801</v>
      </c>
      <c r="C82" s="64">
        <v>455400.61116709502</v>
      </c>
      <c r="D82" s="64">
        <v>486632.654183053</v>
      </c>
      <c r="E82" s="64">
        <v>405522.688746589</v>
      </c>
      <c r="F82" s="64">
        <v>428744.66433694301</v>
      </c>
      <c r="G82" s="64">
        <v>394205.13538568799</v>
      </c>
      <c r="H82" s="64">
        <v>421726.37823165901</v>
      </c>
      <c r="I82" s="64">
        <v>551441.48144379596</v>
      </c>
      <c r="J82" s="64">
        <v>499174.50813996402</v>
      </c>
      <c r="K82" s="64">
        <v>368774.69672274101</v>
      </c>
      <c r="L82" s="64">
        <v>360840.99682131998</v>
      </c>
      <c r="M82" s="64">
        <v>346188.39018915303</v>
      </c>
      <c r="N82" s="65">
        <v>5104376.1839439198</v>
      </c>
      <c r="P82" s="65">
        <v>5186890.9021600196</v>
      </c>
      <c r="Q82" s="65">
        <v>4775936.1946253097</v>
      </c>
    </row>
    <row r="83" spans="1:17">
      <c r="A83" s="61" t="s">
        <v>264</v>
      </c>
      <c r="B83" s="64">
        <v>151061.90747492999</v>
      </c>
      <c r="C83" s="64">
        <v>230963.25668927201</v>
      </c>
      <c r="D83" s="64">
        <v>193842.33610925401</v>
      </c>
      <c r="E83" s="64">
        <v>177475.99640719499</v>
      </c>
      <c r="F83" s="64">
        <v>212425.66566563101</v>
      </c>
      <c r="G83" s="64">
        <v>261718.16219485999</v>
      </c>
      <c r="H83" s="64">
        <v>83000.676879500897</v>
      </c>
      <c r="I83" s="64">
        <v>134722.17493498401</v>
      </c>
      <c r="J83" s="64">
        <v>105975.690479839</v>
      </c>
      <c r="K83" s="64">
        <v>97249.328536911096</v>
      </c>
      <c r="L83" s="64">
        <v>95157.137844102806</v>
      </c>
      <c r="M83" s="64">
        <v>91293.108752743705</v>
      </c>
      <c r="N83" s="65">
        <v>1834885.4419692201</v>
      </c>
      <c r="P83" s="65">
        <v>1767433.3098589701</v>
      </c>
      <c r="Q83" s="65">
        <v>1487817.63390593</v>
      </c>
    </row>
    <row r="84" spans="1:17">
      <c r="A84" s="61" t="s">
        <v>265</v>
      </c>
      <c r="B84" s="64">
        <v>102993.357806058</v>
      </c>
      <c r="C84" s="64">
        <v>52727.276622350997</v>
      </c>
      <c r="D84" s="64">
        <v>71757.906349115394</v>
      </c>
      <c r="E84" s="64">
        <v>68993.003510024006</v>
      </c>
      <c r="F84" s="64">
        <v>88585.064372713197</v>
      </c>
      <c r="G84" s="64">
        <v>77777.144043819004</v>
      </c>
      <c r="H84" s="64">
        <v>40952.366779801101</v>
      </c>
      <c r="I84" s="64">
        <v>90632.134757962107</v>
      </c>
      <c r="J84" s="64">
        <v>67394.059843065697</v>
      </c>
      <c r="K84" s="64">
        <v>55275.764992963697</v>
      </c>
      <c r="L84" s="64">
        <v>54086.580010444799</v>
      </c>
      <c r="M84" s="64">
        <v>51890.295807836002</v>
      </c>
      <c r="N84" s="65">
        <v>823064.95489615505</v>
      </c>
      <c r="P84" s="65">
        <v>778621.42873452895</v>
      </c>
      <c r="Q84" s="65">
        <v>783886.68131927995</v>
      </c>
    </row>
    <row r="85" spans="1:17">
      <c r="A85" s="61" t="s">
        <v>266</v>
      </c>
      <c r="B85" s="64">
        <v>1840918.0850659399</v>
      </c>
      <c r="C85" s="64">
        <v>1522884.5786613999</v>
      </c>
      <c r="D85" s="64">
        <v>391818.31299923302</v>
      </c>
      <c r="E85" s="64">
        <v>2058850.46058518</v>
      </c>
      <c r="F85" s="64">
        <v>957536.07518263499</v>
      </c>
      <c r="G85" s="64">
        <v>766694.76769392204</v>
      </c>
      <c r="H85" s="64">
        <v>1165134.7531127599</v>
      </c>
      <c r="I85" s="64">
        <v>1251939.2964037301</v>
      </c>
      <c r="J85" s="64">
        <v>1184214.4942248799</v>
      </c>
      <c r="K85" s="64">
        <v>681035.64575022506</v>
      </c>
      <c r="L85" s="64">
        <v>666384.06449052098</v>
      </c>
      <c r="M85" s="64">
        <v>639324.32446946495</v>
      </c>
      <c r="N85" s="65">
        <v>13126734.85864</v>
      </c>
      <c r="P85" s="65">
        <v>19899180.2049261</v>
      </c>
      <c r="Q85" s="65">
        <v>20550609.022402</v>
      </c>
    </row>
    <row r="86" spans="1:17">
      <c r="A86" s="61" t="s">
        <v>267</v>
      </c>
      <c r="B86" s="64">
        <v>530764.09387322306</v>
      </c>
      <c r="C86" s="64">
        <v>507228.750489122</v>
      </c>
      <c r="D86" s="64">
        <v>685607.81355421001</v>
      </c>
      <c r="E86" s="64">
        <v>628874.09056221298</v>
      </c>
      <c r="F86" s="64">
        <v>624118.01530901296</v>
      </c>
      <c r="G86" s="64">
        <v>698716.224574183</v>
      </c>
      <c r="H86" s="64">
        <v>416311.152367779</v>
      </c>
      <c r="I86" s="64">
        <v>840980.86763534497</v>
      </c>
      <c r="J86" s="64">
        <v>821505.54450262897</v>
      </c>
      <c r="K86" s="64">
        <v>392846.50457918202</v>
      </c>
      <c r="L86" s="64">
        <v>384394.93156630901</v>
      </c>
      <c r="M86" s="64">
        <v>368785.87446565501</v>
      </c>
      <c r="N86" s="65">
        <v>6900133.8634788403</v>
      </c>
      <c r="P86" s="65">
        <v>6007151.6524986904</v>
      </c>
      <c r="Q86" s="65">
        <v>5533533.06853751</v>
      </c>
    </row>
    <row r="87" spans="1:17">
      <c r="A87" s="61" t="s">
        <v>268</v>
      </c>
      <c r="B87" s="64">
        <v>2528526.16</v>
      </c>
      <c r="C87" s="64">
        <v>2627963.15</v>
      </c>
      <c r="D87" s="64">
        <v>4182629.63</v>
      </c>
      <c r="E87" s="64">
        <v>2597437.5299999998</v>
      </c>
      <c r="F87" s="64">
        <v>2917510.02</v>
      </c>
      <c r="G87" s="64">
        <v>2253438.83</v>
      </c>
      <c r="H87" s="64">
        <v>910818.69999999902</v>
      </c>
      <c r="I87" s="64">
        <v>806026.58000000205</v>
      </c>
      <c r="J87" s="64">
        <v>853644.78999999899</v>
      </c>
      <c r="K87" s="64">
        <v>1721917.0570105701</v>
      </c>
      <c r="L87" s="64">
        <v>1721917.0570105701</v>
      </c>
      <c r="M87" s="64">
        <v>1721917.0570105701</v>
      </c>
      <c r="N87" s="65">
        <v>24843746.561031699</v>
      </c>
      <c r="P87" s="65">
        <v>28394856.241700001</v>
      </c>
      <c r="Q87" s="65">
        <v>28883167.866198599</v>
      </c>
    </row>
    <row r="88" spans="1:17">
      <c r="A88" s="61" t="s">
        <v>269</v>
      </c>
      <c r="B88" s="64">
        <v>890294.53</v>
      </c>
      <c r="C88" s="64">
        <v>1151711.3</v>
      </c>
      <c r="D88" s="64">
        <v>1552224.36</v>
      </c>
      <c r="E88" s="64">
        <v>736323.43</v>
      </c>
      <c r="F88" s="64">
        <v>3612678.61</v>
      </c>
      <c r="G88" s="64">
        <v>953859.32</v>
      </c>
      <c r="H88" s="64">
        <v>1069616.43</v>
      </c>
      <c r="I88" s="64">
        <v>1442533.59</v>
      </c>
      <c r="J88" s="64">
        <v>1057800.76</v>
      </c>
      <c r="K88" s="64">
        <v>1042658.71053497</v>
      </c>
      <c r="L88" s="64">
        <v>1042658.71053497</v>
      </c>
      <c r="M88" s="64">
        <v>1042658.71053497</v>
      </c>
      <c r="N88" s="65">
        <v>15595018.461604901</v>
      </c>
      <c r="P88" s="65">
        <v>15973000</v>
      </c>
      <c r="Q88" s="65">
        <v>15079000</v>
      </c>
    </row>
    <row r="89" spans="1:17">
      <c r="A89" s="61" t="s">
        <v>270</v>
      </c>
      <c r="B89" s="64">
        <v>2071625.07</v>
      </c>
      <c r="C89" s="64">
        <v>2662502.69</v>
      </c>
      <c r="D89" s="64">
        <v>2041643.03</v>
      </c>
      <c r="E89" s="64">
        <v>3914222.05</v>
      </c>
      <c r="F89" s="64">
        <v>2735068.42</v>
      </c>
      <c r="G89" s="64">
        <v>2413686.6800000002</v>
      </c>
      <c r="H89" s="64">
        <v>2334154.52</v>
      </c>
      <c r="I89" s="64">
        <v>2509799.02</v>
      </c>
      <c r="J89" s="64">
        <v>3536562.67</v>
      </c>
      <c r="K89" s="64">
        <v>3164643.7766666701</v>
      </c>
      <c r="L89" s="64">
        <v>3164643.7766666701</v>
      </c>
      <c r="M89" s="64">
        <v>3164643.7766666701</v>
      </c>
      <c r="N89" s="65">
        <v>33713195.479999997</v>
      </c>
      <c r="P89" s="65">
        <v>35854124.142783202</v>
      </c>
      <c r="Q89" s="65">
        <v>35854124.142783202</v>
      </c>
    </row>
    <row r="90" spans="1:17">
      <c r="A90" s="61" t="s">
        <v>271</v>
      </c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5"/>
      <c r="P90" s="65"/>
      <c r="Q90" s="65"/>
    </row>
    <row r="91" spans="1:17">
      <c r="A91" s="61" t="s">
        <v>272</v>
      </c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5"/>
      <c r="P91" s="65"/>
      <c r="Q91" s="65"/>
    </row>
    <row r="92" spans="1:17">
      <c r="A92" s="61" t="s">
        <v>273</v>
      </c>
      <c r="B92" s="64">
        <v>-83238.093108000205</v>
      </c>
      <c r="C92" s="64">
        <v>-42653.466417625903</v>
      </c>
      <c r="D92" s="64">
        <v>-124722.759647039</v>
      </c>
      <c r="E92" s="64">
        <v>-159379.394662926</v>
      </c>
      <c r="F92" s="64">
        <v>-170105.24182233599</v>
      </c>
      <c r="G92" s="64">
        <v>-243249.49786683</v>
      </c>
      <c r="H92" s="64">
        <v>-307510.34333375999</v>
      </c>
      <c r="I92" s="64">
        <v>-320825.80093356402</v>
      </c>
      <c r="J92" s="64">
        <v>-398000.043580973</v>
      </c>
      <c r="K92" s="64">
        <v>-417988.76173992502</v>
      </c>
      <c r="L92" s="64">
        <v>-407168.84962516499</v>
      </c>
      <c r="M92" s="64">
        <v>-387185.74993874901</v>
      </c>
      <c r="N92" s="65">
        <v>-3062028.0026768902</v>
      </c>
      <c r="P92" s="65">
        <v>-2572931.7507620598</v>
      </c>
      <c r="Q92" s="65">
        <v>-3316854.3896308001</v>
      </c>
    </row>
    <row r="93" spans="1:17">
      <c r="A93" s="61" t="s">
        <v>275</v>
      </c>
      <c r="B93" s="64">
        <v>5757.0317186333205</v>
      </c>
      <c r="C93" s="64">
        <v>20555.588647617398</v>
      </c>
      <c r="D93" s="64">
        <v>9620.3077537728695</v>
      </c>
      <c r="E93" s="64">
        <v>11655.3828692687</v>
      </c>
      <c r="F93" s="64">
        <v>7964.4767771655997</v>
      </c>
      <c r="G93" s="64">
        <v>13867.518517790901</v>
      </c>
      <c r="H93" s="64">
        <v>9711.6196632984993</v>
      </c>
      <c r="I93" s="64">
        <v>78817.340694198196</v>
      </c>
      <c r="J93" s="64">
        <v>15875.927459336999</v>
      </c>
      <c r="K93" s="64">
        <v>-1919.4131587486199</v>
      </c>
      <c r="L93" s="64">
        <v>-1878.11952303099</v>
      </c>
      <c r="M93" s="64">
        <v>-1801.85505524161</v>
      </c>
      <c r="N93" s="65">
        <v>168225.80636406099</v>
      </c>
      <c r="P93" s="65">
        <v>154929.256429047</v>
      </c>
      <c r="Q93" s="65">
        <v>56753.648163310303</v>
      </c>
    </row>
    <row r="94" spans="1:17">
      <c r="A94" s="61" t="s">
        <v>276</v>
      </c>
      <c r="B94" s="64">
        <v>-12365.789622541501</v>
      </c>
      <c r="C94" s="64">
        <v>-10245.462153570101</v>
      </c>
      <c r="D94" s="64">
        <v>-8849.5738145285904</v>
      </c>
      <c r="E94" s="64">
        <v>-604.64642028312801</v>
      </c>
      <c r="F94" s="64">
        <v>-313.18677491666</v>
      </c>
      <c r="G94" s="64">
        <v>-23681.0352912046</v>
      </c>
      <c r="H94" s="64">
        <v>-504.06898738010602</v>
      </c>
      <c r="I94" s="64">
        <v>-11703.069700329401</v>
      </c>
      <c r="J94" s="64">
        <v>-12443.1560321671</v>
      </c>
      <c r="K94" s="64">
        <v>-21213.130588629101</v>
      </c>
      <c r="L94" s="64">
        <v>-20756.758138036599</v>
      </c>
      <c r="M94" s="64">
        <v>-19913.892126039998</v>
      </c>
      <c r="N94" s="65">
        <v>-142593.76964962701</v>
      </c>
      <c r="P94" s="65">
        <v>-137739.99399588001</v>
      </c>
      <c r="Q94" s="65">
        <v>-333245.61341217603</v>
      </c>
    </row>
    <row r="95" spans="1:17">
      <c r="A95" s="61" t="s">
        <v>277</v>
      </c>
      <c r="B95" s="64">
        <v>-6546.3554535119902</v>
      </c>
      <c r="C95" s="64">
        <v>-5042.8032997483897</v>
      </c>
      <c r="D95" s="64">
        <v>-4388.49971792415</v>
      </c>
      <c r="E95" s="64">
        <v>-6555.1301951710302</v>
      </c>
      <c r="F95" s="64">
        <v>-5084.99230585037</v>
      </c>
      <c r="G95" s="64">
        <v>-6108.3739743073002</v>
      </c>
      <c r="H95" s="64">
        <v>-8931.6032288978004</v>
      </c>
      <c r="I95" s="64">
        <v>-6292.5649401810597</v>
      </c>
      <c r="J95" s="64">
        <v>-7410.6637912709803</v>
      </c>
      <c r="K95" s="64">
        <v>-9065.5897882183999</v>
      </c>
      <c r="L95" s="64">
        <v>-8870.5556130206805</v>
      </c>
      <c r="M95" s="64">
        <v>-8510.3505278132598</v>
      </c>
      <c r="N95" s="65">
        <v>-82807.482835915405</v>
      </c>
      <c r="P95" s="65">
        <v>-69781.211211147296</v>
      </c>
      <c r="Q95" s="65">
        <v>-69013.416281042693</v>
      </c>
    </row>
    <row r="96" spans="1:17">
      <c r="A96" s="61" t="s">
        <v>278</v>
      </c>
      <c r="B96" s="64">
        <v>-90392.027474088405</v>
      </c>
      <c r="C96" s="64">
        <v>-74220.974663800604</v>
      </c>
      <c r="D96" s="64">
        <v>-237937.90336342799</v>
      </c>
      <c r="E96" s="64">
        <v>-314118.68453180202</v>
      </c>
      <c r="F96" s="64">
        <v>-366870.02309720602</v>
      </c>
      <c r="G96" s="64">
        <v>-528330.36283861205</v>
      </c>
      <c r="H96" s="64">
        <v>-715573.92968601198</v>
      </c>
      <c r="I96" s="64">
        <v>-886087.00410263997</v>
      </c>
      <c r="J96" s="64">
        <v>-905541.35001151206</v>
      </c>
      <c r="K96" s="64">
        <v>-1168558.06996097</v>
      </c>
      <c r="L96" s="64">
        <v>-1143418.0884849001</v>
      </c>
      <c r="M96" s="64">
        <v>-1096987.5120973501</v>
      </c>
      <c r="N96" s="65">
        <v>-7528035.9303123197</v>
      </c>
      <c r="P96" s="65">
        <v>-5924248.7905546697</v>
      </c>
      <c r="Q96" s="65">
        <v>-7080204.2864368297</v>
      </c>
    </row>
    <row r="97" spans="1:17">
      <c r="A97" s="61" t="s">
        <v>279</v>
      </c>
      <c r="B97" s="64">
        <v>-11897.1619023644</v>
      </c>
      <c r="C97" s="64">
        <v>-11682.529366008799</v>
      </c>
      <c r="D97" s="64">
        <v>-10833.1613074569</v>
      </c>
      <c r="E97" s="64">
        <v>-13799.5977600527</v>
      </c>
      <c r="F97" s="64">
        <v>-3150.1756996467402</v>
      </c>
      <c r="G97" s="64">
        <v>-8171.9549591555897</v>
      </c>
      <c r="H97" s="64">
        <v>-3094.4472659354301</v>
      </c>
      <c r="I97" s="64">
        <v>-6847.52336549134</v>
      </c>
      <c r="J97" s="64">
        <v>-6960.6580306691603</v>
      </c>
      <c r="K97" s="64">
        <v>-8276.0447127109092</v>
      </c>
      <c r="L97" s="64">
        <v>-8097.9965556521402</v>
      </c>
      <c r="M97" s="64">
        <v>-7769.1626396507099</v>
      </c>
      <c r="N97" s="65">
        <v>-100580.413564795</v>
      </c>
      <c r="P97" s="65">
        <v>-92531.905005527005</v>
      </c>
      <c r="Q97" s="65">
        <v>-99084.147486723101</v>
      </c>
    </row>
    <row r="98" spans="1:17">
      <c r="A98" s="61" t="s">
        <v>280</v>
      </c>
      <c r="B98" s="64">
        <v>-18181.77</v>
      </c>
      <c r="C98" s="64">
        <v>3883.74</v>
      </c>
      <c r="D98" s="64">
        <v>-1549.6600000010001</v>
      </c>
      <c r="E98" s="64">
        <v>-6562.8399999993999</v>
      </c>
      <c r="F98" s="64">
        <v>1812.7500000004</v>
      </c>
      <c r="G98" s="64">
        <v>28093.430000001001</v>
      </c>
      <c r="H98" s="64">
        <v>-43375.710000003797</v>
      </c>
      <c r="I98" s="64">
        <v>-18664.709999995801</v>
      </c>
      <c r="J98" s="64">
        <v>-50626.259999999398</v>
      </c>
      <c r="K98" s="64">
        <v>-11495.5084911297</v>
      </c>
      <c r="L98" s="64">
        <v>-11495.5084911297</v>
      </c>
      <c r="M98" s="64">
        <v>-11495.5084911297</v>
      </c>
      <c r="N98" s="65">
        <v>-139657.55547338701</v>
      </c>
      <c r="P98" s="65">
        <v>-97641.359400000001</v>
      </c>
      <c r="Q98" s="65">
        <v>-75656.6363286837</v>
      </c>
    </row>
    <row r="99" spans="1:17">
      <c r="A99" s="61" t="s">
        <v>281</v>
      </c>
      <c r="B99" s="64">
        <v>-14993.469999999101</v>
      </c>
      <c r="C99" s="64">
        <v>-22674.4000000009</v>
      </c>
      <c r="D99" s="64">
        <v>-22069.71</v>
      </c>
      <c r="E99" s="64">
        <v>-5179.3100000000004</v>
      </c>
      <c r="F99" s="64">
        <v>-51638.25</v>
      </c>
      <c r="G99" s="64">
        <v>-24013.78</v>
      </c>
      <c r="H99" s="64">
        <v>17835.259999999002</v>
      </c>
      <c r="I99" s="64">
        <v>-8270.2799999990093</v>
      </c>
      <c r="J99" s="64">
        <v>12646.52</v>
      </c>
      <c r="K99" s="64">
        <v>-10445.0073460083</v>
      </c>
      <c r="L99" s="64">
        <v>-10445.0073460083</v>
      </c>
      <c r="M99" s="64">
        <v>-10445.0073460083</v>
      </c>
      <c r="N99" s="65">
        <v>-149692.44203802501</v>
      </c>
      <c r="P99" s="65">
        <v>-205000</v>
      </c>
      <c r="Q99" s="65">
        <v>-192000</v>
      </c>
    </row>
    <row r="100" spans="1:17">
      <c r="A100" s="61" t="s">
        <v>282</v>
      </c>
      <c r="B100" s="64">
        <v>-39743.019999998003</v>
      </c>
      <c r="C100" s="64">
        <v>-15107.810000002</v>
      </c>
      <c r="D100" s="64">
        <v>-30372.050000012099</v>
      </c>
      <c r="E100" s="64">
        <v>-70027.069999996893</v>
      </c>
      <c r="F100" s="64">
        <v>-11833.149999984</v>
      </c>
      <c r="G100" s="64">
        <v>-35896.350000006998</v>
      </c>
      <c r="H100" s="64">
        <v>-25256.899999999001</v>
      </c>
      <c r="I100" s="64">
        <v>-34249.250000002001</v>
      </c>
      <c r="J100" s="64">
        <v>-34573.629999999001</v>
      </c>
      <c r="K100" s="64">
        <v>234298.06</v>
      </c>
      <c r="L100" s="64">
        <v>234298.06</v>
      </c>
      <c r="M100" s="64">
        <v>234298.06</v>
      </c>
      <c r="N100" s="65">
        <v>405834.95</v>
      </c>
      <c r="P100" s="65">
        <v>18572.550000001102</v>
      </c>
      <c r="Q100" s="65">
        <v>18572.550000001102</v>
      </c>
    </row>
    <row r="101" spans="1:17">
      <c r="A101" s="61" t="s">
        <v>283</v>
      </c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5"/>
      <c r="P101" s="65"/>
      <c r="Q101" s="65"/>
    </row>
    <row r="102" spans="1:17">
      <c r="A102" s="61" t="s">
        <v>284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5"/>
      <c r="P102" s="65"/>
      <c r="Q102" s="65"/>
    </row>
    <row r="103" spans="1:17">
      <c r="A103" s="61" t="s">
        <v>285</v>
      </c>
      <c r="B103" s="64">
        <v>-307838.25717423798</v>
      </c>
      <c r="C103" s="64">
        <v>721869.83045140305</v>
      </c>
      <c r="D103" s="64">
        <v>-1181895.8545450801</v>
      </c>
      <c r="E103" s="64">
        <v>6112527.1111157797</v>
      </c>
      <c r="F103" s="64">
        <v>-247963.13141034701</v>
      </c>
      <c r="G103" s="64">
        <v>-698224.28336626699</v>
      </c>
      <c r="H103" s="64">
        <v>-500708.248171388</v>
      </c>
      <c r="I103" s="64">
        <v>-2166034.5143069499</v>
      </c>
      <c r="J103" s="64">
        <v>-280272.135016552</v>
      </c>
      <c r="K103" s="64">
        <v>-214634.73847007201</v>
      </c>
      <c r="L103" s="64">
        <v>-213956.564275438</v>
      </c>
      <c r="M103" s="64">
        <v>-212704.05664021801</v>
      </c>
      <c r="N103" s="65">
        <v>810165.15819063201</v>
      </c>
      <c r="P103" s="65">
        <v>872344.88962901104</v>
      </c>
      <c r="Q103" s="65">
        <v>2092713.2253771799</v>
      </c>
    </row>
    <row r="104" spans="1:17">
      <c r="A104" s="61" t="s">
        <v>287</v>
      </c>
      <c r="B104" s="64">
        <v>662313.61359149194</v>
      </c>
      <c r="C104" s="64">
        <v>490048.89715267398</v>
      </c>
      <c r="D104" s="64">
        <v>192580.17699505901</v>
      </c>
      <c r="E104" s="64">
        <v>7319458.5835331902</v>
      </c>
      <c r="F104" s="64">
        <v>1076857.85565693</v>
      </c>
      <c r="G104" s="64">
        <v>145032.498199466</v>
      </c>
      <c r="H104" s="64">
        <v>346951.95480430801</v>
      </c>
      <c r="I104" s="64">
        <v>47761.9730290062</v>
      </c>
      <c r="J104" s="64">
        <v>75516.704235066296</v>
      </c>
      <c r="K104" s="64">
        <v>196763.582832752</v>
      </c>
      <c r="L104" s="64">
        <v>192530.47456475999</v>
      </c>
      <c r="M104" s="64">
        <v>184712.42358564999</v>
      </c>
      <c r="N104" s="65">
        <v>10930528.738180401</v>
      </c>
      <c r="P104" s="65">
        <v>11112957.4951634</v>
      </c>
      <c r="Q104" s="65">
        <v>10782794.5601878</v>
      </c>
    </row>
    <row r="105" spans="1:17">
      <c r="A105" s="61" t="s">
        <v>288</v>
      </c>
      <c r="B105" s="64">
        <v>-21862.774755659</v>
      </c>
      <c r="C105" s="64">
        <v>5692.5650184388896</v>
      </c>
      <c r="D105" s="64">
        <v>-2165.3388875169799</v>
      </c>
      <c r="E105" s="64">
        <v>7162.3831202085403</v>
      </c>
      <c r="F105" s="64">
        <v>30077.0772728337</v>
      </c>
      <c r="G105" s="64">
        <v>-19303.9520281443</v>
      </c>
      <c r="H105" s="64">
        <v>29004.423661062901</v>
      </c>
      <c r="I105" s="64">
        <v>20119.692605111599</v>
      </c>
      <c r="J105" s="64">
        <v>-11647.0081725737</v>
      </c>
      <c r="K105" s="64">
        <v>19085.279996983802</v>
      </c>
      <c r="L105" s="64">
        <v>18674.6854378227</v>
      </c>
      <c r="M105" s="64">
        <v>17916.365784262402</v>
      </c>
      <c r="N105" s="65">
        <v>92753.399052830704</v>
      </c>
      <c r="P105" s="65">
        <v>87472.374290792795</v>
      </c>
      <c r="Q105" s="65">
        <v>89364.792329358694</v>
      </c>
    </row>
    <row r="106" spans="1:17">
      <c r="A106" s="61" t="s">
        <v>289</v>
      </c>
      <c r="B106" s="64">
        <v>36682.213816151903</v>
      </c>
      <c r="C106" s="64">
        <v>20885.428419362201</v>
      </c>
      <c r="D106" s="64">
        <v>20845.808854972802</v>
      </c>
      <c r="E106" s="64">
        <v>1430.7183420333399</v>
      </c>
      <c r="F106" s="64">
        <v>89337.107601812095</v>
      </c>
      <c r="G106" s="64">
        <v>260.12144660986201</v>
      </c>
      <c r="H106" s="64">
        <v>59407.653181764501</v>
      </c>
      <c r="I106" s="64">
        <v>7506.2451464011601</v>
      </c>
      <c r="J106" s="64">
        <v>-93.379320557321805</v>
      </c>
      <c r="K106" s="64">
        <v>5320.4382055337301</v>
      </c>
      <c r="L106" s="64">
        <v>5205.9760137351004</v>
      </c>
      <c r="M106" s="64">
        <v>4994.5778651385599</v>
      </c>
      <c r="N106" s="65">
        <v>251782.90957295799</v>
      </c>
      <c r="P106" s="65">
        <v>262566.06610733899</v>
      </c>
      <c r="Q106" s="65">
        <v>205950.19905716501</v>
      </c>
    </row>
    <row r="107" spans="1:17">
      <c r="A107" s="61" t="s">
        <v>290</v>
      </c>
      <c r="B107" s="64">
        <v>-1731828.7265969201</v>
      </c>
      <c r="C107" s="64">
        <v>-786139.06490324996</v>
      </c>
      <c r="D107" s="64">
        <v>-3437978.7002777299</v>
      </c>
      <c r="E107" s="64">
        <v>-3889687.8517300701</v>
      </c>
      <c r="F107" s="64">
        <v>-2737217.4502551798</v>
      </c>
      <c r="G107" s="64">
        <v>-2773103.7387854601</v>
      </c>
      <c r="H107" s="64">
        <v>-1991687.5633199599</v>
      </c>
      <c r="I107" s="64">
        <v>-5760675.1276045097</v>
      </c>
      <c r="J107" s="64">
        <v>-2279973.2727801399</v>
      </c>
      <c r="K107" s="64">
        <v>-631730.58273019001</v>
      </c>
      <c r="L107" s="64">
        <v>-618139.73469622305</v>
      </c>
      <c r="M107" s="64">
        <v>-593039.04365500796</v>
      </c>
      <c r="N107" s="65">
        <v>-27231200.857334599</v>
      </c>
      <c r="P107" s="65">
        <v>-27041188.699627198</v>
      </c>
      <c r="Q107" s="65">
        <v>-22863512.500051901</v>
      </c>
    </row>
    <row r="108" spans="1:17">
      <c r="A108" s="61" t="s">
        <v>291</v>
      </c>
      <c r="B108" s="64">
        <v>186247.692031357</v>
      </c>
      <c r="C108" s="64">
        <v>160457.15455557199</v>
      </c>
      <c r="D108" s="64">
        <v>28304.2865087426</v>
      </c>
      <c r="E108" s="64">
        <v>-120421.44296905601</v>
      </c>
      <c r="F108" s="64">
        <v>813157.61040037405</v>
      </c>
      <c r="G108" s="64">
        <v>-5852.40867503341</v>
      </c>
      <c r="H108" s="64">
        <v>461909.203773655</v>
      </c>
      <c r="I108" s="64">
        <v>-18362.505114167401</v>
      </c>
      <c r="J108" s="64">
        <v>31609.453383922799</v>
      </c>
      <c r="K108" s="64">
        <v>0</v>
      </c>
      <c r="L108" s="64">
        <v>0</v>
      </c>
      <c r="M108" s="64">
        <v>0</v>
      </c>
      <c r="N108" s="65">
        <v>1537049.0438953701</v>
      </c>
      <c r="P108" s="65">
        <v>1526834.88099595</v>
      </c>
      <c r="Q108" s="65">
        <v>1055235.8027834599</v>
      </c>
    </row>
    <row r="109" spans="1:17">
      <c r="A109" s="61" t="s">
        <v>292</v>
      </c>
      <c r="B109" s="64">
        <v>-1201656.43</v>
      </c>
      <c r="C109" s="64">
        <v>1085616.8600000001</v>
      </c>
      <c r="D109" s="64">
        <v>-98076.38</v>
      </c>
      <c r="E109" s="64">
        <v>591170.18000000005</v>
      </c>
      <c r="F109" s="64">
        <v>-486766.61</v>
      </c>
      <c r="G109" s="64">
        <v>288759.58</v>
      </c>
      <c r="H109" s="64">
        <v>-569239.84</v>
      </c>
      <c r="I109" s="64">
        <v>-117468.31</v>
      </c>
      <c r="J109" s="64">
        <v>1085178.6200000001</v>
      </c>
      <c r="K109" s="64">
        <v>-212612.42438181699</v>
      </c>
      <c r="L109" s="64">
        <v>-212612.42438181699</v>
      </c>
      <c r="M109" s="64">
        <v>-212612.42438181699</v>
      </c>
      <c r="N109" s="65">
        <v>-60319.603145449903</v>
      </c>
      <c r="P109" s="65">
        <v>-419273.79619999998</v>
      </c>
      <c r="Q109" s="65">
        <v>81785.881775649803</v>
      </c>
    </row>
    <row r="110" spans="1:17">
      <c r="A110" s="61" t="s">
        <v>293</v>
      </c>
      <c r="B110" s="64">
        <v>-87395.73</v>
      </c>
      <c r="C110" s="64">
        <v>-79743.92</v>
      </c>
      <c r="D110" s="64">
        <v>-157100.74</v>
      </c>
      <c r="E110" s="64">
        <v>397259.04</v>
      </c>
      <c r="F110" s="64">
        <v>-874446.56</v>
      </c>
      <c r="G110" s="64">
        <v>198940.99</v>
      </c>
      <c r="H110" s="64">
        <v>-216661.96</v>
      </c>
      <c r="I110" s="64">
        <v>203246.14</v>
      </c>
      <c r="J110" s="64">
        <v>172597.42</v>
      </c>
      <c r="K110" s="64">
        <v>11842.338348650001</v>
      </c>
      <c r="L110" s="64">
        <v>11842.338348650001</v>
      </c>
      <c r="M110" s="64">
        <v>11842.338348650001</v>
      </c>
      <c r="N110" s="65">
        <v>-407778.30495404999</v>
      </c>
      <c r="P110" s="65">
        <v>-543000</v>
      </c>
      <c r="Q110" s="65">
        <v>-737000</v>
      </c>
    </row>
    <row r="111" spans="1:17">
      <c r="A111" s="61" t="s">
        <v>294</v>
      </c>
      <c r="B111" s="64">
        <v>372204.92</v>
      </c>
      <c r="C111" s="64">
        <v>132916.32</v>
      </c>
      <c r="D111" s="64">
        <v>181960.28</v>
      </c>
      <c r="E111" s="64">
        <v>-17131.36</v>
      </c>
      <c r="F111" s="64">
        <v>-325314.91999999899</v>
      </c>
      <c r="G111" s="64">
        <v>230723.20000000001</v>
      </c>
      <c r="H111" s="64">
        <v>-24500.540000001001</v>
      </c>
      <c r="I111" s="64">
        <v>89703.739999998899</v>
      </c>
      <c r="J111" s="64">
        <v>130466.65</v>
      </c>
      <c r="K111" s="64">
        <v>-257009.43</v>
      </c>
      <c r="L111" s="64">
        <v>-257009.43</v>
      </c>
      <c r="M111" s="64">
        <v>-257009.43</v>
      </c>
      <c r="N111" s="65">
        <v>0</v>
      </c>
      <c r="P111" s="65">
        <v>0</v>
      </c>
      <c r="Q111" s="65">
        <v>0</v>
      </c>
    </row>
    <row r="112" spans="1:17">
      <c r="A112" s="61" t="s">
        <v>295</v>
      </c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5"/>
      <c r="P112" s="65"/>
      <c r="Q112" s="65"/>
    </row>
    <row r="113" spans="1:17">
      <c r="A113" s="61" t="s">
        <v>296</v>
      </c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5"/>
      <c r="P113" s="65"/>
      <c r="Q113" s="65"/>
    </row>
    <row r="114" spans="1:17">
      <c r="A114" s="61" t="s">
        <v>297</v>
      </c>
      <c r="B114" s="64">
        <v>2666657.3867489798</v>
      </c>
      <c r="C114" s="64">
        <v>4183866.7673993502</v>
      </c>
      <c r="D114" s="64">
        <v>2335005.6043043099</v>
      </c>
      <c r="E114" s="64">
        <v>9924535.5091784392</v>
      </c>
      <c r="F114" s="64">
        <v>3991230.6019290099</v>
      </c>
      <c r="G114" s="64">
        <v>1978242.18710499</v>
      </c>
      <c r="H114" s="64">
        <v>1432322.5359251699</v>
      </c>
      <c r="I114" s="64">
        <v>342425.96800772398</v>
      </c>
      <c r="J114" s="64">
        <v>2245164.2312679798</v>
      </c>
      <c r="K114" s="64">
        <v>2474444.3244106602</v>
      </c>
      <c r="L114" s="64">
        <v>2456564.1257199999</v>
      </c>
      <c r="M114" s="64">
        <v>2423541.51065074</v>
      </c>
      <c r="N114" s="65">
        <v>36454000.752647199</v>
      </c>
      <c r="P114" s="65">
        <v>39715815.279832304</v>
      </c>
      <c r="Q114" s="65">
        <v>39699657.644686699</v>
      </c>
    </row>
    <row r="115" spans="1:17">
      <c r="A115" s="61" t="s">
        <v>299</v>
      </c>
      <c r="B115" s="64">
        <v>1044855.76010702</v>
      </c>
      <c r="C115" s="64">
        <v>958523.84359477297</v>
      </c>
      <c r="D115" s="64">
        <v>680882.97295886301</v>
      </c>
      <c r="E115" s="64">
        <v>7727197.1050188402</v>
      </c>
      <c r="F115" s="64">
        <v>1505488.5940257399</v>
      </c>
      <c r="G115" s="64">
        <v>545745.09945285204</v>
      </c>
      <c r="H115" s="64">
        <v>770880.89180813695</v>
      </c>
      <c r="I115" s="64">
        <v>670710.62211213203</v>
      </c>
      <c r="J115" s="64">
        <v>582864.66539076902</v>
      </c>
      <c r="K115" s="64">
        <v>552603.97871186805</v>
      </c>
      <c r="L115" s="64">
        <v>540715.43491970096</v>
      </c>
      <c r="M115" s="64">
        <v>518758.69874611503</v>
      </c>
      <c r="N115" s="65">
        <v>16099227.666846801</v>
      </c>
      <c r="P115" s="65">
        <v>16353501.775678899</v>
      </c>
      <c r="Q115" s="65">
        <v>15510559.732177</v>
      </c>
    </row>
    <row r="116" spans="1:17">
      <c r="A116" s="61" t="s">
        <v>300</v>
      </c>
      <c r="B116" s="64">
        <v>111440.03145257699</v>
      </c>
      <c r="C116" s="64">
        <v>220801.69205996799</v>
      </c>
      <c r="D116" s="64">
        <v>176831.35038470101</v>
      </c>
      <c r="E116" s="64">
        <v>178443.30584698499</v>
      </c>
      <c r="F116" s="64">
        <v>236535.342069629</v>
      </c>
      <c r="G116" s="64">
        <v>200420.35125665899</v>
      </c>
      <c r="H116" s="64">
        <v>101565.812737941</v>
      </c>
      <c r="I116" s="64">
        <v>132182.91506597001</v>
      </c>
      <c r="J116" s="64">
        <v>73688.786302131193</v>
      </c>
      <c r="K116" s="64">
        <v>85328.313958198603</v>
      </c>
      <c r="L116" s="64">
        <v>83492.588128702395</v>
      </c>
      <c r="M116" s="64">
        <v>80102.219347637103</v>
      </c>
      <c r="N116" s="65">
        <v>1680832.7086111</v>
      </c>
      <c r="P116" s="65">
        <v>1615405.21182315</v>
      </c>
      <c r="Q116" s="65">
        <v>1155842.00829358</v>
      </c>
    </row>
    <row r="117" spans="1:17">
      <c r="A117" s="61" t="s">
        <v>301</v>
      </c>
      <c r="B117" s="64">
        <v>132593.02567200299</v>
      </c>
      <c r="C117" s="64">
        <v>68024.158516156604</v>
      </c>
      <c r="D117" s="64">
        <v>87657.203287638797</v>
      </c>
      <c r="E117" s="64">
        <v>63333.5851263902</v>
      </c>
      <c r="F117" s="64">
        <v>172247.67357976001</v>
      </c>
      <c r="G117" s="64">
        <v>71155.700213988093</v>
      </c>
      <c r="H117" s="64">
        <v>90788.548106022499</v>
      </c>
      <c r="I117" s="64">
        <v>87686.508049265598</v>
      </c>
      <c r="J117" s="64">
        <v>58890.941228032498</v>
      </c>
      <c r="K117" s="64">
        <v>50779.0194440673</v>
      </c>
      <c r="L117" s="64">
        <v>49686.575995159699</v>
      </c>
      <c r="M117" s="64">
        <v>47668.961978543797</v>
      </c>
      <c r="N117" s="65">
        <v>980511.90119702998</v>
      </c>
      <c r="P117" s="65">
        <v>960324.71733585501</v>
      </c>
      <c r="Q117" s="65">
        <v>912675.90716269496</v>
      </c>
    </row>
    <row r="118" spans="1:17">
      <c r="A118" s="61" t="s">
        <v>302</v>
      </c>
      <c r="B118" s="64">
        <v>-131096.71633362901</v>
      </c>
      <c r="C118" s="64">
        <v>529104.498686929</v>
      </c>
      <c r="D118" s="64">
        <v>-3347858.24725221</v>
      </c>
      <c r="E118" s="64">
        <v>-2278304.0315984301</v>
      </c>
      <c r="F118" s="64">
        <v>-2241398.4161562002</v>
      </c>
      <c r="G118" s="64">
        <v>-2605678.7515267399</v>
      </c>
      <c r="H118" s="64">
        <v>-1647573.0416455199</v>
      </c>
      <c r="I118" s="64">
        <v>-5505958.4187650904</v>
      </c>
      <c r="J118" s="64">
        <v>-2235196.5663316702</v>
      </c>
      <c r="K118" s="64">
        <v>6085.4268830535002</v>
      </c>
      <c r="L118" s="64">
        <v>5954.5069715348</v>
      </c>
      <c r="M118" s="64">
        <v>5712.7133585306001</v>
      </c>
      <c r="N118" s="65">
        <v>-19446207.043709401</v>
      </c>
      <c r="P118" s="65">
        <v>-15449185.7110563</v>
      </c>
      <c r="Q118" s="65">
        <v>-11509879.6700153</v>
      </c>
    </row>
    <row r="119" spans="1:17">
      <c r="A119" s="61" t="s">
        <v>303</v>
      </c>
      <c r="B119" s="64">
        <v>668760.48012708302</v>
      </c>
      <c r="C119" s="64">
        <v>617512.95438422705</v>
      </c>
      <c r="D119" s="64">
        <v>671578.19143503904</v>
      </c>
      <c r="E119" s="64">
        <v>464800.51456393098</v>
      </c>
      <c r="F119" s="64">
        <v>1404646.38679088</v>
      </c>
      <c r="G119" s="64">
        <v>653814.85198046197</v>
      </c>
      <c r="H119" s="64">
        <v>843379.90982822794</v>
      </c>
      <c r="I119" s="64">
        <v>785818.16571594996</v>
      </c>
      <c r="J119" s="64">
        <v>816445.43219931098</v>
      </c>
      <c r="K119" s="64">
        <v>349907.36163565301</v>
      </c>
      <c r="L119" s="64">
        <v>342379.56749688799</v>
      </c>
      <c r="M119" s="64">
        <v>328476.62086494401</v>
      </c>
      <c r="N119" s="65">
        <v>7947520.4370225696</v>
      </c>
      <c r="P119" s="65">
        <v>7061110.1929934099</v>
      </c>
      <c r="Q119" s="65">
        <v>6097454.3387943897</v>
      </c>
    </row>
    <row r="120" spans="1:17">
      <c r="A120" s="61" t="s">
        <v>304</v>
      </c>
      <c r="B120" s="64">
        <v>877159.11</v>
      </c>
      <c r="C120" s="64">
        <v>3350566.97</v>
      </c>
      <c r="D120" s="64">
        <v>3679072.52</v>
      </c>
      <c r="E120" s="64">
        <v>2788526.91</v>
      </c>
      <c r="F120" s="64">
        <v>2031458.6899999899</v>
      </c>
      <c r="G120" s="64">
        <v>2175861.6400000099</v>
      </c>
      <c r="H120" s="64">
        <v>-91287.540000003894</v>
      </c>
      <c r="I120" s="64">
        <v>240774.01000001401</v>
      </c>
      <c r="J120" s="64">
        <v>1402994.68</v>
      </c>
      <c r="K120" s="64">
        <v>983966.670362434</v>
      </c>
      <c r="L120" s="64">
        <v>983966.670362434</v>
      </c>
      <c r="M120" s="64">
        <v>983966.670362434</v>
      </c>
      <c r="N120" s="65">
        <v>19407027.0010873</v>
      </c>
      <c r="P120" s="65">
        <v>22209600.505899999</v>
      </c>
      <c r="Q120" s="65">
        <v>23673941.374205001</v>
      </c>
    </row>
    <row r="121" spans="1:17">
      <c r="A121" s="61" t="s">
        <v>305</v>
      </c>
      <c r="B121" s="64">
        <v>527591.88000000105</v>
      </c>
      <c r="C121" s="64">
        <v>823662.43</v>
      </c>
      <c r="D121" s="64">
        <v>1132202.94</v>
      </c>
      <c r="E121" s="64">
        <v>888704.68</v>
      </c>
      <c r="F121" s="64">
        <v>2439785.54</v>
      </c>
      <c r="G121" s="64">
        <v>888919.07</v>
      </c>
      <c r="H121" s="64">
        <v>615808.04999999702</v>
      </c>
      <c r="I121" s="64">
        <v>1382949.53</v>
      </c>
      <c r="J121" s="64">
        <v>997853.1</v>
      </c>
      <c r="K121" s="64">
        <v>766232.43237094197</v>
      </c>
      <c r="L121" s="64">
        <v>766232.43237094197</v>
      </c>
      <c r="M121" s="64">
        <v>766232.43237094197</v>
      </c>
      <c r="N121" s="65">
        <v>11996174.517112801</v>
      </c>
      <c r="P121" s="65">
        <v>12111000</v>
      </c>
      <c r="Q121" s="65">
        <v>11006000</v>
      </c>
    </row>
    <row r="122" spans="1:17">
      <c r="A122" s="61" t="s">
        <v>306</v>
      </c>
      <c r="B122" s="64">
        <v>1502006.67</v>
      </c>
      <c r="C122" s="64">
        <v>2020445.83</v>
      </c>
      <c r="D122" s="64">
        <v>1339089.78999999</v>
      </c>
      <c r="E122" s="64">
        <v>3025175.71</v>
      </c>
      <c r="F122" s="64">
        <v>1557905.2800000201</v>
      </c>
      <c r="G122" s="64">
        <v>1789385.77999999</v>
      </c>
      <c r="H122" s="64">
        <v>1452390.83</v>
      </c>
      <c r="I122" s="64">
        <v>1726031.52</v>
      </c>
      <c r="J122" s="64">
        <v>2842202.95</v>
      </c>
      <c r="K122" s="64">
        <v>2358140.6394892298</v>
      </c>
      <c r="L122" s="64">
        <v>2358140.6394892298</v>
      </c>
      <c r="M122" s="64">
        <v>2358140.6394892298</v>
      </c>
      <c r="N122" s="65">
        <v>24329056.2784677</v>
      </c>
      <c r="P122" s="65">
        <v>26033933.949649099</v>
      </c>
      <c r="Q122" s="65">
        <v>26033933.949649099</v>
      </c>
    </row>
    <row r="123" spans="1:17">
      <c r="A123" s="61" t="s">
        <v>307</v>
      </c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5"/>
      <c r="P123" s="65"/>
      <c r="Q123" s="65"/>
    </row>
    <row r="124" spans="1:17">
      <c r="A124" s="61" t="s">
        <v>308</v>
      </c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5"/>
      <c r="P124" s="65"/>
      <c r="Q124" s="65"/>
    </row>
    <row r="125" spans="1:17">
      <c r="A125" s="61" t="s">
        <v>309</v>
      </c>
      <c r="B125" s="64">
        <v>-851103.76219007804</v>
      </c>
      <c r="C125" s="64">
        <v>-927002.09068171703</v>
      </c>
      <c r="D125" s="64">
        <v>-196191.025937617</v>
      </c>
      <c r="E125" s="64">
        <v>-1866153.02960659</v>
      </c>
      <c r="F125" s="64">
        <v>-1585825.7803591399</v>
      </c>
      <c r="G125" s="64">
        <v>-480369.57627129997</v>
      </c>
      <c r="H125" s="64">
        <v>-618429.79093894595</v>
      </c>
      <c r="I125" s="64">
        <v>274005.12979019003</v>
      </c>
      <c r="J125" s="64">
        <v>-749732.00592414499</v>
      </c>
      <c r="K125" s="64">
        <v>-609149.84173876396</v>
      </c>
      <c r="L125" s="64">
        <v>-602937.51010626904</v>
      </c>
      <c r="M125" s="64">
        <v>-591464.06734808895</v>
      </c>
      <c r="N125" s="65">
        <v>-8804353.3513124604</v>
      </c>
      <c r="P125" s="65">
        <v>-9719490.3933255095</v>
      </c>
      <c r="Q125" s="65">
        <v>-9294721.1914864704</v>
      </c>
    </row>
    <row r="126" spans="1:17">
      <c r="A126" s="61" t="s">
        <v>311</v>
      </c>
      <c r="B126" s="64">
        <v>-229868.26722354401</v>
      </c>
      <c r="C126" s="64">
        <v>-210875.24559085001</v>
      </c>
      <c r="D126" s="64">
        <v>-149794.25405095</v>
      </c>
      <c r="E126" s="64">
        <v>-1699983.3631041499</v>
      </c>
      <c r="F126" s="64">
        <v>-331207.49068566202</v>
      </c>
      <c r="G126" s="64">
        <v>-120063.921879627</v>
      </c>
      <c r="H126" s="64">
        <v>-169593.79619779001</v>
      </c>
      <c r="I126" s="64">
        <v>-147556.33686466899</v>
      </c>
      <c r="J126" s="64">
        <v>-128230.226385969</v>
      </c>
      <c r="K126" s="64">
        <v>-121572.875316611</v>
      </c>
      <c r="L126" s="64">
        <v>-118957.395682334</v>
      </c>
      <c r="M126" s="64">
        <v>-114126.91372414499</v>
      </c>
      <c r="N126" s="65">
        <v>-3541830.0867062998</v>
      </c>
      <c r="P126" s="65">
        <v>-3597770.3906493499</v>
      </c>
      <c r="Q126" s="65">
        <v>-3412323.1410789401</v>
      </c>
    </row>
    <row r="127" spans="1:17">
      <c r="A127" s="61" t="s">
        <v>312</v>
      </c>
      <c r="B127" s="64">
        <v>-6686.4018871546104</v>
      </c>
      <c r="C127" s="64">
        <v>-13248.101523598099</v>
      </c>
      <c r="D127" s="64">
        <v>-10609.8810230821</v>
      </c>
      <c r="E127" s="64">
        <v>-10706.5983508191</v>
      </c>
      <c r="F127" s="64">
        <v>-14192.120524177801</v>
      </c>
      <c r="G127" s="64">
        <v>-12025.221075399601</v>
      </c>
      <c r="H127" s="64">
        <v>-6093.9487642764598</v>
      </c>
      <c r="I127" s="64">
        <v>-7930.9749039582102</v>
      </c>
      <c r="J127" s="64">
        <v>-4421.32717812787</v>
      </c>
      <c r="K127" s="64">
        <v>-5119.6988374919101</v>
      </c>
      <c r="L127" s="64">
        <v>-5009.5552877221398</v>
      </c>
      <c r="M127" s="64">
        <v>-4806.1331608582304</v>
      </c>
      <c r="N127" s="65">
        <v>-100849.962516666</v>
      </c>
      <c r="P127" s="65">
        <v>-96924.312709389094</v>
      </c>
      <c r="Q127" s="65">
        <v>-69350.520497614998</v>
      </c>
    </row>
    <row r="128" spans="1:17">
      <c r="A128" s="61" t="s">
        <v>313</v>
      </c>
      <c r="B128" s="64">
        <v>30496.395904560799</v>
      </c>
      <c r="C128" s="64">
        <v>15645.556458716001</v>
      </c>
      <c r="D128" s="64">
        <v>20161.156756156899</v>
      </c>
      <c r="E128" s="64">
        <v>14566.7245790698</v>
      </c>
      <c r="F128" s="64">
        <v>39616.9649233448</v>
      </c>
      <c r="G128" s="64">
        <v>16365.8110492173</v>
      </c>
      <c r="H128" s="64">
        <v>20881.366064385202</v>
      </c>
      <c r="I128" s="64">
        <v>20167.896851331101</v>
      </c>
      <c r="J128" s="64">
        <v>13544.916482447499</v>
      </c>
      <c r="K128" s="64">
        <v>-129116.50995716899</v>
      </c>
      <c r="L128" s="64">
        <v>-126338.738999936</v>
      </c>
      <c r="M128" s="64">
        <v>-121208.52413721901</v>
      </c>
      <c r="N128" s="65">
        <v>-185216.98402509399</v>
      </c>
      <c r="P128" s="65">
        <v>-161965.42601589</v>
      </c>
      <c r="Q128" s="65">
        <v>-181581.29124962201</v>
      </c>
    </row>
    <row r="129" spans="1:17">
      <c r="A129" s="61" t="s">
        <v>314</v>
      </c>
      <c r="B129" s="64">
        <v>0</v>
      </c>
      <c r="C129" s="64">
        <v>0</v>
      </c>
      <c r="D129" s="64">
        <v>0</v>
      </c>
      <c r="E129" s="64">
        <v>0</v>
      </c>
      <c r="F129" s="64">
        <v>0</v>
      </c>
      <c r="G129" s="64">
        <v>0</v>
      </c>
      <c r="H129" s="64">
        <v>0</v>
      </c>
      <c r="I129" s="64">
        <v>0</v>
      </c>
      <c r="J129" s="64">
        <v>0</v>
      </c>
      <c r="K129" s="64">
        <v>0</v>
      </c>
      <c r="L129" s="64">
        <v>0</v>
      </c>
      <c r="M129" s="64">
        <v>0</v>
      </c>
      <c r="N129" s="65">
        <v>0</v>
      </c>
      <c r="P129" s="65">
        <v>0</v>
      </c>
      <c r="Q129" s="65">
        <v>0</v>
      </c>
    </row>
    <row r="130" spans="1:17">
      <c r="A130" s="61" t="s">
        <v>315</v>
      </c>
      <c r="B130" s="64">
        <v>-112751.69245985099</v>
      </c>
      <c r="C130" s="64">
        <v>-112874.020064963</v>
      </c>
      <c r="D130" s="64">
        <v>-24001.7990493549</v>
      </c>
      <c r="E130" s="64">
        <v>-103837.801826735</v>
      </c>
      <c r="F130" s="64">
        <v>-319327.23518160102</v>
      </c>
      <c r="G130" s="64">
        <v>-147677.230913726</v>
      </c>
      <c r="H130" s="64">
        <v>-189755.460103163</v>
      </c>
      <c r="I130" s="64">
        <v>-177693.96823128301</v>
      </c>
      <c r="J130" s="64">
        <v>-184867.56210623801</v>
      </c>
      <c r="K130" s="64">
        <v>-82382.183460124797</v>
      </c>
      <c r="L130" s="64">
        <v>-80609.8397320847</v>
      </c>
      <c r="M130" s="64">
        <v>-77336.530206057796</v>
      </c>
      <c r="N130" s="65">
        <v>-1613115.3233351801</v>
      </c>
      <c r="P130" s="65">
        <v>-1397276.5190097601</v>
      </c>
      <c r="Q130" s="65">
        <v>-1176071.46485405</v>
      </c>
    </row>
    <row r="131" spans="1:17">
      <c r="A131" s="61" t="s">
        <v>316</v>
      </c>
      <c r="B131" s="64">
        <v>-736964.98</v>
      </c>
      <c r="C131" s="64">
        <v>-708093.05</v>
      </c>
      <c r="D131" s="64">
        <v>-1167638.6599999999</v>
      </c>
      <c r="E131" s="64">
        <v>-299655.40000000002</v>
      </c>
      <c r="F131" s="64">
        <v>-882433.33</v>
      </c>
      <c r="G131" s="64">
        <v>-366207.72</v>
      </c>
      <c r="H131" s="64">
        <v>-213931.46</v>
      </c>
      <c r="I131" s="64">
        <v>1193529.82</v>
      </c>
      <c r="J131" s="64">
        <v>-397017.96</v>
      </c>
      <c r="K131" s="64">
        <v>-211262.40642774699</v>
      </c>
      <c r="L131" s="64">
        <v>-211262.40642774699</v>
      </c>
      <c r="M131" s="64">
        <v>-211262.40642774699</v>
      </c>
      <c r="N131" s="65">
        <v>-4212199.9592832401</v>
      </c>
      <c r="P131" s="65">
        <v>-6058410.1733999997</v>
      </c>
      <c r="Q131" s="65">
        <v>-5970205.1643292503</v>
      </c>
    </row>
    <row r="132" spans="1:17">
      <c r="A132" s="61" t="s">
        <v>317</v>
      </c>
      <c r="B132" s="64">
        <v>-122535.08</v>
      </c>
      <c r="C132" s="64">
        <v>-213027.36</v>
      </c>
      <c r="D132" s="64">
        <v>41529.629999999997</v>
      </c>
      <c r="E132" s="64">
        <v>74207.56</v>
      </c>
      <c r="F132" s="64">
        <v>-829711.68</v>
      </c>
      <c r="G132" s="64">
        <v>-164591.28</v>
      </c>
      <c r="H132" s="64">
        <v>-28108.3300000001</v>
      </c>
      <c r="I132" s="64">
        <v>132261.34</v>
      </c>
      <c r="J132" s="64">
        <v>-649919.49</v>
      </c>
      <c r="K132" s="64">
        <v>-143544.42129505699</v>
      </c>
      <c r="L132" s="64">
        <v>-143544.42129505699</v>
      </c>
      <c r="M132" s="64">
        <v>-143544.42129505699</v>
      </c>
      <c r="N132" s="65">
        <v>-2190527.9538851702</v>
      </c>
      <c r="P132" s="65">
        <v>-2365000</v>
      </c>
      <c r="Q132" s="65">
        <v>-2096000</v>
      </c>
    </row>
    <row r="133" spans="1:17">
      <c r="A133" s="61" t="s">
        <v>318</v>
      </c>
      <c r="B133" s="64">
        <v>-640361.97</v>
      </c>
      <c r="C133" s="64">
        <v>-762316.32</v>
      </c>
      <c r="D133" s="64">
        <v>1010240.71</v>
      </c>
      <c r="E133" s="64">
        <v>-95788.84</v>
      </c>
      <c r="F133" s="64">
        <v>-1168635.5900000001</v>
      </c>
      <c r="G133" s="64">
        <v>-233139.38</v>
      </c>
      <c r="H133" s="64">
        <v>-727263.28</v>
      </c>
      <c r="I133" s="64">
        <v>-124785.83</v>
      </c>
      <c r="J133" s="64">
        <v>-344758.41</v>
      </c>
      <c r="K133" s="64">
        <v>-446162.882885803</v>
      </c>
      <c r="L133" s="64">
        <v>-446162.882885803</v>
      </c>
      <c r="M133" s="64">
        <v>-446162.882885803</v>
      </c>
      <c r="N133" s="65">
        <v>-4425297.5586574096</v>
      </c>
      <c r="P133" s="65">
        <v>-4836388.9674674198</v>
      </c>
      <c r="Q133" s="65">
        <v>-4836388.9674674198</v>
      </c>
    </row>
    <row r="134" spans="1:17">
      <c r="A134" s="61" t="s">
        <v>319</v>
      </c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5"/>
      <c r="P134" s="65"/>
      <c r="Q134" s="65"/>
    </row>
    <row r="135" spans="1:17">
      <c r="A135" s="61" t="s">
        <v>320</v>
      </c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5"/>
      <c r="P135" s="65"/>
      <c r="Q135" s="65"/>
    </row>
    <row r="136" spans="1:17">
      <c r="A136" s="61" t="s">
        <v>321</v>
      </c>
      <c r="B136" s="64">
        <v>1815553.6245589</v>
      </c>
      <c r="C136" s="64">
        <v>3256864.6767176399</v>
      </c>
      <c r="D136" s="64">
        <v>2138814.5783667001</v>
      </c>
      <c r="E136" s="64">
        <v>8058382.47957185</v>
      </c>
      <c r="F136" s="64">
        <v>2405404.8215698702</v>
      </c>
      <c r="G136" s="64">
        <v>1497872.61083369</v>
      </c>
      <c r="H136" s="64">
        <v>813892.74498622795</v>
      </c>
      <c r="I136" s="64">
        <v>616431.09779791394</v>
      </c>
      <c r="J136" s="64">
        <v>1495432.22534384</v>
      </c>
      <c r="K136" s="64">
        <v>1865294.4826719</v>
      </c>
      <c r="L136" s="64">
        <v>1853626.6156137299</v>
      </c>
      <c r="M136" s="64">
        <v>1832077.44330265</v>
      </c>
      <c r="N136" s="65">
        <v>27649647.4013348</v>
      </c>
      <c r="P136" s="65">
        <v>29996324.8865068</v>
      </c>
      <c r="Q136" s="65">
        <v>30404936.453200199</v>
      </c>
    </row>
    <row r="137" spans="1:17">
      <c r="A137" s="61" t="s">
        <v>323</v>
      </c>
      <c r="B137" s="64">
        <v>814987.49288347398</v>
      </c>
      <c r="C137" s="64">
        <v>747648.59800392296</v>
      </c>
      <c r="D137" s="64">
        <v>531088.71890791296</v>
      </c>
      <c r="E137" s="64">
        <v>6027213.7419146998</v>
      </c>
      <c r="F137" s="64">
        <v>1174281.10334008</v>
      </c>
      <c r="G137" s="64">
        <v>425681.17757322401</v>
      </c>
      <c r="H137" s="64">
        <v>601287.09561034699</v>
      </c>
      <c r="I137" s="64">
        <v>523154.28524746298</v>
      </c>
      <c r="J137" s="64">
        <v>454634.43900479999</v>
      </c>
      <c r="K137" s="64">
        <v>431031.10339525703</v>
      </c>
      <c r="L137" s="64">
        <v>421758.03923736699</v>
      </c>
      <c r="M137" s="64">
        <v>404631.78502196999</v>
      </c>
      <c r="N137" s="65">
        <v>12557397.580140499</v>
      </c>
      <c r="P137" s="65">
        <v>12755731.3850295</v>
      </c>
      <c r="Q137" s="65">
        <v>12098236.5910981</v>
      </c>
    </row>
    <row r="138" spans="1:17">
      <c r="A138" s="61" t="s">
        <v>324</v>
      </c>
      <c r="B138" s="64">
        <v>104753.629565422</v>
      </c>
      <c r="C138" s="64">
        <v>207553.59053637</v>
      </c>
      <c r="D138" s="64">
        <v>166221.46936161901</v>
      </c>
      <c r="E138" s="64">
        <v>167736.707496166</v>
      </c>
      <c r="F138" s="64">
        <v>222343.22154545199</v>
      </c>
      <c r="G138" s="64">
        <v>188395.13018126</v>
      </c>
      <c r="H138" s="64">
        <v>95471.8639736646</v>
      </c>
      <c r="I138" s="64">
        <v>124251.940162012</v>
      </c>
      <c r="J138" s="64">
        <v>69267.459124003406</v>
      </c>
      <c r="K138" s="64">
        <v>80208.6151207066</v>
      </c>
      <c r="L138" s="64">
        <v>78483.032840980202</v>
      </c>
      <c r="M138" s="64">
        <v>75296.086186778906</v>
      </c>
      <c r="N138" s="65">
        <v>1579982.7460944301</v>
      </c>
      <c r="P138" s="65">
        <v>1518480.8991137601</v>
      </c>
      <c r="Q138" s="65">
        <v>1086491.4877959699</v>
      </c>
    </row>
    <row r="139" spans="1:17">
      <c r="A139" s="61" t="s">
        <v>325</v>
      </c>
      <c r="B139" s="64">
        <v>163089.421576564</v>
      </c>
      <c r="C139" s="64">
        <v>83669.714974872593</v>
      </c>
      <c r="D139" s="64">
        <v>107818.360043796</v>
      </c>
      <c r="E139" s="64">
        <v>77900.309705459993</v>
      </c>
      <c r="F139" s="64">
        <v>211864.638503105</v>
      </c>
      <c r="G139" s="64">
        <v>87521.511263205393</v>
      </c>
      <c r="H139" s="64">
        <v>111669.914170408</v>
      </c>
      <c r="I139" s="64">
        <v>107854.404900597</v>
      </c>
      <c r="J139" s="64">
        <v>72435.857710479904</v>
      </c>
      <c r="K139" s="64">
        <v>-78337.490513101598</v>
      </c>
      <c r="L139" s="64">
        <v>-76652.163004775794</v>
      </c>
      <c r="M139" s="64">
        <v>-73539.562158675399</v>
      </c>
      <c r="N139" s="65">
        <v>795294.91717193602</v>
      </c>
      <c r="P139" s="65">
        <v>798359.29131996597</v>
      </c>
      <c r="Q139" s="65">
        <v>731094.61591307295</v>
      </c>
    </row>
    <row r="140" spans="1:17">
      <c r="A140" s="61" t="s">
        <v>326</v>
      </c>
      <c r="B140" s="64">
        <v>-131096.71633362901</v>
      </c>
      <c r="C140" s="64">
        <v>529104.498686929</v>
      </c>
      <c r="D140" s="64">
        <v>-3347858.24725221</v>
      </c>
      <c r="E140" s="64">
        <v>-2278304.0315984301</v>
      </c>
      <c r="F140" s="64">
        <v>-2241398.4161562002</v>
      </c>
      <c r="G140" s="64">
        <v>-2605678.7515267399</v>
      </c>
      <c r="H140" s="64">
        <v>-1647573.0416455199</v>
      </c>
      <c r="I140" s="64">
        <v>-5505958.4187650904</v>
      </c>
      <c r="J140" s="64">
        <v>-2235196.5663316702</v>
      </c>
      <c r="K140" s="64">
        <v>6085.4268830535002</v>
      </c>
      <c r="L140" s="64">
        <v>5954.5069715348</v>
      </c>
      <c r="M140" s="64">
        <v>5712.7133585306001</v>
      </c>
      <c r="N140" s="65">
        <v>-19446207.043709401</v>
      </c>
      <c r="P140" s="65">
        <v>-15449185.7110563</v>
      </c>
      <c r="Q140" s="65">
        <v>-11509879.6700153</v>
      </c>
    </row>
    <row r="141" spans="1:17">
      <c r="A141" s="61" t="s">
        <v>327</v>
      </c>
      <c r="B141" s="64">
        <v>556008.78766723303</v>
      </c>
      <c r="C141" s="64">
        <v>504638.93431926402</v>
      </c>
      <c r="D141" s="64">
        <v>647576.39238568395</v>
      </c>
      <c r="E141" s="64">
        <v>360962.71273719601</v>
      </c>
      <c r="F141" s="64">
        <v>1085319.1516092799</v>
      </c>
      <c r="G141" s="64">
        <v>506137.621066736</v>
      </c>
      <c r="H141" s="64">
        <v>653624.44972506503</v>
      </c>
      <c r="I141" s="64">
        <v>608124.19748466695</v>
      </c>
      <c r="J141" s="64">
        <v>631577.87009307195</v>
      </c>
      <c r="K141" s="64">
        <v>267525.17817552801</v>
      </c>
      <c r="L141" s="64">
        <v>261769.72776480301</v>
      </c>
      <c r="M141" s="64">
        <v>251140.09065888601</v>
      </c>
      <c r="N141" s="65">
        <v>6334405.1136873802</v>
      </c>
      <c r="P141" s="65">
        <v>5663833.6739836503</v>
      </c>
      <c r="Q141" s="65">
        <v>4921382.8739403402</v>
      </c>
    </row>
    <row r="142" spans="1:17">
      <c r="A142" s="61" t="s">
        <v>328</v>
      </c>
      <c r="B142" s="64">
        <v>140194.13</v>
      </c>
      <c r="C142" s="64">
        <v>2642473.92</v>
      </c>
      <c r="D142" s="64">
        <v>2511433.86</v>
      </c>
      <c r="E142" s="64">
        <v>2488871.5099999998</v>
      </c>
      <c r="F142" s="64">
        <v>1149025.3599999901</v>
      </c>
      <c r="G142" s="64">
        <v>1809653.9200000099</v>
      </c>
      <c r="H142" s="64">
        <v>-305219.00000000303</v>
      </c>
      <c r="I142" s="64">
        <v>1434303.8300000101</v>
      </c>
      <c r="J142" s="64">
        <v>1005976.72</v>
      </c>
      <c r="K142" s="64">
        <v>772704.26393468701</v>
      </c>
      <c r="L142" s="64">
        <v>772704.26393468701</v>
      </c>
      <c r="M142" s="64">
        <v>772704.26393468701</v>
      </c>
      <c r="N142" s="65">
        <v>15194827.041804099</v>
      </c>
      <c r="P142" s="65">
        <v>16151190.3325</v>
      </c>
      <c r="Q142" s="65">
        <v>17703736.2098758</v>
      </c>
    </row>
    <row r="143" spans="1:17">
      <c r="A143" s="61" t="s">
        <v>329</v>
      </c>
      <c r="B143" s="64">
        <v>405056.80000000098</v>
      </c>
      <c r="C143" s="64">
        <v>610635.06999999995</v>
      </c>
      <c r="D143" s="64">
        <v>1173732.57</v>
      </c>
      <c r="E143" s="64">
        <v>962912.24</v>
      </c>
      <c r="F143" s="64">
        <v>1610073.86</v>
      </c>
      <c r="G143" s="64">
        <v>724327.79</v>
      </c>
      <c r="H143" s="64">
        <v>587699.71999999695</v>
      </c>
      <c r="I143" s="64">
        <v>1515210.87</v>
      </c>
      <c r="J143" s="64">
        <v>347933.61</v>
      </c>
      <c r="K143" s="64">
        <v>622688.01107588504</v>
      </c>
      <c r="L143" s="64">
        <v>622688.01107588504</v>
      </c>
      <c r="M143" s="64">
        <v>622688.01107588504</v>
      </c>
      <c r="N143" s="65">
        <v>9805646.5632276498</v>
      </c>
      <c r="P143" s="65">
        <v>9746000</v>
      </c>
      <c r="Q143" s="65">
        <v>8910000</v>
      </c>
    </row>
    <row r="144" spans="1:17">
      <c r="A144" s="61" t="s">
        <v>330</v>
      </c>
      <c r="B144" s="64">
        <v>861644.70000000205</v>
      </c>
      <c r="C144" s="64">
        <v>1258129.51</v>
      </c>
      <c r="D144" s="64">
        <v>2349330.4999999902</v>
      </c>
      <c r="E144" s="64">
        <v>2929386.87</v>
      </c>
      <c r="F144" s="64">
        <v>389269.690000017</v>
      </c>
      <c r="G144" s="64">
        <v>1556246.3999999899</v>
      </c>
      <c r="H144" s="64">
        <v>725127.55</v>
      </c>
      <c r="I144" s="64">
        <v>1601245.69</v>
      </c>
      <c r="J144" s="64">
        <v>2497444.54</v>
      </c>
      <c r="K144" s="64">
        <v>1911977.75660343</v>
      </c>
      <c r="L144" s="64">
        <v>1911977.75660343</v>
      </c>
      <c r="M144" s="64">
        <v>1911977.75660343</v>
      </c>
      <c r="N144" s="65">
        <v>19903758.7198103</v>
      </c>
      <c r="P144" s="65">
        <v>21197544.982181702</v>
      </c>
      <c r="Q144" s="65">
        <v>21197544.982181702</v>
      </c>
    </row>
    <row r="145" spans="1:17">
      <c r="A145" s="61" t="s">
        <v>331</v>
      </c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5"/>
      <c r="P145" s="65"/>
      <c r="Q145" s="65"/>
    </row>
    <row r="146" spans="1:17">
      <c r="A146" s="61" t="s">
        <v>332</v>
      </c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5"/>
      <c r="P146" s="65"/>
      <c r="Q146" s="65"/>
    </row>
    <row r="147" spans="1:17">
      <c r="A147" s="61" t="s">
        <v>333</v>
      </c>
      <c r="B147" s="64">
        <v>2935778.89982345</v>
      </c>
      <c r="C147" s="64">
        <v>1514733.6094572099</v>
      </c>
      <c r="D147" s="64">
        <v>-881362.36766985594</v>
      </c>
      <c r="E147" s="64">
        <v>2434946.3235161798</v>
      </c>
      <c r="F147" s="64">
        <v>2395588.2511978499</v>
      </c>
      <c r="G147" s="64">
        <v>-812007.76173969102</v>
      </c>
      <c r="H147" s="64">
        <v>-2709284.81085577</v>
      </c>
      <c r="I147" s="64">
        <v>3509037.1338659599</v>
      </c>
      <c r="J147" s="64">
        <v>1323467.8634365201</v>
      </c>
      <c r="K147" s="64">
        <v>72568077.275204301</v>
      </c>
      <c r="L147" s="64">
        <v>70126314.669551</v>
      </c>
      <c r="M147" s="64">
        <v>68662216.177534401</v>
      </c>
      <c r="N147" s="65">
        <v>19919168.781002901</v>
      </c>
      <c r="P147" s="65">
        <v>27531047.0680888</v>
      </c>
      <c r="Q147" s="93">
        <v>30124447.015170209</v>
      </c>
    </row>
    <row r="148" spans="1:17">
      <c r="A148" s="61" t="s">
        <v>335</v>
      </c>
      <c r="B148" s="64">
        <v>155855.711352374</v>
      </c>
      <c r="C148" s="64">
        <v>244525.36557624501</v>
      </c>
      <c r="D148" s="64">
        <v>336838.40013210301</v>
      </c>
      <c r="E148" s="64">
        <v>-1294460.67435756</v>
      </c>
      <c r="F148" s="64">
        <v>97537.173651281002</v>
      </c>
      <c r="G148" s="64">
        <v>274141.21350606001</v>
      </c>
      <c r="H148" s="64">
        <v>252132.582033869</v>
      </c>
      <c r="I148" s="64">
        <v>403885.14457912702</v>
      </c>
      <c r="J148" s="64">
        <v>370944.281753994</v>
      </c>
      <c r="K148" s="64">
        <v>247201.821406131</v>
      </c>
      <c r="L148" s="64">
        <v>241883.60113898601</v>
      </c>
      <c r="M148" s="64">
        <v>232061.47646500799</v>
      </c>
      <c r="N148" s="65">
        <v>1293922.38042369</v>
      </c>
      <c r="P148" s="65">
        <v>2480003.4618082801</v>
      </c>
      <c r="Q148" s="65">
        <v>1017901.17437008</v>
      </c>
    </row>
    <row r="149" spans="1:17">
      <c r="A149" s="61" t="s">
        <v>336</v>
      </c>
      <c r="B149" s="64">
        <v>144375.505587775</v>
      </c>
      <c r="C149" s="64">
        <v>217715.15516567399</v>
      </c>
      <c r="D149" s="64">
        <v>183232.45508617201</v>
      </c>
      <c r="E149" s="64">
        <v>166769.398056376</v>
      </c>
      <c r="F149" s="64">
        <v>198233.545141454</v>
      </c>
      <c r="G149" s="64">
        <v>249692.941119461</v>
      </c>
      <c r="H149" s="64">
        <v>76906.728115224396</v>
      </c>
      <c r="I149" s="64">
        <v>126791.200031026</v>
      </c>
      <c r="J149" s="64">
        <v>101554.363301711</v>
      </c>
      <c r="K149" s="64">
        <v>92129.629699419194</v>
      </c>
      <c r="L149" s="64">
        <v>90147.582556380599</v>
      </c>
      <c r="M149" s="64">
        <v>86486.975591885493</v>
      </c>
      <c r="N149" s="65">
        <v>1637912.87578408</v>
      </c>
      <c r="P149" s="65">
        <v>1646260.8787419701</v>
      </c>
      <c r="Q149" s="65">
        <v>1146913.0703064001</v>
      </c>
    </row>
    <row r="150" spans="1:17">
      <c r="A150" s="61" t="s">
        <v>337</v>
      </c>
      <c r="B150" s="64">
        <v>133489.75371061801</v>
      </c>
      <c r="C150" s="64">
        <v>68372.833081067001</v>
      </c>
      <c r="D150" s="64">
        <v>91919.063105272304</v>
      </c>
      <c r="E150" s="64">
        <v>83559.728089093798</v>
      </c>
      <c r="F150" s="64">
        <v>128202.029296058</v>
      </c>
      <c r="G150" s="64">
        <v>94142.955093036304</v>
      </c>
      <c r="H150" s="64">
        <v>61833.732844186299</v>
      </c>
      <c r="I150" s="64">
        <v>110800.031609293</v>
      </c>
      <c r="J150" s="64">
        <v>80938.976325513198</v>
      </c>
      <c r="K150" s="64">
        <v>-73840.744964205194</v>
      </c>
      <c r="L150" s="64">
        <v>-72252.158989490694</v>
      </c>
      <c r="M150" s="64">
        <v>-69318.228329383201</v>
      </c>
      <c r="N150" s="65">
        <v>316929.10909776599</v>
      </c>
      <c r="P150" s="65">
        <v>413844.47132571402</v>
      </c>
      <c r="Q150" s="65">
        <v>220860.72264789001</v>
      </c>
    </row>
    <row r="151" spans="1:17">
      <c r="A151" s="61" t="s">
        <v>338</v>
      </c>
      <c r="B151" s="64">
        <v>1840918.0850659399</v>
      </c>
      <c r="C151" s="64">
        <v>1522884.5786613999</v>
      </c>
      <c r="D151" s="64">
        <v>391818.31299923302</v>
      </c>
      <c r="E151" s="64">
        <v>2058850.46058518</v>
      </c>
      <c r="F151" s="64">
        <v>957536.07518263499</v>
      </c>
      <c r="G151" s="64">
        <v>766694.76769392204</v>
      </c>
      <c r="H151" s="64">
        <v>1165134.7531127599</v>
      </c>
      <c r="I151" s="64">
        <v>1251939.2964037301</v>
      </c>
      <c r="J151" s="64">
        <v>1184214.4942248799</v>
      </c>
      <c r="K151" s="64">
        <v>681035.64575022506</v>
      </c>
      <c r="L151" s="64">
        <v>666384.06449052098</v>
      </c>
      <c r="M151" s="64">
        <v>639324.32446946495</v>
      </c>
      <c r="N151" s="65">
        <v>-16262706.6778208</v>
      </c>
      <c r="P151" s="65">
        <v>-2917437.34636966</v>
      </c>
      <c r="Q151" s="65">
        <v>302104.86263302999</v>
      </c>
    </row>
    <row r="152" spans="1:17">
      <c r="A152" s="61" t="s">
        <v>339</v>
      </c>
      <c r="B152" s="64">
        <v>418012.40141337202</v>
      </c>
      <c r="C152" s="64">
        <v>394354.73042415897</v>
      </c>
      <c r="D152" s="64">
        <v>661606.01450485399</v>
      </c>
      <c r="E152" s="64">
        <v>525036.28873547795</v>
      </c>
      <c r="F152" s="64">
        <v>304790.780127412</v>
      </c>
      <c r="G152" s="64">
        <v>551038.99366045801</v>
      </c>
      <c r="H152" s="64">
        <v>226555.69226461599</v>
      </c>
      <c r="I152" s="64">
        <v>663286.89940406103</v>
      </c>
      <c r="J152" s="64">
        <v>636637.98239639006</v>
      </c>
      <c r="K152" s="64">
        <v>310464.321119058</v>
      </c>
      <c r="L152" s="64">
        <v>303785.091834224</v>
      </c>
      <c r="M152" s="64">
        <v>291449.344259598</v>
      </c>
      <c r="N152" s="65">
        <v>5590096.7474603998</v>
      </c>
      <c r="P152" s="65">
        <v>4245110.6792122899</v>
      </c>
      <c r="Q152" s="65">
        <v>5022716.80088457</v>
      </c>
    </row>
    <row r="153" spans="1:17">
      <c r="A153" s="61" t="s">
        <v>340</v>
      </c>
      <c r="B153" s="64">
        <v>6441165.0564524001</v>
      </c>
      <c r="C153" s="64">
        <v>4697544.5199999996</v>
      </c>
      <c r="D153" s="64">
        <v>-146623.97000000099</v>
      </c>
      <c r="E153" s="64">
        <v>3818068.17</v>
      </c>
      <c r="F153" s="64">
        <v>1678222.4</v>
      </c>
      <c r="G153" s="64">
        <v>3464299.34</v>
      </c>
      <c r="H153" s="64">
        <v>-51958.360000000197</v>
      </c>
      <c r="I153" s="64">
        <v>5567758.7783084996</v>
      </c>
      <c r="J153" s="64">
        <v>801290.20851699903</v>
      </c>
      <c r="K153" s="64">
        <v>39128305.250514798</v>
      </c>
      <c r="L153" s="64">
        <v>36273642.830514804</v>
      </c>
      <c r="M153" s="64">
        <v>37949270.580514804</v>
      </c>
      <c r="N153" s="65">
        <v>19504696.321544401</v>
      </c>
      <c r="P153" s="65">
        <v>17665111.819200002</v>
      </c>
      <c r="Q153" s="65">
        <v>22898468.8621278</v>
      </c>
    </row>
    <row r="154" spans="1:17">
      <c r="A154" s="61" t="s">
        <v>341</v>
      </c>
      <c r="B154" s="64">
        <v>-6391931.6200000001</v>
      </c>
      <c r="C154" s="64">
        <v>-8692784.4399999995</v>
      </c>
      <c r="D154" s="64">
        <v>-3242117.14</v>
      </c>
      <c r="E154" s="64">
        <v>-4296695.1100000003</v>
      </c>
      <c r="F154" s="64">
        <v>-3833068.26</v>
      </c>
      <c r="G154" s="64">
        <v>-4431430.26</v>
      </c>
      <c r="H154" s="64">
        <v>-4203716.59</v>
      </c>
      <c r="I154" s="64">
        <v>1855468.43</v>
      </c>
      <c r="J154" s="64">
        <v>5514801.2800000003</v>
      </c>
      <c r="K154" s="64">
        <v>65300985.094613999</v>
      </c>
      <c r="L154" s="64">
        <v>63473148.434614003</v>
      </c>
      <c r="M154" s="64">
        <v>60699801.294614002</v>
      </c>
      <c r="N154" s="65">
        <v>13643858.003842101</v>
      </c>
      <c r="P154" s="65">
        <v>14110824.84</v>
      </c>
      <c r="Q154" s="65">
        <v>14340061.580597199</v>
      </c>
    </row>
    <row r="155" spans="1:17">
      <c r="A155" s="61" t="s">
        <v>342</v>
      </c>
      <c r="B155" s="66">
        <v>3946980.9</v>
      </c>
      <c r="C155" s="66">
        <v>4538301.25</v>
      </c>
      <c r="D155" s="66">
        <v>-1398063.9324876</v>
      </c>
      <c r="E155" s="66">
        <v>6592434.8700000001</v>
      </c>
      <c r="F155" s="66">
        <v>5821557.7624626001</v>
      </c>
      <c r="G155" s="66">
        <v>-3925565.02</v>
      </c>
      <c r="H155" s="66">
        <v>-4886410.13</v>
      </c>
      <c r="I155" s="66">
        <v>-2169551.5099999998</v>
      </c>
      <c r="J155" s="66">
        <v>-6211868.3600000003</v>
      </c>
      <c r="K155" s="66">
        <v>75335676.110659301</v>
      </c>
      <c r="L155" s="66">
        <v>73949378.690659299</v>
      </c>
      <c r="M155" s="66">
        <v>71452619.340659305</v>
      </c>
      <c r="N155" s="67">
        <v>21609909.009100001</v>
      </c>
      <c r="P155" s="67">
        <v>26783578.013372</v>
      </c>
      <c r="Q155" s="67">
        <v>26783578.013372</v>
      </c>
    </row>
  </sheetData>
  <pageMargins left="0.7" right="0.7" top="0.75" bottom="0.75" header="0.3" footer="0.3"/>
  <pageSetup paperSize="9" orientation="portrait" r:id="rId1"/>
  <customProperties>
    <customPr name="_pios_id" r:id="rId2"/>
    <customPr name="CofWorksheetType" r:id="rId3"/>
    <customPr name="EpmWorksheetKeyString_GUID" r:id="rId4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84F20-9F85-4521-9FFC-4F66765B1923}">
  <sheetPr>
    <tabColor rgb="FFFF0000"/>
  </sheetPr>
  <dimension ref="A1:O155"/>
  <sheetViews>
    <sheetView showGridLines="0" zoomScale="70" zoomScaleNormal="70" workbookViewId="0">
      <pane xSplit="1" ySplit="1" topLeftCell="B2" activePane="bottomRight" state="frozen"/>
      <selection pane="topRight" activeCell="N2" sqref="N2:N155"/>
      <selection pane="bottomLeft" activeCell="N2" sqref="N2:N155"/>
      <selection pane="bottomRight" activeCell="A5" sqref="A5"/>
    </sheetView>
  </sheetViews>
  <sheetFormatPr defaultRowHeight="14.5"/>
  <cols>
    <col min="1" max="1" width="28.453125" bestFit="1" customWidth="1"/>
    <col min="2" max="3" width="12.26953125" bestFit="1" customWidth="1"/>
    <col min="4" max="4" width="13.453125" bestFit="1" customWidth="1"/>
    <col min="5" max="6" width="12.1796875" bestFit="1" customWidth="1"/>
    <col min="7" max="10" width="14.54296875" bestFit="1" customWidth="1"/>
    <col min="11" max="15" width="12.1796875" bestFit="1" customWidth="1"/>
  </cols>
  <sheetData>
    <row r="1" spans="1:15">
      <c r="A1" s="60" t="s">
        <v>165</v>
      </c>
      <c r="B1" s="61" t="s">
        <v>169</v>
      </c>
      <c r="C1" s="61" t="s">
        <v>170</v>
      </c>
      <c r="D1" s="61" t="s">
        <v>39</v>
      </c>
      <c r="E1" s="61" t="s">
        <v>38</v>
      </c>
      <c r="F1" s="61" t="s">
        <v>37</v>
      </c>
      <c r="G1" s="61" t="s">
        <v>171</v>
      </c>
      <c r="H1" s="61" t="s">
        <v>172</v>
      </c>
      <c r="I1" s="61" t="s">
        <v>173</v>
      </c>
      <c r="J1" s="61" t="s">
        <v>174</v>
      </c>
      <c r="K1" s="61"/>
      <c r="L1" s="61"/>
      <c r="M1" s="61"/>
      <c r="N1" s="61"/>
      <c r="O1" s="61"/>
    </row>
    <row r="2" spans="1:15">
      <c r="A2" s="61" t="s">
        <v>175</v>
      </c>
      <c r="B2" s="63">
        <v>19.893999999999998</v>
      </c>
      <c r="C2" s="63">
        <v>21.502099999999999</v>
      </c>
      <c r="D2" s="63">
        <v>21.502099999999999</v>
      </c>
      <c r="E2" s="63">
        <v>19.815864006521899</v>
      </c>
      <c r="F2" s="63">
        <v>19.815864006521899</v>
      </c>
      <c r="G2" s="63">
        <v>17.502491250000102</v>
      </c>
      <c r="H2" s="63">
        <v>17.502491250000102</v>
      </c>
      <c r="I2" s="63">
        <v>17.502491250000102</v>
      </c>
      <c r="J2" s="63">
        <v>17.502491250000102</v>
      </c>
      <c r="K2" s="63"/>
      <c r="L2" s="63"/>
      <c r="M2" s="63"/>
      <c r="N2" s="63"/>
      <c r="O2" s="63"/>
    </row>
    <row r="3" spans="1:15">
      <c r="A3" s="61" t="s">
        <v>176</v>
      </c>
      <c r="B3" s="63">
        <v>19.307099999999998</v>
      </c>
      <c r="C3" s="63">
        <v>20.908999999999999</v>
      </c>
      <c r="D3" s="63">
        <v>20.908999999999999</v>
      </c>
      <c r="E3" s="63">
        <v>19.249700000000001</v>
      </c>
      <c r="F3" s="63">
        <v>19.249700000000001</v>
      </c>
      <c r="G3" s="63">
        <v>17.4102865421197</v>
      </c>
      <c r="H3" s="63">
        <v>17.4102865421197</v>
      </c>
      <c r="I3" s="63">
        <v>17.4102865421197</v>
      </c>
      <c r="J3" s="63">
        <v>17.4102865421197</v>
      </c>
      <c r="K3" s="63"/>
      <c r="L3" s="63"/>
      <c r="M3" s="63"/>
      <c r="N3" s="63"/>
      <c r="O3" s="63"/>
    </row>
    <row r="4" spans="1:15">
      <c r="A4" s="61" t="s">
        <v>178</v>
      </c>
      <c r="B4" s="65">
        <v>6322222706.1899796</v>
      </c>
      <c r="C4" s="65">
        <v>6429379557.4153605</v>
      </c>
      <c r="D4" s="65">
        <v>6442905766.8635397</v>
      </c>
      <c r="E4" s="65">
        <v>6153221200.5971899</v>
      </c>
      <c r="F4" s="65">
        <v>6561798755.59408</v>
      </c>
      <c r="G4" s="65">
        <v>6175741572.3171902</v>
      </c>
      <c r="H4" s="65">
        <v>6124270914.2715197</v>
      </c>
      <c r="I4" s="65">
        <v>5845577191.8881302</v>
      </c>
      <c r="J4" s="65">
        <v>5753071625.2124395</v>
      </c>
      <c r="K4" s="65"/>
      <c r="L4" s="65"/>
      <c r="M4" s="65"/>
      <c r="N4" s="65"/>
      <c r="O4" s="65"/>
    </row>
    <row r="5" spans="1:15">
      <c r="A5" s="61" t="s">
        <v>179</v>
      </c>
      <c r="B5" s="65">
        <v>145597808.38466299</v>
      </c>
      <c r="C5" s="65">
        <v>148529646.82759199</v>
      </c>
      <c r="D5" s="65">
        <v>148492630.50626099</v>
      </c>
      <c r="E5" s="65">
        <v>143274887.147533</v>
      </c>
      <c r="F5" s="65">
        <v>142781654.97028199</v>
      </c>
      <c r="G5" s="65">
        <v>140095820.127379</v>
      </c>
      <c r="H5" s="65">
        <v>135983614.37754101</v>
      </c>
      <c r="I5" s="65">
        <v>126992181.35486899</v>
      </c>
      <c r="J5" s="65">
        <v>126041514.70485701</v>
      </c>
      <c r="K5" s="65"/>
      <c r="L5" s="65"/>
      <c r="M5" s="65"/>
      <c r="N5" s="65"/>
      <c r="O5" s="65"/>
    </row>
    <row r="6" spans="1:15">
      <c r="A6" s="61" t="s">
        <v>180</v>
      </c>
      <c r="B6" s="65">
        <v>190191630.46343899</v>
      </c>
      <c r="C6" s="65">
        <v>180716181.586539</v>
      </c>
      <c r="D6" s="65">
        <v>179281084.645163</v>
      </c>
      <c r="E6" s="65">
        <v>179281084.645163</v>
      </c>
      <c r="F6" s="65">
        <v>173627953.68000001</v>
      </c>
      <c r="G6" s="65">
        <v>176697480.53999999</v>
      </c>
      <c r="H6" s="65">
        <v>173703600.15000001</v>
      </c>
      <c r="I6" s="65">
        <v>162270992.44</v>
      </c>
      <c r="J6" s="65">
        <v>161007159.05000001</v>
      </c>
      <c r="K6" s="65"/>
      <c r="L6" s="65"/>
      <c r="M6" s="65"/>
      <c r="N6" s="65"/>
      <c r="O6" s="65"/>
    </row>
    <row r="7" spans="1:15">
      <c r="A7" s="61" t="s">
        <v>181</v>
      </c>
      <c r="B7" s="65">
        <v>164061619.88372201</v>
      </c>
      <c r="C7" s="65">
        <v>161331325.97458199</v>
      </c>
      <c r="D7" s="65">
        <v>154354473.11014399</v>
      </c>
      <c r="E7" s="65">
        <v>153534815.558018</v>
      </c>
      <c r="F7" s="65">
        <v>137342016.68165499</v>
      </c>
      <c r="G7" s="65">
        <v>136306995.86611199</v>
      </c>
      <c r="H7" s="65">
        <v>139694711.578132</v>
      </c>
      <c r="I7" s="65">
        <v>107451385.877258</v>
      </c>
      <c r="J7" s="65">
        <v>106906980.439174</v>
      </c>
      <c r="K7" s="65"/>
      <c r="L7" s="65"/>
      <c r="M7" s="65"/>
      <c r="N7" s="65"/>
      <c r="O7" s="65"/>
    </row>
    <row r="8" spans="1:15">
      <c r="A8" s="61" t="s">
        <v>182</v>
      </c>
      <c r="B8" s="65">
        <v>3819095867.2598</v>
      </c>
      <c r="C8" s="65">
        <v>4121688526.22158</v>
      </c>
      <c r="D8" s="65">
        <v>4278863671.8711901</v>
      </c>
      <c r="E8" s="65">
        <v>4006078278.1360202</v>
      </c>
      <c r="F8" s="65">
        <v>4140986029.54493</v>
      </c>
      <c r="G8" s="65">
        <v>4019731584.82727</v>
      </c>
      <c r="H8" s="65">
        <v>3794945892.8892202</v>
      </c>
      <c r="I8" s="65">
        <v>3797283913.4451799</v>
      </c>
      <c r="J8" s="65">
        <v>3574738343.5382299</v>
      </c>
      <c r="K8" s="65"/>
      <c r="L8" s="65"/>
      <c r="M8" s="65"/>
      <c r="N8" s="65"/>
      <c r="O8" s="65"/>
    </row>
    <row r="9" spans="1:15">
      <c r="A9" s="61" t="s">
        <v>183</v>
      </c>
      <c r="B9" s="65">
        <v>1956633317.3392301</v>
      </c>
      <c r="C9" s="65">
        <v>1702933917.45051</v>
      </c>
      <c r="D9" s="65">
        <v>1598084667.39167</v>
      </c>
      <c r="E9" s="65">
        <v>1559409507.45068</v>
      </c>
      <c r="F9" s="65">
        <v>1520060152.9240401</v>
      </c>
      <c r="G9" s="65">
        <v>1487478210.6359</v>
      </c>
      <c r="H9" s="65">
        <v>1630291408.02176</v>
      </c>
      <c r="I9" s="65">
        <v>1392554455.4676499</v>
      </c>
      <c r="J9" s="65">
        <v>1318699101.00578</v>
      </c>
      <c r="K9" s="65"/>
      <c r="L9" s="65"/>
      <c r="M9" s="65"/>
      <c r="N9" s="65"/>
      <c r="O9" s="65"/>
    </row>
    <row r="10" spans="1:15">
      <c r="A10" s="61" t="s">
        <v>184</v>
      </c>
      <c r="B10" s="65">
        <v>2671233878.7199898</v>
      </c>
      <c r="C10" s="65">
        <v>2872275316.69771</v>
      </c>
      <c r="D10" s="65">
        <v>2870819124.14078</v>
      </c>
      <c r="E10" s="65">
        <v>2719453284.3197598</v>
      </c>
      <c r="F10" s="65">
        <v>2702569048.5837498</v>
      </c>
      <c r="G10" s="65">
        <v>2461451519.49999</v>
      </c>
      <c r="H10" s="65">
        <v>2466841616.4018002</v>
      </c>
      <c r="I10" s="65">
        <v>2460926812.3006501</v>
      </c>
      <c r="J10" s="65">
        <v>2445997139.3688002</v>
      </c>
      <c r="K10" s="65"/>
      <c r="L10" s="65"/>
      <c r="M10" s="65"/>
      <c r="N10" s="65"/>
      <c r="O10" s="65"/>
    </row>
    <row r="11" spans="1:15">
      <c r="A11" s="61" t="s">
        <v>185</v>
      </c>
      <c r="B11" s="65">
        <v>1392679988.2128</v>
      </c>
      <c r="C11" s="65">
        <v>1425060613.15572</v>
      </c>
      <c r="D11" s="65">
        <v>1425781616.5167899</v>
      </c>
      <c r="E11" s="65">
        <v>1359181851.02753</v>
      </c>
      <c r="F11" s="65">
        <v>1351091376.46579</v>
      </c>
      <c r="G11" s="65">
        <v>1353432983.4135799</v>
      </c>
      <c r="H11" s="65">
        <v>1355578023.31463</v>
      </c>
      <c r="I11" s="65">
        <v>1230115657.63483</v>
      </c>
      <c r="J11" s="65">
        <v>1273977544.55585</v>
      </c>
      <c r="K11" s="65"/>
      <c r="L11" s="65"/>
      <c r="M11" s="65"/>
      <c r="N11" s="65"/>
      <c r="O11" s="65"/>
    </row>
    <row r="12" spans="1:15">
      <c r="A12" s="61" t="s">
        <v>186</v>
      </c>
      <c r="B12" s="65">
        <v>4716286067.1135798</v>
      </c>
      <c r="C12" s="65">
        <v>4725047634.0410805</v>
      </c>
      <c r="D12" s="65">
        <v>4728394866.5845098</v>
      </c>
      <c r="E12" s="65">
        <v>4548703112.1822004</v>
      </c>
      <c r="F12" s="65">
        <v>4520164710.7505999</v>
      </c>
      <c r="G12" s="65">
        <v>3979575994.87568</v>
      </c>
      <c r="H12" s="65">
        <v>3990829056.5648999</v>
      </c>
      <c r="I12" s="65">
        <v>3791954763.3304</v>
      </c>
      <c r="J12" s="65">
        <v>3890693213.1928201</v>
      </c>
      <c r="K12" s="65"/>
      <c r="L12" s="65"/>
      <c r="M12" s="65"/>
      <c r="N12" s="65"/>
      <c r="O12" s="65"/>
    </row>
    <row r="13" spans="1:15">
      <c r="A13" s="61" t="s">
        <v>187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</row>
    <row r="14" spans="1:15">
      <c r="A14" s="61" t="s">
        <v>188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</row>
    <row r="15" spans="1:15">
      <c r="A15" s="61" t="s">
        <v>190</v>
      </c>
      <c r="B15" s="65">
        <v>-5259500835.7106199</v>
      </c>
      <c r="C15" s="65">
        <v>-5301783099.9871998</v>
      </c>
      <c r="D15" s="65">
        <v>-5301402438.2535801</v>
      </c>
      <c r="E15" s="65">
        <v>-5068776129.4982405</v>
      </c>
      <c r="F15" s="65">
        <v>-5394562179.13305</v>
      </c>
      <c r="G15" s="65">
        <v>-5075900609.8040104</v>
      </c>
      <c r="H15" s="65">
        <v>-5038291600.8617001</v>
      </c>
      <c r="I15" s="65">
        <v>-4817824587.8630896</v>
      </c>
      <c r="J15" s="65">
        <v>-4693533956.5279799</v>
      </c>
      <c r="K15" s="65"/>
      <c r="L15" s="65"/>
      <c r="M15" s="65"/>
      <c r="N15" s="65"/>
      <c r="O15" s="65"/>
    </row>
    <row r="16" spans="1:15">
      <c r="A16" s="61" t="s">
        <v>191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</row>
    <row r="17" spans="1:15">
      <c r="A17" s="61" t="s">
        <v>192</v>
      </c>
      <c r="B17" s="65">
        <v>-143585107.22555199</v>
      </c>
      <c r="C17" s="65">
        <v>-136443444.68032199</v>
      </c>
      <c r="D17" s="65">
        <v>-136453110.20169899</v>
      </c>
      <c r="E17" s="65">
        <v>-136453110.20169899</v>
      </c>
      <c r="F17" s="65">
        <v>-129083613.400546</v>
      </c>
      <c r="G17" s="65">
        <v>-132305316.34999999</v>
      </c>
      <c r="H17" s="65">
        <v>-128912625.00638799</v>
      </c>
      <c r="I17" s="65">
        <v>-119601924.904072</v>
      </c>
      <c r="J17" s="65">
        <v>-118812502.58765399</v>
      </c>
      <c r="K17" s="65"/>
      <c r="L17" s="65"/>
      <c r="M17" s="65"/>
      <c r="N17" s="65"/>
      <c r="O17" s="65"/>
    </row>
    <row r="18" spans="1:15">
      <c r="A18" s="61" t="s">
        <v>193</v>
      </c>
      <c r="B18" s="65">
        <v>-138285255.25836301</v>
      </c>
      <c r="C18" s="65">
        <v>-136429540.33847499</v>
      </c>
      <c r="D18" s="65">
        <v>-129593546.00771999</v>
      </c>
      <c r="E18" s="65">
        <v>-128720751.12412</v>
      </c>
      <c r="F18" s="65">
        <v>-115476947.06512199</v>
      </c>
      <c r="G18" s="65">
        <v>-115065229.152647</v>
      </c>
      <c r="H18" s="65">
        <v>-117412288.069428</v>
      </c>
      <c r="I18" s="65">
        <v>-89670404.472655594</v>
      </c>
      <c r="J18" s="65">
        <v>-89700717.819337606</v>
      </c>
      <c r="K18" s="65"/>
      <c r="L18" s="65"/>
      <c r="M18" s="65"/>
      <c r="N18" s="65"/>
      <c r="O18" s="65"/>
    </row>
    <row r="19" spans="1:15">
      <c r="A19" s="61" t="s">
        <v>194</v>
      </c>
      <c r="B19" s="65">
        <v>-3285361822.69031</v>
      </c>
      <c r="C19" s="65">
        <v>-3525943843.5611501</v>
      </c>
      <c r="D19" s="65">
        <v>-3629486438.48457</v>
      </c>
      <c r="E19" s="65">
        <v>-3420867991.0675902</v>
      </c>
      <c r="F19" s="65">
        <v>-3491987968.3620601</v>
      </c>
      <c r="G19" s="65">
        <v>-3369373355.1034198</v>
      </c>
      <c r="H19" s="65">
        <v>-3182585563.4162002</v>
      </c>
      <c r="I19" s="65">
        <v>-3181276344.1375098</v>
      </c>
      <c r="J19" s="65">
        <v>-2994627273.19416</v>
      </c>
      <c r="K19" s="65"/>
      <c r="L19" s="65"/>
      <c r="M19" s="65"/>
      <c r="N19" s="65"/>
      <c r="O19" s="65"/>
    </row>
    <row r="20" spans="1:15">
      <c r="A20" s="61" t="s">
        <v>195</v>
      </c>
      <c r="B20" s="65">
        <v>-1726686941.1691599</v>
      </c>
      <c r="C20" s="65">
        <v>-1500228432.5590601</v>
      </c>
      <c r="D20" s="65">
        <v>-1408806980.26196</v>
      </c>
      <c r="E20" s="65">
        <v>-1375349158.57375</v>
      </c>
      <c r="F20" s="65">
        <v>-1342702151.0740099</v>
      </c>
      <c r="G20" s="65">
        <v>-1316043061.45385</v>
      </c>
      <c r="H20" s="65">
        <v>-1443235562.42277</v>
      </c>
      <c r="I20" s="65">
        <v>-1233878725.2762001</v>
      </c>
      <c r="J20" s="65">
        <v>-1168454846.7653401</v>
      </c>
      <c r="K20" s="65"/>
      <c r="L20" s="65"/>
      <c r="M20" s="65"/>
      <c r="N20" s="65"/>
      <c r="O20" s="65"/>
    </row>
    <row r="21" spans="1:15">
      <c r="A21" s="61" t="s">
        <v>196</v>
      </c>
      <c r="B21" s="65">
        <v>-2217266884.0685101</v>
      </c>
      <c r="C21" s="65">
        <v>-2350022534.3006802</v>
      </c>
      <c r="D21" s="65">
        <v>-2349972838.25809</v>
      </c>
      <c r="E21" s="65">
        <v>-2202257143.8765998</v>
      </c>
      <c r="F21" s="65">
        <v>-2187984934.7397199</v>
      </c>
      <c r="G21" s="65">
        <v>-1936029431.06374</v>
      </c>
      <c r="H21" s="65">
        <v>-1940040348.36411</v>
      </c>
      <c r="I21" s="65">
        <v>-1934446412.1586201</v>
      </c>
      <c r="J21" s="65">
        <v>-1894799974.33671</v>
      </c>
      <c r="K21" s="65"/>
      <c r="L21" s="65"/>
      <c r="M21" s="65"/>
      <c r="N21" s="65"/>
      <c r="O21" s="65"/>
    </row>
    <row r="22" spans="1:15">
      <c r="A22" s="61" t="s">
        <v>197</v>
      </c>
      <c r="B22" s="65">
        <v>-1111378597.60497</v>
      </c>
      <c r="C22" s="65">
        <v>-1134664069.73384</v>
      </c>
      <c r="D22" s="65">
        <v>-1134676158.5794301</v>
      </c>
      <c r="E22" s="65">
        <v>-1096188740.9071701</v>
      </c>
      <c r="F22" s="65">
        <v>-1089371349.8015699</v>
      </c>
      <c r="G22" s="65">
        <v>-1097268822.9385099</v>
      </c>
      <c r="H22" s="65">
        <v>-1099256147.7463801</v>
      </c>
      <c r="I22" s="65">
        <v>-1037725472.5265501</v>
      </c>
      <c r="J22" s="65">
        <v>-1072611989.9536999</v>
      </c>
      <c r="K22" s="65"/>
      <c r="L22" s="65"/>
      <c r="M22" s="65"/>
      <c r="N22" s="65"/>
      <c r="O22" s="65"/>
    </row>
    <row r="23" spans="1:15">
      <c r="A23" s="61" t="s">
        <v>198</v>
      </c>
      <c r="B23" s="65">
        <v>-4103381937.5338202</v>
      </c>
      <c r="C23" s="65">
        <v>-4061416407.2662601</v>
      </c>
      <c r="D23" s="65">
        <v>-4065447039.52634</v>
      </c>
      <c r="E23" s="65">
        <v>-3914342636.00595</v>
      </c>
      <c r="F23" s="65">
        <v>-3889960650.6005902</v>
      </c>
      <c r="G23" s="65">
        <v>-3510267151.4180298</v>
      </c>
      <c r="H23" s="65">
        <v>-3519152706.6612</v>
      </c>
      <c r="I23" s="65">
        <v>-3338734606.0826502</v>
      </c>
      <c r="J23" s="65">
        <v>-3333400937.7540302</v>
      </c>
      <c r="K23" s="65"/>
      <c r="L23" s="65"/>
      <c r="M23" s="65"/>
      <c r="N23" s="65"/>
      <c r="O23" s="65"/>
    </row>
    <row r="24" spans="1:15">
      <c r="A24" s="61" t="s">
        <v>199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</row>
    <row r="25" spans="1:15">
      <c r="A25" s="61" t="s">
        <v>200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</row>
    <row r="26" spans="1:15">
      <c r="A26" s="61" t="s">
        <v>202</v>
      </c>
      <c r="B26" s="65">
        <v>1062721870.47936</v>
      </c>
      <c r="C26" s="65">
        <v>1127596457.42816</v>
      </c>
      <c r="D26" s="65">
        <v>1141503328.6099701</v>
      </c>
      <c r="E26" s="65">
        <v>1084445071.0989499</v>
      </c>
      <c r="F26" s="65">
        <v>1167236576.46103</v>
      </c>
      <c r="G26" s="65">
        <v>1099840962.51318</v>
      </c>
      <c r="H26" s="65">
        <v>1085979313.4098201</v>
      </c>
      <c r="I26" s="65">
        <v>1027752604.02504</v>
      </c>
      <c r="J26" s="65">
        <v>1059537668.68446</v>
      </c>
      <c r="K26" s="65"/>
      <c r="L26" s="65"/>
      <c r="M26" s="65"/>
      <c r="N26" s="65"/>
      <c r="O26" s="65"/>
    </row>
    <row r="27" spans="1:15">
      <c r="A27" s="61" t="s">
        <v>203</v>
      </c>
      <c r="B27" s="65">
        <v>145597808.38466299</v>
      </c>
      <c r="C27" s="65">
        <v>148529646.82759199</v>
      </c>
      <c r="D27" s="65">
        <v>148492630.50626099</v>
      </c>
      <c r="E27" s="65">
        <v>143274887.147533</v>
      </c>
      <c r="F27" s="65">
        <v>142781654.97028199</v>
      </c>
      <c r="G27" s="65">
        <v>140095820.127379</v>
      </c>
      <c r="H27" s="65">
        <v>135983614.37754101</v>
      </c>
      <c r="I27" s="65">
        <v>126992181.35486899</v>
      </c>
      <c r="J27" s="65">
        <v>126041514.70485701</v>
      </c>
      <c r="K27" s="65"/>
      <c r="L27" s="65"/>
      <c r="M27" s="65"/>
      <c r="N27" s="65"/>
      <c r="O27" s="65"/>
    </row>
    <row r="28" spans="1:15">
      <c r="A28" s="61" t="s">
        <v>204</v>
      </c>
      <c r="B28" s="65">
        <v>46606523.237887003</v>
      </c>
      <c r="C28" s="65">
        <v>44272736.906217001</v>
      </c>
      <c r="D28" s="65">
        <v>42827974.443464004</v>
      </c>
      <c r="E28" s="65">
        <v>42827974.443464004</v>
      </c>
      <c r="F28" s="65">
        <v>44544340.279454</v>
      </c>
      <c r="G28" s="65">
        <v>44392164.189999998</v>
      </c>
      <c r="H28" s="65">
        <v>44790975.143611997</v>
      </c>
      <c r="I28" s="65">
        <v>42669067.535928003</v>
      </c>
      <c r="J28" s="65">
        <v>42194656.462346002</v>
      </c>
      <c r="K28" s="65"/>
      <c r="L28" s="65"/>
      <c r="M28" s="65"/>
      <c r="N28" s="65"/>
      <c r="O28" s="65"/>
    </row>
    <row r="29" spans="1:15">
      <c r="A29" s="61" t="s">
        <v>205</v>
      </c>
      <c r="B29" s="65">
        <v>25776364.625358999</v>
      </c>
      <c r="C29" s="65">
        <v>24901785.636107001</v>
      </c>
      <c r="D29" s="65">
        <v>24760927.102423999</v>
      </c>
      <c r="E29" s="65">
        <v>24814064.433897998</v>
      </c>
      <c r="F29" s="65">
        <v>21865069.616533</v>
      </c>
      <c r="G29" s="65">
        <v>21241766.713465001</v>
      </c>
      <c r="H29" s="65">
        <v>22282423.508703999</v>
      </c>
      <c r="I29" s="65">
        <v>17780981.404602401</v>
      </c>
      <c r="J29" s="65">
        <v>17206262.619836401</v>
      </c>
      <c r="K29" s="65"/>
      <c r="L29" s="65"/>
      <c r="M29" s="65"/>
      <c r="N29" s="65"/>
      <c r="O29" s="65"/>
    </row>
    <row r="30" spans="1:15">
      <c r="A30" s="61" t="s">
        <v>206</v>
      </c>
      <c r="B30" s="65">
        <v>533734044.56948501</v>
      </c>
      <c r="C30" s="65">
        <v>595744682.66043198</v>
      </c>
      <c r="D30" s="65">
        <v>649377233.38662302</v>
      </c>
      <c r="E30" s="65">
        <v>585210287.06843102</v>
      </c>
      <c r="F30" s="65">
        <v>648998061.18287396</v>
      </c>
      <c r="G30" s="65">
        <v>650358229.72385001</v>
      </c>
      <c r="H30" s="65">
        <v>612360329.47302306</v>
      </c>
      <c r="I30" s="65">
        <v>616007569.30767202</v>
      </c>
      <c r="J30" s="65">
        <v>580111070.34406698</v>
      </c>
      <c r="K30" s="65"/>
      <c r="L30" s="65"/>
      <c r="M30" s="65"/>
      <c r="N30" s="65"/>
      <c r="O30" s="65"/>
    </row>
    <row r="31" spans="1:15">
      <c r="A31" s="61" t="s">
        <v>207</v>
      </c>
      <c r="B31" s="65">
        <v>229946376.17006999</v>
      </c>
      <c r="C31" s="65">
        <v>202705484.89144999</v>
      </c>
      <c r="D31" s="65">
        <v>189277687.12970999</v>
      </c>
      <c r="E31" s="65">
        <v>184060348.87693</v>
      </c>
      <c r="F31" s="65">
        <v>177358001.85003</v>
      </c>
      <c r="G31" s="65">
        <v>171435149.18204999</v>
      </c>
      <c r="H31" s="65">
        <v>187055845.59899101</v>
      </c>
      <c r="I31" s="65">
        <v>158675730.19145</v>
      </c>
      <c r="J31" s="65">
        <v>150244254.24044001</v>
      </c>
      <c r="K31" s="65"/>
      <c r="L31" s="65"/>
      <c r="M31" s="65"/>
      <c r="N31" s="65"/>
      <c r="O31" s="65"/>
    </row>
    <row r="32" spans="1:15">
      <c r="A32" s="61" t="s">
        <v>208</v>
      </c>
      <c r="B32" s="65">
        <v>453966994.65147799</v>
      </c>
      <c r="C32" s="65">
        <v>522252782.39703703</v>
      </c>
      <c r="D32" s="65">
        <v>520846285.88268799</v>
      </c>
      <c r="E32" s="65">
        <v>517196140.44315398</v>
      </c>
      <c r="F32" s="65">
        <v>514584113.84403402</v>
      </c>
      <c r="G32" s="65">
        <v>525422088.436257</v>
      </c>
      <c r="H32" s="65">
        <v>526801268.03769398</v>
      </c>
      <c r="I32" s="65">
        <v>526480400.14203298</v>
      </c>
      <c r="J32" s="65">
        <v>551197165.03208899</v>
      </c>
      <c r="K32" s="65"/>
      <c r="L32" s="65"/>
      <c r="M32" s="65"/>
      <c r="N32" s="65"/>
      <c r="O32" s="65"/>
    </row>
    <row r="33" spans="1:15">
      <c r="A33" s="61" t="s">
        <v>209</v>
      </c>
      <c r="B33" s="65">
        <v>281301390.60782599</v>
      </c>
      <c r="C33" s="65">
        <v>290396543.42187202</v>
      </c>
      <c r="D33" s="65">
        <v>291105457.93735403</v>
      </c>
      <c r="E33" s="65">
        <v>262993110.12036201</v>
      </c>
      <c r="F33" s="65">
        <v>261720026.66422799</v>
      </c>
      <c r="G33" s="65">
        <v>256164160.47507799</v>
      </c>
      <c r="H33" s="65">
        <v>256321875.56824699</v>
      </c>
      <c r="I33" s="65">
        <v>192390185.10828301</v>
      </c>
      <c r="J33" s="65">
        <v>201365554.602157</v>
      </c>
      <c r="K33" s="65"/>
      <c r="L33" s="65"/>
      <c r="M33" s="65"/>
      <c r="N33" s="65"/>
      <c r="O33" s="65"/>
    </row>
    <row r="34" spans="1:15">
      <c r="A34" s="61" t="s">
        <v>210</v>
      </c>
      <c r="B34" s="65">
        <v>612904129.57975805</v>
      </c>
      <c r="C34" s="65">
        <v>663631226.77482104</v>
      </c>
      <c r="D34" s="65">
        <v>662947827.05816698</v>
      </c>
      <c r="E34" s="65">
        <v>634360476.17625594</v>
      </c>
      <c r="F34" s="65">
        <v>630204060.15000904</v>
      </c>
      <c r="G34" s="65">
        <v>469308843.45764798</v>
      </c>
      <c r="H34" s="65">
        <v>471676349.90369999</v>
      </c>
      <c r="I34" s="65">
        <v>453220157.24774301</v>
      </c>
      <c r="J34" s="65">
        <v>557292275.43878901</v>
      </c>
      <c r="K34" s="65"/>
      <c r="L34" s="65"/>
      <c r="M34" s="65"/>
      <c r="N34" s="65"/>
      <c r="O34" s="65"/>
    </row>
    <row r="35" spans="1:15">
      <c r="A35" s="61" t="s">
        <v>211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</row>
    <row r="36" spans="1:15">
      <c r="A36" s="61" t="s">
        <v>212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</row>
    <row r="37" spans="1:15">
      <c r="A37" s="61" t="s">
        <v>214</v>
      </c>
      <c r="B37" s="65">
        <v>-399372729.188402</v>
      </c>
      <c r="C37" s="65">
        <v>-394020354.55264401</v>
      </c>
      <c r="D37" s="65">
        <v>-399216915.91286403</v>
      </c>
      <c r="E37" s="65">
        <v>-387059992.72021598</v>
      </c>
      <c r="F37" s="65">
        <v>-402678414.28535998</v>
      </c>
      <c r="G37" s="65">
        <v>-389005714.91345102</v>
      </c>
      <c r="H37" s="65">
        <v>-382217274.58090699</v>
      </c>
      <c r="I37" s="65">
        <v>-366364313.713889</v>
      </c>
      <c r="J37" s="65">
        <v>-366866659.18037999</v>
      </c>
      <c r="K37" s="65"/>
      <c r="L37" s="65"/>
      <c r="M37" s="65"/>
      <c r="N37" s="65"/>
      <c r="O37" s="65"/>
    </row>
    <row r="38" spans="1:15">
      <c r="A38" s="61" t="s">
        <v>215</v>
      </c>
      <c r="B38" s="65">
        <v>-59391360</v>
      </c>
      <c r="C38" s="65">
        <v>-58526707</v>
      </c>
      <c r="D38" s="65">
        <v>-57726619.393665098</v>
      </c>
      <c r="E38" s="65">
        <v>-63771205</v>
      </c>
      <c r="F38" s="65">
        <v>-52965707</v>
      </c>
      <c r="G38" s="65">
        <v>-51873385</v>
      </c>
      <c r="H38" s="65">
        <v>-51554770.289387099</v>
      </c>
      <c r="I38" s="65">
        <v>-49803251</v>
      </c>
      <c r="J38" s="65">
        <v>-48971457.967633702</v>
      </c>
      <c r="K38" s="65"/>
      <c r="L38" s="65"/>
      <c r="M38" s="65"/>
      <c r="N38" s="65"/>
      <c r="O38" s="65"/>
    </row>
    <row r="39" spans="1:15">
      <c r="A39" s="61" t="s">
        <v>216</v>
      </c>
      <c r="B39" s="65">
        <v>-17279691.554120801</v>
      </c>
      <c r="C39" s="65">
        <v>-15759611.253217399</v>
      </c>
      <c r="D39" s="65">
        <v>-19648119.581058599</v>
      </c>
      <c r="E39" s="65">
        <v>-19648119.581058599</v>
      </c>
      <c r="F39" s="65">
        <v>-17670543.3518827</v>
      </c>
      <c r="G39" s="65">
        <v>-17866373.140000001</v>
      </c>
      <c r="H39" s="65">
        <v>-17738175.615935002</v>
      </c>
      <c r="I39" s="65">
        <v>-16803922.890176199</v>
      </c>
      <c r="J39" s="65">
        <v>-17164520.8040151</v>
      </c>
      <c r="K39" s="65"/>
      <c r="L39" s="65"/>
      <c r="M39" s="65"/>
      <c r="N39" s="65"/>
      <c r="O39" s="65"/>
    </row>
    <row r="40" spans="1:15">
      <c r="A40" s="61" t="s">
        <v>217</v>
      </c>
      <c r="B40" s="65">
        <v>-11875921.296793001</v>
      </c>
      <c r="C40" s="65">
        <v>-11568291.6793149</v>
      </c>
      <c r="D40" s="65">
        <v>-11792165.9186399</v>
      </c>
      <c r="E40" s="65">
        <v>-11680878.855525499</v>
      </c>
      <c r="F40" s="65">
        <v>-10083156.794283601</v>
      </c>
      <c r="G40" s="65">
        <v>-10168393.187555199</v>
      </c>
      <c r="H40" s="65">
        <v>-10082595.675092001</v>
      </c>
      <c r="I40" s="65">
        <v>-9279606.0842716992</v>
      </c>
      <c r="J40" s="65">
        <v>-9162225.4770909604</v>
      </c>
      <c r="K40" s="65"/>
      <c r="L40" s="65"/>
      <c r="M40" s="65"/>
      <c r="N40" s="65"/>
      <c r="O40" s="65"/>
    </row>
    <row r="41" spans="1:15">
      <c r="A41" s="61" t="s">
        <v>218</v>
      </c>
      <c r="B41" s="65">
        <v>-268653317.174712</v>
      </c>
      <c r="C41" s="65">
        <v>-278906561.12232101</v>
      </c>
      <c r="D41" s="65">
        <v>-286926669.54651302</v>
      </c>
      <c r="E41" s="65">
        <v>-267471323.793145</v>
      </c>
      <c r="F41" s="65">
        <v>-277165920.72685701</v>
      </c>
      <c r="G41" s="65">
        <v>-278489690.54056501</v>
      </c>
      <c r="H41" s="65">
        <v>-254570395.39952299</v>
      </c>
      <c r="I41" s="65">
        <v>-253969551.51277399</v>
      </c>
      <c r="J41" s="65">
        <v>-253872204.45673499</v>
      </c>
      <c r="K41" s="65"/>
      <c r="L41" s="65"/>
      <c r="M41" s="65"/>
      <c r="N41" s="65"/>
      <c r="O41" s="65"/>
    </row>
    <row r="42" spans="1:15">
      <c r="A42" s="61" t="s">
        <v>219</v>
      </c>
      <c r="B42" s="65">
        <v>-117838189.248004</v>
      </c>
      <c r="C42" s="65">
        <v>-105525315.168446</v>
      </c>
      <c r="D42" s="65">
        <v>-101624822.47498199</v>
      </c>
      <c r="E42" s="65">
        <v>-97496881.604013607</v>
      </c>
      <c r="F42" s="65">
        <v>-95782797.103348106</v>
      </c>
      <c r="G42" s="65">
        <v>-93805553.9788941</v>
      </c>
      <c r="H42" s="65">
        <v>-107209500.691825</v>
      </c>
      <c r="I42" s="65">
        <v>-89409224.9540077</v>
      </c>
      <c r="J42" s="65">
        <v>-87317174.643370897</v>
      </c>
      <c r="K42" s="65"/>
      <c r="L42" s="65"/>
      <c r="M42" s="65"/>
      <c r="N42" s="65"/>
      <c r="O42" s="65"/>
    </row>
    <row r="43" spans="1:15">
      <c r="A43" s="61" t="s">
        <v>220</v>
      </c>
      <c r="B43" s="65">
        <v>-127012524.914094</v>
      </c>
      <c r="C43" s="65">
        <v>-128002056.355323</v>
      </c>
      <c r="D43" s="65">
        <v>-128093593.372072</v>
      </c>
      <c r="E43" s="65">
        <v>-118466970.716998</v>
      </c>
      <c r="F43" s="65">
        <v>-117738827.76614299</v>
      </c>
      <c r="G43" s="65">
        <v>-107571805.49907701</v>
      </c>
      <c r="H43" s="65">
        <v>-107860418.526042</v>
      </c>
      <c r="I43" s="65">
        <v>-107606148.734697</v>
      </c>
      <c r="J43" s="65">
        <v>-107697953.819729</v>
      </c>
      <c r="K43" s="65"/>
      <c r="L43" s="65"/>
      <c r="M43" s="65"/>
      <c r="N43" s="65"/>
      <c r="O43" s="65"/>
    </row>
    <row r="44" spans="1:15">
      <c r="A44" s="61" t="s">
        <v>221</v>
      </c>
      <c r="B44" s="65">
        <v>-66667102.5722863</v>
      </c>
      <c r="C44" s="65">
        <v>-65465154.927416801</v>
      </c>
      <c r="D44" s="65">
        <v>-65537567.654699899</v>
      </c>
      <c r="E44" s="65">
        <v>-61076576.689521</v>
      </c>
      <c r="F44" s="65">
        <v>-60717293.725619897</v>
      </c>
      <c r="G44" s="65">
        <v>-58905952.475617498</v>
      </c>
      <c r="H44" s="65">
        <v>-59005597.227347702</v>
      </c>
      <c r="I44" s="65">
        <v>-53116027.462982498</v>
      </c>
      <c r="J44" s="65">
        <v>-54669086.803709</v>
      </c>
      <c r="K44" s="65"/>
      <c r="L44" s="65"/>
      <c r="M44" s="65"/>
      <c r="N44" s="65"/>
      <c r="O44" s="65"/>
    </row>
    <row r="45" spans="1:15">
      <c r="A45" s="61" t="s">
        <v>222</v>
      </c>
      <c r="B45" s="65">
        <v>-196893256.93462399</v>
      </c>
      <c r="C45" s="65">
        <v>-192515273.97677201</v>
      </c>
      <c r="D45" s="65">
        <v>-192942374.50048301</v>
      </c>
      <c r="E45" s="65">
        <v>-185387720.40540099</v>
      </c>
      <c r="F45" s="65">
        <v>-184201198.344302</v>
      </c>
      <c r="G45" s="65">
        <v>-164348483.835446</v>
      </c>
      <c r="H45" s="65">
        <v>-164815821.806615</v>
      </c>
      <c r="I45" s="65">
        <v>-158600493.80594799</v>
      </c>
      <c r="J45" s="65">
        <v>-161896666.491373</v>
      </c>
      <c r="K45" s="65"/>
      <c r="L45" s="65"/>
      <c r="M45" s="65"/>
      <c r="N45" s="65"/>
      <c r="O45" s="65"/>
    </row>
    <row r="46" spans="1:15">
      <c r="A46" s="61" t="s">
        <v>223</v>
      </c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</row>
    <row r="47" spans="1:15">
      <c r="A47" s="61" t="s">
        <v>224</v>
      </c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</row>
    <row r="48" spans="1:15">
      <c r="A48" s="61" t="s">
        <v>226</v>
      </c>
      <c r="B48" s="65">
        <v>425013.897618527</v>
      </c>
      <c r="C48" s="65">
        <v>333820.30035434</v>
      </c>
      <c r="D48" s="65">
        <v>341780.76206553302</v>
      </c>
      <c r="E48" s="65">
        <v>94976.754243656498</v>
      </c>
      <c r="F48" s="65">
        <v>96061.049982288401</v>
      </c>
      <c r="G48" s="65">
        <v>16277.7134885088</v>
      </c>
      <c r="H48" s="65">
        <v>20779.343938781101</v>
      </c>
      <c r="I48" s="65">
        <v>19605.6103519024</v>
      </c>
      <c r="J48" s="65">
        <v>18490.117411338098</v>
      </c>
      <c r="K48" s="65"/>
      <c r="L48" s="65"/>
      <c r="M48" s="65"/>
      <c r="N48" s="65"/>
      <c r="O48" s="65"/>
    </row>
    <row r="49" spans="1:15">
      <c r="A49" s="61" t="s">
        <v>227</v>
      </c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</row>
    <row r="50" spans="1:15">
      <c r="A50" s="61" t="s">
        <v>228</v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</row>
    <row r="51" spans="1:15">
      <c r="A51" s="61" t="s">
        <v>229</v>
      </c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</row>
    <row r="52" spans="1:15">
      <c r="A52" s="61" t="s">
        <v>230</v>
      </c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</row>
    <row r="53" spans="1:15">
      <c r="A53" s="61" t="s">
        <v>231</v>
      </c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</row>
    <row r="54" spans="1:15">
      <c r="A54" s="61" t="s">
        <v>232</v>
      </c>
      <c r="B54" s="65">
        <v>1059121.4603170599</v>
      </c>
      <c r="C54" s="65">
        <v>847545.15542409697</v>
      </c>
      <c r="D54" s="65">
        <v>865383.45485217799</v>
      </c>
      <c r="E54" s="65">
        <v>236751.826139888</v>
      </c>
      <c r="F54" s="65">
        <v>238123.404646754</v>
      </c>
      <c r="G54" s="65">
        <v>30456.346592051901</v>
      </c>
      <c r="H54" s="65">
        <v>31010.577573677401</v>
      </c>
      <c r="I54" s="65">
        <v>31010.577573677401</v>
      </c>
      <c r="J54" s="65">
        <v>30531.759099662799</v>
      </c>
      <c r="K54" s="65"/>
      <c r="L54" s="65"/>
      <c r="M54" s="65"/>
      <c r="N54" s="65"/>
      <c r="O54" s="65"/>
    </row>
    <row r="55" spans="1:15">
      <c r="A55" s="61" t="s">
        <v>233</v>
      </c>
      <c r="B55" s="65">
        <v>23100.103299145401</v>
      </c>
      <c r="C55" s="65">
        <v>15268.465031645401</v>
      </c>
      <c r="D55" s="65">
        <v>15378.389881545399</v>
      </c>
      <c r="E55" s="65">
        <v>15997.6790391454</v>
      </c>
      <c r="F55" s="65">
        <v>16069.039878859699</v>
      </c>
      <c r="G55" s="65">
        <v>16506.4637549902</v>
      </c>
      <c r="H55" s="65">
        <v>16520.7173021038</v>
      </c>
      <c r="I55" s="65">
        <v>18003.448306078499</v>
      </c>
      <c r="J55" s="65">
        <v>15693.5344286825</v>
      </c>
      <c r="K55" s="65"/>
      <c r="L55" s="65"/>
      <c r="M55" s="65"/>
      <c r="N55" s="65"/>
      <c r="O55" s="65"/>
    </row>
    <row r="56" spans="1:15">
      <c r="A56" s="61" t="s">
        <v>234</v>
      </c>
      <c r="B56" s="65">
        <v>-19686.819569892301</v>
      </c>
      <c r="C56" s="65">
        <v>-28262.8695698923</v>
      </c>
      <c r="D56" s="65">
        <v>-26309.9395698923</v>
      </c>
      <c r="E56" s="65">
        <v>-15307.6195698923</v>
      </c>
      <c r="F56" s="65">
        <v>-14039.819569892299</v>
      </c>
      <c r="G56" s="65">
        <v>-6268.5266257699996</v>
      </c>
      <c r="H56" s="65">
        <v>4417.0649711714996</v>
      </c>
      <c r="I56" s="65">
        <v>0</v>
      </c>
      <c r="J56" s="65">
        <v>0</v>
      </c>
      <c r="K56" s="65"/>
      <c r="L56" s="65"/>
      <c r="M56" s="65"/>
      <c r="N56" s="65"/>
      <c r="O56" s="65"/>
    </row>
    <row r="57" spans="1:15">
      <c r="A57" s="61" t="s">
        <v>235</v>
      </c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</row>
    <row r="58" spans="1:15">
      <c r="A58" s="61" t="s">
        <v>236</v>
      </c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</row>
    <row r="59" spans="1:15">
      <c r="A59" s="61" t="s">
        <v>238</v>
      </c>
      <c r="B59" s="65">
        <v>663774155.18857396</v>
      </c>
      <c r="C59" s="65">
        <v>733909923.17587197</v>
      </c>
      <c r="D59" s="65">
        <v>742628193.45916903</v>
      </c>
      <c r="E59" s="65">
        <v>697480055.13297606</v>
      </c>
      <c r="F59" s="65">
        <v>764654223.225649</v>
      </c>
      <c r="G59" s="65">
        <v>710851525.31322002</v>
      </c>
      <c r="H59" s="65">
        <v>703782818.17285299</v>
      </c>
      <c r="I59" s="65">
        <v>661407895.92150199</v>
      </c>
      <c r="J59" s="65">
        <v>692689499.62149405</v>
      </c>
      <c r="K59" s="65"/>
      <c r="L59" s="65"/>
      <c r="M59" s="65"/>
      <c r="N59" s="65"/>
      <c r="O59" s="65"/>
    </row>
    <row r="60" spans="1:15">
      <c r="A60" s="61" t="s">
        <v>239</v>
      </c>
      <c r="B60" s="65">
        <v>86206448.384663001</v>
      </c>
      <c r="C60" s="65">
        <v>90002939.827592</v>
      </c>
      <c r="D60" s="65">
        <v>90766011.112595901</v>
      </c>
      <c r="E60" s="65">
        <v>79503682.147533</v>
      </c>
      <c r="F60" s="65">
        <v>89815947.970282093</v>
      </c>
      <c r="G60" s="65">
        <v>88222435.127379</v>
      </c>
      <c r="H60" s="65">
        <v>84428844.088153899</v>
      </c>
      <c r="I60" s="65">
        <v>77188930.354868993</v>
      </c>
      <c r="J60" s="65">
        <v>77070056.737223506</v>
      </c>
      <c r="K60" s="65"/>
      <c r="L60" s="65"/>
      <c r="M60" s="65"/>
      <c r="N60" s="65"/>
      <c r="O60" s="65"/>
    </row>
    <row r="61" spans="1:15">
      <c r="A61" s="61" t="s">
        <v>240</v>
      </c>
      <c r="B61" s="65">
        <v>29326831.683766201</v>
      </c>
      <c r="C61" s="65">
        <v>28513125.652999599</v>
      </c>
      <c r="D61" s="65">
        <v>23179854.862405401</v>
      </c>
      <c r="E61" s="65">
        <v>23179854.862405401</v>
      </c>
      <c r="F61" s="65">
        <v>26873796.9275713</v>
      </c>
      <c r="G61" s="65">
        <v>26525791.050000001</v>
      </c>
      <c r="H61" s="65">
        <v>27052799.527677</v>
      </c>
      <c r="I61" s="65">
        <v>25865144.6457518</v>
      </c>
      <c r="J61" s="65">
        <v>25030135.658330899</v>
      </c>
      <c r="K61" s="65"/>
      <c r="L61" s="65"/>
      <c r="M61" s="65"/>
      <c r="N61" s="65"/>
      <c r="O61" s="65"/>
    </row>
    <row r="62" spans="1:15">
      <c r="A62" s="61" t="s">
        <v>241</v>
      </c>
      <c r="B62" s="65">
        <v>13900443.328566</v>
      </c>
      <c r="C62" s="65">
        <v>13333493.956792099</v>
      </c>
      <c r="D62" s="65">
        <v>12968761.183784099</v>
      </c>
      <c r="E62" s="65">
        <v>13133185.578372501</v>
      </c>
      <c r="F62" s="65">
        <v>11781912.822249399</v>
      </c>
      <c r="G62" s="65">
        <v>11073373.5259098</v>
      </c>
      <c r="H62" s="65">
        <v>12199827.833612001</v>
      </c>
      <c r="I62" s="65">
        <v>8501375.3203306906</v>
      </c>
      <c r="J62" s="65">
        <v>8044037.1427454799</v>
      </c>
      <c r="K62" s="65"/>
      <c r="L62" s="65"/>
      <c r="M62" s="65"/>
      <c r="N62" s="65"/>
      <c r="O62" s="65"/>
    </row>
    <row r="63" spans="1:15">
      <c r="A63" s="61" t="s">
        <v>242</v>
      </c>
      <c r="B63" s="65">
        <v>265080727.39477301</v>
      </c>
      <c r="C63" s="65">
        <v>316838121.53811097</v>
      </c>
      <c r="D63" s="65">
        <v>362450563.84011</v>
      </c>
      <c r="E63" s="65">
        <v>317738963.27528602</v>
      </c>
      <c r="F63" s="65">
        <v>371832140.45601702</v>
      </c>
      <c r="G63" s="65">
        <v>371868539.183285</v>
      </c>
      <c r="H63" s="65">
        <v>357789934.07349998</v>
      </c>
      <c r="I63" s="65">
        <v>362038017.79489797</v>
      </c>
      <c r="J63" s="65">
        <v>326238865.88733202</v>
      </c>
      <c r="K63" s="65"/>
      <c r="L63" s="65"/>
      <c r="M63" s="65"/>
      <c r="N63" s="65"/>
      <c r="O63" s="65"/>
    </row>
    <row r="64" spans="1:15">
      <c r="A64" s="61" t="s">
        <v>243</v>
      </c>
      <c r="B64" s="65">
        <v>112108186.922066</v>
      </c>
      <c r="C64" s="65">
        <v>97180169.723003894</v>
      </c>
      <c r="D64" s="65">
        <v>87652864.654728204</v>
      </c>
      <c r="E64" s="65">
        <v>86563467.272916496</v>
      </c>
      <c r="F64" s="65">
        <v>81575204.746681795</v>
      </c>
      <c r="G64" s="65">
        <v>77629595.203155994</v>
      </c>
      <c r="H64" s="65">
        <v>79846344.907166198</v>
      </c>
      <c r="I64" s="65">
        <v>69266505.2374423</v>
      </c>
      <c r="J64" s="65">
        <v>62927079.5970691</v>
      </c>
      <c r="K64" s="65"/>
      <c r="L64" s="65"/>
      <c r="M64" s="65"/>
      <c r="N64" s="65"/>
      <c r="O64" s="65"/>
    </row>
    <row r="65" spans="1:15">
      <c r="A65" s="61" t="s">
        <v>244</v>
      </c>
      <c r="B65" s="65">
        <v>328013591.19770098</v>
      </c>
      <c r="C65" s="65">
        <v>395098271.19713801</v>
      </c>
      <c r="D65" s="65">
        <v>393618075.96546799</v>
      </c>
      <c r="E65" s="65">
        <v>398965921.552297</v>
      </c>
      <c r="F65" s="65">
        <v>397083409.48253798</v>
      </c>
      <c r="G65" s="65">
        <v>417880739.28377199</v>
      </c>
      <c r="H65" s="65">
        <v>418971860.08922601</v>
      </c>
      <c r="I65" s="65">
        <v>418905261.984909</v>
      </c>
      <c r="J65" s="65">
        <v>443529742.97145998</v>
      </c>
      <c r="K65" s="65"/>
      <c r="L65" s="65"/>
      <c r="M65" s="65"/>
      <c r="N65" s="65"/>
      <c r="O65" s="65"/>
    </row>
    <row r="66" spans="1:15">
      <c r="A66" s="61" t="s">
        <v>245</v>
      </c>
      <c r="B66" s="65">
        <v>214657388.13883901</v>
      </c>
      <c r="C66" s="65">
        <v>224946656.95948699</v>
      </c>
      <c r="D66" s="65">
        <v>225583268.672535</v>
      </c>
      <c r="E66" s="65">
        <v>201932531.10988</v>
      </c>
      <c r="F66" s="65">
        <v>201018801.97848701</v>
      </c>
      <c r="G66" s="65">
        <v>197274714.46321601</v>
      </c>
      <c r="H66" s="65">
        <v>197332799.05820099</v>
      </c>
      <c r="I66" s="65">
        <v>139292161.093606</v>
      </c>
      <c r="J66" s="65">
        <v>146712161.33287701</v>
      </c>
      <c r="K66" s="65"/>
      <c r="L66" s="65"/>
      <c r="M66" s="65"/>
      <c r="N66" s="65"/>
      <c r="O66" s="65"/>
    </row>
    <row r="67" spans="1:15">
      <c r="A67" s="61" t="s">
        <v>246</v>
      </c>
      <c r="B67" s="65">
        <v>415991185.82556403</v>
      </c>
      <c r="C67" s="65">
        <v>471087689.92848003</v>
      </c>
      <c r="D67" s="65">
        <v>469979142.61811399</v>
      </c>
      <c r="E67" s="65">
        <v>448957448.15128499</v>
      </c>
      <c r="F67" s="65">
        <v>445988821.98613697</v>
      </c>
      <c r="G67" s="65">
        <v>304954091.095577</v>
      </c>
      <c r="H67" s="65">
        <v>306864945.16205698</v>
      </c>
      <c r="I67" s="65">
        <v>294619663.44179499</v>
      </c>
      <c r="J67" s="65">
        <v>395395608.94741601</v>
      </c>
      <c r="K67" s="65"/>
      <c r="L67" s="65"/>
      <c r="M67" s="65"/>
      <c r="N67" s="65"/>
      <c r="O67" s="65"/>
    </row>
    <row r="68" spans="1:15">
      <c r="A68" s="61" t="s">
        <v>247</v>
      </c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</row>
    <row r="69" spans="1:15">
      <c r="A69" s="61" t="s">
        <v>248</v>
      </c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</row>
    <row r="70" spans="1:15">
      <c r="A70" s="61" t="s">
        <v>250</v>
      </c>
      <c r="B70" s="65">
        <v>114454215.205596</v>
      </c>
      <c r="C70" s="65">
        <v>157067373.07816401</v>
      </c>
      <c r="D70" s="65">
        <v>155390445.079382</v>
      </c>
      <c r="E70" s="65">
        <v>145595637.31080899</v>
      </c>
      <c r="F70" s="65">
        <v>149914199.28706601</v>
      </c>
      <c r="G70" s="65">
        <v>148659210.287002</v>
      </c>
      <c r="H70" s="65">
        <v>150651256.46773201</v>
      </c>
      <c r="I70" s="65">
        <v>148490161.36539599</v>
      </c>
      <c r="J70" s="65">
        <v>149157014.76101899</v>
      </c>
      <c r="K70" s="65"/>
      <c r="L70" s="65"/>
      <c r="M70" s="65"/>
      <c r="N70" s="65"/>
      <c r="O70" s="65"/>
    </row>
    <row r="71" spans="1:15">
      <c r="A71" s="61" t="s">
        <v>251</v>
      </c>
      <c r="B71" s="65">
        <v>1800869</v>
      </c>
      <c r="C71" s="65">
        <v>1800869</v>
      </c>
      <c r="D71" s="65">
        <v>1800869</v>
      </c>
      <c r="E71" s="65">
        <v>1800869</v>
      </c>
      <c r="F71" s="65">
        <v>1800869</v>
      </c>
      <c r="G71" s="65">
        <v>1800869</v>
      </c>
      <c r="H71" s="65">
        <v>1800874</v>
      </c>
      <c r="I71" s="65">
        <v>1798241.4196757099</v>
      </c>
      <c r="J71" s="65">
        <v>1798241.4196757099</v>
      </c>
      <c r="K71" s="65"/>
      <c r="L71" s="65"/>
      <c r="M71" s="65"/>
      <c r="N71" s="65"/>
      <c r="O71" s="65"/>
    </row>
    <row r="72" spans="1:15">
      <c r="A72" s="61" t="s">
        <v>252</v>
      </c>
      <c r="B72" s="65">
        <v>1834287.56</v>
      </c>
      <c r="C72" s="65">
        <v>1834287.56</v>
      </c>
      <c r="D72" s="65">
        <v>1524528.19</v>
      </c>
      <c r="E72" s="65">
        <v>1524528.19</v>
      </c>
      <c r="F72" s="65">
        <v>1195164.6100000001</v>
      </c>
      <c r="G72" s="65">
        <v>1216098</v>
      </c>
      <c r="H72" s="65">
        <v>1226912</v>
      </c>
      <c r="I72" s="65">
        <v>1237387</v>
      </c>
      <c r="J72" s="65">
        <v>1275685.3799999999</v>
      </c>
      <c r="K72" s="65"/>
      <c r="L72" s="65"/>
      <c r="M72" s="65"/>
      <c r="N72" s="65"/>
      <c r="O72" s="65"/>
    </row>
    <row r="73" spans="1:15">
      <c r="A73" s="61" t="s">
        <v>253</v>
      </c>
      <c r="B73" s="65">
        <v>204004.9</v>
      </c>
      <c r="C73" s="65">
        <v>199500.68</v>
      </c>
      <c r="D73" s="65">
        <v>137171.82999999999</v>
      </c>
      <c r="E73" s="65">
        <v>140691.43111111099</v>
      </c>
      <c r="F73" s="65">
        <v>115849.387777778</v>
      </c>
      <c r="G73" s="65">
        <v>116476.35888888899</v>
      </c>
      <c r="H73" s="65">
        <v>118233.26</v>
      </c>
      <c r="I73" s="65">
        <v>119559.28111111101</v>
      </c>
      <c r="J73" s="65">
        <v>121406.18222222201</v>
      </c>
      <c r="K73" s="65"/>
      <c r="L73" s="65"/>
      <c r="M73" s="65"/>
      <c r="N73" s="65"/>
      <c r="O73" s="65"/>
    </row>
    <row r="74" spans="1:15">
      <c r="A74" s="61" t="s">
        <v>254</v>
      </c>
      <c r="B74" s="65">
        <v>-42709105.095038697</v>
      </c>
      <c r="C74" s="65">
        <v>44416308.909360297</v>
      </c>
      <c r="D74" s="65">
        <v>41135241.092365101</v>
      </c>
      <c r="E74" s="65">
        <v>36808981.9452549</v>
      </c>
      <c r="F74" s="65">
        <v>40221445.898630701</v>
      </c>
      <c r="G74" s="65">
        <v>40817627.589071497</v>
      </c>
      <c r="H74" s="65">
        <v>40580941.829474598</v>
      </c>
      <c r="I74" s="65">
        <v>40565189.369291998</v>
      </c>
      <c r="J74" s="65">
        <v>41455644.856770702</v>
      </c>
      <c r="K74" s="65"/>
      <c r="L74" s="65"/>
      <c r="M74" s="65"/>
      <c r="N74" s="65"/>
      <c r="O74" s="65"/>
    </row>
    <row r="75" spans="1:15">
      <c r="A75" s="61" t="s">
        <v>255</v>
      </c>
      <c r="B75" s="65">
        <v>6706024.0159096001</v>
      </c>
      <c r="C75" s="65">
        <v>6706024.0159096001</v>
      </c>
      <c r="D75" s="65">
        <v>6585584.2417747704</v>
      </c>
      <c r="E75" s="65">
        <v>6694527.8385352697</v>
      </c>
      <c r="F75" s="65">
        <v>6811063.3932169499</v>
      </c>
      <c r="G75" s="65">
        <v>7057706.8541864399</v>
      </c>
      <c r="H75" s="65">
        <v>11694302.509207301</v>
      </c>
      <c r="I75" s="65">
        <v>6609282.8282135604</v>
      </c>
      <c r="J75" s="65">
        <v>6609282.8282135604</v>
      </c>
      <c r="K75" s="65"/>
      <c r="L75" s="65"/>
      <c r="M75" s="65"/>
      <c r="N75" s="65"/>
      <c r="O75" s="65"/>
    </row>
    <row r="76" spans="1:15">
      <c r="A76" s="61" t="s">
        <v>256</v>
      </c>
      <c r="B76" s="65">
        <v>91009696.209976703</v>
      </c>
      <c r="C76" s="65">
        <v>102318188.683175</v>
      </c>
      <c r="D76" s="65">
        <v>102206193.85083801</v>
      </c>
      <c r="E76" s="65">
        <v>89615187.643577203</v>
      </c>
      <c r="F76" s="65">
        <v>89048303.631944999</v>
      </c>
      <c r="G76" s="65">
        <v>91829211.466054007</v>
      </c>
      <c r="H76" s="65">
        <v>91978071.130792394</v>
      </c>
      <c r="I76" s="65">
        <v>91679832.253590405</v>
      </c>
      <c r="J76" s="65">
        <v>90824912.502499893</v>
      </c>
      <c r="K76" s="65"/>
      <c r="L76" s="65"/>
      <c r="M76" s="65"/>
      <c r="N76" s="65"/>
      <c r="O76" s="65"/>
    </row>
    <row r="77" spans="1:15">
      <c r="A77" s="61" t="s">
        <v>257</v>
      </c>
      <c r="B77" s="65">
        <v>52689166.04157</v>
      </c>
      <c r="C77" s="65">
        <v>55578928.703347899</v>
      </c>
      <c r="D77" s="65">
        <v>55598149.067816697</v>
      </c>
      <c r="E77" s="65">
        <v>54003164.4761554</v>
      </c>
      <c r="F77" s="65">
        <v>53663224.454191603</v>
      </c>
      <c r="G77" s="65">
        <v>52455728.956023999</v>
      </c>
      <c r="H77" s="65">
        <v>52553730.216280296</v>
      </c>
      <c r="I77" s="65">
        <v>52841908.971876301</v>
      </c>
      <c r="J77" s="65">
        <v>53206792.765878297</v>
      </c>
      <c r="K77" s="65"/>
      <c r="L77" s="65"/>
      <c r="M77" s="65"/>
      <c r="N77" s="65"/>
      <c r="O77" s="65"/>
    </row>
    <row r="78" spans="1:15">
      <c r="A78" s="61" t="s">
        <v>258</v>
      </c>
      <c r="B78" s="65">
        <v>168841853.19157299</v>
      </c>
      <c r="C78" s="65">
        <v>174062339.28361899</v>
      </c>
      <c r="D78" s="65">
        <v>174294521.895661</v>
      </c>
      <c r="E78" s="65">
        <v>168202009.82072401</v>
      </c>
      <c r="F78" s="65">
        <v>167206391.870579</v>
      </c>
      <c r="G78" s="65">
        <v>161449735.557679</v>
      </c>
      <c r="H78" s="65">
        <v>161810811.87620601</v>
      </c>
      <c r="I78" s="65">
        <v>161499923.396227</v>
      </c>
      <c r="J78" s="65">
        <v>162443660.28024799</v>
      </c>
      <c r="K78" s="65"/>
      <c r="L78" s="65"/>
      <c r="M78" s="65"/>
      <c r="N78" s="65"/>
      <c r="O78" s="65"/>
    </row>
    <row r="79" spans="1:15">
      <c r="A79" s="61" t="s">
        <v>259</v>
      </c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</row>
    <row r="80" spans="1:15">
      <c r="A80" s="61" t="s">
        <v>260</v>
      </c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</row>
    <row r="81" spans="1:15">
      <c r="A81" s="61" t="s">
        <v>262</v>
      </c>
      <c r="B81" s="65">
        <v>778228370.394171</v>
      </c>
      <c r="C81" s="65">
        <v>890977296.25403595</v>
      </c>
      <c r="D81" s="65">
        <v>898018638.53855097</v>
      </c>
      <c r="E81" s="65">
        <v>843075692.44378495</v>
      </c>
      <c r="F81" s="65">
        <v>914568422.51271498</v>
      </c>
      <c r="G81" s="65">
        <v>859510735.60022199</v>
      </c>
      <c r="H81" s="65">
        <v>854434074.64058495</v>
      </c>
      <c r="I81" s="65">
        <v>809898057.28689802</v>
      </c>
      <c r="J81" s="65">
        <v>841846514.382514</v>
      </c>
      <c r="K81" s="65"/>
      <c r="L81" s="65"/>
      <c r="M81" s="65"/>
      <c r="N81" s="65"/>
      <c r="O81" s="65"/>
    </row>
    <row r="82" spans="1:15">
      <c r="A82" s="61" t="s">
        <v>263</v>
      </c>
      <c r="B82" s="65">
        <v>88007317.384663001</v>
      </c>
      <c r="C82" s="65">
        <v>91803808.827592</v>
      </c>
      <c r="D82" s="65">
        <v>92566880.112595901</v>
      </c>
      <c r="E82" s="65">
        <v>81304551.147533</v>
      </c>
      <c r="F82" s="65">
        <v>91616816.970282093</v>
      </c>
      <c r="G82" s="65">
        <v>90023304.127379</v>
      </c>
      <c r="H82" s="65">
        <v>86229718.088153899</v>
      </c>
      <c r="I82" s="65">
        <v>78987171.774544701</v>
      </c>
      <c r="J82" s="65">
        <v>78868298.156899199</v>
      </c>
      <c r="K82" s="65"/>
      <c r="L82" s="65"/>
      <c r="M82" s="65"/>
      <c r="N82" s="65"/>
      <c r="O82" s="65"/>
    </row>
    <row r="83" spans="1:15">
      <c r="A83" s="61" t="s">
        <v>264</v>
      </c>
      <c r="B83" s="65">
        <v>31161119.2437662</v>
      </c>
      <c r="C83" s="65">
        <v>30347413.212999601</v>
      </c>
      <c r="D83" s="65">
        <v>24704383.052405398</v>
      </c>
      <c r="E83" s="65">
        <v>24704383.052405398</v>
      </c>
      <c r="F83" s="65">
        <v>28068961.5375713</v>
      </c>
      <c r="G83" s="65">
        <v>27741889.050000001</v>
      </c>
      <c r="H83" s="65">
        <v>28279711.527677</v>
      </c>
      <c r="I83" s="65">
        <v>27102531.6457518</v>
      </c>
      <c r="J83" s="65">
        <v>26305821.038330901</v>
      </c>
      <c r="K83" s="65"/>
      <c r="L83" s="65"/>
      <c r="M83" s="65"/>
      <c r="N83" s="65"/>
      <c r="O83" s="65"/>
    </row>
    <row r="84" spans="1:15">
      <c r="A84" s="61" t="s">
        <v>265</v>
      </c>
      <c r="B84" s="65">
        <v>14104448.228566</v>
      </c>
      <c r="C84" s="65">
        <v>13532994.636792099</v>
      </c>
      <c r="D84" s="65">
        <v>13105933.013784099</v>
      </c>
      <c r="E84" s="65">
        <v>13273877.0094836</v>
      </c>
      <c r="F84" s="65">
        <v>11897762.210027199</v>
      </c>
      <c r="G84" s="65">
        <v>11189849.8847987</v>
      </c>
      <c r="H84" s="65">
        <v>12318061.093612</v>
      </c>
      <c r="I84" s="65">
        <v>8620934.6014418006</v>
      </c>
      <c r="J84" s="65">
        <v>8165443.3249677001</v>
      </c>
      <c r="K84" s="65"/>
      <c r="L84" s="65"/>
      <c r="M84" s="65"/>
      <c r="N84" s="65"/>
      <c r="O84" s="65"/>
    </row>
    <row r="85" spans="1:15">
      <c r="A85" s="61" t="s">
        <v>266</v>
      </c>
      <c r="B85" s="65">
        <v>222371622.299734</v>
      </c>
      <c r="C85" s="65">
        <v>361254430.44747102</v>
      </c>
      <c r="D85" s="65">
        <v>403585804.93247497</v>
      </c>
      <c r="E85" s="65">
        <v>354547945.220541</v>
      </c>
      <c r="F85" s="65">
        <v>412053586.35464799</v>
      </c>
      <c r="G85" s="65">
        <v>412686166.77235597</v>
      </c>
      <c r="H85" s="65">
        <v>398370875.90297502</v>
      </c>
      <c r="I85" s="65">
        <v>402603207.16418999</v>
      </c>
      <c r="J85" s="65">
        <v>367694510.744102</v>
      </c>
      <c r="K85" s="65"/>
      <c r="L85" s="65"/>
      <c r="M85" s="65"/>
      <c r="N85" s="65"/>
      <c r="O85" s="65"/>
    </row>
    <row r="86" spans="1:15">
      <c r="A86" s="61" t="s">
        <v>267</v>
      </c>
      <c r="B86" s="65">
        <v>118814210.937976</v>
      </c>
      <c r="C86" s="65">
        <v>103886193.738913</v>
      </c>
      <c r="D86" s="65">
        <v>94238448.896503001</v>
      </c>
      <c r="E86" s="65">
        <v>93257995.111451805</v>
      </c>
      <c r="F86" s="65">
        <v>88386268.139898807</v>
      </c>
      <c r="G86" s="65">
        <v>84687302.057342395</v>
      </c>
      <c r="H86" s="65">
        <v>91540647.416373506</v>
      </c>
      <c r="I86" s="65">
        <v>75875788.065655902</v>
      </c>
      <c r="J86" s="65">
        <v>69536362.425282598</v>
      </c>
      <c r="K86" s="65"/>
      <c r="L86" s="65"/>
      <c r="M86" s="65"/>
      <c r="N86" s="65"/>
      <c r="O86" s="65"/>
    </row>
    <row r="87" spans="1:15">
      <c r="A87" s="61" t="s">
        <v>268</v>
      </c>
      <c r="B87" s="65">
        <v>419023287.40767801</v>
      </c>
      <c r="C87" s="65">
        <v>497416459.88031298</v>
      </c>
      <c r="D87" s="65">
        <v>495824269.81630599</v>
      </c>
      <c r="E87" s="65">
        <v>488581109.19587398</v>
      </c>
      <c r="F87" s="65">
        <v>486131713.114483</v>
      </c>
      <c r="G87" s="65">
        <v>509709950.74982601</v>
      </c>
      <c r="H87" s="65">
        <v>510949931.22001803</v>
      </c>
      <c r="I87" s="65">
        <v>510585094.2385</v>
      </c>
      <c r="J87" s="65">
        <v>534354655.47395998</v>
      </c>
      <c r="K87" s="65"/>
      <c r="L87" s="65"/>
      <c r="M87" s="65"/>
      <c r="N87" s="65"/>
      <c r="O87" s="65"/>
    </row>
    <row r="88" spans="1:15">
      <c r="A88" s="61" t="s">
        <v>269</v>
      </c>
      <c r="B88" s="65">
        <v>267346554.18040901</v>
      </c>
      <c r="C88" s="65">
        <v>280525585.662835</v>
      </c>
      <c r="D88" s="65">
        <v>281181417.74035197</v>
      </c>
      <c r="E88" s="65">
        <v>255935695.58603501</v>
      </c>
      <c r="F88" s="65">
        <v>254682026.432679</v>
      </c>
      <c r="G88" s="65">
        <v>249730443.41924</v>
      </c>
      <c r="H88" s="65">
        <v>249886529.274481</v>
      </c>
      <c r="I88" s="65">
        <v>192134070.065483</v>
      </c>
      <c r="J88" s="65">
        <v>199918954.098755</v>
      </c>
      <c r="K88" s="65"/>
      <c r="L88" s="65"/>
      <c r="M88" s="65"/>
      <c r="N88" s="65"/>
      <c r="O88" s="65"/>
    </row>
    <row r="89" spans="1:15">
      <c r="A89" s="61" t="s">
        <v>270</v>
      </c>
      <c r="B89" s="65">
        <v>584833039.01713705</v>
      </c>
      <c r="C89" s="65">
        <v>645150029.21209896</v>
      </c>
      <c r="D89" s="65">
        <v>644273664.51377499</v>
      </c>
      <c r="E89" s="65">
        <v>617159457.97201002</v>
      </c>
      <c r="F89" s="65">
        <v>613195213.85671699</v>
      </c>
      <c r="G89" s="65">
        <v>466403826.653256</v>
      </c>
      <c r="H89" s="65">
        <v>468675757.03826201</v>
      </c>
      <c r="I89" s="65">
        <v>456119586.83802199</v>
      </c>
      <c r="J89" s="65">
        <v>557839269.22766399</v>
      </c>
      <c r="K89" s="65"/>
      <c r="L89" s="65"/>
      <c r="M89" s="65"/>
      <c r="N89" s="65"/>
      <c r="O89" s="65"/>
    </row>
    <row r="90" spans="1:15">
      <c r="A90" s="61" t="s">
        <v>271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</row>
    <row r="91" spans="1:15">
      <c r="A91" s="61" t="s">
        <v>272</v>
      </c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</row>
    <row r="92" spans="1:15">
      <c r="A92" s="61" t="s">
        <v>274</v>
      </c>
      <c r="B92" s="65">
        <v>-54769439.611807898</v>
      </c>
      <c r="C92" s="65">
        <v>-47212717.744823202</v>
      </c>
      <c r="D92" s="65">
        <v>-54498141.684366599</v>
      </c>
      <c r="E92" s="65">
        <v>-58525550.498993799</v>
      </c>
      <c r="F92" s="65">
        <v>-48434142.704242803</v>
      </c>
      <c r="G92" s="65">
        <v>-32964857.137076799</v>
      </c>
      <c r="H92" s="65">
        <v>-29089566.579130299</v>
      </c>
      <c r="I92" s="65">
        <v>-28443764.818282701</v>
      </c>
      <c r="J92" s="65">
        <v>-27475687.464228898</v>
      </c>
      <c r="K92" s="65"/>
      <c r="L92" s="65"/>
      <c r="M92" s="65"/>
      <c r="N92" s="65"/>
      <c r="O92" s="65"/>
    </row>
    <row r="93" spans="1:15">
      <c r="A93" s="61" t="s">
        <v>275</v>
      </c>
      <c r="B93" s="65">
        <v>2921733.11278883</v>
      </c>
      <c r="C93" s="65">
        <v>2678104.7802898302</v>
      </c>
      <c r="D93" s="65">
        <v>2924247.3625657801</v>
      </c>
      <c r="E93" s="65">
        <v>898603.05</v>
      </c>
      <c r="F93" s="65">
        <v>-1079043.7739623301</v>
      </c>
      <c r="G93" s="65">
        <v>-1224878.34390939</v>
      </c>
      <c r="H93" s="65">
        <v>-1426008</v>
      </c>
      <c r="I93" s="65">
        <v>-848678.89752274996</v>
      </c>
      <c r="J93" s="65">
        <v>630191.89087524195</v>
      </c>
      <c r="K93" s="65"/>
      <c r="L93" s="65"/>
      <c r="M93" s="65"/>
      <c r="N93" s="65"/>
      <c r="O93" s="65"/>
    </row>
    <row r="94" spans="1:15">
      <c r="A94" s="61" t="s">
        <v>276</v>
      </c>
      <c r="B94" s="65">
        <v>-2532254</v>
      </c>
      <c r="C94" s="65">
        <v>-2532254</v>
      </c>
      <c r="D94" s="65">
        <v>-3400626</v>
      </c>
      <c r="E94" s="65">
        <v>-5919845</v>
      </c>
      <c r="F94" s="65">
        <v>-5045958</v>
      </c>
      <c r="G94" s="65">
        <v>-5012737</v>
      </c>
      <c r="H94" s="65">
        <v>-4936533</v>
      </c>
      <c r="I94" s="65">
        <v>-5212322</v>
      </c>
      <c r="J94" s="65">
        <v>-5174260</v>
      </c>
      <c r="K94" s="65"/>
      <c r="L94" s="65"/>
      <c r="M94" s="65"/>
      <c r="N94" s="65"/>
      <c r="O94" s="65"/>
    </row>
    <row r="95" spans="1:15">
      <c r="A95" s="61" t="s">
        <v>277</v>
      </c>
      <c r="B95" s="65">
        <v>-1447102.3660266299</v>
      </c>
      <c r="C95" s="65">
        <v>-1233258.2178923399</v>
      </c>
      <c r="D95" s="65">
        <v>-1289302.58712634</v>
      </c>
      <c r="E95" s="65">
        <v>-1181582.2503402799</v>
      </c>
      <c r="F95" s="65">
        <v>-765753.681890329</v>
      </c>
      <c r="G95" s="65">
        <v>-737746.69570407399</v>
      </c>
      <c r="H95" s="65">
        <v>-799166.03742943599</v>
      </c>
      <c r="I95" s="65">
        <v>-439109.94732832402</v>
      </c>
      <c r="J95" s="65">
        <v>-266506.54372972</v>
      </c>
      <c r="K95" s="65"/>
      <c r="L95" s="65"/>
      <c r="M95" s="65"/>
      <c r="N95" s="65"/>
      <c r="O95" s="65"/>
    </row>
    <row r="96" spans="1:15">
      <c r="A96" s="61" t="s">
        <v>278</v>
      </c>
      <c r="B96" s="65">
        <v>-135721652.49444401</v>
      </c>
      <c r="C96" s="65">
        <v>-109567085.827778</v>
      </c>
      <c r="D96" s="65">
        <v>-125964986.114722</v>
      </c>
      <c r="E96" s="65">
        <v>-125313058.65000001</v>
      </c>
      <c r="F96" s="65">
        <v>-78685831.116906106</v>
      </c>
      <c r="G96" s="65">
        <v>-51736437.8827549</v>
      </c>
      <c r="H96" s="65">
        <v>-44272558.374046102</v>
      </c>
      <c r="I96" s="65">
        <v>-44122558.374046102</v>
      </c>
      <c r="J96" s="65">
        <v>-46460392.549046099</v>
      </c>
      <c r="K96" s="65"/>
      <c r="L96" s="65"/>
      <c r="M96" s="65"/>
      <c r="N96" s="65"/>
      <c r="O96" s="65"/>
    </row>
    <row r="97" spans="1:15">
      <c r="A97" s="61" t="s">
        <v>279</v>
      </c>
      <c r="B97" s="65">
        <v>-1711649.36716171</v>
      </c>
      <c r="C97" s="65">
        <v>-1592978.8018095701</v>
      </c>
      <c r="D97" s="65">
        <v>-1585388.54295448</v>
      </c>
      <c r="E97" s="65">
        <v>-1667346.8405506499</v>
      </c>
      <c r="F97" s="65">
        <v>-1663488.61977817</v>
      </c>
      <c r="G97" s="65">
        <v>-1755643.8772028501</v>
      </c>
      <c r="H97" s="65">
        <v>-859094.48067001801</v>
      </c>
      <c r="I97" s="65">
        <v>1694325.0175785001</v>
      </c>
      <c r="J97" s="65">
        <v>5337482.2023772197</v>
      </c>
      <c r="K97" s="65"/>
      <c r="L97" s="65"/>
      <c r="M97" s="65"/>
      <c r="N97" s="65"/>
      <c r="O97" s="65"/>
    </row>
    <row r="98" spans="1:15">
      <c r="A98" s="61" t="s">
        <v>280</v>
      </c>
      <c r="B98" s="65">
        <v>-2484287.30736522</v>
      </c>
      <c r="C98" s="65">
        <v>-1779156.03301605</v>
      </c>
      <c r="D98" s="65">
        <v>-1792092.5070951299</v>
      </c>
      <c r="E98" s="65">
        <v>-1311292.089903</v>
      </c>
      <c r="F98" s="65">
        <v>-1300179.7384983201</v>
      </c>
      <c r="G98" s="65">
        <v>-2776717.8463308802</v>
      </c>
      <c r="H98" s="65">
        <v>-2776356.7432212499</v>
      </c>
      <c r="I98" s="65">
        <v>-2759628.9857016299</v>
      </c>
      <c r="J98" s="65">
        <v>-3094370.6753507298</v>
      </c>
      <c r="K98" s="65"/>
      <c r="L98" s="65"/>
      <c r="M98" s="65"/>
      <c r="N98" s="65"/>
      <c r="O98" s="65"/>
    </row>
    <row r="99" spans="1:15">
      <c r="A99" s="61" t="s">
        <v>281</v>
      </c>
      <c r="B99" s="65">
        <v>-2485438.4280459099</v>
      </c>
      <c r="C99" s="65">
        <v>-3601239.7004255499</v>
      </c>
      <c r="D99" s="65">
        <v>-3591655.2410272099</v>
      </c>
      <c r="E99" s="65">
        <v>-3222845.6976539101</v>
      </c>
      <c r="F99" s="65">
        <v>-3210156.3551003202</v>
      </c>
      <c r="G99" s="65">
        <v>-2573848.1504293</v>
      </c>
      <c r="H99" s="65">
        <v>-2574342.6836393401</v>
      </c>
      <c r="I99" s="65">
        <v>-2409651.62805518</v>
      </c>
      <c r="J99" s="65">
        <v>-2240823.6951979301</v>
      </c>
      <c r="K99" s="65"/>
      <c r="L99" s="65"/>
      <c r="M99" s="65"/>
      <c r="N99" s="65"/>
      <c r="O99" s="65"/>
    </row>
    <row r="100" spans="1:15">
      <c r="A100" s="61" t="s">
        <v>282</v>
      </c>
      <c r="B100" s="65">
        <v>8123486.7005915102</v>
      </c>
      <c r="C100" s="65">
        <v>1227184.5949774701</v>
      </c>
      <c r="D100" s="65">
        <v>1102971.2562837999</v>
      </c>
      <c r="E100" s="65">
        <v>707727.53147367097</v>
      </c>
      <c r="F100" s="65">
        <v>672645.48853410105</v>
      </c>
      <c r="G100" s="65">
        <v>6803019.4837482404</v>
      </c>
      <c r="H100" s="65">
        <v>6730843.0208360702</v>
      </c>
      <c r="I100" s="65">
        <v>3769018.6301567801</v>
      </c>
      <c r="J100" s="65">
        <v>1410420.8260429599</v>
      </c>
      <c r="K100" s="65"/>
      <c r="L100" s="65"/>
      <c r="M100" s="65"/>
      <c r="N100" s="65"/>
      <c r="O100" s="65"/>
    </row>
    <row r="101" spans="1:15">
      <c r="A101" s="61" t="s">
        <v>283</v>
      </c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</row>
    <row r="102" spans="1:15">
      <c r="A102" s="61" t="s">
        <v>284</v>
      </c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</row>
    <row r="103" spans="1:15">
      <c r="A103" s="61" t="s">
        <v>286</v>
      </c>
      <c r="B103" s="65">
        <v>2888816.2330464302</v>
      </c>
      <c r="C103" s="65">
        <v>2854783.3553261999</v>
      </c>
      <c r="D103" s="65">
        <v>24866202.4804492</v>
      </c>
      <c r="E103" s="65">
        <v>26855000.308900502</v>
      </c>
      <c r="F103" s="65">
        <v>-1793287.2770762399</v>
      </c>
      <c r="G103" s="65">
        <v>56544859.785883598</v>
      </c>
      <c r="H103" s="65">
        <v>-85456772.108011305</v>
      </c>
      <c r="I103" s="65">
        <v>-60940691.726600602</v>
      </c>
      <c r="J103" s="65">
        <v>-62615787.116380103</v>
      </c>
      <c r="K103" s="65"/>
      <c r="L103" s="65"/>
      <c r="M103" s="65"/>
      <c r="N103" s="65"/>
      <c r="O103" s="65"/>
    </row>
    <row r="104" spans="1:15">
      <c r="A104" s="61" t="s">
        <v>287</v>
      </c>
      <c r="B104" s="65">
        <v>176927735.790232</v>
      </c>
      <c r="C104" s="65">
        <v>181374939.12712601</v>
      </c>
      <c r="D104" s="65">
        <v>184134075.85124099</v>
      </c>
      <c r="E104" s="65">
        <v>173970400.04119799</v>
      </c>
      <c r="F104" s="65">
        <v>179666461.16017199</v>
      </c>
      <c r="G104" s="65">
        <v>180485100.032758</v>
      </c>
      <c r="H104" s="65">
        <v>37305083</v>
      </c>
      <c r="I104" s="65">
        <v>50008152.263839804</v>
      </c>
      <c r="J104" s="65">
        <v>40589496.279267997</v>
      </c>
      <c r="K104" s="65"/>
      <c r="L104" s="65"/>
      <c r="M104" s="65"/>
      <c r="N104" s="65"/>
      <c r="O104" s="65"/>
    </row>
    <row r="105" spans="1:15">
      <c r="A105" s="61" t="s">
        <v>288</v>
      </c>
      <c r="B105" s="65">
        <v>1687593</v>
      </c>
      <c r="C105" s="65">
        <v>1630408</v>
      </c>
      <c r="D105" s="65">
        <v>1595139</v>
      </c>
      <c r="E105" s="65">
        <v>1595139</v>
      </c>
      <c r="F105" s="65">
        <v>1042433</v>
      </c>
      <c r="G105" s="65">
        <v>798863</v>
      </c>
      <c r="H105" s="65">
        <v>788041</v>
      </c>
      <c r="I105" s="65">
        <v>720903</v>
      </c>
      <c r="J105" s="65">
        <v>582677</v>
      </c>
      <c r="K105" s="65"/>
      <c r="L105" s="65"/>
      <c r="M105" s="65"/>
      <c r="N105" s="65"/>
      <c r="O105" s="65"/>
    </row>
    <row r="106" spans="1:15">
      <c r="A106" s="61" t="s">
        <v>289</v>
      </c>
      <c r="B106" s="65">
        <v>4189259.75290005</v>
      </c>
      <c r="C106" s="65">
        <v>4422003.7500761896</v>
      </c>
      <c r="D106" s="65">
        <v>4336768.4599747201</v>
      </c>
      <c r="E106" s="65">
        <v>3368097.3629011898</v>
      </c>
      <c r="F106" s="65">
        <v>3515321.0624973401</v>
      </c>
      <c r="G106" s="65">
        <v>2137790.2990669301</v>
      </c>
      <c r="H106" s="65">
        <v>2145766.4002357102</v>
      </c>
      <c r="I106" s="65">
        <v>1685267.0542721101</v>
      </c>
      <c r="J106" s="65">
        <v>1541226.3535095099</v>
      </c>
      <c r="K106" s="65"/>
      <c r="L106" s="65"/>
      <c r="M106" s="65"/>
      <c r="N106" s="65"/>
      <c r="O106" s="65"/>
    </row>
    <row r="107" spans="1:15">
      <c r="A107" s="61" t="s">
        <v>290</v>
      </c>
      <c r="B107" s="65">
        <v>-466911378.17549098</v>
      </c>
      <c r="C107" s="65">
        <v>-469272019.46673602</v>
      </c>
      <c r="D107" s="65">
        <v>-422003215.91021901</v>
      </c>
      <c r="E107" s="65">
        <v>-385817100.83990198</v>
      </c>
      <c r="F107" s="65">
        <v>-376905186.509094</v>
      </c>
      <c r="G107" s="65">
        <v>-255020414.325618</v>
      </c>
      <c r="H107" s="65">
        <v>-256020771.898729</v>
      </c>
      <c r="I107" s="65">
        <v>-229381231.89864799</v>
      </c>
      <c r="J107" s="65">
        <v>-202157233.387593</v>
      </c>
      <c r="K107" s="65"/>
      <c r="L107" s="65"/>
      <c r="M107" s="65"/>
      <c r="N107" s="65"/>
      <c r="O107" s="65"/>
    </row>
    <row r="108" spans="1:15">
      <c r="A108" s="61" t="s">
        <v>291</v>
      </c>
      <c r="B108" s="65">
        <v>25520166.25</v>
      </c>
      <c r="C108" s="65">
        <v>25337392.329999998</v>
      </c>
      <c r="D108" s="65">
        <v>26132175.030000001</v>
      </c>
      <c r="E108" s="65">
        <v>16971230.780000001</v>
      </c>
      <c r="F108" s="65">
        <v>17393217.370000001</v>
      </c>
      <c r="G108" s="65">
        <v>3756636.19</v>
      </c>
      <c r="H108" s="65">
        <v>7192926.5137844803</v>
      </c>
      <c r="I108" s="65">
        <v>1926284.96952792</v>
      </c>
      <c r="J108" s="65">
        <v>1937647.97952792</v>
      </c>
      <c r="K108" s="65"/>
      <c r="L108" s="65"/>
      <c r="M108" s="65"/>
      <c r="N108" s="65"/>
      <c r="O108" s="65"/>
    </row>
    <row r="109" spans="1:15">
      <c r="A109" s="61" t="s">
        <v>292</v>
      </c>
      <c r="B109" s="65">
        <v>-947629.11166818999</v>
      </c>
      <c r="C109" s="65">
        <v>-6982710.4242203999</v>
      </c>
      <c r="D109" s="65">
        <v>-7164457.8809998799</v>
      </c>
      <c r="E109" s="65">
        <v>1748388.6028835999</v>
      </c>
      <c r="F109" s="65">
        <v>1725427.2458707001</v>
      </c>
      <c r="G109" s="65">
        <v>2547569.24633874</v>
      </c>
      <c r="H109" s="65">
        <v>2996177.97753355</v>
      </c>
      <c r="I109" s="65">
        <v>2903155.9184687398</v>
      </c>
      <c r="J109" s="65">
        <v>-12732051.839752</v>
      </c>
      <c r="K109" s="65"/>
      <c r="L109" s="65"/>
      <c r="M109" s="65"/>
      <c r="N109" s="65"/>
      <c r="O109" s="65"/>
    </row>
    <row r="110" spans="1:15">
      <c r="A110" s="61" t="s">
        <v>293</v>
      </c>
      <c r="B110" s="65">
        <v>-5852007.2114314698</v>
      </c>
      <c r="C110" s="65">
        <v>-8197043.4338362403</v>
      </c>
      <c r="D110" s="65">
        <v>-7945585.0466634603</v>
      </c>
      <c r="E110" s="65">
        <v>-11939456.747390701</v>
      </c>
      <c r="F110" s="65">
        <v>-11943049.884369699</v>
      </c>
      <c r="G110" s="65">
        <v>-3905134.6762876501</v>
      </c>
      <c r="H110" s="65">
        <v>-3597979.2638645298</v>
      </c>
      <c r="I110" s="65">
        <v>-859285.39880150696</v>
      </c>
      <c r="J110" s="65">
        <v>616435.50316572096</v>
      </c>
      <c r="K110" s="65"/>
      <c r="L110" s="65"/>
      <c r="M110" s="65"/>
      <c r="N110" s="65"/>
      <c r="O110" s="65"/>
    </row>
    <row r="111" spans="1:15">
      <c r="A111" s="61" t="s">
        <v>294</v>
      </c>
      <c r="B111" s="65">
        <v>-1598582.5266221699</v>
      </c>
      <c r="C111" s="65">
        <v>-2317037.809897</v>
      </c>
      <c r="D111" s="65">
        <v>-2018368.26903267</v>
      </c>
      <c r="E111" s="65">
        <v>-1159652.03358668</v>
      </c>
      <c r="F111" s="65">
        <v>-1087867.8444967801</v>
      </c>
      <c r="G111" s="65">
        <v>-815786.71788185998</v>
      </c>
      <c r="H111" s="65">
        <v>-804316.62465979997</v>
      </c>
      <c r="I111" s="65">
        <v>-631150.72766644903</v>
      </c>
      <c r="J111" s="65">
        <v>-448456.78134443401</v>
      </c>
      <c r="K111" s="65"/>
      <c r="L111" s="65"/>
      <c r="M111" s="65"/>
      <c r="N111" s="65"/>
      <c r="O111" s="65"/>
    </row>
    <row r="112" spans="1:15">
      <c r="A112" s="61" t="s">
        <v>295</v>
      </c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</row>
    <row r="113" spans="1:15">
      <c r="A113" s="61" t="s">
        <v>296</v>
      </c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</row>
    <row r="114" spans="1:15">
      <c r="A114" s="61" t="s">
        <v>298</v>
      </c>
      <c r="B114" s="65">
        <v>611893531.80981302</v>
      </c>
      <c r="C114" s="65">
        <v>689551988.78637505</v>
      </c>
      <c r="D114" s="65">
        <v>712996254.255252</v>
      </c>
      <c r="E114" s="65">
        <v>665809504.94288301</v>
      </c>
      <c r="F114" s="65">
        <v>714426793.24433005</v>
      </c>
      <c r="G114" s="65">
        <v>734431527.962026</v>
      </c>
      <c r="H114" s="65">
        <v>589236479.48571205</v>
      </c>
      <c r="I114" s="65">
        <v>572023439.37661898</v>
      </c>
      <c r="J114" s="65">
        <v>602598025.04088604</v>
      </c>
      <c r="K114" s="65"/>
      <c r="L114" s="65"/>
      <c r="M114" s="65"/>
      <c r="N114" s="65"/>
      <c r="O114" s="65"/>
    </row>
    <row r="115" spans="1:15">
      <c r="A115" s="61" t="s">
        <v>299</v>
      </c>
      <c r="B115" s="65">
        <v>266055917.28768301</v>
      </c>
      <c r="C115" s="65">
        <v>274055983.735008</v>
      </c>
      <c r="D115" s="65">
        <v>277824334.32640201</v>
      </c>
      <c r="E115" s="65">
        <v>254372685.238731</v>
      </c>
      <c r="F115" s="65">
        <v>268403365.356491</v>
      </c>
      <c r="G115" s="65">
        <v>267482656.816228</v>
      </c>
      <c r="H115" s="65">
        <v>120307919.088154</v>
      </c>
      <c r="I115" s="65">
        <v>126348403.721186</v>
      </c>
      <c r="J115" s="65">
        <v>118289744.90736701</v>
      </c>
      <c r="K115" s="65"/>
      <c r="L115" s="65"/>
      <c r="M115" s="65"/>
      <c r="N115" s="65"/>
      <c r="O115" s="65"/>
    </row>
    <row r="116" spans="1:15">
      <c r="A116" s="61" t="s">
        <v>300</v>
      </c>
      <c r="B116" s="65">
        <v>28482170.683766201</v>
      </c>
      <c r="C116" s="65">
        <v>27611279.652999599</v>
      </c>
      <c r="D116" s="65">
        <v>21374367.862405401</v>
      </c>
      <c r="E116" s="65">
        <v>18855148.862405401</v>
      </c>
      <c r="F116" s="65">
        <v>22870271.9275713</v>
      </c>
      <c r="G116" s="65">
        <v>22311917.050000001</v>
      </c>
      <c r="H116" s="65">
        <v>22904307.527677</v>
      </c>
      <c r="I116" s="65">
        <v>21373725.6457518</v>
      </c>
      <c r="J116" s="65">
        <v>20438552.658330899</v>
      </c>
      <c r="K116" s="65"/>
      <c r="L116" s="65"/>
      <c r="M116" s="65"/>
      <c r="N116" s="65"/>
      <c r="O116" s="65"/>
    </row>
    <row r="117" spans="1:15">
      <c r="A117" s="61" t="s">
        <v>301</v>
      </c>
      <c r="B117" s="65">
        <v>16642600.7154394</v>
      </c>
      <c r="C117" s="65">
        <v>16522239.488976</v>
      </c>
      <c r="D117" s="65">
        <v>16016227.0566325</v>
      </c>
      <c r="E117" s="65">
        <v>15319700.690933401</v>
      </c>
      <c r="F117" s="65">
        <v>14531480.202856399</v>
      </c>
      <c r="G117" s="65">
        <v>12473417.129272601</v>
      </c>
      <c r="H117" s="65">
        <v>13546428.1964183</v>
      </c>
      <c r="I117" s="65">
        <v>9747532.4272744805</v>
      </c>
      <c r="J117" s="65">
        <v>9318756.9525252692</v>
      </c>
      <c r="K117" s="65"/>
      <c r="L117" s="65"/>
      <c r="M117" s="65"/>
      <c r="N117" s="65"/>
      <c r="O117" s="65"/>
    </row>
    <row r="118" spans="1:15">
      <c r="A118" s="61" t="s">
        <v>302</v>
      </c>
      <c r="B118" s="65">
        <v>-337552303.27516198</v>
      </c>
      <c r="C118" s="65">
        <v>-262000983.756403</v>
      </c>
      <c r="D118" s="65">
        <v>-185517638.18483099</v>
      </c>
      <c r="E118" s="65">
        <v>-193391196.214616</v>
      </c>
      <c r="F118" s="65">
        <v>-83758877.169983104</v>
      </c>
      <c r="G118" s="65">
        <v>65111686.9749121</v>
      </c>
      <c r="H118" s="65">
        <v>57496603.800725102</v>
      </c>
      <c r="I118" s="65">
        <v>88534227.522204399</v>
      </c>
      <c r="J118" s="65">
        <v>77621239.950692594</v>
      </c>
      <c r="K118" s="65"/>
      <c r="L118" s="65"/>
      <c r="M118" s="65"/>
      <c r="N118" s="65"/>
      <c r="O118" s="65"/>
    </row>
    <row r="119" spans="1:15">
      <c r="A119" s="61" t="s">
        <v>303</v>
      </c>
      <c r="B119" s="65">
        <v>135916703.80490401</v>
      </c>
      <c r="C119" s="65">
        <v>120924583.251194</v>
      </c>
      <c r="D119" s="65">
        <v>112199651.141774</v>
      </c>
      <c r="E119" s="65">
        <v>101867351.212366</v>
      </c>
      <c r="F119" s="65">
        <v>97304933.496903598</v>
      </c>
      <c r="G119" s="65">
        <v>79630587.515953198</v>
      </c>
      <c r="H119" s="65">
        <v>86180176.940280706</v>
      </c>
      <c r="I119" s="65">
        <v>72887115.224548697</v>
      </c>
      <c r="J119" s="65">
        <v>70202209.778974205</v>
      </c>
      <c r="K119" s="65"/>
      <c r="L119" s="65"/>
      <c r="M119" s="65"/>
      <c r="N119" s="65"/>
      <c r="O119" s="65"/>
    </row>
    <row r="120" spans="1:15">
      <c r="A120" s="61" t="s">
        <v>304</v>
      </c>
      <c r="B120" s="65">
        <v>324581674.77866799</v>
      </c>
      <c r="C120" s="65">
        <v>386336404.73990202</v>
      </c>
      <c r="D120" s="65">
        <v>384661525.57737303</v>
      </c>
      <c r="E120" s="65">
        <v>399403018.06527698</v>
      </c>
      <c r="F120" s="65">
        <v>397508656.98991001</v>
      </c>
      <c r="G120" s="65">
        <v>417651590.68378001</v>
      </c>
      <c r="H120" s="65">
        <v>419191681.32353801</v>
      </c>
      <c r="I120" s="65">
        <v>419048788.91767597</v>
      </c>
      <c r="J120" s="65">
        <v>427703320.456357</v>
      </c>
      <c r="K120" s="65"/>
      <c r="L120" s="65"/>
      <c r="M120" s="65"/>
      <c r="N120" s="65"/>
      <c r="O120" s="65"/>
    </row>
    <row r="121" spans="1:15">
      <c r="A121" s="61" t="s">
        <v>305</v>
      </c>
      <c r="B121" s="65">
        <v>206319942.49936199</v>
      </c>
      <c r="C121" s="65">
        <v>213148373.82522601</v>
      </c>
      <c r="D121" s="65">
        <v>214046028.38484499</v>
      </c>
      <c r="E121" s="65">
        <v>186770228.66483501</v>
      </c>
      <c r="F121" s="65">
        <v>185865595.73901701</v>
      </c>
      <c r="G121" s="65">
        <v>190795731.63649899</v>
      </c>
      <c r="H121" s="65">
        <v>191160477.110697</v>
      </c>
      <c r="I121" s="65">
        <v>136023224.06674999</v>
      </c>
      <c r="J121" s="65">
        <v>145087773.140845</v>
      </c>
      <c r="K121" s="65"/>
      <c r="L121" s="65"/>
      <c r="M121" s="65"/>
      <c r="N121" s="65"/>
      <c r="O121" s="65"/>
    </row>
    <row r="122" spans="1:15">
      <c r="A122" s="61" t="s">
        <v>306</v>
      </c>
      <c r="B122" s="65">
        <v>422516089.999533</v>
      </c>
      <c r="C122" s="65">
        <v>469997836.71355999</v>
      </c>
      <c r="D122" s="65">
        <v>469063745.60536599</v>
      </c>
      <c r="E122" s="65">
        <v>448505523.64917201</v>
      </c>
      <c r="F122" s="65">
        <v>445573599.63017499</v>
      </c>
      <c r="G122" s="65">
        <v>310941323.86144298</v>
      </c>
      <c r="H122" s="65">
        <v>312791471.55823302</v>
      </c>
      <c r="I122" s="65">
        <v>297757531.34428501</v>
      </c>
      <c r="J122" s="65">
        <v>396357572.99211401</v>
      </c>
      <c r="K122" s="65"/>
      <c r="L122" s="65"/>
      <c r="M122" s="65"/>
      <c r="N122" s="65"/>
      <c r="O122" s="65"/>
    </row>
    <row r="123" spans="1:15">
      <c r="A123" s="61" t="s">
        <v>307</v>
      </c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</row>
    <row r="124" spans="1:15">
      <c r="A124" s="61" t="s">
        <v>308</v>
      </c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</row>
    <row r="125" spans="1:15">
      <c r="A125" s="61" t="s">
        <v>310</v>
      </c>
      <c r="B125" s="65">
        <v>-148110954.88731</v>
      </c>
      <c r="C125" s="65">
        <v>-169794352.56318301</v>
      </c>
      <c r="D125" s="65">
        <v>-167994977.987645</v>
      </c>
      <c r="E125" s="65">
        <v>-155958751.70432401</v>
      </c>
      <c r="F125" s="65">
        <v>-158225492.79855999</v>
      </c>
      <c r="G125" s="65">
        <v>-147173601.387611</v>
      </c>
      <c r="H125" s="65">
        <v>-112311336.725503</v>
      </c>
      <c r="I125" s="65">
        <v>-115671541.652234</v>
      </c>
      <c r="J125" s="65">
        <v>-122073762.682239</v>
      </c>
      <c r="K125" s="65"/>
      <c r="L125" s="65"/>
      <c r="M125" s="65"/>
      <c r="N125" s="65"/>
      <c r="O125" s="65"/>
    </row>
    <row r="126" spans="1:15">
      <c r="A126" s="61" t="s">
        <v>311</v>
      </c>
      <c r="B126" s="65">
        <v>-58532301.8032903</v>
      </c>
      <c r="C126" s="65">
        <v>-60292316.421701699</v>
      </c>
      <c r="D126" s="65">
        <v>-61121353.551808499</v>
      </c>
      <c r="E126" s="65">
        <v>-55961990.7525208</v>
      </c>
      <c r="F126" s="65">
        <v>-59048740.378428102</v>
      </c>
      <c r="G126" s="65">
        <v>-58846184.499570101</v>
      </c>
      <c r="H126" s="65">
        <v>-26467742.199393898</v>
      </c>
      <c r="I126" s="65">
        <v>-27796648.8186609</v>
      </c>
      <c r="J126" s="65">
        <v>-26023743.879620701</v>
      </c>
      <c r="K126" s="65"/>
      <c r="L126" s="65"/>
      <c r="M126" s="65"/>
      <c r="N126" s="65"/>
      <c r="O126" s="65"/>
    </row>
    <row r="127" spans="1:15">
      <c r="A127" s="61" t="s">
        <v>312</v>
      </c>
      <c r="B127" s="65">
        <v>-1708930.2410259701</v>
      </c>
      <c r="C127" s="65">
        <v>-1656676.77917998</v>
      </c>
      <c r="D127" s="65">
        <v>-1282462.07174433</v>
      </c>
      <c r="E127" s="65">
        <v>-1131308.9317443201</v>
      </c>
      <c r="F127" s="65">
        <v>-1372216.3156542799</v>
      </c>
      <c r="G127" s="65">
        <v>-1338715.023</v>
      </c>
      <c r="H127" s="65">
        <v>-1374258.45166062</v>
      </c>
      <c r="I127" s="65">
        <v>-1282423.5387451099</v>
      </c>
      <c r="J127" s="65">
        <v>-1226313.1594998499</v>
      </c>
      <c r="K127" s="65"/>
      <c r="L127" s="65"/>
      <c r="M127" s="65"/>
      <c r="N127" s="65"/>
      <c r="O127" s="65"/>
    </row>
    <row r="128" spans="1:15">
      <c r="A128" s="61" t="s">
        <v>313</v>
      </c>
      <c r="B128" s="65">
        <v>-3827798.2214710498</v>
      </c>
      <c r="C128" s="65">
        <v>-3800115.1542424099</v>
      </c>
      <c r="D128" s="65">
        <v>-3683732.2944815801</v>
      </c>
      <c r="E128" s="65">
        <v>-3523531.2291287398</v>
      </c>
      <c r="F128" s="65">
        <v>-3342240.5906551098</v>
      </c>
      <c r="G128" s="65">
        <v>-3118354.4447930399</v>
      </c>
      <c r="H128" s="65">
        <v>-3386607.2890794398</v>
      </c>
      <c r="I128" s="65">
        <v>-2436968.2675043601</v>
      </c>
      <c r="J128" s="65">
        <v>-2329689.4881563601</v>
      </c>
      <c r="K128" s="65"/>
      <c r="L128" s="65"/>
      <c r="M128" s="65"/>
      <c r="N128" s="65"/>
      <c r="O128" s="65"/>
    </row>
    <row r="129" spans="1:15">
      <c r="A129" s="61" t="s">
        <v>314</v>
      </c>
      <c r="B129" s="65">
        <v>0</v>
      </c>
      <c r="C129" s="65">
        <v>0</v>
      </c>
      <c r="D129" s="65">
        <v>0</v>
      </c>
      <c r="E129" s="65">
        <v>0</v>
      </c>
      <c r="F129" s="65">
        <v>0</v>
      </c>
      <c r="G129" s="65">
        <v>0</v>
      </c>
      <c r="H129" s="65">
        <v>0</v>
      </c>
      <c r="I129" s="65">
        <v>0</v>
      </c>
      <c r="J129" s="65">
        <v>0</v>
      </c>
      <c r="K129" s="65"/>
      <c r="L129" s="65"/>
      <c r="M129" s="65"/>
      <c r="N129" s="65"/>
      <c r="O129" s="65"/>
    </row>
    <row r="130" spans="1:15">
      <c r="A130" s="61" t="s">
        <v>315</v>
      </c>
      <c r="B130" s="65">
        <v>-27847266.990315501</v>
      </c>
      <c r="C130" s="65">
        <v>-24163314.838559601</v>
      </c>
      <c r="D130" s="65">
        <v>-22161960.382105298</v>
      </c>
      <c r="E130" s="65">
        <v>-19804944.562536102</v>
      </c>
      <c r="F130" s="65">
        <v>-18734257.322845198</v>
      </c>
      <c r="G130" s="65">
        <v>-14673629.932417801</v>
      </c>
      <c r="H130" s="65">
        <v>-7765779.5925857704</v>
      </c>
      <c r="I130" s="65">
        <v>-6881936.2144473596</v>
      </c>
      <c r="J130" s="65">
        <v>-5443562.1661145203</v>
      </c>
      <c r="K130" s="65"/>
      <c r="L130" s="65"/>
      <c r="M130" s="65"/>
      <c r="N130" s="65"/>
      <c r="O130" s="65"/>
    </row>
    <row r="131" spans="1:15">
      <c r="A131" s="61" t="s">
        <v>316</v>
      </c>
      <c r="B131" s="65">
        <v>-67839911.757290706</v>
      </c>
      <c r="C131" s="65">
        <v>-106001304.20360599</v>
      </c>
      <c r="D131" s="65">
        <v>-103602559.041234</v>
      </c>
      <c r="E131" s="65">
        <v>-99428536.909884393</v>
      </c>
      <c r="F131" s="65">
        <v>-99049402.908808604</v>
      </c>
      <c r="G131" s="65">
        <v>-94673160.524976403</v>
      </c>
      <c r="H131" s="65">
        <v>-94790722.194177598</v>
      </c>
      <c r="I131" s="65">
        <v>-95020412.991577193</v>
      </c>
      <c r="J131" s="65">
        <v>-97447916.649776906</v>
      </c>
      <c r="K131" s="65"/>
      <c r="L131" s="65"/>
      <c r="M131" s="65"/>
      <c r="N131" s="65"/>
      <c r="O131" s="65"/>
    </row>
    <row r="132" spans="1:15">
      <c r="A132" s="61" t="s">
        <v>317</v>
      </c>
      <c r="B132" s="65">
        <v>-37788296.675714202</v>
      </c>
      <c r="C132" s="65">
        <v>-42910490.027067199</v>
      </c>
      <c r="D132" s="65">
        <v>-42383479.872040398</v>
      </c>
      <c r="E132" s="65">
        <v>-35777916.879512802</v>
      </c>
      <c r="F132" s="65">
        <v>-35595068.776756197</v>
      </c>
      <c r="G132" s="65">
        <v>-41377090.828678101</v>
      </c>
      <c r="H132" s="65">
        <v>-41239520.847262502</v>
      </c>
      <c r="I132" s="65">
        <v>-31775525.5724409</v>
      </c>
      <c r="J132" s="65">
        <v>-33537834.961333402</v>
      </c>
      <c r="K132" s="65"/>
      <c r="L132" s="65"/>
      <c r="M132" s="65"/>
      <c r="N132" s="65"/>
      <c r="O132" s="65"/>
    </row>
    <row r="133" spans="1:15">
      <c r="A133" s="61" t="s">
        <v>318</v>
      </c>
      <c r="B133" s="65">
        <v>-76629336.130487502</v>
      </c>
      <c r="C133" s="65">
        <v>-87038001.450915307</v>
      </c>
      <c r="D133" s="65">
        <v>-86620575.878646895</v>
      </c>
      <c r="E133" s="65">
        <v>-83343403.625393003</v>
      </c>
      <c r="F133" s="65">
        <v>-82777009.776147395</v>
      </c>
      <c r="G133" s="65">
        <v>-58951987.264547899</v>
      </c>
      <c r="H133" s="65">
        <v>-58910799.329396702</v>
      </c>
      <c r="I133" s="65">
        <v>-76710877.789843202</v>
      </c>
      <c r="J133" s="65">
        <v>-94805726.610180095</v>
      </c>
      <c r="K133" s="65"/>
      <c r="L133" s="65"/>
      <c r="M133" s="65"/>
      <c r="N133" s="65"/>
      <c r="O133" s="65"/>
    </row>
    <row r="134" spans="1:15">
      <c r="A134" s="61" t="s">
        <v>319</v>
      </c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</row>
    <row r="135" spans="1:15">
      <c r="A135" s="61" t="s">
        <v>320</v>
      </c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</row>
    <row r="136" spans="1:15">
      <c r="A136" s="61" t="s">
        <v>322</v>
      </c>
      <c r="B136" s="65">
        <v>463782576.92250299</v>
      </c>
      <c r="C136" s="65">
        <v>519757636.22319198</v>
      </c>
      <c r="D136" s="65">
        <v>545001276.26760602</v>
      </c>
      <c r="E136" s="65">
        <v>509850753.23855799</v>
      </c>
      <c r="F136" s="65">
        <v>556201300.44576895</v>
      </c>
      <c r="G136" s="65">
        <v>587257926.57441497</v>
      </c>
      <c r="H136" s="65">
        <v>476925142.76020902</v>
      </c>
      <c r="I136" s="65">
        <v>456351897.72438502</v>
      </c>
      <c r="J136" s="65">
        <v>480524262.35864598</v>
      </c>
      <c r="K136" s="65"/>
      <c r="L136" s="65"/>
      <c r="M136" s="65"/>
      <c r="N136" s="65"/>
      <c r="O136" s="65"/>
    </row>
    <row r="137" spans="1:15">
      <c r="A137" s="61" t="s">
        <v>323</v>
      </c>
      <c r="B137" s="65">
        <v>207523615.484393</v>
      </c>
      <c r="C137" s="65">
        <v>213763667.313306</v>
      </c>
      <c r="D137" s="65">
        <v>216702980.77459401</v>
      </c>
      <c r="E137" s="65">
        <v>198410694.48620999</v>
      </c>
      <c r="F137" s="65">
        <v>209354624.97806299</v>
      </c>
      <c r="G137" s="65">
        <v>208636472.31665799</v>
      </c>
      <c r="H137" s="65">
        <v>93840176.88876</v>
      </c>
      <c r="I137" s="65">
        <v>98551754.902525097</v>
      </c>
      <c r="J137" s="65">
        <v>92266001.027746096</v>
      </c>
      <c r="K137" s="65"/>
      <c r="L137" s="65"/>
      <c r="M137" s="65"/>
      <c r="N137" s="65"/>
      <c r="O137" s="65"/>
    </row>
    <row r="138" spans="1:15">
      <c r="A138" s="61" t="s">
        <v>324</v>
      </c>
      <c r="B138" s="65">
        <v>26773240.442740198</v>
      </c>
      <c r="C138" s="65">
        <v>25954602.873819701</v>
      </c>
      <c r="D138" s="65">
        <v>20091905.7906611</v>
      </c>
      <c r="E138" s="65">
        <v>17723839.930661101</v>
      </c>
      <c r="F138" s="65">
        <v>21498055.611917</v>
      </c>
      <c r="G138" s="65">
        <v>20973202.026999999</v>
      </c>
      <c r="H138" s="65">
        <v>21530049.0760164</v>
      </c>
      <c r="I138" s="65">
        <v>20091302.107006699</v>
      </c>
      <c r="J138" s="65">
        <v>19212239.498831</v>
      </c>
      <c r="K138" s="65"/>
      <c r="L138" s="65"/>
      <c r="M138" s="65"/>
      <c r="N138" s="65"/>
      <c r="O138" s="65"/>
    </row>
    <row r="139" spans="1:15">
      <c r="A139" s="61" t="s">
        <v>325</v>
      </c>
      <c r="B139" s="65">
        <v>12814802.493968399</v>
      </c>
      <c r="C139" s="65">
        <v>12722124.3347336</v>
      </c>
      <c r="D139" s="65">
        <v>12332494.7621509</v>
      </c>
      <c r="E139" s="65">
        <v>11796169.461804699</v>
      </c>
      <c r="F139" s="65">
        <v>11189239.6122013</v>
      </c>
      <c r="G139" s="65">
        <v>9355062.6844795905</v>
      </c>
      <c r="H139" s="65">
        <v>10159820.9073388</v>
      </c>
      <c r="I139" s="65">
        <v>7310564.1597701199</v>
      </c>
      <c r="J139" s="65">
        <v>6989067.4643689096</v>
      </c>
      <c r="K139" s="65"/>
      <c r="L139" s="65"/>
      <c r="M139" s="65"/>
      <c r="N139" s="65"/>
      <c r="O139" s="65"/>
    </row>
    <row r="140" spans="1:15">
      <c r="A140" s="61" t="s">
        <v>326</v>
      </c>
      <c r="B140" s="65">
        <v>-337552303.27516198</v>
      </c>
      <c r="C140" s="65">
        <v>-262000983.756403</v>
      </c>
      <c r="D140" s="65">
        <v>-185517638.18483099</v>
      </c>
      <c r="E140" s="65">
        <v>-193391196.214616</v>
      </c>
      <c r="F140" s="65">
        <v>-83758877.169983104</v>
      </c>
      <c r="G140" s="65">
        <v>65111686.9749121</v>
      </c>
      <c r="H140" s="65">
        <v>57496603.800725102</v>
      </c>
      <c r="I140" s="65">
        <v>88534227.522204399</v>
      </c>
      <c r="J140" s="65">
        <v>77621239.950692594</v>
      </c>
      <c r="K140" s="65"/>
      <c r="L140" s="65"/>
      <c r="M140" s="65"/>
      <c r="N140" s="65"/>
      <c r="O140" s="65"/>
    </row>
    <row r="141" spans="1:15">
      <c r="A141" s="61" t="s">
        <v>327</v>
      </c>
      <c r="B141" s="65">
        <v>108069436.81458899</v>
      </c>
      <c r="C141" s="65">
        <v>96761268.412634701</v>
      </c>
      <c r="D141" s="65">
        <v>90037690.759668395</v>
      </c>
      <c r="E141" s="65">
        <v>82062406.649829805</v>
      </c>
      <c r="F141" s="65">
        <v>78570676.174058393</v>
      </c>
      <c r="G141" s="65">
        <v>64956957.583535403</v>
      </c>
      <c r="H141" s="65">
        <v>78414397.347694993</v>
      </c>
      <c r="I141" s="65">
        <v>66005179.0101014</v>
      </c>
      <c r="J141" s="65">
        <v>64758647.612859704</v>
      </c>
      <c r="K141" s="65"/>
      <c r="L141" s="65"/>
      <c r="M141" s="65"/>
      <c r="N141" s="65"/>
      <c r="O141" s="65"/>
    </row>
    <row r="142" spans="1:15">
      <c r="A142" s="61" t="s">
        <v>328</v>
      </c>
      <c r="B142" s="65">
        <v>256741763.021377</v>
      </c>
      <c r="C142" s="65">
        <v>280335100.53629601</v>
      </c>
      <c r="D142" s="65">
        <v>281058966.53613901</v>
      </c>
      <c r="E142" s="65">
        <v>299974481.155393</v>
      </c>
      <c r="F142" s="65">
        <v>298459254.08110201</v>
      </c>
      <c r="G142" s="65">
        <v>322978430.158804</v>
      </c>
      <c r="H142" s="65">
        <v>324400959.12936097</v>
      </c>
      <c r="I142" s="65">
        <v>324028375.926099</v>
      </c>
      <c r="J142" s="65">
        <v>330255403.80658001</v>
      </c>
      <c r="K142" s="65"/>
      <c r="L142" s="65"/>
      <c r="M142" s="65"/>
      <c r="N142" s="65"/>
      <c r="O142" s="65"/>
    </row>
    <row r="143" spans="1:15">
      <c r="A143" s="61" t="s">
        <v>329</v>
      </c>
      <c r="B143" s="65">
        <v>168531645.82364801</v>
      </c>
      <c r="C143" s="65">
        <v>170237883.79815799</v>
      </c>
      <c r="D143" s="65">
        <v>171662548.512804</v>
      </c>
      <c r="E143" s="65">
        <v>150992311.78532299</v>
      </c>
      <c r="F143" s="65">
        <v>150270526.96226099</v>
      </c>
      <c r="G143" s="65">
        <v>149418640.80782101</v>
      </c>
      <c r="H143" s="65">
        <v>149920956.26343501</v>
      </c>
      <c r="I143" s="65">
        <v>104247698.49430899</v>
      </c>
      <c r="J143" s="65">
        <v>111549938.179511</v>
      </c>
      <c r="K143" s="65"/>
      <c r="L143" s="65"/>
      <c r="M143" s="65"/>
      <c r="N143" s="65"/>
      <c r="O143" s="65"/>
    </row>
    <row r="144" spans="1:15">
      <c r="A144" s="61" t="s">
        <v>330</v>
      </c>
      <c r="B144" s="65">
        <v>345886753.86904597</v>
      </c>
      <c r="C144" s="65">
        <v>382959835.26264501</v>
      </c>
      <c r="D144" s="65">
        <v>382443169.72671902</v>
      </c>
      <c r="E144" s="65">
        <v>365162120.02377898</v>
      </c>
      <c r="F144" s="65">
        <v>362796589.85402697</v>
      </c>
      <c r="G144" s="65">
        <v>251989336.59689501</v>
      </c>
      <c r="H144" s="65">
        <v>253880672.22883701</v>
      </c>
      <c r="I144" s="65">
        <v>221046653.55444199</v>
      </c>
      <c r="J144" s="65">
        <v>301551846.38193399</v>
      </c>
      <c r="K144" s="65"/>
      <c r="L144" s="65"/>
      <c r="M144" s="65"/>
      <c r="N144" s="65"/>
      <c r="O144" s="65"/>
    </row>
    <row r="145" spans="1:15">
      <c r="A145" s="61" t="s">
        <v>331</v>
      </c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</row>
    <row r="146" spans="1:15">
      <c r="A146" s="61" t="s">
        <v>332</v>
      </c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</row>
    <row r="147" spans="1:15">
      <c r="A147" s="61" t="s">
        <v>334</v>
      </c>
      <c r="B147" s="65">
        <v>216731221.378086</v>
      </c>
      <c r="C147" s="65">
        <v>337151929.67237002</v>
      </c>
      <c r="D147" s="65">
        <v>392317793.23543</v>
      </c>
      <c r="E147" s="93">
        <v>404497739.64918071</v>
      </c>
      <c r="F147" s="65">
        <v>511862104.61657602</v>
      </c>
      <c r="G147" s="65">
        <v>529279077.90217501</v>
      </c>
      <c r="H147" s="65">
        <v>550049960.29280603</v>
      </c>
      <c r="I147" s="65">
        <v>477343029.336905</v>
      </c>
      <c r="J147" s="65">
        <v>531205266.245543</v>
      </c>
      <c r="K147" s="65"/>
      <c r="L147" s="65"/>
      <c r="M147" s="65"/>
      <c r="N147" s="65"/>
      <c r="O147" s="65"/>
    </row>
    <row r="148" spans="1:15">
      <c r="A148" s="61" t="s">
        <v>335</v>
      </c>
      <c r="B148" s="65">
        <v>18656866.587883301</v>
      </c>
      <c r="C148" s="65">
        <v>43504117.378482997</v>
      </c>
      <c r="D148" s="65">
        <v>16869743.410477001</v>
      </c>
      <c r="E148" s="65">
        <v>13099902.437215799</v>
      </c>
      <c r="F148" s="65">
        <v>20425674.306329701</v>
      </c>
      <c r="G148" s="65">
        <v>20371546.065819699</v>
      </c>
      <c r="H148" s="65">
        <v>50949946.0031427</v>
      </c>
      <c r="I148" s="65">
        <v>43158994.258450598</v>
      </c>
      <c r="J148" s="65">
        <v>44813025.579845399</v>
      </c>
      <c r="K148" s="65"/>
      <c r="L148" s="65"/>
      <c r="M148" s="65"/>
      <c r="N148" s="65"/>
      <c r="O148" s="65"/>
    </row>
    <row r="149" spans="1:15">
      <c r="A149" s="61" t="s">
        <v>336</v>
      </c>
      <c r="B149" s="65">
        <v>23032223.143816799</v>
      </c>
      <c r="C149" s="65">
        <v>22270770.574896298</v>
      </c>
      <c r="D149" s="65">
        <v>17001955.1217377</v>
      </c>
      <c r="E149" s="65">
        <v>13751874.7223377</v>
      </c>
      <c r="F149" s="65">
        <v>16895535.6335936</v>
      </c>
      <c r="G149" s="65">
        <v>16601964.438676599</v>
      </c>
      <c r="H149" s="65">
        <v>17104243.487693001</v>
      </c>
      <c r="I149" s="65">
        <v>16018898.518683299</v>
      </c>
      <c r="J149" s="65">
        <v>15278298.2905077</v>
      </c>
      <c r="K149" s="65"/>
      <c r="L149" s="65"/>
      <c r="M149" s="65"/>
      <c r="N149" s="65"/>
      <c r="O149" s="65"/>
    </row>
    <row r="150" spans="1:15">
      <c r="A150" s="61" t="s">
        <v>337</v>
      </c>
      <c r="B150" s="65">
        <v>1983647.6418683401</v>
      </c>
      <c r="C150" s="65">
        <v>2874440.4980592998</v>
      </c>
      <c r="D150" s="65">
        <v>455377.41417274898</v>
      </c>
      <c r="E150" s="65">
        <v>311662.76535738102</v>
      </c>
      <c r="F150" s="65">
        <v>1919566.4988408601</v>
      </c>
      <c r="G150" s="65">
        <v>1623841.76333792</v>
      </c>
      <c r="H150" s="65">
        <v>1026307.43457187</v>
      </c>
      <c r="I150" s="65">
        <v>-3144454.7197825601</v>
      </c>
      <c r="J150" s="65">
        <v>1949871.2695552399</v>
      </c>
      <c r="K150" s="65"/>
      <c r="L150" s="65"/>
      <c r="M150" s="65"/>
      <c r="N150" s="65"/>
      <c r="O150" s="65"/>
    </row>
    <row r="151" spans="1:15">
      <c r="A151" s="61" t="s">
        <v>338</v>
      </c>
      <c r="B151" s="65">
        <v>-312064425.814381</v>
      </c>
      <c r="C151" s="65">
        <v>-63612189.962138698</v>
      </c>
      <c r="D151" s="65">
        <v>140908027.289242</v>
      </c>
      <c r="E151" s="65">
        <v>2790660.5580787999</v>
      </c>
      <c r="F151" s="65">
        <v>201078563.85660601</v>
      </c>
      <c r="G151" s="65">
        <v>214136480.70184401</v>
      </c>
      <c r="H151" s="65">
        <v>180719645.242625</v>
      </c>
      <c r="I151" s="65">
        <v>194951976.50384</v>
      </c>
      <c r="J151" s="65">
        <v>146086972.72538799</v>
      </c>
      <c r="K151" s="65"/>
      <c r="L151" s="65"/>
      <c r="M151" s="65"/>
      <c r="N151" s="65"/>
      <c r="O151" s="65"/>
    </row>
    <row r="152" spans="1:15">
      <c r="A152" s="61" t="s">
        <v>339</v>
      </c>
      <c r="B152" s="65">
        <v>83736542.254352301</v>
      </c>
      <c r="C152" s="65">
        <v>54528437.847045898</v>
      </c>
      <c r="D152" s="65">
        <v>72198052.561089694</v>
      </c>
      <c r="E152" s="65">
        <v>73574614.595607594</v>
      </c>
      <c r="F152" s="65">
        <v>69773574.8637456</v>
      </c>
      <c r="G152" s="65">
        <v>75317831.580158606</v>
      </c>
      <c r="H152" s="65">
        <v>89079027.2790218</v>
      </c>
      <c r="I152" s="65">
        <v>74298788.786442503</v>
      </c>
      <c r="J152" s="65">
        <v>69708219.064408094</v>
      </c>
      <c r="K152" s="65"/>
      <c r="L152" s="65"/>
      <c r="M152" s="65"/>
      <c r="N152" s="65"/>
      <c r="O152" s="65"/>
    </row>
    <row r="153" spans="1:15">
      <c r="A153" s="61" t="s">
        <v>340</v>
      </c>
      <c r="B153" s="65">
        <v>262261180.76622301</v>
      </c>
      <c r="C153" s="65">
        <v>203946636.481038</v>
      </c>
      <c r="D153" s="65">
        <v>204753191.57940301</v>
      </c>
      <c r="E153" s="65">
        <v>323357794.32153702</v>
      </c>
      <c r="F153" s="65">
        <v>321287532.24122202</v>
      </c>
      <c r="G153" s="65">
        <v>369801303.91439801</v>
      </c>
      <c r="H153" s="65">
        <v>370923722.71538901</v>
      </c>
      <c r="I153" s="65">
        <v>370329194.93647099</v>
      </c>
      <c r="J153" s="65">
        <v>399685180.23211098</v>
      </c>
      <c r="K153" s="65"/>
      <c r="L153" s="65"/>
      <c r="M153" s="65"/>
      <c r="N153" s="65"/>
      <c r="O153" s="65"/>
    </row>
    <row r="154" spans="1:15">
      <c r="A154" s="61" t="s">
        <v>341</v>
      </c>
      <c r="B154" s="65">
        <v>154099122.20962599</v>
      </c>
      <c r="C154" s="65">
        <v>143453087.93990001</v>
      </c>
      <c r="D154" s="65">
        <v>144635930.17244399</v>
      </c>
      <c r="E154" s="65">
        <v>168030722.75283799</v>
      </c>
      <c r="F154" s="65">
        <v>166959901.70223799</v>
      </c>
      <c r="G154" s="65">
        <v>175136033.94219899</v>
      </c>
      <c r="H154" s="65">
        <v>175429689.77885601</v>
      </c>
      <c r="I154" s="65">
        <v>67213363.562857598</v>
      </c>
      <c r="J154" s="65">
        <v>199377842.159035</v>
      </c>
      <c r="K154" s="65"/>
      <c r="L154" s="65"/>
      <c r="M154" s="65"/>
      <c r="N154" s="65"/>
      <c r="O154" s="65"/>
    </row>
    <row r="155" spans="1:15">
      <c r="A155" s="61" t="s">
        <v>342</v>
      </c>
      <c r="B155" s="67">
        <v>279995819.149387</v>
      </c>
      <c r="C155" s="67">
        <v>368322559.30040002</v>
      </c>
      <c r="D155" s="67">
        <v>367863620.17434502</v>
      </c>
      <c r="E155" s="67">
        <v>375581957.08261299</v>
      </c>
      <c r="F155" s="67">
        <v>372184106.81656599</v>
      </c>
      <c r="G155" s="67">
        <v>338778543.77179003</v>
      </c>
      <c r="H155" s="67">
        <v>341091662.09194797</v>
      </c>
      <c r="I155" s="67">
        <v>297742660.28331202</v>
      </c>
      <c r="J155" s="67">
        <v>321530220.40179598</v>
      </c>
      <c r="K155" s="67"/>
      <c r="L155" s="67"/>
      <c r="M155" s="67"/>
      <c r="N155" s="67"/>
      <c r="O155" s="67"/>
    </row>
  </sheetData>
  <pageMargins left="0.7" right="0.7" top="0.75" bottom="0.75" header="0.3" footer="0.3"/>
  <customProperties>
    <customPr name="_pios_id" r:id="rId1"/>
    <customPr name="CofWorksheetType" r:id="rId2"/>
    <customPr name="EpmWorksheetKeyString_GUID" r:id="rId3"/>
  </customPropertie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FA652-EF55-408A-A210-9BB679723938}">
  <dimension ref="A1:O28"/>
  <sheetViews>
    <sheetView showGridLines="0" zoomScale="85" zoomScaleNormal="85" workbookViewId="0">
      <selection activeCell="C3" sqref="C3"/>
    </sheetView>
  </sheetViews>
  <sheetFormatPr defaultRowHeight="14.5"/>
  <cols>
    <col min="1" max="1" width="26.453125" customWidth="1"/>
    <col min="2" max="3" width="15.1796875" bestFit="1" customWidth="1"/>
    <col min="4" max="4" width="14.1796875" bestFit="1" customWidth="1"/>
    <col min="5" max="5" width="10.81640625" customWidth="1"/>
    <col min="6" max="6" width="3.81640625" customWidth="1"/>
    <col min="7" max="7" width="26.1796875" customWidth="1"/>
    <col min="8" max="8" width="13" bestFit="1" customWidth="1"/>
    <col min="9" max="10" width="12.81640625" customWidth="1"/>
    <col min="11" max="11" width="10.81640625" customWidth="1"/>
    <col min="12" max="12" width="3.1796875" customWidth="1"/>
    <col min="13" max="13" width="13.54296875" bestFit="1" customWidth="1"/>
    <col min="14" max="14" width="18.81640625" bestFit="1" customWidth="1"/>
    <col min="15" max="15" width="9.1796875" bestFit="1" customWidth="1"/>
  </cols>
  <sheetData>
    <row r="1" spans="1:15">
      <c r="A1" s="2"/>
      <c r="B1" s="455">
        <v>45657</v>
      </c>
      <c r="C1" s="456"/>
      <c r="D1" s="456"/>
      <c r="E1" s="457"/>
      <c r="G1" s="2"/>
      <c r="H1" s="455">
        <v>45657</v>
      </c>
      <c r="I1" s="456"/>
      <c r="J1" s="456"/>
      <c r="K1" s="457"/>
      <c r="M1" s="3"/>
      <c r="N1" s="11" t="s">
        <v>53</v>
      </c>
      <c r="O1" s="11" t="s">
        <v>344</v>
      </c>
    </row>
    <row r="2" spans="1:15">
      <c r="A2" s="11" t="s">
        <v>345</v>
      </c>
      <c r="B2" s="11" t="s">
        <v>53</v>
      </c>
      <c r="C2" s="11" t="s">
        <v>344</v>
      </c>
      <c r="D2" s="11" t="s">
        <v>55</v>
      </c>
      <c r="E2" s="11" t="s">
        <v>56</v>
      </c>
      <c r="G2" s="11" t="s">
        <v>346</v>
      </c>
      <c r="H2" s="11" t="s">
        <v>53</v>
      </c>
      <c r="I2" s="11" t="s">
        <v>344</v>
      </c>
      <c r="J2" s="11" t="s">
        <v>55</v>
      </c>
      <c r="K2" s="11" t="s">
        <v>56</v>
      </c>
      <c r="M2" s="2" t="s">
        <v>57</v>
      </c>
      <c r="N2" s="10">
        <f>'C-TRY'!AI3</f>
        <v>41.7265625</v>
      </c>
      <c r="O2" s="10">
        <f>'Tahmin-eur'!N2</f>
        <v>19.893999999999998</v>
      </c>
    </row>
    <row r="3" spans="1:15">
      <c r="A3" s="2" t="s">
        <v>59</v>
      </c>
      <c r="B3" s="7">
        <f>'C-TRY'!AI6</f>
        <v>14799354422.573786</v>
      </c>
      <c r="C3" s="53">
        <f>SUM('Bağış - İş Geliştirme Hariç'!D3:D10)</f>
        <v>12858392517.242737</v>
      </c>
      <c r="D3" s="53">
        <f>C3-B3</f>
        <v>-1940961905.331049</v>
      </c>
      <c r="E3" s="132">
        <f>C3/B3-1</f>
        <v>-0.13115179553849032</v>
      </c>
      <c r="G3" s="2" t="s">
        <v>59</v>
      </c>
      <c r="H3" s="7">
        <f>'C-Döviz'!AI6</f>
        <v>357330874.1914534</v>
      </c>
      <c r="I3" s="53">
        <f>SUM('Bağış - İş Geliştirme Hariç'!C3:C10)</f>
        <v>346864732.73989868</v>
      </c>
      <c r="J3" s="53">
        <f>I3-H3</f>
        <v>-10466141.451554716</v>
      </c>
      <c r="K3" s="142">
        <f>I3/H3-1</f>
        <v>-2.9289776527810174E-2</v>
      </c>
      <c r="M3" s="2" t="s">
        <v>347</v>
      </c>
      <c r="N3" s="10">
        <f>'C-TRY'!AI4</f>
        <v>41.34375</v>
      </c>
      <c r="O3" s="10">
        <f>AVERAGE('Tahmin-eur'!B3:N3)</f>
        <v>17.42771461065815</v>
      </c>
    </row>
    <row r="4" spans="1:15">
      <c r="A4" s="2" t="s">
        <v>348</v>
      </c>
      <c r="B4" s="7">
        <f>'C-TRY'!AI31</f>
        <v>-11697306422.206289</v>
      </c>
      <c r="C4" s="53">
        <f>-SUM('Bağış - İş Geliştirme Hariç'!D11:D18)</f>
        <v>-10210578456.639214</v>
      </c>
      <c r="D4" s="53">
        <f>C4-B4</f>
        <v>1486727965.5670757</v>
      </c>
      <c r="E4" s="133">
        <f>C4/B4-1</f>
        <v>-0.12710002729728065</v>
      </c>
      <c r="G4" s="2" t="s">
        <v>348</v>
      </c>
      <c r="H4" s="7">
        <f>'C-Döviz'!AI31</f>
        <v>-282670922.59908473</v>
      </c>
      <c r="I4" s="53">
        <f>-SUM('Bağış - İş Geliştirme Hariç'!C11:C18)</f>
        <v>-275623017.06360769</v>
      </c>
      <c r="J4" s="53">
        <f>I4-H4</f>
        <v>7047905.5354770422</v>
      </c>
      <c r="K4" s="142">
        <f>I4/H4-1</f>
        <v>-2.4933252669476547E-2</v>
      </c>
      <c r="M4" s="13"/>
      <c r="N4" s="13"/>
      <c r="O4" s="13"/>
    </row>
    <row r="5" spans="1:15" s="1" customFormat="1">
      <c r="A5" s="3" t="s">
        <v>63</v>
      </c>
      <c r="B5" s="8">
        <f>'C-TRY'!AI32</f>
        <v>3102048000.3674946</v>
      </c>
      <c r="C5" s="54">
        <f>SUM('Bağış - İş Geliştirme Hariç'!D19:D26)</f>
        <v>2647814060.6035252</v>
      </c>
      <c r="D5" s="54">
        <f>C5-B5</f>
        <v>-454233939.76396942</v>
      </c>
      <c r="E5" s="134">
        <f>C5/B5-1</f>
        <v>-0.14643033883104228</v>
      </c>
      <c r="G5" s="3" t="s">
        <v>63</v>
      </c>
      <c r="H5" s="8">
        <f>'C-Döviz'!AI32</f>
        <v>74659952.248207495</v>
      </c>
      <c r="I5" s="54">
        <f>SUM('Bağış - İş Geliştirme Hariç'!C19:C26)</f>
        <v>71241715.676290989</v>
      </c>
      <c r="J5" s="54">
        <f>I5-H5</f>
        <v>-3418236.5719165057</v>
      </c>
      <c r="K5" s="143">
        <f>I5/H5-1</f>
        <v>-4.5784071232091827E-2</v>
      </c>
      <c r="M5"/>
      <c r="N5"/>
      <c r="O5"/>
    </row>
    <row r="6" spans="1:15" s="13" customFormat="1">
      <c r="A6" s="20" t="s">
        <v>64</v>
      </c>
      <c r="B6" s="12">
        <f>B5/B3</f>
        <v>0.20960698093937608</v>
      </c>
      <c r="C6" s="12">
        <f>C5/C3</f>
        <v>0.20592107894146816</v>
      </c>
      <c r="D6" s="12">
        <f>C6-B6</f>
        <v>-3.6859019979079144E-3</v>
      </c>
      <c r="E6" s="20"/>
      <c r="G6" s="20" t="s">
        <v>64</v>
      </c>
      <c r="H6" s="58">
        <f>H5/H3</f>
        <v>0.20893787142558981</v>
      </c>
      <c r="I6" s="58">
        <f>I5/I3</f>
        <v>0.20538760200136166</v>
      </c>
      <c r="J6" s="12">
        <f>I6-H6</f>
        <v>-3.5502694242281474E-3</v>
      </c>
      <c r="K6" s="58"/>
      <c r="M6"/>
      <c r="N6"/>
      <c r="O6"/>
    </row>
    <row r="7" spans="1:15">
      <c r="A7" s="2"/>
      <c r="B7" s="53"/>
      <c r="C7" s="53"/>
      <c r="D7" s="122"/>
      <c r="E7" s="2"/>
      <c r="G7" s="2"/>
      <c r="H7" s="2"/>
      <c r="I7" s="2"/>
      <c r="J7" s="2"/>
      <c r="K7" s="142"/>
      <c r="M7" s="1"/>
      <c r="N7" s="1"/>
      <c r="O7" s="1"/>
    </row>
    <row r="8" spans="1:15">
      <c r="A8" s="2" t="s">
        <v>67</v>
      </c>
      <c r="B8" s="7">
        <f>-'C-TRY'!AI88</f>
        <v>1442917917.7768402</v>
      </c>
      <c r="C8" s="53">
        <f>SUM('Bağış - İş Geliştirme Hariç'!D27:D34)</f>
        <v>1083403675.9602029</v>
      </c>
      <c r="D8" s="53">
        <f>C8-B8</f>
        <v>-359514241.81663728</v>
      </c>
      <c r="E8" s="5">
        <f>C8/B8-1</f>
        <v>-0.24915779157455809</v>
      </c>
      <c r="G8" s="2" t="s">
        <v>67</v>
      </c>
      <c r="H8" s="7">
        <f>-'C-Döviz'!AI88</f>
        <v>34861555.870865881</v>
      </c>
      <c r="I8" s="53">
        <f>SUM('Bağış - İş Geliştirme Hariç'!C27:C34)</f>
        <v>29218452.800064586</v>
      </c>
      <c r="J8" s="53">
        <f>I8-H8</f>
        <v>-5643103.0708012953</v>
      </c>
      <c r="K8" s="142">
        <f>I8/H8-1</f>
        <v>-0.16187180777887444</v>
      </c>
      <c r="M8" s="92">
        <f>-I8/I3</f>
        <v>-8.4235870765144771E-2</v>
      </c>
      <c r="N8" s="13"/>
      <c r="O8" s="13"/>
    </row>
    <row r="9" spans="1:15" s="1" customFormat="1">
      <c r="A9" s="3" t="s">
        <v>118</v>
      </c>
      <c r="B9" s="8">
        <f>'C-TRY'!AI112</f>
        <v>1659130082.590651</v>
      </c>
      <c r="C9" s="54">
        <f>SUM('Bağış - İş Geliştirme Hariç'!D43:D50)</f>
        <v>1564410384.643322</v>
      </c>
      <c r="D9" s="54">
        <f>C9-B9</f>
        <v>-94719697.947329044</v>
      </c>
      <c r="E9" s="55">
        <f>C9/B9-1</f>
        <v>-5.708997681449357E-2</v>
      </c>
      <c r="G9" s="3" t="s">
        <v>118</v>
      </c>
      <c r="H9" s="8">
        <f>'C-Döviz'!AI112</f>
        <v>39798396.377341546</v>
      </c>
      <c r="I9" s="54">
        <f>SUM('Bağış - İş Geliştirme Hariç'!C43:C50)</f>
        <v>42023262.876226395</v>
      </c>
      <c r="J9" s="54">
        <f>I9-H9</f>
        <v>2224866.4988848493</v>
      </c>
      <c r="K9" s="143">
        <f>I9/H9-1</f>
        <v>5.5903420775806234E-2</v>
      </c>
      <c r="M9" s="52">
        <f>I5-I8</f>
        <v>42023262.876226403</v>
      </c>
      <c r="N9"/>
      <c r="O9"/>
    </row>
    <row r="10" spans="1:15" s="13" customFormat="1">
      <c r="A10" s="20" t="s">
        <v>349</v>
      </c>
      <c r="B10" s="58">
        <f>B9/B3</f>
        <v>0.11210827413254884</v>
      </c>
      <c r="C10" s="58">
        <f>C9/C3</f>
        <v>0.12166453796969508</v>
      </c>
      <c r="D10" s="12">
        <f>C10-B10</f>
        <v>9.5562638371462366E-3</v>
      </c>
      <c r="E10" s="20"/>
      <c r="G10" s="20" t="s">
        <v>349</v>
      </c>
      <c r="H10" s="58">
        <f>H9/H3</f>
        <v>0.11137687575246595</v>
      </c>
      <c r="I10" s="58">
        <f>I9/I3</f>
        <v>0.12115173123621686</v>
      </c>
      <c r="J10" s="12">
        <f>I10-H10</f>
        <v>9.7748554837509133E-3</v>
      </c>
      <c r="K10" s="58"/>
      <c r="M10" s="52"/>
      <c r="N10"/>
      <c r="O10"/>
    </row>
    <row r="11" spans="1:15">
      <c r="A11" s="2"/>
      <c r="B11" s="2"/>
      <c r="C11" s="2"/>
      <c r="D11" s="2"/>
      <c r="E11" s="2"/>
      <c r="G11" s="2"/>
      <c r="H11" s="2"/>
      <c r="I11" s="2"/>
      <c r="J11" s="2"/>
      <c r="K11" s="142"/>
      <c r="M11" s="1"/>
      <c r="N11" s="1"/>
      <c r="O11" s="1"/>
    </row>
    <row r="12" spans="1:15">
      <c r="A12" s="2" t="s">
        <v>350</v>
      </c>
      <c r="B12" s="7">
        <f>B13-B9</f>
        <v>368786188.33923006</v>
      </c>
      <c r="C12" s="7">
        <f>SUM('Bağış - İş Geliştirme Hariç'!D51:D58)</f>
        <v>297936890.82742566</v>
      </c>
      <c r="D12" s="53">
        <f>C12-B12</f>
        <v>-70849297.511804402</v>
      </c>
      <c r="E12" s="5">
        <f>C12/B12-1</f>
        <v>-0.19211483442713229</v>
      </c>
      <c r="G12" s="2" t="s">
        <v>350</v>
      </c>
      <c r="H12" s="7">
        <f>H13-H9</f>
        <v>8901773.6654433981</v>
      </c>
      <c r="I12" s="7">
        <f>SUM('Bağış - İş Geliştirme Hariç'!C51:C58)</f>
        <v>8069833.8024718575</v>
      </c>
      <c r="J12" s="53">
        <f>I12-H12</f>
        <v>-831939.86297154054</v>
      </c>
      <c r="K12" s="142">
        <f>I12/H12-1</f>
        <v>-9.3457764063483606E-2</v>
      </c>
      <c r="M12" s="144"/>
      <c r="N12" s="13"/>
      <c r="O12" s="13"/>
    </row>
    <row r="13" spans="1:15" s="1" customFormat="1">
      <c r="A13" s="3" t="s">
        <v>4</v>
      </c>
      <c r="B13" s="8">
        <f>'C-TRY'!AI136</f>
        <v>2027916270.9298811</v>
      </c>
      <c r="C13" s="54">
        <f>SUM('Bağış - İş Geliştirme Hariç'!D59:D66)</f>
        <v>1862347272.451014</v>
      </c>
      <c r="D13" s="54">
        <f>C13-B13</f>
        <v>-165568998.47886705</v>
      </c>
      <c r="E13" s="55">
        <f>C13/B13-1</f>
        <v>-8.1644888821246542E-2</v>
      </c>
      <c r="G13" s="3" t="s">
        <v>4</v>
      </c>
      <c r="H13" s="8">
        <f>'C-Döviz'!AI136</f>
        <v>48700170.042784944</v>
      </c>
      <c r="I13" s="54">
        <f>SUM('Bağış - İş Geliştirme Hariç'!C59:C66)</f>
        <v>50093096.678698264</v>
      </c>
      <c r="J13" s="54">
        <f>I13-H13</f>
        <v>1392926.6359133199</v>
      </c>
      <c r="K13" s="143">
        <f>I13/H13-1</f>
        <v>2.8602089780992213E-2</v>
      </c>
      <c r="M13"/>
      <c r="N13"/>
      <c r="O13"/>
    </row>
    <row r="14" spans="1:15" s="13" customFormat="1">
      <c r="A14" s="20" t="s">
        <v>351</v>
      </c>
      <c r="B14" s="12">
        <f>B13/B3</f>
        <v>0.13702734680349671</v>
      </c>
      <c r="C14" s="58">
        <f>C13/C3</f>
        <v>0.14483515493508692</v>
      </c>
      <c r="D14" s="12">
        <f>C14-B14</f>
        <v>7.8078081315902104E-3</v>
      </c>
      <c r="E14" s="20"/>
      <c r="G14" s="20" t="s">
        <v>351</v>
      </c>
      <c r="H14" s="58">
        <f>H13/H3</f>
        <v>0.13628872722789692</v>
      </c>
      <c r="I14" s="58">
        <f>I13/I3</f>
        <v>0.14441680560318385</v>
      </c>
      <c r="J14" s="12">
        <f>I14-H14</f>
        <v>8.1280783752869235E-3</v>
      </c>
      <c r="K14" s="58"/>
      <c r="M14" s="145">
        <f>Tahmin!I14-'Tahmin - Bağış, İş Gel. Hrç'!I14</f>
        <v>-1.3652163625425345E-2</v>
      </c>
      <c r="N14"/>
      <c r="O14"/>
    </row>
    <row r="15" spans="1:15">
      <c r="A15" s="2"/>
      <c r="B15" s="2"/>
      <c r="C15" s="2"/>
      <c r="D15" s="2"/>
      <c r="E15" s="2"/>
      <c r="G15" s="2"/>
      <c r="H15" s="2"/>
      <c r="I15" s="2"/>
      <c r="J15" s="2"/>
      <c r="K15" s="142"/>
    </row>
    <row r="16" spans="1:15">
      <c r="A16" s="2" t="s">
        <v>352</v>
      </c>
      <c r="B16" s="7">
        <f>'C-TRY'!AI160</f>
        <v>-499376007.82080162</v>
      </c>
      <c r="C16" s="53">
        <f>SUM('Bağış - İş Geliştirme Hariç'!D67:D74)</f>
        <v>-389291104.97214186</v>
      </c>
      <c r="D16" s="53">
        <f>C16-B16</f>
        <v>110084902.84865975</v>
      </c>
      <c r="E16" s="5">
        <f>C16/B16-1</f>
        <v>-0.22044491750625539</v>
      </c>
      <c r="G16" s="2" t="s">
        <v>352</v>
      </c>
      <c r="H16" s="7">
        <f>'C-Döviz'!AI160</f>
        <v>-12124533.457740035</v>
      </c>
      <c r="I16" s="53">
        <f>SUM('Bağış - İş Geliştirme Hariç'!C67:C74)</f>
        <v>-10398288.761023384</v>
      </c>
      <c r="J16" s="53">
        <f>I16-H16</f>
        <v>1726244.6967166513</v>
      </c>
      <c r="K16" s="142">
        <f>I16/H16-1</f>
        <v>-0.14237617494590316</v>
      </c>
      <c r="M16" s="94"/>
    </row>
    <row r="17" spans="1:15">
      <c r="A17" s="2" t="s">
        <v>353</v>
      </c>
      <c r="B17" s="7">
        <f>'C-TRY'!AI173</f>
        <v>-9578974.3540274296</v>
      </c>
      <c r="C17" s="53">
        <f>SUM('Bağış - İş Geliştirme Hariç'!D75:D82)</f>
        <v>-77727136.986137167</v>
      </c>
      <c r="D17" s="53">
        <f>C17-B17</f>
        <v>-68148162.632109731</v>
      </c>
      <c r="E17" s="5">
        <f>C17/B17-1</f>
        <v>7.1143485840378311</v>
      </c>
      <c r="G17" s="2" t="s">
        <v>353</v>
      </c>
      <c r="H17" s="7">
        <f>'C-Döviz'!AI173</f>
        <v>-209028.84921816309</v>
      </c>
      <c r="I17" s="53">
        <f>SUM('Bağış - İş Geliştirme Hariç'!C75:C82)</f>
        <v>-2172044.7899167254</v>
      </c>
      <c r="J17" s="53">
        <f>I17-H17</f>
        <v>-1963015.9406985622</v>
      </c>
      <c r="K17" s="142">
        <f>I17/H17-1</f>
        <v>9.3911244693777434</v>
      </c>
      <c r="M17" s="52"/>
      <c r="N17" s="1"/>
      <c r="O17" s="1"/>
    </row>
    <row r="18" spans="1:15">
      <c r="A18" s="2"/>
      <c r="B18" s="2"/>
      <c r="C18" s="53"/>
      <c r="D18" s="2"/>
      <c r="E18" s="2"/>
      <c r="G18" s="2"/>
      <c r="H18" s="2"/>
      <c r="I18" s="2"/>
      <c r="J18" s="2"/>
      <c r="K18" s="142"/>
    </row>
    <row r="19" spans="1:15" s="1" customFormat="1">
      <c r="A19" s="3" t="s">
        <v>354</v>
      </c>
      <c r="B19" s="8">
        <f>'C-TRY'!AI186</f>
        <v>1150175100.6713731</v>
      </c>
      <c r="C19" s="54">
        <f>SUM('Bağış - İş Geliştirme Hariç'!D83:D90)</f>
        <v>1097522872.0665872</v>
      </c>
      <c r="D19" s="54">
        <f>C19-B19</f>
        <v>-52652228.604785919</v>
      </c>
      <c r="E19" s="55">
        <f>C19/B19-1</f>
        <v>-4.5777576452534996E-2</v>
      </c>
      <c r="G19" s="3" t="s">
        <v>354</v>
      </c>
      <c r="H19" s="8">
        <f>'C-Döviz'!AI186</f>
        <v>27464834.076917421</v>
      </c>
      <c r="I19" s="54">
        <f>SUM('Bağış - İş Geliştirme Hariç'!C83:C90)</f>
        <v>30899081.413354307</v>
      </c>
      <c r="J19" s="54">
        <f>I19-H19</f>
        <v>3434247.3364368863</v>
      </c>
      <c r="K19" s="143">
        <f>I19/H19-1</f>
        <v>0.12504161965147897</v>
      </c>
      <c r="M19"/>
      <c r="N19"/>
      <c r="O19"/>
    </row>
    <row r="20" spans="1:15">
      <c r="A20" s="2" t="s">
        <v>355</v>
      </c>
      <c r="B20" s="12">
        <f>B19/B3</f>
        <v>7.7717923892476379E-2</v>
      </c>
      <c r="C20" s="12">
        <f>C19/C3</f>
        <v>8.5354593942815207E-2</v>
      </c>
      <c r="D20" s="12">
        <f>C20-B20</f>
        <v>7.6366700503388285E-3</v>
      </c>
      <c r="E20" s="2"/>
      <c r="G20" s="2" t="s">
        <v>355</v>
      </c>
      <c r="H20" s="12">
        <f>H19/H3</f>
        <v>7.6861072077981443E-2</v>
      </c>
      <c r="I20" s="12">
        <f>I19/I3</f>
        <v>8.908106964141671E-2</v>
      </c>
      <c r="J20" s="12">
        <f>I20-H20</f>
        <v>1.2219997563435267E-2</v>
      </c>
      <c r="K20" s="142"/>
    </row>
    <row r="21" spans="1:15">
      <c r="A21" s="2"/>
      <c r="B21" s="2"/>
      <c r="C21" s="2"/>
      <c r="D21" s="2"/>
      <c r="E21" s="2"/>
      <c r="G21" s="2"/>
      <c r="H21" s="2"/>
      <c r="I21" s="2"/>
      <c r="J21" s="2"/>
      <c r="K21" s="142"/>
      <c r="M21" s="1"/>
      <c r="N21" s="1"/>
      <c r="O21" s="1"/>
    </row>
    <row r="22" spans="1:15">
      <c r="A22" s="2" t="s">
        <v>356</v>
      </c>
      <c r="B22" s="7">
        <f>'C-TRY'!AI199</f>
        <v>-186851383.45065144</v>
      </c>
      <c r="C22" s="53">
        <f>-SUM('Bağış - İş Geliştirme Hariç'!D91:D98)</f>
        <v>-74931775.307566777</v>
      </c>
      <c r="D22" s="53">
        <f>C22-B22</f>
        <v>111919608.14308466</v>
      </c>
      <c r="E22" s="5">
        <f>IFERROR((C22/B22-1),"")</f>
        <v>-0.59897660951835174</v>
      </c>
      <c r="G22" s="2" t="s">
        <v>356</v>
      </c>
      <c r="H22" s="7">
        <f>'C-Döviz'!AI199</f>
        <v>-4373223.5974829216</v>
      </c>
      <c r="I22" s="53">
        <f>-SUM('Bağış - İş Geliştirme Hariç'!C91:C98)</f>
        <v>-1937442.3960208206</v>
      </c>
      <c r="J22" s="53">
        <f>I22-H22</f>
        <v>2435781.2014621012</v>
      </c>
      <c r="K22" s="142">
        <f>IFERROR((I22/H22-1),"")</f>
        <v>-0.55697614063549228</v>
      </c>
      <c r="M22" s="13"/>
      <c r="N22" s="13"/>
      <c r="O22" s="13"/>
    </row>
    <row r="23" spans="1:15" s="1" customFormat="1">
      <c r="A23" s="3" t="s">
        <v>357</v>
      </c>
      <c r="B23" s="8">
        <f>'C-TRY'!AI212</f>
        <v>963323717.22072327</v>
      </c>
      <c r="C23" s="54">
        <f>SUM('Bağış - İş Geliştirme Hariç'!D99:D106)</f>
        <v>1022591096.7590203</v>
      </c>
      <c r="D23" s="54">
        <f>C23-B23</f>
        <v>59267379.538297057</v>
      </c>
      <c r="E23" s="55">
        <f>C23/B23-1</f>
        <v>6.1523845493276941E-2</v>
      </c>
      <c r="G23" s="3" t="s">
        <v>357</v>
      </c>
      <c r="H23" s="8">
        <f>'C-Döviz'!AI212</f>
        <v>23091610.479434531</v>
      </c>
      <c r="I23" s="54">
        <f>SUM('Bağış - İş Geliştirme Hariç'!C99:C106)</f>
        <v>28961639.017333489</v>
      </c>
      <c r="J23" s="54">
        <f>I23-H23</f>
        <v>5870028.5378989577</v>
      </c>
      <c r="K23" s="143">
        <f>I23/H23-1</f>
        <v>0.25420611278398386</v>
      </c>
      <c r="M23"/>
      <c r="N23"/>
      <c r="O23"/>
    </row>
    <row r="24" spans="1:15" s="13" customFormat="1">
      <c r="A24" s="20" t="s">
        <v>358</v>
      </c>
      <c r="B24" s="12">
        <f>B23/B3</f>
        <v>6.5092279684264065E-2</v>
      </c>
      <c r="C24" s="12">
        <f>C23/C3</f>
        <v>7.952713337905612E-2</v>
      </c>
      <c r="D24" s="12">
        <f>C24-B24</f>
        <v>1.4434853694792055E-2</v>
      </c>
      <c r="E24" s="20"/>
      <c r="G24" s="20" t="s">
        <v>358</v>
      </c>
      <c r="H24" s="12">
        <f>H23/H3</f>
        <v>6.4622488979394307E-2</v>
      </c>
      <c r="I24" s="12">
        <f>I23/I3</f>
        <v>8.3495484791908131E-2</v>
      </c>
      <c r="J24" s="12">
        <f>I24-H24</f>
        <v>1.8872995812513824E-2</v>
      </c>
      <c r="K24" s="58"/>
      <c r="M24"/>
      <c r="N24"/>
      <c r="O24"/>
    </row>
    <row r="26" spans="1:15">
      <c r="B26" s="52"/>
      <c r="C26" s="52"/>
      <c r="H26" s="52"/>
      <c r="I26" s="52"/>
    </row>
    <row r="27" spans="1:15">
      <c r="C27" s="52"/>
    </row>
    <row r="28" spans="1:15">
      <c r="C28" s="52"/>
    </row>
  </sheetData>
  <mergeCells count="2">
    <mergeCell ref="B1:E1"/>
    <mergeCell ref="H1:K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19B45-C8C3-4A1C-816D-D13582571A3E}">
  <dimension ref="C1:Z76"/>
  <sheetViews>
    <sheetView topLeftCell="G1" zoomScale="85" zoomScaleNormal="85" workbookViewId="0">
      <selection activeCell="W20" sqref="W20"/>
    </sheetView>
  </sheetViews>
  <sheetFormatPr defaultColWidth="8.7265625" defaultRowHeight="13"/>
  <cols>
    <col min="1" max="1" width="8.7265625" style="323"/>
    <col min="2" max="2" width="4.1796875" style="323" customWidth="1"/>
    <col min="3" max="3" width="3.81640625" style="323" customWidth="1"/>
    <col min="4" max="4" width="51.26953125" style="323" customWidth="1"/>
    <col min="5" max="5" width="8.1796875" style="323" bestFit="1" customWidth="1"/>
    <col min="6" max="7" width="11" style="323" bestFit="1" customWidth="1"/>
    <col min="8" max="8" width="9" style="323" customWidth="1"/>
    <col min="9" max="9" width="8.7265625" style="323" customWidth="1"/>
    <col min="10" max="10" width="7.1796875" style="323" customWidth="1"/>
    <col min="11" max="11" width="7.54296875" style="323" bestFit="1" customWidth="1"/>
    <col min="12" max="13" width="8.7265625" style="323"/>
    <col min="14" max="14" width="10.1796875" style="323" bestFit="1" customWidth="1"/>
    <col min="15" max="16" width="8.7265625" style="323"/>
    <col min="17" max="17" width="25.26953125" style="323" customWidth="1"/>
    <col min="18" max="18" width="12.7265625" style="323" customWidth="1"/>
    <col min="19" max="21" width="9.7265625" style="323" customWidth="1"/>
    <col min="22" max="22" width="8.1796875" style="323" customWidth="1"/>
    <col min="23" max="25" width="9.7265625" style="323" customWidth="1"/>
    <col min="26" max="16384" width="8.7265625" style="323"/>
  </cols>
  <sheetData>
    <row r="1" spans="3:26" s="319" customFormat="1" ht="12.5"/>
    <row r="2" spans="3:26" s="319" customFormat="1" ht="16.5" customHeight="1">
      <c r="C2" s="323"/>
      <c r="D2" s="416"/>
      <c r="E2" s="417" t="s">
        <v>359</v>
      </c>
      <c r="F2" s="417" t="s">
        <v>16</v>
      </c>
      <c r="G2" s="417" t="s">
        <v>360</v>
      </c>
      <c r="H2" s="417" t="s">
        <v>361</v>
      </c>
      <c r="I2" s="417" t="s">
        <v>362</v>
      </c>
      <c r="J2" s="417" t="s">
        <v>363</v>
      </c>
      <c r="K2" s="417" t="s">
        <v>12</v>
      </c>
      <c r="L2" s="417" t="s">
        <v>9</v>
      </c>
    </row>
    <row r="3" spans="3:26" s="319" customFormat="1" ht="22" customHeight="1">
      <c r="C3" s="323"/>
      <c r="D3" s="320"/>
      <c r="I3" s="320"/>
      <c r="Q3" s="369" t="s">
        <v>364</v>
      </c>
      <c r="R3" s="363"/>
      <c r="S3" s="363"/>
      <c r="T3" s="363"/>
      <c r="U3" s="363"/>
      <c r="V3" s="363"/>
      <c r="W3" s="363"/>
      <c r="X3" s="363"/>
      <c r="Y3" s="363"/>
    </row>
    <row r="4" spans="3:26" s="319" customFormat="1" ht="25" customHeight="1">
      <c r="C4" s="323"/>
      <c r="D4" s="344"/>
      <c r="E4" s="329" t="s">
        <v>4</v>
      </c>
      <c r="F4" s="329" t="s">
        <v>4</v>
      </c>
      <c r="G4" s="329" t="s">
        <v>4</v>
      </c>
      <c r="H4" s="329" t="s">
        <v>4</v>
      </c>
      <c r="I4" s="329" t="s">
        <v>4</v>
      </c>
      <c r="J4" s="329" t="s">
        <v>4</v>
      </c>
      <c r="K4" s="329" t="s">
        <v>4</v>
      </c>
      <c r="L4" s="329" t="s">
        <v>4</v>
      </c>
      <c r="Q4" s="363"/>
      <c r="R4" s="364" t="s">
        <v>359</v>
      </c>
      <c r="S4" s="364" t="s">
        <v>16</v>
      </c>
      <c r="T4" s="364" t="s">
        <v>360</v>
      </c>
      <c r="U4" s="364" t="s">
        <v>361</v>
      </c>
      <c r="V4" s="364" t="s">
        <v>362</v>
      </c>
      <c r="W4" s="364" t="s">
        <v>363</v>
      </c>
      <c r="X4" s="364" t="s">
        <v>12</v>
      </c>
      <c r="Y4" s="364" t="s">
        <v>9</v>
      </c>
    </row>
    <row r="5" spans="3:26" s="319" customFormat="1" ht="14.5">
      <c r="C5" s="323"/>
      <c r="D5" s="345" t="s">
        <v>365</v>
      </c>
      <c r="E5" s="410">
        <v>11310</v>
      </c>
      <c r="F5" s="410">
        <v>11785.08776882603</v>
      </c>
      <c r="G5" s="410">
        <v>18699.974850558887</v>
      </c>
      <c r="H5" s="410">
        <v>12010</v>
      </c>
      <c r="I5" s="410">
        <v>2894</v>
      </c>
      <c r="J5" s="410">
        <v>999</v>
      </c>
      <c r="K5" s="410">
        <v>399</v>
      </c>
      <c r="L5" s="360">
        <f>SUM(E5:K5)</f>
        <v>58097.062619384917</v>
      </c>
      <c r="Q5" s="361" t="s">
        <v>29</v>
      </c>
      <c r="R5" s="365">
        <f>E7</f>
        <v>2056</v>
      </c>
      <c r="S5" s="365">
        <f t="shared" ref="S5" si="0">F7</f>
        <v>3686.3898804706532</v>
      </c>
      <c r="T5" s="365">
        <f>G7</f>
        <v>1388.4450180855376</v>
      </c>
      <c r="U5" s="421">
        <f t="shared" ref="U5" si="1">H7</f>
        <v>-8870.5499999999993</v>
      </c>
      <c r="V5" s="421">
        <f t="shared" ref="V5" si="2">I7</f>
        <v>-542.1</v>
      </c>
      <c r="W5" s="421">
        <f t="shared" ref="W5" si="3">J7</f>
        <v>-633.42000000000007</v>
      </c>
      <c r="X5" s="421">
        <f t="shared" ref="X5" si="4">K7</f>
        <v>-37.74</v>
      </c>
      <c r="Y5" s="421">
        <f>SUM(R5:X5)</f>
        <v>-2952.9751014438084</v>
      </c>
    </row>
    <row r="6" spans="3:26" s="319" customFormat="1" ht="14.5" customHeight="1">
      <c r="C6" s="323"/>
      <c r="D6" s="346"/>
      <c r="E6" s="330"/>
      <c r="F6" s="330"/>
      <c r="G6" s="330"/>
      <c r="H6" s="330"/>
      <c r="I6" s="330"/>
      <c r="J6" s="330"/>
      <c r="K6" s="330"/>
      <c r="L6" s="360">
        <f>SUM(E6:K6)</f>
        <v>0</v>
      </c>
      <c r="Q6" s="321" t="s">
        <v>366</v>
      </c>
      <c r="R6" s="366">
        <f>E8+E9</f>
        <v>726</v>
      </c>
      <c r="S6" s="422">
        <f t="shared" ref="S6" si="5">F8+F9</f>
        <v>-89.332429011470566</v>
      </c>
      <c r="T6" s="366">
        <f>G8+G9</f>
        <v>420.65568412797893</v>
      </c>
      <c r="U6" s="422">
        <f t="shared" ref="U6" si="6">H8+H9</f>
        <v>-1537.5619999999999</v>
      </c>
      <c r="V6" s="422">
        <f t="shared" ref="V6:W6" si="7">I8+I9</f>
        <v>-291.89999999999998</v>
      </c>
      <c r="W6" s="422">
        <f t="shared" si="7"/>
        <v>-70.38</v>
      </c>
      <c r="X6" s="422">
        <f t="shared" ref="X6" si="8">K8+K9</f>
        <v>-139.86000000000001</v>
      </c>
      <c r="Y6" s="422">
        <f t="shared" ref="Y6:Y11" si="9">SUM(R6:X6)</f>
        <v>-982.37874488349155</v>
      </c>
    </row>
    <row r="7" spans="3:26" s="319" customFormat="1" ht="14.5" customHeight="1">
      <c r="C7" s="323"/>
      <c r="D7" s="347" t="s">
        <v>367</v>
      </c>
      <c r="E7" s="409">
        <v>2056</v>
      </c>
      <c r="F7" s="409">
        <v>3686.3898804706532</v>
      </c>
      <c r="G7" s="409">
        <v>1388.4450180855376</v>
      </c>
      <c r="H7" s="409">
        <f>H54*0.75</f>
        <v>-8870.5499999999993</v>
      </c>
      <c r="I7" s="409">
        <f>I54*0.65</f>
        <v>-542.1</v>
      </c>
      <c r="J7" s="409">
        <f>J54*0.81</f>
        <v>-633.42000000000007</v>
      </c>
      <c r="K7" s="409">
        <f>K54*0.17</f>
        <v>-37.74</v>
      </c>
      <c r="L7" s="360">
        <f>SUM(E7:K7)</f>
        <v>-2952.9751014438084</v>
      </c>
      <c r="N7" s="368"/>
      <c r="Q7" s="321" t="s">
        <v>31</v>
      </c>
      <c r="R7" s="366">
        <f>E10+E11</f>
        <v>498</v>
      </c>
      <c r="S7" s="422">
        <f t="shared" ref="S7" si="10">F10+F11</f>
        <v>-117.75343117112104</v>
      </c>
      <c r="T7" s="366">
        <f>G10+G11</f>
        <v>230.25640794647992</v>
      </c>
      <c r="U7" s="422">
        <f t="shared" ref="U7" si="11">H10+H11</f>
        <v>-1419.288</v>
      </c>
      <c r="V7" s="422">
        <f t="shared" ref="V7:W7" si="12">I10+I11</f>
        <v>0</v>
      </c>
      <c r="W7" s="422">
        <f t="shared" si="12"/>
        <v>-78.2</v>
      </c>
      <c r="X7" s="422">
        <f t="shared" ref="X7" si="13">K10+K11</f>
        <v>-44.400000000000006</v>
      </c>
      <c r="Y7" s="422">
        <f t="shared" si="9"/>
        <v>-931.38502322464115</v>
      </c>
    </row>
    <row r="8" spans="3:26" s="319" customFormat="1" ht="14.5" customHeight="1">
      <c r="C8" s="323"/>
      <c r="D8" s="348" t="s">
        <v>368</v>
      </c>
      <c r="E8" s="331">
        <v>726</v>
      </c>
      <c r="F8" s="331">
        <v>-89.332429011470566</v>
      </c>
      <c r="G8" s="331">
        <v>420.65568412797893</v>
      </c>
      <c r="H8" s="331">
        <f>H54*0.13</f>
        <v>-1537.5619999999999</v>
      </c>
      <c r="I8" s="331">
        <f>I54*0.35</f>
        <v>-291.89999999999998</v>
      </c>
      <c r="J8" s="331">
        <f>J54*0.09</f>
        <v>-70.38</v>
      </c>
      <c r="K8" s="331">
        <f>K54*0.63</f>
        <v>-139.86000000000001</v>
      </c>
      <c r="L8" s="360">
        <f t="shared" ref="L8:L54" si="14">SUM(E8:K8)</f>
        <v>-982.37874488349155</v>
      </c>
      <c r="N8" s="368"/>
      <c r="Q8" s="321" t="s">
        <v>369</v>
      </c>
      <c r="R8" s="422">
        <f>E17+E20</f>
        <v>-155</v>
      </c>
      <c r="S8" s="366">
        <f>F17+F20</f>
        <v>1273.7650191180644</v>
      </c>
      <c r="T8" s="422">
        <f>G17+G20</f>
        <v>-168.92942601486538</v>
      </c>
      <c r="U8" s="422">
        <f t="shared" ref="U8" si="15">H17+H20</f>
        <v>0</v>
      </c>
      <c r="V8" s="422">
        <f t="shared" ref="V8:W8" si="16">I17+I20</f>
        <v>0</v>
      </c>
      <c r="W8" s="422">
        <f t="shared" si="16"/>
        <v>0</v>
      </c>
      <c r="X8" s="422">
        <f t="shared" ref="X8" si="17">K17+K20</f>
        <v>0</v>
      </c>
      <c r="Y8" s="366">
        <f t="shared" si="9"/>
        <v>949.83559310319902</v>
      </c>
    </row>
    <row r="9" spans="3:26" s="319" customFormat="1" ht="14.5" customHeight="1">
      <c r="C9" s="323"/>
      <c r="D9" s="348" t="s">
        <v>370</v>
      </c>
      <c r="E9" s="332"/>
      <c r="F9" s="332"/>
      <c r="G9" s="332"/>
      <c r="H9" s="332"/>
      <c r="I9" s="332"/>
      <c r="J9" s="332"/>
      <c r="K9" s="332"/>
      <c r="L9" s="360">
        <f t="shared" si="14"/>
        <v>0</v>
      </c>
      <c r="Q9" s="321" t="s">
        <v>371</v>
      </c>
      <c r="R9" s="422">
        <f>E30</f>
        <v>-189</v>
      </c>
      <c r="S9" s="422">
        <f t="shared" ref="S9" si="18">F30</f>
        <v>-676.41251657301166</v>
      </c>
      <c r="T9" s="422">
        <f>G30</f>
        <v>-4259.0709995807774</v>
      </c>
      <c r="U9" s="422">
        <f t="shared" ref="U9" si="19">H30</f>
        <v>0</v>
      </c>
      <c r="V9" s="422">
        <f t="shared" ref="V9:W9" si="20">I30</f>
        <v>0</v>
      </c>
      <c r="W9" s="422">
        <f t="shared" si="20"/>
        <v>0</v>
      </c>
      <c r="X9" s="422">
        <f t="shared" ref="X9" si="21">K30</f>
        <v>0</v>
      </c>
      <c r="Y9" s="422">
        <f t="shared" si="9"/>
        <v>-5124.4835161537894</v>
      </c>
    </row>
    <row r="10" spans="3:26" s="319" customFormat="1" ht="14.5" customHeight="1">
      <c r="C10" s="323"/>
      <c r="D10" s="349" t="s">
        <v>372</v>
      </c>
      <c r="E10" s="333">
        <v>533</v>
      </c>
      <c r="F10" s="333">
        <v>-147.67499117112106</v>
      </c>
      <c r="G10" s="333">
        <v>24.633107946480067</v>
      </c>
      <c r="H10" s="333">
        <f>H54*0.12</f>
        <v>-1419.288</v>
      </c>
      <c r="I10" s="333"/>
      <c r="J10" s="333">
        <f>J54*0.1</f>
        <v>-78.2</v>
      </c>
      <c r="K10" s="333">
        <f>K54*0.2</f>
        <v>-44.400000000000006</v>
      </c>
      <c r="L10" s="360">
        <f t="shared" si="14"/>
        <v>-1131.9298832246411</v>
      </c>
      <c r="Q10" s="321" t="s">
        <v>35</v>
      </c>
      <c r="R10" s="422">
        <f>E34+E35+E33</f>
        <v>-1932</v>
      </c>
      <c r="S10" s="366">
        <f t="shared" ref="S10" si="22">F34+F35+F33</f>
        <v>195.12684895167729</v>
      </c>
      <c r="T10" s="422">
        <f>G34+G35+G33</f>
        <v>-349.41115396549378</v>
      </c>
      <c r="U10" s="422">
        <f t="shared" ref="U10" si="23">H34+H35+H33</f>
        <v>0</v>
      </c>
      <c r="V10" s="422">
        <f t="shared" ref="V10:W10" si="24">I34+I35+I33</f>
        <v>0</v>
      </c>
      <c r="W10" s="422">
        <f t="shared" si="24"/>
        <v>0</v>
      </c>
      <c r="X10" s="422">
        <f t="shared" ref="X10" si="25">K34+K35+K33</f>
        <v>0</v>
      </c>
      <c r="Y10" s="422">
        <f t="shared" si="9"/>
        <v>-2086.2843050138163</v>
      </c>
    </row>
    <row r="11" spans="3:26" s="319" customFormat="1" ht="14.5" customHeight="1" thickBot="1">
      <c r="C11" s="323"/>
      <c r="D11" s="350" t="s">
        <v>373</v>
      </c>
      <c r="E11" s="334">
        <v>-35</v>
      </c>
      <c r="F11" s="334">
        <v>29.921560000000028</v>
      </c>
      <c r="G11" s="334">
        <v>205.62329999999986</v>
      </c>
      <c r="H11" s="334"/>
      <c r="I11" s="334"/>
      <c r="J11" s="334"/>
      <c r="K11" s="334"/>
      <c r="L11" s="360">
        <f t="shared" si="14"/>
        <v>200.54485999999989</v>
      </c>
      <c r="Q11" s="362" t="s">
        <v>34</v>
      </c>
      <c r="R11" s="367">
        <f>E37+E38+E36</f>
        <v>309</v>
      </c>
      <c r="S11" s="423">
        <f t="shared" ref="S11" si="26">F37+F38+F36</f>
        <v>-1608.9306106108165</v>
      </c>
      <c r="T11" s="367">
        <f>G37+G38+G36</f>
        <v>139.5441588422521</v>
      </c>
      <c r="U11" s="423">
        <f t="shared" ref="U11" si="27">H37+H38+H36</f>
        <v>0</v>
      </c>
      <c r="V11" s="423">
        <f t="shared" ref="V11:W11" si="28">I37+I38+I36</f>
        <v>0</v>
      </c>
      <c r="W11" s="423">
        <f t="shared" si="28"/>
        <v>0</v>
      </c>
      <c r="X11" s="423">
        <f t="shared" ref="X11" si="29">K37+K38+K36</f>
        <v>0</v>
      </c>
      <c r="Y11" s="423">
        <f t="shared" si="9"/>
        <v>-1160.3864517685645</v>
      </c>
    </row>
    <row r="12" spans="3:26" s="319" customFormat="1" ht="14.5" customHeight="1">
      <c r="C12" s="323"/>
      <c r="D12" s="346"/>
      <c r="E12" s="335"/>
      <c r="F12" s="335"/>
      <c r="G12" s="335"/>
      <c r="H12" s="335"/>
      <c r="I12" s="335"/>
      <c r="J12" s="335"/>
      <c r="K12" s="335"/>
      <c r="L12" s="360">
        <f t="shared" si="14"/>
        <v>0</v>
      </c>
      <c r="Q12" s="321" t="s">
        <v>374</v>
      </c>
      <c r="R12" s="360">
        <f>SUM(R5:R11)</f>
        <v>1313</v>
      </c>
      <c r="S12" s="360">
        <f>SUM(S5:S11)</f>
        <v>2662.8527611739751</v>
      </c>
      <c r="T12" s="424">
        <f t="shared" ref="T12:Y12" si="30">SUM(T5:T11)</f>
        <v>-2598.5103105588878</v>
      </c>
      <c r="U12" s="424">
        <f t="shared" si="30"/>
        <v>-11827.4</v>
      </c>
      <c r="V12" s="424">
        <f t="shared" si="30"/>
        <v>-834</v>
      </c>
      <c r="W12" s="424">
        <f t="shared" si="30"/>
        <v>-782.00000000000011</v>
      </c>
      <c r="X12" s="424">
        <f t="shared" si="30"/>
        <v>-222.00000000000003</v>
      </c>
      <c r="Y12" s="424">
        <f t="shared" si="30"/>
        <v>-12288.057549384912</v>
      </c>
    </row>
    <row r="13" spans="3:26" s="319" customFormat="1" ht="14.5" customHeight="1">
      <c r="C13" s="323"/>
      <c r="D13" s="351" t="s">
        <v>375</v>
      </c>
      <c r="E13" s="409"/>
      <c r="F13" s="409"/>
      <c r="G13" s="409"/>
      <c r="H13" s="409"/>
      <c r="I13" s="409"/>
      <c r="J13" s="409"/>
      <c r="K13" s="409"/>
      <c r="L13" s="360">
        <f t="shared" si="14"/>
        <v>0</v>
      </c>
      <c r="P13" s="323"/>
      <c r="Q13" s="323"/>
      <c r="R13" s="323"/>
      <c r="S13" s="323"/>
      <c r="T13" s="323"/>
      <c r="U13" s="323"/>
      <c r="V13" s="323"/>
      <c r="W13" s="323"/>
      <c r="X13" s="323"/>
      <c r="Y13" s="323"/>
      <c r="Z13" s="323"/>
    </row>
    <row r="14" spans="3:26" s="319" customFormat="1" ht="14.5" customHeight="1">
      <c r="C14" s="323"/>
      <c r="D14" s="348" t="s">
        <v>376</v>
      </c>
      <c r="E14" s="331">
        <v>1380</v>
      </c>
      <c r="F14" s="331">
        <v>1451.0430651180645</v>
      </c>
      <c r="G14" s="331"/>
      <c r="H14" s="331"/>
      <c r="I14" s="331"/>
      <c r="J14" s="331"/>
      <c r="K14" s="331"/>
      <c r="L14" s="360">
        <f t="shared" si="14"/>
        <v>2831.0430651180645</v>
      </c>
      <c r="P14" s="323"/>
      <c r="Q14" s="319" t="s">
        <v>377</v>
      </c>
      <c r="R14" s="323"/>
      <c r="S14" s="323"/>
      <c r="T14" s="323"/>
      <c r="U14" s="323"/>
      <c r="V14" s="323"/>
      <c r="W14" s="323"/>
      <c r="X14" s="323"/>
      <c r="Y14" s="323"/>
      <c r="Z14" s="323"/>
    </row>
    <row r="15" spans="3:26" s="319" customFormat="1" ht="15" customHeight="1">
      <c r="C15" s="323"/>
      <c r="D15" s="348" t="s">
        <v>378</v>
      </c>
      <c r="E15" s="331">
        <v>-912</v>
      </c>
      <c r="F15" s="331">
        <v>0</v>
      </c>
      <c r="G15" s="331"/>
      <c r="H15" s="331"/>
      <c r="I15" s="331"/>
      <c r="J15" s="331"/>
      <c r="K15" s="331"/>
      <c r="L15" s="360">
        <f t="shared" si="14"/>
        <v>-912</v>
      </c>
      <c r="P15" s="323"/>
      <c r="Q15" s="319" t="s">
        <v>379</v>
      </c>
      <c r="R15" s="323"/>
      <c r="S15" s="323"/>
      <c r="T15" s="323"/>
      <c r="U15" s="323"/>
      <c r="V15" s="323"/>
      <c r="W15" s="323"/>
      <c r="X15" s="323"/>
      <c r="Y15" s="323"/>
      <c r="Z15" s="323"/>
    </row>
    <row r="16" spans="3:26" ht="14.5">
      <c r="D16" s="349" t="s">
        <v>380</v>
      </c>
      <c r="E16" s="336">
        <v>-623</v>
      </c>
      <c r="F16" s="336">
        <v>-177.27804600000013</v>
      </c>
      <c r="G16" s="336"/>
      <c r="H16" s="336"/>
      <c r="I16" s="336"/>
      <c r="J16" s="336"/>
      <c r="K16" s="336"/>
      <c r="L16" s="360">
        <f t="shared" si="14"/>
        <v>-800.27804600000013</v>
      </c>
      <c r="Q16" s="319"/>
    </row>
    <row r="17" spans="3:12" ht="13.5" customHeight="1">
      <c r="D17" s="352" t="s">
        <v>381</v>
      </c>
      <c r="E17" s="337">
        <f>SUM(E14:E16)</f>
        <v>-155</v>
      </c>
      <c r="F17" s="337">
        <f>SUM(F14:F16)</f>
        <v>1273.7650191180644</v>
      </c>
      <c r="G17" s="337">
        <f>SUM(G14:G16)</f>
        <v>0</v>
      </c>
      <c r="H17" s="337"/>
      <c r="I17" s="337"/>
      <c r="J17" s="337"/>
      <c r="K17" s="337"/>
      <c r="L17" s="360">
        <f t="shared" si="14"/>
        <v>1118.7650191180644</v>
      </c>
    </row>
    <row r="18" spans="3:12" ht="14.5">
      <c r="D18" s="348"/>
      <c r="E18" s="332"/>
      <c r="F18" s="332"/>
      <c r="G18" s="332"/>
      <c r="H18" s="332"/>
      <c r="I18" s="332"/>
      <c r="J18" s="332"/>
      <c r="K18" s="332"/>
      <c r="L18" s="360">
        <f t="shared" si="14"/>
        <v>0</v>
      </c>
    </row>
    <row r="19" spans="3:12" ht="13.5" customHeight="1">
      <c r="D19" s="349" t="s">
        <v>382</v>
      </c>
      <c r="E19" s="338"/>
      <c r="F19" s="338"/>
      <c r="G19" s="338">
        <v>-168.92942601486538</v>
      </c>
      <c r="H19" s="338"/>
      <c r="I19" s="338"/>
      <c r="J19" s="338"/>
      <c r="K19" s="338"/>
      <c r="L19" s="360">
        <f t="shared" si="14"/>
        <v>-168.92942601486538</v>
      </c>
    </row>
    <row r="20" spans="3:12" ht="14.5">
      <c r="D20" s="353" t="s">
        <v>383</v>
      </c>
      <c r="E20" s="418">
        <f>SUM(E18:E19)</f>
        <v>0</v>
      </c>
      <c r="F20" s="418">
        <f>SUM(F18:F19)</f>
        <v>0</v>
      </c>
      <c r="G20" s="418">
        <f>SUM(G18:G19)</f>
        <v>-168.92942601486538</v>
      </c>
      <c r="H20" s="418"/>
      <c r="I20" s="418"/>
      <c r="J20" s="418"/>
      <c r="K20" s="418"/>
      <c r="L20" s="360">
        <f t="shared" si="14"/>
        <v>-168.92942601486538</v>
      </c>
    </row>
    <row r="21" spans="3:12" ht="14.5">
      <c r="D21" s="346"/>
      <c r="E21" s="335"/>
      <c r="F21" s="335"/>
      <c r="G21" s="335"/>
      <c r="H21" s="335"/>
      <c r="I21" s="335"/>
      <c r="J21" s="335"/>
      <c r="K21" s="335"/>
      <c r="L21" s="360">
        <f t="shared" si="14"/>
        <v>0</v>
      </c>
    </row>
    <row r="22" spans="3:12" ht="13.5" customHeight="1">
      <c r="D22" s="354" t="s">
        <v>384</v>
      </c>
      <c r="E22" s="339"/>
      <c r="F22" s="339"/>
      <c r="G22" s="332"/>
      <c r="H22" s="332"/>
      <c r="I22" s="339"/>
      <c r="J22" s="339"/>
      <c r="K22" s="339"/>
      <c r="L22" s="360">
        <f t="shared" si="14"/>
        <v>0</v>
      </c>
    </row>
    <row r="23" spans="3:12" ht="13.5" customHeight="1">
      <c r="D23" s="348" t="s">
        <v>385</v>
      </c>
      <c r="E23" s="332" t="s">
        <v>386</v>
      </c>
      <c r="F23" s="332">
        <v>0</v>
      </c>
      <c r="G23" s="332">
        <v>0</v>
      </c>
      <c r="H23" s="332"/>
      <c r="I23" s="332"/>
      <c r="J23" s="332"/>
      <c r="K23" s="332"/>
      <c r="L23" s="360">
        <f t="shared" si="14"/>
        <v>0</v>
      </c>
    </row>
    <row r="24" spans="3:12" ht="13.5" customHeight="1">
      <c r="D24" s="348" t="s">
        <v>387</v>
      </c>
      <c r="E24" s="332">
        <v>-14</v>
      </c>
      <c r="F24" s="332">
        <v>-290.81650737688039</v>
      </c>
      <c r="G24" s="332">
        <v>-747.1746583131071</v>
      </c>
      <c r="H24" s="332"/>
      <c r="I24" s="332"/>
      <c r="J24" s="332"/>
      <c r="K24" s="332"/>
      <c r="L24" s="360">
        <f t="shared" si="14"/>
        <v>-1051.9911656899876</v>
      </c>
    </row>
    <row r="25" spans="3:12" ht="13.5" customHeight="1">
      <c r="D25" s="348" t="s">
        <v>388</v>
      </c>
      <c r="E25" s="332">
        <v>12</v>
      </c>
      <c r="F25" s="332">
        <v>5.4591036291198236</v>
      </c>
      <c r="G25" s="332">
        <v>-52.273224719262998</v>
      </c>
      <c r="H25" s="332"/>
      <c r="I25" s="332"/>
      <c r="J25" s="332"/>
      <c r="K25" s="332"/>
      <c r="L25" s="360">
        <f t="shared" si="14"/>
        <v>-34.814121090143175</v>
      </c>
    </row>
    <row r="26" spans="3:12" ht="14.5">
      <c r="D26" s="348" t="s">
        <v>389</v>
      </c>
      <c r="E26" s="332">
        <v>-106</v>
      </c>
      <c r="F26" s="332">
        <v>-379.87655870958241</v>
      </c>
      <c r="G26" s="332">
        <v>-1312.6530090592842</v>
      </c>
      <c r="H26" s="332"/>
      <c r="I26" s="332"/>
      <c r="J26" s="332"/>
      <c r="K26" s="332"/>
      <c r="L26" s="360">
        <f t="shared" si="14"/>
        <v>-1798.5295677688666</v>
      </c>
    </row>
    <row r="27" spans="3:12" ht="13.5" customHeight="1">
      <c r="D27" s="348" t="s">
        <v>390</v>
      </c>
      <c r="E27" s="332">
        <v>2</v>
      </c>
      <c r="F27" s="332">
        <v>104.17175415350874</v>
      </c>
      <c r="G27" s="332">
        <v>-684.01576059572449</v>
      </c>
      <c r="H27" s="332"/>
      <c r="I27" s="332"/>
      <c r="J27" s="332"/>
      <c r="K27" s="332"/>
      <c r="L27" s="360">
        <f t="shared" si="14"/>
        <v>-577.84400644221569</v>
      </c>
    </row>
    <row r="28" spans="3:12" ht="13.5" customHeight="1">
      <c r="C28" s="324"/>
      <c r="D28" s="348" t="s">
        <v>391</v>
      </c>
      <c r="E28" s="332">
        <v>-16</v>
      </c>
      <c r="F28" s="332">
        <v>-7.0274025125545307</v>
      </c>
      <c r="G28" s="332">
        <v>-1102.8904446746235</v>
      </c>
      <c r="H28" s="332"/>
      <c r="I28" s="332"/>
      <c r="J28" s="332"/>
      <c r="K28" s="332"/>
      <c r="L28" s="360">
        <f t="shared" si="14"/>
        <v>-1125.917847187178</v>
      </c>
    </row>
    <row r="29" spans="3:12" ht="14.5">
      <c r="D29" s="349" t="s">
        <v>392</v>
      </c>
      <c r="E29" s="336">
        <v>-67</v>
      </c>
      <c r="F29" s="336">
        <v>-108.32290575662287</v>
      </c>
      <c r="G29" s="336">
        <v>-360.06390221877541</v>
      </c>
      <c r="H29" s="336"/>
      <c r="I29" s="336"/>
      <c r="J29" s="336"/>
      <c r="K29" s="336"/>
      <c r="L29" s="360">
        <f t="shared" si="14"/>
        <v>-535.38680797539826</v>
      </c>
    </row>
    <row r="30" spans="3:12" ht="13.5" customHeight="1">
      <c r="C30" s="325"/>
      <c r="D30" s="353" t="s">
        <v>393</v>
      </c>
      <c r="E30" s="418">
        <f>SUM(E24:E29)</f>
        <v>-189</v>
      </c>
      <c r="F30" s="418">
        <f>SUM(F24:F29)</f>
        <v>-676.41251657301166</v>
      </c>
      <c r="G30" s="418">
        <f>SUM(G24:G29)</f>
        <v>-4259.0709995807774</v>
      </c>
      <c r="H30" s="418"/>
      <c r="I30" s="418"/>
      <c r="J30" s="418"/>
      <c r="K30" s="418"/>
      <c r="L30" s="360">
        <f t="shared" si="14"/>
        <v>-5124.4835161537894</v>
      </c>
    </row>
    <row r="31" spans="3:12" ht="13.5" customHeight="1">
      <c r="C31" s="328"/>
      <c r="D31" s="346"/>
      <c r="E31" s="335"/>
      <c r="F31" s="335"/>
      <c r="G31" s="335"/>
      <c r="H31" s="335"/>
      <c r="I31" s="335"/>
      <c r="J31" s="335"/>
      <c r="K31" s="335"/>
      <c r="L31" s="360">
        <f t="shared" si="14"/>
        <v>0</v>
      </c>
    </row>
    <row r="32" spans="3:12" ht="13.5" customHeight="1">
      <c r="C32" s="324"/>
      <c r="D32" s="355" t="s">
        <v>394</v>
      </c>
      <c r="E32" s="340" t="s">
        <v>386</v>
      </c>
      <c r="F32" s="340">
        <v>0</v>
      </c>
      <c r="G32" s="340">
        <v>0</v>
      </c>
      <c r="H32" s="340"/>
      <c r="I32" s="340"/>
      <c r="J32" s="340"/>
      <c r="K32" s="340"/>
      <c r="L32" s="360">
        <f t="shared" si="14"/>
        <v>0</v>
      </c>
    </row>
    <row r="33" spans="3:12" ht="13.5" customHeight="1">
      <c r="C33" s="324"/>
      <c r="D33" s="356" t="s">
        <v>395</v>
      </c>
      <c r="E33" s="341">
        <v>37</v>
      </c>
      <c r="F33" s="341">
        <v>-6.2700300000000064</v>
      </c>
      <c r="G33" s="341">
        <v>-117.42706</v>
      </c>
      <c r="H33" s="341"/>
      <c r="I33" s="341"/>
      <c r="J33" s="341"/>
      <c r="K33" s="341"/>
      <c r="L33" s="360">
        <f t="shared" si="14"/>
        <v>-86.697090000000003</v>
      </c>
    </row>
    <row r="34" spans="3:12" ht="13.5" customHeight="1">
      <c r="C34" s="324"/>
      <c r="D34" s="348" t="s">
        <v>396</v>
      </c>
      <c r="E34" s="332">
        <v>-2186</v>
      </c>
      <c r="F34" s="332">
        <v>161.49128902335619</v>
      </c>
      <c r="G34" s="332">
        <v>-785.57641426403484</v>
      </c>
      <c r="H34" s="332"/>
      <c r="I34" s="332"/>
      <c r="J34" s="332"/>
      <c r="K34" s="332"/>
      <c r="L34" s="360">
        <f t="shared" si="14"/>
        <v>-2810.0851252406787</v>
      </c>
    </row>
    <row r="35" spans="3:12" ht="13.5" customHeight="1">
      <c r="C35" s="324"/>
      <c r="D35" s="348" t="s">
        <v>397</v>
      </c>
      <c r="E35" s="332">
        <v>217</v>
      </c>
      <c r="F35" s="332">
        <v>39.905589928321106</v>
      </c>
      <c r="G35" s="332">
        <v>553.59232029854104</v>
      </c>
      <c r="H35" s="332"/>
      <c r="I35" s="332"/>
      <c r="J35" s="332"/>
      <c r="K35" s="332"/>
      <c r="L35" s="360">
        <f t="shared" si="14"/>
        <v>810.49791022686213</v>
      </c>
    </row>
    <row r="36" spans="3:12" ht="13.5" customHeight="1">
      <c r="C36" s="324"/>
      <c r="D36" s="348" t="s">
        <v>398</v>
      </c>
      <c r="E36" s="332"/>
      <c r="F36" s="332"/>
      <c r="G36" s="332"/>
      <c r="H36" s="332"/>
      <c r="I36" s="332"/>
      <c r="J36" s="332"/>
      <c r="K36" s="332"/>
      <c r="L36" s="360">
        <f t="shared" si="14"/>
        <v>0</v>
      </c>
    </row>
    <row r="37" spans="3:12" ht="13.5" customHeight="1">
      <c r="C37" s="324"/>
      <c r="D37" s="348" t="s">
        <v>399</v>
      </c>
      <c r="E37" s="332">
        <v>388</v>
      </c>
      <c r="F37" s="332">
        <v>-1523.4038042619018</v>
      </c>
      <c r="G37" s="332">
        <v>90.897184167616388</v>
      </c>
      <c r="H37" s="332"/>
      <c r="I37" s="332"/>
      <c r="J37" s="332"/>
      <c r="K37" s="332"/>
      <c r="L37" s="360">
        <f t="shared" si="14"/>
        <v>-1044.5066200942854</v>
      </c>
    </row>
    <row r="38" spans="3:12" ht="13.5" customHeight="1">
      <c r="C38" s="324"/>
      <c r="D38" s="357" t="s">
        <v>400</v>
      </c>
      <c r="E38" s="342">
        <v>-79</v>
      </c>
      <c r="F38" s="342">
        <v>-85.526806348914846</v>
      </c>
      <c r="G38" s="342">
        <v>48.646974674635729</v>
      </c>
      <c r="H38" s="342"/>
      <c r="I38" s="342"/>
      <c r="J38" s="342"/>
      <c r="K38" s="342"/>
      <c r="L38" s="360">
        <f t="shared" si="14"/>
        <v>-115.87983167427912</v>
      </c>
    </row>
    <row r="39" spans="3:12" ht="13.5" customHeight="1">
      <c r="C39" s="324"/>
      <c r="D39" s="346"/>
      <c r="E39" s="330">
        <f t="shared" ref="E39:F39" si="31">SUM(E32:E38)</f>
        <v>-1623</v>
      </c>
      <c r="F39" s="330">
        <f t="shared" si="31"/>
        <v>-1413.8037616591391</v>
      </c>
      <c r="G39" s="420">
        <f>SUM(G32:G38)</f>
        <v>-209.86699512324168</v>
      </c>
      <c r="H39" s="330">
        <f t="shared" ref="H39:K39" si="32">SUM(H32:H38)</f>
        <v>0</v>
      </c>
      <c r="I39" s="330">
        <f t="shared" si="32"/>
        <v>0</v>
      </c>
      <c r="J39" s="330">
        <f t="shared" si="32"/>
        <v>0</v>
      </c>
      <c r="K39" s="330">
        <f t="shared" si="32"/>
        <v>0</v>
      </c>
      <c r="L39" s="360">
        <f t="shared" si="14"/>
        <v>-3246.670756782381</v>
      </c>
    </row>
    <row r="40" spans="3:12" ht="13.5" customHeight="1">
      <c r="C40" s="324"/>
      <c r="D40" s="358"/>
      <c r="E40" s="343"/>
      <c r="F40" s="343"/>
      <c r="G40" s="343"/>
      <c r="H40" s="343"/>
      <c r="I40" s="343"/>
      <c r="J40" s="343"/>
      <c r="K40" s="343"/>
      <c r="L40" s="360">
        <f t="shared" si="14"/>
        <v>0</v>
      </c>
    </row>
    <row r="41" spans="3:12" ht="36" customHeight="1">
      <c r="C41" s="325"/>
      <c r="D41" s="347" t="s">
        <v>401</v>
      </c>
      <c r="E41" s="409"/>
      <c r="F41" s="409"/>
      <c r="G41" s="409"/>
      <c r="H41" s="409"/>
      <c r="I41" s="409"/>
      <c r="J41" s="409"/>
      <c r="K41" s="409"/>
      <c r="L41" s="360">
        <f t="shared" si="14"/>
        <v>0</v>
      </c>
    </row>
    <row r="42" spans="3:12" ht="13.5" customHeight="1">
      <c r="C42" s="326"/>
      <c r="D42" s="348" t="s">
        <v>402</v>
      </c>
      <c r="E42" s="332"/>
      <c r="F42" s="332"/>
      <c r="G42" s="332"/>
      <c r="H42" s="332"/>
      <c r="I42" s="332"/>
      <c r="J42" s="332"/>
      <c r="K42" s="332"/>
      <c r="L42" s="360">
        <f t="shared" si="14"/>
        <v>0</v>
      </c>
    </row>
    <row r="43" spans="3:12" ht="13.5" customHeight="1">
      <c r="C43" s="327"/>
      <c r="D43" s="348" t="s">
        <v>403</v>
      </c>
      <c r="E43" s="332"/>
      <c r="F43" s="332"/>
      <c r="G43" s="332"/>
      <c r="H43" s="332"/>
      <c r="I43" s="332"/>
      <c r="J43" s="332"/>
      <c r="K43" s="332"/>
      <c r="L43" s="360">
        <f t="shared" si="14"/>
        <v>0</v>
      </c>
    </row>
    <row r="44" spans="3:12" ht="13.5" customHeight="1">
      <c r="C44" s="327"/>
      <c r="D44" s="348" t="s">
        <v>404</v>
      </c>
      <c r="E44" s="332"/>
      <c r="F44" s="332"/>
      <c r="G44" s="332"/>
      <c r="H44" s="332"/>
      <c r="I44" s="332"/>
      <c r="J44" s="332"/>
      <c r="K44" s="332"/>
      <c r="L44" s="360">
        <f t="shared" si="14"/>
        <v>0</v>
      </c>
    </row>
    <row r="45" spans="3:12" ht="13.5" customHeight="1">
      <c r="C45" s="327"/>
      <c r="D45" s="348" t="s">
        <v>405</v>
      </c>
      <c r="E45" s="332"/>
      <c r="F45" s="332"/>
      <c r="G45" s="332"/>
      <c r="H45" s="332"/>
      <c r="I45" s="332"/>
      <c r="J45" s="332"/>
      <c r="K45" s="332"/>
      <c r="L45" s="360">
        <f t="shared" si="14"/>
        <v>0</v>
      </c>
    </row>
    <row r="46" spans="3:12" ht="13.5" customHeight="1">
      <c r="C46" s="327"/>
      <c r="D46" s="348" t="s">
        <v>406</v>
      </c>
      <c r="E46" s="332"/>
      <c r="F46" s="332"/>
      <c r="G46" s="332"/>
      <c r="H46" s="332"/>
      <c r="I46" s="332"/>
      <c r="J46" s="332"/>
      <c r="K46" s="332"/>
      <c r="L46" s="360">
        <f t="shared" si="14"/>
        <v>0</v>
      </c>
    </row>
    <row r="47" spans="3:12" ht="13.5" customHeight="1">
      <c r="C47" s="327"/>
      <c r="D47" s="348" t="s">
        <v>407</v>
      </c>
      <c r="E47" s="332"/>
      <c r="F47" s="332"/>
      <c r="G47" s="332"/>
      <c r="H47" s="332"/>
      <c r="I47" s="332"/>
      <c r="J47" s="332"/>
      <c r="K47" s="332"/>
      <c r="L47" s="360">
        <f t="shared" si="14"/>
        <v>0</v>
      </c>
    </row>
    <row r="48" spans="3:12" ht="13.5" customHeight="1">
      <c r="C48" s="327"/>
      <c r="D48" s="348" t="s">
        <v>408</v>
      </c>
      <c r="E48" s="332"/>
      <c r="F48" s="332"/>
      <c r="G48" s="332"/>
      <c r="H48" s="332"/>
      <c r="I48" s="332"/>
      <c r="J48" s="332"/>
      <c r="K48" s="332"/>
      <c r="L48" s="360">
        <f t="shared" si="14"/>
        <v>0</v>
      </c>
    </row>
    <row r="49" spans="3:12" ht="13.5" customHeight="1">
      <c r="D49" s="348" t="s">
        <v>409</v>
      </c>
      <c r="E49" s="332"/>
      <c r="F49" s="332"/>
      <c r="G49" s="332"/>
      <c r="H49" s="332"/>
      <c r="I49" s="332"/>
      <c r="J49" s="332"/>
      <c r="K49" s="332"/>
      <c r="L49" s="360">
        <f t="shared" si="14"/>
        <v>0</v>
      </c>
    </row>
    <row r="50" spans="3:12" ht="13.5" customHeight="1">
      <c r="C50" s="325"/>
      <c r="D50" s="348" t="s">
        <v>410</v>
      </c>
      <c r="E50" s="332"/>
      <c r="F50" s="332"/>
      <c r="G50" s="332"/>
      <c r="H50" s="332"/>
      <c r="I50" s="332"/>
      <c r="J50" s="332"/>
      <c r="K50" s="332"/>
      <c r="L50" s="360">
        <f t="shared" si="14"/>
        <v>0</v>
      </c>
    </row>
    <row r="51" spans="3:12" ht="14.15" customHeight="1">
      <c r="C51" s="326"/>
      <c r="D51" s="357" t="s">
        <v>411</v>
      </c>
      <c r="E51" s="342"/>
      <c r="F51" s="342"/>
      <c r="G51" s="342"/>
      <c r="H51" s="342"/>
      <c r="I51" s="342"/>
      <c r="J51" s="342"/>
      <c r="K51" s="342"/>
      <c r="L51" s="360">
        <f t="shared" si="14"/>
        <v>0</v>
      </c>
    </row>
    <row r="52" spans="3:12" ht="14.15" customHeight="1">
      <c r="C52" s="327"/>
      <c r="D52" s="346"/>
      <c r="E52" s="335"/>
      <c r="F52" s="335"/>
      <c r="G52" s="335"/>
      <c r="H52" s="335"/>
      <c r="I52" s="335"/>
      <c r="J52" s="335"/>
      <c r="K52" s="335"/>
      <c r="L52" s="360">
        <f t="shared" si="14"/>
        <v>0</v>
      </c>
    </row>
    <row r="53" spans="3:12" ht="14.15" customHeight="1">
      <c r="C53" s="327"/>
      <c r="D53" s="345" t="s">
        <v>412</v>
      </c>
      <c r="E53" s="410">
        <v>12627</v>
      </c>
      <c r="F53" s="410">
        <v>14447.940530000007</v>
      </c>
      <c r="G53" s="410">
        <v>16101.464539999988</v>
      </c>
      <c r="H53" s="410">
        <v>182.6</v>
      </c>
      <c r="I53" s="410">
        <v>2060</v>
      </c>
      <c r="J53" s="410">
        <v>217</v>
      </c>
      <c r="K53" s="410">
        <v>177</v>
      </c>
      <c r="L53" s="360">
        <f t="shared" si="14"/>
        <v>45813.005069999992</v>
      </c>
    </row>
    <row r="54" spans="3:12" ht="14.15" customHeight="1">
      <c r="C54" s="327"/>
      <c r="D54" s="359" t="s">
        <v>413</v>
      </c>
      <c r="E54" s="427">
        <f>E53-E5</f>
        <v>1317</v>
      </c>
      <c r="F54" s="427">
        <f t="shared" ref="F54:K54" si="33">F53-F5</f>
        <v>2662.8527611739773</v>
      </c>
      <c r="G54" s="427">
        <f t="shared" si="33"/>
        <v>-2598.5103105588987</v>
      </c>
      <c r="H54" s="427">
        <f t="shared" si="33"/>
        <v>-11827.4</v>
      </c>
      <c r="I54" s="427">
        <f t="shared" si="33"/>
        <v>-834</v>
      </c>
      <c r="J54" s="427">
        <f t="shared" si="33"/>
        <v>-782</v>
      </c>
      <c r="K54" s="427">
        <f t="shared" si="33"/>
        <v>-222</v>
      </c>
      <c r="L54" s="360">
        <f t="shared" si="14"/>
        <v>-12284.057549384921</v>
      </c>
    </row>
    <row r="55" spans="3:12" ht="14.15" customHeight="1">
      <c r="C55" s="327"/>
      <c r="F55" s="319"/>
      <c r="G55" s="319"/>
    </row>
    <row r="56" spans="3:12" ht="14.15" customHeight="1">
      <c r="C56" s="327"/>
      <c r="E56" s="419">
        <f t="shared" ref="E56:K56" si="34">SUM(E7:E11)+E20+E30+E39</f>
        <v>1468</v>
      </c>
      <c r="F56" s="419">
        <f t="shared" si="34"/>
        <v>1389.0877420559109</v>
      </c>
      <c r="G56" s="419">
        <f t="shared" si="34"/>
        <v>-2598.5103105588882</v>
      </c>
      <c r="H56" s="419">
        <f t="shared" si="34"/>
        <v>-11827.4</v>
      </c>
      <c r="I56" s="419">
        <f t="shared" si="34"/>
        <v>-834</v>
      </c>
      <c r="J56" s="419">
        <f t="shared" si="34"/>
        <v>-782.00000000000011</v>
      </c>
      <c r="K56" s="419">
        <f t="shared" si="34"/>
        <v>-222.00000000000003</v>
      </c>
    </row>
    <row r="57" spans="3:12" ht="14.15" customHeight="1">
      <c r="C57" s="327"/>
      <c r="E57" s="419">
        <f t="shared" ref="E57:K57" si="35">R12</f>
        <v>1313</v>
      </c>
      <c r="F57" s="419">
        <f t="shared" si="35"/>
        <v>2662.8527611739751</v>
      </c>
      <c r="G57" s="419">
        <f t="shared" si="35"/>
        <v>-2598.5103105588878</v>
      </c>
      <c r="H57" s="419">
        <f t="shared" si="35"/>
        <v>-11827.4</v>
      </c>
      <c r="I57" s="419">
        <f t="shared" si="35"/>
        <v>-834</v>
      </c>
      <c r="J57" s="419">
        <f t="shared" si="35"/>
        <v>-782.00000000000011</v>
      </c>
      <c r="K57" s="419">
        <f t="shared" si="35"/>
        <v>-222.00000000000003</v>
      </c>
    </row>
    <row r="58" spans="3:12" ht="14.15" customHeight="1"/>
    <row r="62" spans="3:12">
      <c r="D62" s="319"/>
      <c r="E62" s="319"/>
    </row>
    <row r="63" spans="3:12" ht="14.5" customHeight="1"/>
    <row r="64" spans="3:12" ht="15" customHeight="1"/>
    <row r="65" ht="16" customHeight="1"/>
    <row r="66" ht="16" customHeight="1"/>
    <row r="67" ht="16" customHeight="1"/>
    <row r="70" ht="16" customHeight="1"/>
    <row r="71" ht="16" customHeight="1"/>
    <row r="72" ht="16" customHeight="1"/>
    <row r="75" ht="16" customHeight="1"/>
    <row r="76" ht="16" customHeight="1"/>
  </sheetData>
  <conditionalFormatting sqref="C28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{1888221B-E0BE-410F-BE87-6CB536DCDDCA}</x14:id>
        </ext>
      </extLst>
    </cfRule>
    <cfRule type="dataBar" priority="38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{594DFA36-FC12-4081-88EB-ACAAE24CC57E}</x14:id>
        </ext>
      </extLst>
    </cfRule>
  </conditionalFormatting>
  <conditionalFormatting sqref="C32:C40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{01DC46CE-8F19-4D55-9D7A-6F6E06D3D47B}</x14:id>
        </ext>
      </extLst>
    </cfRule>
    <cfRule type="dataBar" priority="102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{69D18831-3162-4EC9-872C-9BC4E4982E30}</x14:id>
        </ext>
      </extLst>
    </cfRule>
  </conditionalFormatting>
  <conditionalFormatting sqref="C43:C48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{9A33A70A-87D5-4615-9BCA-DC936EBA310E}</x14:id>
        </ext>
      </extLst>
    </cfRule>
    <cfRule type="dataBar" priority="74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{35C280DB-3C06-4F1B-8B1A-0E82B1AA07C3}</x14:id>
        </ext>
      </extLst>
    </cfRule>
  </conditionalFormatting>
  <conditionalFormatting sqref="C52:C57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{113543D5-D320-40E5-BC0D-9936DFA1AE44}</x14:id>
        </ext>
      </extLst>
    </cfRule>
    <cfRule type="dataBar" priority="60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{462EA554-4D44-4F73-93FF-4A1BF09077C7}</x14:id>
        </ext>
      </extLst>
    </cfRule>
  </conditionalFormatting>
  <pageMargins left="0.7" right="0.7" top="0.75" bottom="0.75" header="0.3" footer="0.3"/>
  <pageSetup paperSize="9" orientation="portrait" r:id="rId1"/>
  <ignoredErrors>
    <ignoredError sqref="G30" formulaRange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8221B-E0BE-410F-BE87-6CB536DCDD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94DFA36-FC12-4081-88EB-ACAAE24CC57E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C28</xm:sqref>
        </x14:conditionalFormatting>
        <x14:conditionalFormatting xmlns:xm="http://schemas.microsoft.com/office/excel/2006/main">
          <x14:cfRule type="dataBar" id="{01DC46CE-8F19-4D55-9D7A-6F6E06D3D4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9D18831-3162-4EC9-872C-9BC4E4982E30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C32:C40</xm:sqref>
        </x14:conditionalFormatting>
        <x14:conditionalFormatting xmlns:xm="http://schemas.microsoft.com/office/excel/2006/main">
          <x14:cfRule type="dataBar" id="{9A33A70A-87D5-4615-9BCA-DC936EBA31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5C280DB-3C06-4F1B-8B1A-0E82B1AA07C3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C43:C48</xm:sqref>
        </x14:conditionalFormatting>
        <x14:conditionalFormatting xmlns:xm="http://schemas.microsoft.com/office/excel/2006/main">
          <x14:cfRule type="dataBar" id="{113543D5-D320-40E5-BC0D-9936DFA1AE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62EA554-4D44-4F73-93FF-4A1BF09077C7}">
            <x14:dataBar minLength="0" maxLength="100">
              <x14:cfvo type="autoMin"/>
              <x14:cfvo type="autoMax"/>
              <x14:negativeFillColor rgb="FFFF5050"/>
              <x14:axisColor rgb="FF000000"/>
            </x14:dataBar>
          </x14:cfRule>
          <xm:sqref>C52:C57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B3992-47AF-4E36-BEE4-D00DBB43D2C3}">
  <dimension ref="A1:O36"/>
  <sheetViews>
    <sheetView showGridLines="0" zoomScale="85" zoomScaleNormal="85" workbookViewId="0">
      <selection activeCell="I14" sqref="I14"/>
    </sheetView>
  </sheetViews>
  <sheetFormatPr defaultRowHeight="14.5"/>
  <cols>
    <col min="1" max="1" width="26.453125" customWidth="1"/>
    <col min="2" max="3" width="15.1796875" bestFit="1" customWidth="1"/>
    <col min="4" max="4" width="15.08984375" bestFit="1" customWidth="1"/>
    <col min="5" max="5" width="10.81640625" customWidth="1"/>
    <col min="6" max="6" width="3.81640625" customWidth="1"/>
    <col min="7" max="7" width="26.1796875" customWidth="1"/>
    <col min="8" max="8" width="13" bestFit="1" customWidth="1"/>
    <col min="9" max="9" width="14.453125" bestFit="1" customWidth="1"/>
    <col min="10" max="10" width="12.81640625" customWidth="1"/>
    <col min="11" max="11" width="10.81640625" customWidth="1"/>
    <col min="12" max="12" width="3.1796875" customWidth="1"/>
    <col min="13" max="13" width="13.54296875" bestFit="1" customWidth="1"/>
    <col min="14" max="14" width="18.81640625" bestFit="1" customWidth="1"/>
    <col min="15" max="15" width="9.1796875" bestFit="1" customWidth="1"/>
  </cols>
  <sheetData>
    <row r="1" spans="1:15">
      <c r="A1" s="2"/>
      <c r="B1" s="455">
        <v>45657</v>
      </c>
      <c r="C1" s="458"/>
      <c r="D1" s="458"/>
      <c r="E1" s="457"/>
      <c r="G1" s="2"/>
      <c r="H1" s="455">
        <v>45657</v>
      </c>
      <c r="I1" s="458"/>
      <c r="J1" s="458"/>
      <c r="K1" s="457"/>
      <c r="M1" s="3"/>
      <c r="N1" s="11" t="s">
        <v>53</v>
      </c>
      <c r="O1" s="11" t="s">
        <v>344</v>
      </c>
    </row>
    <row r="2" spans="1:15">
      <c r="A2" s="11" t="s">
        <v>345</v>
      </c>
      <c r="B2" s="11" t="s">
        <v>53</v>
      </c>
      <c r="C2" s="11" t="s">
        <v>595</v>
      </c>
      <c r="D2" s="11" t="s">
        <v>55</v>
      </c>
      <c r="E2" s="11" t="s">
        <v>56</v>
      </c>
      <c r="G2" s="11" t="s">
        <v>346</v>
      </c>
      <c r="H2" s="11" t="s">
        <v>53</v>
      </c>
      <c r="I2" s="11" t="s">
        <v>344</v>
      </c>
      <c r="J2" s="11" t="s">
        <v>55</v>
      </c>
      <c r="K2" s="11" t="s">
        <v>56</v>
      </c>
      <c r="M2" s="2" t="s">
        <v>57</v>
      </c>
      <c r="N2" s="10">
        <f>'C-TRY'!AI3</f>
        <v>41.7265625</v>
      </c>
      <c r="O2" s="10">
        <f>'Tahmin-eur'!N2</f>
        <v>19.893999999999998</v>
      </c>
    </row>
    <row r="3" spans="1:15">
      <c r="A3" s="2" t="s">
        <v>59</v>
      </c>
      <c r="B3" s="7">
        <f>'C-TRY'!AI6</f>
        <v>14799354422.573786</v>
      </c>
      <c r="C3" s="53">
        <f>('Tahmin Data'!T3*0.4+SUM('Tahmin Data'!T4:T6)+SUM('Tahmin Data'!T7:T10)*0.4)</f>
        <v>14402352852.009758</v>
      </c>
      <c r="D3" s="53">
        <f>C3-B3</f>
        <v>-397001570.56402779</v>
      </c>
      <c r="E3" s="132">
        <f>C3/B3-1</f>
        <v>-2.6825600578797681E-2</v>
      </c>
      <c r="G3" s="2" t="s">
        <v>59</v>
      </c>
      <c r="H3" s="7">
        <f>'C-Döviz'!AI6</f>
        <v>357330874.1914534</v>
      </c>
      <c r="I3" s="53">
        <f>('Tahmin Data'!S3*0.4+SUM('Tahmin Data'!S4:S6)+SUM('Tahmin Data'!S7:S10)*0.4)</f>
        <v>319130607.4848907</v>
      </c>
      <c r="J3" s="53">
        <f>I3-H3</f>
        <v>-38200266.706562698</v>
      </c>
      <c r="K3" s="142">
        <f>I3/H3-1</f>
        <v>-0.10690446716366153</v>
      </c>
      <c r="M3" s="2" t="s">
        <v>347</v>
      </c>
      <c r="N3" s="10">
        <f>'C-TRY'!AI4</f>
        <v>41.34375</v>
      </c>
      <c r="O3" s="10">
        <f>AVERAGE('Tahmin-eur'!B3:N3)</f>
        <v>17.42771461065815</v>
      </c>
    </row>
    <row r="4" spans="1:15">
      <c r="A4" s="2" t="s">
        <v>348</v>
      </c>
      <c r="B4" s="7">
        <f>'C-TRY'!AI31</f>
        <v>-11697306422.206289</v>
      </c>
      <c r="C4" s="53">
        <f>-('Tahmin Data'!T11*0.4+SUM('Tahmin Data'!T12:T14)+SUM('Tahmin Data'!T15:T18)*0.4)</f>
        <v>-11461603253.431465</v>
      </c>
      <c r="D4" s="53">
        <f>C4-B4</f>
        <v>235703168.77482414</v>
      </c>
      <c r="E4" s="133">
        <f>C4/B4-1</f>
        <v>-2.0150208968396588E-2</v>
      </c>
      <c r="G4" s="2" t="s">
        <v>348</v>
      </c>
      <c r="H4" s="7">
        <f>'C-Döviz'!AI31</f>
        <v>-282670922.59908473</v>
      </c>
      <c r="I4" s="53">
        <f>-('Tahmin Data'!S11*0.4+SUM('Tahmin Data'!S12:S14)+SUM('Tahmin Data'!S15:S18)*0.4)</f>
        <v>-254678517.58710581</v>
      </c>
      <c r="J4" s="53">
        <f>I4-H4</f>
        <v>27992405.011978924</v>
      </c>
      <c r="K4" s="142">
        <f>I4/H4-1</f>
        <v>-9.9028243706838048E-2</v>
      </c>
      <c r="M4" s="13"/>
      <c r="N4" s="13"/>
      <c r="O4" s="13"/>
    </row>
    <row r="5" spans="1:15" s="1" customFormat="1">
      <c r="A5" s="3" t="s">
        <v>63</v>
      </c>
      <c r="B5" s="8">
        <f>'C-TRY'!AI32</f>
        <v>3102048000.3674946</v>
      </c>
      <c r="C5" s="54">
        <f>('Tahmin Data'!T19*0.4+SUM('Tahmin Data'!T20:T22)+SUM('Tahmin Data'!T23:T26)*0.4)</f>
        <v>2940749598.5782919</v>
      </c>
      <c r="D5" s="54">
        <f>C5-B5</f>
        <v>-161298401.78920269</v>
      </c>
      <c r="E5" s="134">
        <f>C5/B5-1</f>
        <v>-5.1997390681928213E-2</v>
      </c>
      <c r="G5" s="3" t="s">
        <v>63</v>
      </c>
      <c r="H5" s="8">
        <f>'C-Döviz'!AI32</f>
        <v>74659952.248207495</v>
      </c>
      <c r="I5" s="54">
        <f>('Tahmin Data'!S19*0.4+SUM('Tahmin Data'!S20:S22)+SUM('Tahmin Data'!S23:S26)*0.4)</f>
        <v>64452089.897784844</v>
      </c>
      <c r="J5" s="54">
        <f>I5-H5</f>
        <v>-10207862.350422651</v>
      </c>
      <c r="K5" s="143">
        <f>I5/H5-1</f>
        <v>-0.13672473719895439</v>
      </c>
      <c r="M5"/>
      <c r="N5"/>
      <c r="O5"/>
    </row>
    <row r="6" spans="1:15" s="13" customFormat="1">
      <c r="A6" s="20" t="s">
        <v>64</v>
      </c>
      <c r="B6" s="12">
        <f>B5/B3</f>
        <v>0.20960698093937608</v>
      </c>
      <c r="C6" s="12">
        <f>C5/C3</f>
        <v>0.2041853597669584</v>
      </c>
      <c r="D6" s="12">
        <f>C6-B6</f>
        <v>-5.4216211724176788E-3</v>
      </c>
      <c r="E6" s="20"/>
      <c r="G6" s="20" t="s">
        <v>64</v>
      </c>
      <c r="H6" s="58">
        <f>H5/H3</f>
        <v>0.20893787142558981</v>
      </c>
      <c r="I6" s="58">
        <f>I5/I3</f>
        <v>0.20196148030344077</v>
      </c>
      <c r="J6" s="12">
        <f>I6-H6</f>
        <v>-6.9763911221490393E-3</v>
      </c>
      <c r="K6" s="58"/>
      <c r="M6" s="94">
        <f>H3*K3</f>
        <v>-38200266.706562698</v>
      </c>
      <c r="N6"/>
      <c r="O6"/>
    </row>
    <row r="7" spans="1:15">
      <c r="A7" s="2"/>
      <c r="B7" s="53"/>
      <c r="C7" s="53"/>
      <c r="D7" s="122"/>
      <c r="E7" s="2"/>
      <c r="G7" s="2"/>
      <c r="H7" s="2"/>
      <c r="I7" s="53"/>
      <c r="J7" s="2"/>
      <c r="K7" s="142"/>
      <c r="M7" s="1"/>
      <c r="N7" s="1"/>
      <c r="O7" s="1"/>
    </row>
    <row r="8" spans="1:15">
      <c r="A8" s="2" t="s">
        <v>67</v>
      </c>
      <c r="B8" s="7">
        <f>'C-TRY'!AI88</f>
        <v>-1442917917.7768402</v>
      </c>
      <c r="C8" s="53">
        <f>('Tahmin Data'!T27*0.4+SUM('Tahmin Data'!T28:T30)+SUM('Tahmin Data'!T31:T34)*0.4)</f>
        <v>-1413749526.0891895</v>
      </c>
      <c r="D8" s="53">
        <f>C8-B8</f>
        <v>29168391.687650681</v>
      </c>
      <c r="E8" s="5">
        <f>C8/B8-1</f>
        <v>-2.0214865536212545E-2</v>
      </c>
      <c r="G8" s="2" t="s">
        <v>67</v>
      </c>
      <c r="H8" s="7">
        <f>'C-Döviz'!AI88</f>
        <v>-34861555.870865881</v>
      </c>
      <c r="I8" s="53">
        <f>('Tahmin Data'!S27*0.4+SUM('Tahmin Data'!S28:S30)+SUM('Tahmin Data'!S31:S34)*0.4)</f>
        <v>-31412549.954278968</v>
      </c>
      <c r="J8" s="53">
        <f>I8-H8</f>
        <v>3449005.9165869132</v>
      </c>
      <c r="K8" s="142">
        <f>I8/H8-1</f>
        <v>-9.8934365676698888E-2</v>
      </c>
      <c r="M8" s="92">
        <f>-I8/I3</f>
        <v>9.8431642774240019E-2</v>
      </c>
      <c r="N8" s="13"/>
      <c r="O8" s="13"/>
    </row>
    <row r="9" spans="1:15" s="1" customFormat="1">
      <c r="A9" s="3" t="s">
        <v>118</v>
      </c>
      <c r="B9" s="8">
        <f>'C-TRY'!AI112</f>
        <v>1659130082.590651</v>
      </c>
      <c r="C9" s="54">
        <f>('Tahmin Data'!T43*0.4+SUM('Tahmin Data'!T44:T46)+SUM('Tahmin Data'!T47:T50)*0.4)</f>
        <v>1527000072.4891026</v>
      </c>
      <c r="D9" s="54">
        <f>C9-B9</f>
        <v>-132130010.10154843</v>
      </c>
      <c r="E9" s="55">
        <f>C9/B9-1</f>
        <v>-7.9638125719011632E-2</v>
      </c>
      <c r="G9" s="3" t="s">
        <v>118</v>
      </c>
      <c r="H9" s="8">
        <f>'C-Döviz'!AI112</f>
        <v>39798396.377341546</v>
      </c>
      <c r="I9" s="54">
        <f>('Tahmin Data'!S43*0.4+SUM('Tahmin Data'!S44:S46)+SUM('Tahmin Data'!S47:S50)*0.4)</f>
        <v>33039539.943505872</v>
      </c>
      <c r="J9" s="54">
        <f>I9-H9</f>
        <v>-6758856.4338356741</v>
      </c>
      <c r="K9" s="143">
        <f>I9/H9-1</f>
        <v>-0.16982735610130506</v>
      </c>
      <c r="M9" s="52">
        <f>I5-I8</f>
        <v>95864639.852063805</v>
      </c>
      <c r="N9"/>
      <c r="O9"/>
    </row>
    <row r="10" spans="1:15" s="13" customFormat="1">
      <c r="A10" s="20" t="s">
        <v>349</v>
      </c>
      <c r="B10" s="58">
        <f>B9/B3</f>
        <v>0.11210827413254884</v>
      </c>
      <c r="C10" s="58">
        <f>C9/C3</f>
        <v>0.10602434811726053</v>
      </c>
      <c r="D10" s="12">
        <f>C10-B10</f>
        <v>-6.0839260152883157E-3</v>
      </c>
      <c r="E10" s="20"/>
      <c r="G10" s="20" t="s">
        <v>349</v>
      </c>
      <c r="H10" s="58">
        <f>H9/H3</f>
        <v>0.11137687575246595</v>
      </c>
      <c r="I10" s="58">
        <f>I9/I3</f>
        <v>0.10352983752920075</v>
      </c>
      <c r="J10" s="111">
        <f>I10-H10</f>
        <v>-7.8470382232651986E-3</v>
      </c>
      <c r="K10" s="58"/>
      <c r="M10" s="52"/>
      <c r="N10"/>
      <c r="O10"/>
    </row>
    <row r="11" spans="1:15">
      <c r="A11" s="2"/>
      <c r="B11" s="2"/>
      <c r="C11" s="53"/>
      <c r="D11" s="2"/>
      <c r="E11" s="2"/>
      <c r="G11" s="2"/>
      <c r="H11" s="2"/>
      <c r="I11" s="2"/>
      <c r="J11" s="2"/>
      <c r="K11" s="142"/>
      <c r="M11" s="1"/>
      <c r="N11" s="1"/>
      <c r="O11" s="1"/>
    </row>
    <row r="12" spans="1:15">
      <c r="A12" s="2" t="s">
        <v>350</v>
      </c>
      <c r="B12" s="7">
        <f>B13-B9</f>
        <v>368786188.33923006</v>
      </c>
      <c r="C12" s="7">
        <f>('Tahmin Data'!T51*0.4+SUM('Tahmin Data'!T52:T54)+SUM('Tahmin Data'!T55:T58)*0.4)</f>
        <v>392986844.49906522</v>
      </c>
      <c r="D12" s="53">
        <f>C12-B12</f>
        <v>24200656.15983516</v>
      </c>
      <c r="E12" s="5">
        <f>C12/B12-1</f>
        <v>6.5622458012375651E-2</v>
      </c>
      <c r="G12" s="2" t="s">
        <v>350</v>
      </c>
      <c r="H12" s="7">
        <f>H13-H9</f>
        <v>8901773.6654433981</v>
      </c>
      <c r="I12" s="7">
        <f>('Tahmin Data'!S51*0.4+SUM('Tahmin Data'!S52:S54)+SUM('Tahmin Data'!S55:S58)*0.4)</f>
        <v>8691459.6884004343</v>
      </c>
      <c r="J12" s="53">
        <f>I12-H12</f>
        <v>-210313.97704296373</v>
      </c>
      <c r="K12" s="142">
        <f>I12/H12-1</f>
        <v>-2.3626075538114466E-2</v>
      </c>
      <c r="M12" s="13"/>
      <c r="N12" s="13"/>
      <c r="O12" s="13"/>
    </row>
    <row r="13" spans="1:15" s="1" customFormat="1">
      <c r="A13" s="3" t="s">
        <v>4</v>
      </c>
      <c r="B13" s="8">
        <f>'C-TRY'!AI136</f>
        <v>2027916270.9298811</v>
      </c>
      <c r="C13" s="54">
        <f>('Tahmin Data'!T59*0.4+SUM('Tahmin Data'!T60:T62)+SUM('Tahmin Data'!T63:T66)*0.4)</f>
        <v>1919986916.9881678</v>
      </c>
      <c r="D13" s="54">
        <f>C13-B13</f>
        <v>-107929353.94171333</v>
      </c>
      <c r="E13" s="55">
        <f>C13/B13-1</f>
        <v>-5.3221799878465093E-2</v>
      </c>
      <c r="G13" s="3" t="s">
        <v>4</v>
      </c>
      <c r="H13" s="8">
        <f>'C-Döviz'!AI136</f>
        <v>48700170.042784944</v>
      </c>
      <c r="I13" s="54">
        <f>('Tahmin Data'!S59*0.4+SUM('Tahmin Data'!S60:S62)+SUM('Tahmin Data'!S63:S66)*0.4)</f>
        <v>41730999.631906308</v>
      </c>
      <c r="J13" s="54">
        <f>I13-H13</f>
        <v>-6969170.4108786359</v>
      </c>
      <c r="K13" s="143">
        <f>I13/H13-1</f>
        <v>-0.14310361554704953</v>
      </c>
      <c r="M13"/>
      <c r="N13"/>
      <c r="O13"/>
    </row>
    <row r="14" spans="1:15" s="13" customFormat="1">
      <c r="A14" s="20" t="s">
        <v>351</v>
      </c>
      <c r="B14" s="12">
        <f>B13/B3</f>
        <v>0.13702734680349671</v>
      </c>
      <c r="C14" s="58">
        <f>C13/C3</f>
        <v>0.13331064283154578</v>
      </c>
      <c r="D14" s="12">
        <f>C14-B14</f>
        <v>-3.7167039719509243E-3</v>
      </c>
      <c r="E14" s="20"/>
      <c r="G14" s="20" t="s">
        <v>351</v>
      </c>
      <c r="H14" s="58">
        <f>H13/H3</f>
        <v>0.13628872722789692</v>
      </c>
      <c r="I14" s="58">
        <f>I13/I3</f>
        <v>0.1307646419777585</v>
      </c>
      <c r="J14" s="12">
        <f>I14-H14</f>
        <v>-5.5240852501384219E-3</v>
      </c>
      <c r="K14" s="58"/>
      <c r="M14"/>
      <c r="N14"/>
      <c r="O14"/>
    </row>
    <row r="15" spans="1:15">
      <c r="A15" s="2"/>
      <c r="B15" s="2"/>
      <c r="C15" s="2"/>
      <c r="D15" s="2"/>
      <c r="E15" s="2"/>
      <c r="G15" s="2"/>
      <c r="H15" s="2"/>
      <c r="I15" s="2"/>
      <c r="J15" s="2"/>
      <c r="K15" s="142"/>
    </row>
    <row r="16" spans="1:15">
      <c r="A16" s="2" t="s">
        <v>352</v>
      </c>
      <c r="B16" s="7">
        <f>'C-TRY'!AI160</f>
        <v>-499376007.82080162</v>
      </c>
      <c r="C16" s="53">
        <f>('Tahmin Data'!T67*0.4+SUM('Tahmin Data'!T68:T70)+SUM('Tahmin Data'!T71:T74)*0.4)</f>
        <v>-612004825.97360826</v>
      </c>
      <c r="D16" s="53">
        <f>C16-B16</f>
        <v>-112628818.15280664</v>
      </c>
      <c r="E16" s="5">
        <f>C16/B16-1</f>
        <v>0.22553910558158585</v>
      </c>
      <c r="G16" s="2" t="s">
        <v>352</v>
      </c>
      <c r="H16" s="7">
        <f>'C-Döviz'!AI160</f>
        <v>-12124533.457740035</v>
      </c>
      <c r="I16" s="53">
        <f>('Tahmin Data'!S67*0.4+SUM('Tahmin Data'!S68:S70)+SUM('Tahmin Data'!S71:S74)*0.4)</f>
        <v>-13451317.431374669</v>
      </c>
      <c r="J16" s="53">
        <f>I16-H16</f>
        <v>-1326783.9736346342</v>
      </c>
      <c r="K16" s="142">
        <f>I16/H16-1</f>
        <v>0.10942969296584715</v>
      </c>
      <c r="M16" s="94"/>
      <c r="N16" s="247">
        <f>C16/1000000</f>
        <v>-612.00482597360826</v>
      </c>
    </row>
    <row r="17" spans="1:15">
      <c r="A17" s="2" t="s">
        <v>353</v>
      </c>
      <c r="B17" s="7">
        <f>'C-TRY'!AI173</f>
        <v>-9578974.3540274296</v>
      </c>
      <c r="C17" s="53">
        <f>('Tahmin Data'!T75*0.4+SUM('Tahmin Data'!T76:T78)+SUM('Tahmin Data'!T79:T82)*0.4)</f>
        <v>-200906402.92277443</v>
      </c>
      <c r="D17" s="53">
        <f>C17-B17</f>
        <v>-191327428.56874701</v>
      </c>
      <c r="E17" s="5">
        <f>C17/B17-1</f>
        <v>19.973686273447885</v>
      </c>
      <c r="G17" s="2" t="s">
        <v>353</v>
      </c>
      <c r="H17" s="7">
        <f>'C-Döviz'!AI173</f>
        <v>-209028.84921816309</v>
      </c>
      <c r="I17" s="53">
        <f>('Tahmin Data'!S75*0.4+SUM('Tahmin Data'!S76:S78)+SUM('Tahmin Data'!S79:S82)*0.4)</f>
        <v>-4616368.1936933119</v>
      </c>
      <c r="J17" s="53">
        <f>I17-H17</f>
        <v>-4407339.3444751492</v>
      </c>
      <c r="K17" s="142">
        <f>I17/H17-1</f>
        <v>21.084837623897627</v>
      </c>
      <c r="M17" s="52"/>
      <c r="N17" s="1"/>
      <c r="O17" s="1"/>
    </row>
    <row r="18" spans="1:15">
      <c r="A18" s="2"/>
      <c r="B18" s="2"/>
      <c r="C18" s="122">
        <f>C16/C3</f>
        <v>-4.2493392035469181E-2</v>
      </c>
      <c r="D18" s="2"/>
      <c r="E18" s="2"/>
      <c r="G18" s="2"/>
      <c r="H18" s="2"/>
      <c r="I18" s="2"/>
      <c r="J18" s="2"/>
      <c r="K18" s="142"/>
    </row>
    <row r="19" spans="1:15" s="1" customFormat="1">
      <c r="A19" s="3" t="s">
        <v>354</v>
      </c>
      <c r="B19" s="8">
        <f>'C-TRY'!AI186</f>
        <v>1150175100.6713731</v>
      </c>
      <c r="C19" s="54">
        <f>('Tahmin Data'!T83*0.4+SUM('Tahmin Data'!T84:T86)+SUM('Tahmin Data'!T87:T90)*0.4)</f>
        <v>715190828.51160264</v>
      </c>
      <c r="D19" s="54">
        <f>C19-B19</f>
        <v>-434984272.15977049</v>
      </c>
      <c r="E19" s="55">
        <f>C19/B19-1</f>
        <v>-0.37818960948282065</v>
      </c>
      <c r="G19" s="3" t="s">
        <v>354</v>
      </c>
      <c r="H19" s="8">
        <f>H9+H16+H17</f>
        <v>27464834.070383348</v>
      </c>
      <c r="I19" s="54">
        <f>('Tahmin Data'!S83*0.4+SUM('Tahmin Data'!S84:S86)+SUM('Tahmin Data'!S87:S90)*0.4)</f>
        <v>15085764.603844795</v>
      </c>
      <c r="J19" s="54">
        <f>I19-H19</f>
        <v>-12379069.466538552</v>
      </c>
      <c r="K19" s="143">
        <f>I19/H19-1</f>
        <v>-0.4507243493558003</v>
      </c>
      <c r="M19"/>
      <c r="N19"/>
      <c r="O19"/>
    </row>
    <row r="20" spans="1:15">
      <c r="A20" s="2" t="s">
        <v>355</v>
      </c>
      <c r="B20" s="12">
        <f>B19/B3</f>
        <v>7.7717923892476379E-2</v>
      </c>
      <c r="C20" s="12">
        <f>C19/C3</f>
        <v>4.9657916026672147E-2</v>
      </c>
      <c r="D20" s="12">
        <f>C20-B20</f>
        <v>-2.8060007865804232E-2</v>
      </c>
      <c r="E20" s="2"/>
      <c r="G20" s="2" t="s">
        <v>355</v>
      </c>
      <c r="H20" s="12">
        <f>H19/H3</f>
        <v>7.6861072059695668E-2</v>
      </c>
      <c r="I20" s="12">
        <f>I19/I3</f>
        <v>4.7271443885428741E-2</v>
      </c>
      <c r="J20" s="12">
        <f>I20-H20</f>
        <v>-2.9589628174266927E-2</v>
      </c>
      <c r="K20" s="142"/>
    </row>
    <row r="21" spans="1:15">
      <c r="A21" s="2"/>
      <c r="B21" s="2"/>
      <c r="C21" s="2"/>
      <c r="D21" s="2"/>
      <c r="E21" s="2"/>
      <c r="G21" s="2"/>
      <c r="H21" s="2"/>
      <c r="I21" s="2"/>
      <c r="J21" s="2"/>
      <c r="K21" s="142"/>
      <c r="M21" s="1"/>
      <c r="N21" s="1"/>
      <c r="O21" s="1"/>
    </row>
    <row r="22" spans="1:15">
      <c r="A22" s="2" t="s">
        <v>356</v>
      </c>
      <c r="B22" s="7">
        <f>'C-TRY'!AI199</f>
        <v>-186851383.45065144</v>
      </c>
      <c r="C22" s="53">
        <f>-('Tahmin Data'!T91*0.4+SUM('Tahmin Data'!T92:T94)+SUM('Tahmin Data'!T95:T98)*0.4)</f>
        <v>-317285308.05169052</v>
      </c>
      <c r="D22" s="53">
        <f>C22-B22</f>
        <v>-130433924.60103908</v>
      </c>
      <c r="E22" s="5">
        <f>IFERROR((C22/B22-1),"")</f>
        <v>0.69806239692888039</v>
      </c>
      <c r="G22" s="2" t="s">
        <v>356</v>
      </c>
      <c r="H22" s="7">
        <f>SUM('C-Döviz'!AI202:AI209)</f>
        <v>-9242313.3972256333</v>
      </c>
      <c r="I22" s="53">
        <f>-('Tahmin Data'!S91*0.4+SUM('Tahmin Data'!S92:S94)+SUM('Tahmin Data'!S95:S98)*0.4)</f>
        <v>-6599285.5261369962</v>
      </c>
      <c r="J22" s="53">
        <f>I22-H22</f>
        <v>2643027.871088637</v>
      </c>
      <c r="K22" s="142">
        <f>IFERROR((I22/H22-1),"")</f>
        <v>-0.28597037965429994</v>
      </c>
      <c r="M22" s="13"/>
      <c r="N22" s="13"/>
      <c r="O22" s="13"/>
    </row>
    <row r="23" spans="1:15" s="1" customFormat="1">
      <c r="A23" s="3" t="s">
        <v>357</v>
      </c>
      <c r="B23" s="8">
        <f>'C-TRY'!AI212</f>
        <v>963323717.22072327</v>
      </c>
      <c r="C23" s="54">
        <f>('Tahmin Data'!T99*0.4+SUM('Tahmin Data'!T100:T102)+SUM('Tahmin Data'!T103:T106)*0.4)</f>
        <v>397905520.45991218</v>
      </c>
      <c r="D23" s="54">
        <f>C23-B23</f>
        <v>-565418196.76081109</v>
      </c>
      <c r="E23" s="55">
        <f>C23/B23-1</f>
        <v>-0.5869451635552938</v>
      </c>
      <c r="G23" s="3" t="s">
        <v>357</v>
      </c>
      <c r="H23" s="8">
        <f>H19+H22</f>
        <v>18222520.673157714</v>
      </c>
      <c r="I23" s="54">
        <f>('Tahmin Data'!S99*0.4+SUM('Tahmin Data'!S100:S102)+SUM('Tahmin Data'!S103:S106)*0.4)</f>
        <v>8486479.0777077973</v>
      </c>
      <c r="J23" s="54">
        <f>I23-H23</f>
        <v>-9736041.595449917</v>
      </c>
      <c r="K23" s="143">
        <f>I23/H23-1</f>
        <v>-0.53428621484794803</v>
      </c>
      <c r="M23"/>
      <c r="N23"/>
      <c r="O23"/>
    </row>
    <row r="24" spans="1:15" s="13" customFormat="1">
      <c r="A24" s="20" t="s">
        <v>358</v>
      </c>
      <c r="B24" s="12">
        <f>B23/B3</f>
        <v>6.5092279684264065E-2</v>
      </c>
      <c r="C24" s="12">
        <f>C23/C3</f>
        <v>2.7627813632158511E-2</v>
      </c>
      <c r="D24" s="12">
        <f>C24-B24</f>
        <v>-3.7464466052105558E-2</v>
      </c>
      <c r="E24" s="20"/>
      <c r="G24" s="20" t="s">
        <v>358</v>
      </c>
      <c r="H24" s="12">
        <f>H23/H3</f>
        <v>5.0996211044988846E-2</v>
      </c>
      <c r="I24" s="58">
        <f>I23/I3</f>
        <v>2.6592494980631376E-2</v>
      </c>
      <c r="J24" s="12">
        <f>I24-H24</f>
        <v>-2.440371606435747E-2</v>
      </c>
      <c r="K24" s="58"/>
      <c r="M24"/>
      <c r="N24"/>
      <c r="O24"/>
    </row>
    <row r="26" spans="1:15">
      <c r="B26" s="52"/>
      <c r="C26" s="52"/>
      <c r="H26" s="52"/>
      <c r="I26" s="52"/>
    </row>
    <row r="27" spans="1:15">
      <c r="B27" s="94"/>
      <c r="C27" s="52"/>
      <c r="I27" s="52"/>
    </row>
    <row r="28" spans="1:15" ht="20">
      <c r="B28" s="287"/>
      <c r="C28" s="287"/>
      <c r="D28" s="287"/>
      <c r="E28" s="286"/>
      <c r="H28" s="284"/>
      <c r="I28" s="285"/>
      <c r="J28" s="284"/>
    </row>
    <row r="29" spans="1:15" ht="20">
      <c r="B29" s="286"/>
      <c r="C29" s="286"/>
      <c r="D29" s="286"/>
      <c r="E29" s="286"/>
      <c r="H29" s="284"/>
      <c r="I29" s="285"/>
      <c r="J29" s="284"/>
      <c r="M29" s="286"/>
    </row>
    <row r="30" spans="1:15" ht="22.5">
      <c r="M30" s="288"/>
    </row>
    <row r="31" spans="1:15" ht="20">
      <c r="H31" s="286"/>
      <c r="I31" s="286"/>
      <c r="J31" s="286"/>
      <c r="M31" s="286"/>
    </row>
    <row r="35" spans="8:13" ht="20">
      <c r="H35" s="285"/>
      <c r="I35" s="285"/>
      <c r="J35" s="285"/>
      <c r="M35" s="286"/>
    </row>
    <row r="36" spans="8:13" ht="20">
      <c r="H36" s="286"/>
      <c r="I36" s="286"/>
      <c r="J36" s="286"/>
      <c r="M36" s="286"/>
    </row>
  </sheetData>
  <mergeCells count="2">
    <mergeCell ref="B1:E1"/>
    <mergeCell ref="H1:K1"/>
  </mergeCells>
  <pageMargins left="0.7" right="0.7" top="0.75" bottom="0.75" header="0.3" footer="0.3"/>
  <customProperties>
    <customPr name="_pios_id" r:id="rId1"/>
    <customPr name="EpmWorksheetKeyString_GUID" r:id="rId2"/>
  </customPropertie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2939B-5547-45AA-B43C-2606C6674B84}">
  <dimension ref="A1:O36"/>
  <sheetViews>
    <sheetView showGridLines="0" zoomScale="85" zoomScaleNormal="85" workbookViewId="0">
      <selection sqref="A1:E6"/>
    </sheetView>
  </sheetViews>
  <sheetFormatPr defaultRowHeight="14.5"/>
  <cols>
    <col min="1" max="1" width="26.453125" customWidth="1"/>
    <col min="2" max="3" width="15.1796875" bestFit="1" customWidth="1"/>
    <col min="4" max="4" width="14.54296875" bestFit="1" customWidth="1"/>
    <col min="5" max="5" width="10.81640625" customWidth="1"/>
    <col min="6" max="6" width="3.81640625" customWidth="1"/>
    <col min="7" max="7" width="26.1796875" customWidth="1"/>
    <col min="8" max="8" width="13" bestFit="1" customWidth="1"/>
    <col min="9" max="9" width="14.453125" bestFit="1" customWidth="1"/>
    <col min="10" max="10" width="12.81640625" customWidth="1"/>
    <col min="11" max="11" width="10.81640625" customWidth="1"/>
    <col min="12" max="12" width="3.1796875" customWidth="1"/>
    <col min="13" max="13" width="13.54296875" bestFit="1" customWidth="1"/>
    <col min="14" max="14" width="18.81640625" bestFit="1" customWidth="1"/>
    <col min="15" max="15" width="9.1796875" bestFit="1" customWidth="1"/>
  </cols>
  <sheetData>
    <row r="1" spans="1:15">
      <c r="A1" s="2"/>
      <c r="B1" s="455">
        <v>45838</v>
      </c>
      <c r="C1" s="458"/>
      <c r="D1" s="458"/>
      <c r="E1" s="457"/>
      <c r="G1" s="2"/>
      <c r="H1" s="455">
        <v>46022</v>
      </c>
      <c r="I1" s="458"/>
      <c r="J1" s="458"/>
      <c r="K1" s="457"/>
      <c r="M1" s="3"/>
      <c r="N1" s="11" t="s">
        <v>53</v>
      </c>
      <c r="O1" s="11" t="s">
        <v>344</v>
      </c>
    </row>
    <row r="2" spans="1:15">
      <c r="A2" s="11" t="s">
        <v>345</v>
      </c>
      <c r="B2" s="11" t="s">
        <v>53</v>
      </c>
      <c r="C2" s="11" t="s">
        <v>344</v>
      </c>
      <c r="D2" s="11" t="s">
        <v>55</v>
      </c>
      <c r="E2" s="11" t="s">
        <v>56</v>
      </c>
      <c r="G2" s="11" t="s">
        <v>346</v>
      </c>
      <c r="H2" s="11" t="s">
        <v>53</v>
      </c>
      <c r="I2" s="11" t="s">
        <v>344</v>
      </c>
      <c r="J2" s="11" t="s">
        <v>55</v>
      </c>
      <c r="K2" s="11" t="s">
        <v>56</v>
      </c>
      <c r="M2" s="2" t="s">
        <v>57</v>
      </c>
      <c r="N2" s="10">
        <f>'C-TRY'!AI3</f>
        <v>41.7265625</v>
      </c>
      <c r="O2" s="10">
        <f>'Tahmin-eur'!N2</f>
        <v>19.893999999999998</v>
      </c>
    </row>
    <row r="3" spans="1:15">
      <c r="A3" s="2" t="s">
        <v>59</v>
      </c>
      <c r="B3" s="7">
        <f>SUM('C-Döviz'!Q9:Q16)</f>
        <v>410188135.7481944</v>
      </c>
      <c r="C3" s="7">
        <f>SUM('C-Döviz'!R9:R16)</f>
        <v>387108660.4501906</v>
      </c>
      <c r="D3" s="53">
        <f>C3-B3</f>
        <v>-23079475.298003793</v>
      </c>
      <c r="E3" s="132">
        <f>C3/B3-1</f>
        <v>-5.6265584707627436E-2</v>
      </c>
      <c r="G3" s="2" t="s">
        <v>59</v>
      </c>
      <c r="H3" s="7">
        <f>SUM('C-Döviz'!AI9:AI16)</f>
        <v>840144713.08026361</v>
      </c>
      <c r="I3" s="53">
        <f>('Tahmin Data'!M3+SUM('Tahmin Data'!M4:M6)+SUM('Tahmin Data'!M7:M10))</f>
        <v>779321189.8408742</v>
      </c>
      <c r="J3" s="53">
        <f>I3-H3</f>
        <v>-60823523.23938942</v>
      </c>
      <c r="K3" s="142">
        <f>I3/H3-1</f>
        <v>-7.2396483953805046E-2</v>
      </c>
      <c r="M3" s="2" t="s">
        <v>347</v>
      </c>
      <c r="N3" s="10">
        <f>'C-TRY'!AI4</f>
        <v>41.34375</v>
      </c>
      <c r="O3" s="10">
        <f>AVERAGE('Tahmin-eur'!B3:N3)</f>
        <v>17.42771461065815</v>
      </c>
    </row>
    <row r="4" spans="1:15">
      <c r="A4" s="2" t="s">
        <v>348</v>
      </c>
      <c r="B4" s="7">
        <v>-333989923.199561</v>
      </c>
      <c r="C4" s="7">
        <v>-320758738.190813</v>
      </c>
      <c r="D4" s="53">
        <f>C4-B4</f>
        <v>13231185.008747995</v>
      </c>
      <c r="E4" s="133">
        <f>C4/B4-1</f>
        <v>-3.961552157620718E-2</v>
      </c>
      <c r="G4" s="2" t="s">
        <v>348</v>
      </c>
      <c r="H4" s="7">
        <v>-676211260.09741795</v>
      </c>
      <c r="I4" s="53">
        <f>-('Tahmin Data'!M11+SUM('Tahmin Data'!M12:M14)+SUM('Tahmin Data'!M15:M18))</f>
        <v>-622301645.6713357</v>
      </c>
      <c r="J4" s="53">
        <f>I4-H4</f>
        <v>53909614.426082253</v>
      </c>
      <c r="K4" s="142">
        <f>I4/H4-1</f>
        <v>-7.9723035694962863E-2</v>
      </c>
      <c r="M4" s="13"/>
      <c r="N4" s="13"/>
      <c r="O4" s="13"/>
    </row>
    <row r="5" spans="1:15" s="1" customFormat="1">
      <c r="A5" s="3" t="s">
        <v>63</v>
      </c>
      <c r="B5" s="8">
        <f>B3+B4</f>
        <v>76198212.548633397</v>
      </c>
      <c r="C5" s="8">
        <f>C3+C4</f>
        <v>66349922.259377599</v>
      </c>
      <c r="D5" s="54">
        <f>C5-B5</f>
        <v>-9848290.2892557979</v>
      </c>
      <c r="E5" s="134">
        <f>C5/B5-1</f>
        <v>-0.12924568647814594</v>
      </c>
      <c r="G5" s="3" t="s">
        <v>63</v>
      </c>
      <c r="H5" s="8">
        <f>H3+H4</f>
        <v>163933452.98284566</v>
      </c>
      <c r="I5" s="8">
        <f>I3+I4</f>
        <v>157019544.1695385</v>
      </c>
      <c r="J5" s="54">
        <f>I5-H5</f>
        <v>-6913908.8133071661</v>
      </c>
      <c r="K5" s="143">
        <f>I5/H5-1</f>
        <v>-4.2175094146468362E-2</v>
      </c>
      <c r="M5"/>
      <c r="N5"/>
      <c r="O5"/>
    </row>
    <row r="6" spans="1:15" s="13" customFormat="1">
      <c r="A6" s="20" t="s">
        <v>64</v>
      </c>
      <c r="B6" s="58">
        <f>B5/B3</f>
        <v>0.18576405777716065</v>
      </c>
      <c r="C6" s="58">
        <f>C5/C3</f>
        <v>0.17139870284021938</v>
      </c>
      <c r="D6" s="58">
        <f>C6-B6</f>
        <v>-1.4365354936941271E-2</v>
      </c>
      <c r="E6" s="58"/>
      <c r="F6" s="295"/>
      <c r="G6" s="58" t="s">
        <v>64</v>
      </c>
      <c r="H6" s="12">
        <f>H5/H3</f>
        <v>0.19512525691176277</v>
      </c>
      <c r="I6" s="12">
        <f>I5/I3</f>
        <v>0.20148245192922259</v>
      </c>
      <c r="J6" s="58">
        <f>I6-H6</f>
        <v>6.3571950174598213E-3</v>
      </c>
      <c r="K6" s="58"/>
      <c r="M6" s="94">
        <f>H3*K3</f>
        <v>-60823523.239389449</v>
      </c>
      <c r="N6"/>
      <c r="O6"/>
    </row>
    <row r="7" spans="1:15">
      <c r="A7" s="2"/>
      <c r="B7" s="53"/>
      <c r="C7" s="53"/>
      <c r="D7" s="122"/>
      <c r="E7" s="2"/>
      <c r="G7" s="2"/>
      <c r="H7" s="2"/>
      <c r="I7" s="53"/>
      <c r="J7" s="2"/>
      <c r="K7" s="142"/>
      <c r="M7" s="1"/>
      <c r="N7" s="1"/>
      <c r="O7" s="1"/>
    </row>
    <row r="8" spans="1:15">
      <c r="A8" s="2" t="s">
        <v>67</v>
      </c>
      <c r="B8" s="7">
        <f>SUM('C-Döviz'!Q91:Q98)</f>
        <v>-36672567.531097122</v>
      </c>
      <c r="C8" s="7">
        <f>SUM('C-Döviz'!R91:R98)</f>
        <v>-35732979.270201482</v>
      </c>
      <c r="D8" s="53">
        <f>C8-B8</f>
        <v>939588.26089563966</v>
      </c>
      <c r="E8" s="5">
        <f>C8/B8-1</f>
        <v>-2.5621011130428806E-2</v>
      </c>
      <c r="G8" s="2" t="s">
        <v>67</v>
      </c>
      <c r="H8" s="7">
        <f>SUM('C-Döviz'!AI91:AI98)</f>
        <v>-71180918.953465581</v>
      </c>
      <c r="I8" s="53">
        <f>('Tahmin Data'!M27+SUM('Tahmin Data'!M28:M30)+SUM('Tahmin Data'!M31:M34))</f>
        <v>-68116871.815764859</v>
      </c>
      <c r="J8" s="53">
        <f>I8-H8</f>
        <v>3064047.1377007216</v>
      </c>
      <c r="K8" s="142">
        <f>I8/H8-1</f>
        <v>-4.3045905879690038E-2</v>
      </c>
      <c r="M8" s="92">
        <f>-I8/I3</f>
        <v>8.7405389079274629E-2</v>
      </c>
      <c r="N8" s="13"/>
      <c r="O8" s="13"/>
    </row>
    <row r="9" spans="1:15" s="1" customFormat="1">
      <c r="A9" s="3" t="s">
        <v>118</v>
      </c>
      <c r="B9" s="8">
        <f>B5+B8</f>
        <v>39525645.017536275</v>
      </c>
      <c r="C9" s="8">
        <f>C5+C8</f>
        <v>30616942.989176117</v>
      </c>
      <c r="D9" s="54">
        <f>C9-B9</f>
        <v>-8908702.0283601582</v>
      </c>
      <c r="E9" s="55">
        <f>C9/B9-1</f>
        <v>-0.22539042751630367</v>
      </c>
      <c r="G9" s="3" t="s">
        <v>118</v>
      </c>
      <c r="H9" s="8">
        <f>H5+H8</f>
        <v>92752534.029380083</v>
      </c>
      <c r="I9" s="8">
        <f>I5+I8</f>
        <v>88902672.353773639</v>
      </c>
      <c r="J9" s="54">
        <f>I9-H9</f>
        <v>-3849861.6756064445</v>
      </c>
      <c r="K9" s="143">
        <f>I9/H9-1</f>
        <v>-4.1506808583655186E-2</v>
      </c>
      <c r="M9" s="52">
        <f>I5-I8</f>
        <v>225136415.98530334</v>
      </c>
      <c r="N9"/>
      <c r="O9"/>
    </row>
    <row r="10" spans="1:15" s="13" customFormat="1">
      <c r="A10" s="20" t="s">
        <v>349</v>
      </c>
      <c r="B10" s="58">
        <f>B9/B3</f>
        <v>9.6359795842072354E-2</v>
      </c>
      <c r="C10" s="58">
        <f>C9/C3</f>
        <v>7.9091340797103171E-2</v>
      </c>
      <c r="D10" s="12">
        <f>C10-B10</f>
        <v>-1.7268455044969183E-2</v>
      </c>
      <c r="E10" s="20"/>
      <c r="G10" s="20" t="s">
        <v>349</v>
      </c>
      <c r="H10" s="12">
        <f>H9/H3</f>
        <v>0.11040066382054221</v>
      </c>
      <c r="I10" s="12">
        <f>I9/I3</f>
        <v>0.11407706284994797</v>
      </c>
      <c r="J10" s="111">
        <f>I10-H10</f>
        <v>3.6763990294057525E-3</v>
      </c>
      <c r="K10" s="58"/>
      <c r="M10" s="52"/>
      <c r="N10"/>
      <c r="O10"/>
    </row>
    <row r="11" spans="1:15">
      <c r="A11" s="2"/>
      <c r="B11" s="2"/>
      <c r="C11" s="53"/>
      <c r="D11" s="2"/>
      <c r="E11" s="2"/>
      <c r="G11" s="2"/>
      <c r="H11" s="2"/>
      <c r="I11" s="2"/>
      <c r="J11" s="2"/>
      <c r="K11" s="142"/>
      <c r="M11" s="1"/>
      <c r="N11" s="1"/>
      <c r="O11" s="1"/>
    </row>
    <row r="12" spans="1:15">
      <c r="A12" s="2" t="s">
        <v>350</v>
      </c>
      <c r="B12" s="7">
        <f>B13-B9</f>
        <v>10904368.621741951</v>
      </c>
      <c r="C12" s="7">
        <f>C13-C9</f>
        <v>10800721.077905156</v>
      </c>
      <c r="D12" s="53">
        <f>C12-B12</f>
        <v>-103647.54383679479</v>
      </c>
      <c r="E12" s="5">
        <f>C12/B12-1</f>
        <v>-9.5051394016646418E-3</v>
      </c>
      <c r="G12" s="2" t="s">
        <v>350</v>
      </c>
      <c r="H12" s="7">
        <f>H13-H9</f>
        <v>20113879.735307515</v>
      </c>
      <c r="I12" s="7">
        <f>('Tahmin Data'!M51+SUM('Tahmin Data'!M52:M54)+SUM('Tahmin Data'!M55:M58))</f>
        <v>21117808.276071791</v>
      </c>
      <c r="J12" s="53">
        <f>I12-H12</f>
        <v>1003928.5407642759</v>
      </c>
      <c r="K12" s="142">
        <f>I12/H12-1</f>
        <v>4.9912227475537696E-2</v>
      </c>
      <c r="M12" s="13"/>
      <c r="N12" s="13"/>
      <c r="O12" s="13"/>
    </row>
    <row r="13" spans="1:15" s="1" customFormat="1">
      <c r="A13" s="3" t="s">
        <v>4</v>
      </c>
      <c r="B13" s="8">
        <f>SUM('C-Döviz'!Q139:Q146)</f>
        <v>50430013.639278226</v>
      </c>
      <c r="C13" s="8">
        <f>SUM('C-Döviz'!R139:R146)</f>
        <v>41417664.067081273</v>
      </c>
      <c r="D13" s="54">
        <f>C13-B13</f>
        <v>-9012349.572196953</v>
      </c>
      <c r="E13" s="55">
        <f>C13/B13-1</f>
        <v>-0.17871003638153971</v>
      </c>
      <c r="G13" s="3" t="s">
        <v>4</v>
      </c>
      <c r="H13" s="8">
        <f>SUM('C-Döviz'!AI139:AI146)</f>
        <v>112866413.7646876</v>
      </c>
      <c r="I13" s="54">
        <f>('Tahmin Data'!M59+SUM('Tahmin Data'!M60:M62)+SUM('Tahmin Data'!M63:M66))</f>
        <v>110020480.62984544</v>
      </c>
      <c r="J13" s="54">
        <f>I13-H13</f>
        <v>-2845933.1348421574</v>
      </c>
      <c r="K13" s="143">
        <f>I13/H13-1</f>
        <v>-2.5215057694449095E-2</v>
      </c>
      <c r="M13"/>
      <c r="N13"/>
      <c r="O13"/>
    </row>
    <row r="14" spans="1:15" s="13" customFormat="1">
      <c r="A14" s="20" t="s">
        <v>351</v>
      </c>
      <c r="B14" s="12">
        <f>B13/B3</f>
        <v>0.12294361841376153</v>
      </c>
      <c r="C14" s="58">
        <f>C13/C3</f>
        <v>0.106992346848852</v>
      </c>
      <c r="D14" s="12">
        <f>C14-B14</f>
        <v>-1.5951271564909525E-2</v>
      </c>
      <c r="E14" s="20"/>
      <c r="G14" s="20" t="s">
        <v>351</v>
      </c>
      <c r="H14" s="12">
        <f>H13/H3</f>
        <v>0.13434163425355608</v>
      </c>
      <c r="I14" s="12">
        <f>I13/I3</f>
        <v>0.14117475832051993</v>
      </c>
      <c r="J14" s="12">
        <f>I14-H14</f>
        <v>6.8331240669638471E-3</v>
      </c>
      <c r="K14" s="58"/>
      <c r="M14"/>
      <c r="N14"/>
      <c r="O14"/>
    </row>
    <row r="15" spans="1:15">
      <c r="A15" s="2"/>
      <c r="B15" s="2"/>
      <c r="C15" s="2"/>
      <c r="D15" s="2"/>
      <c r="E15" s="2"/>
      <c r="G15" s="2"/>
      <c r="H15" s="2"/>
      <c r="I15" s="2"/>
      <c r="J15" s="2"/>
      <c r="K15" s="142"/>
    </row>
    <row r="16" spans="1:15">
      <c r="A16" s="2" t="s">
        <v>352</v>
      </c>
      <c r="B16" s="7">
        <f>SUM('C-Döviz'!Q163:Q170)</f>
        <v>-13927187.07633465</v>
      </c>
      <c r="C16" s="7">
        <f>SUM('C-Döviz'!R163:R170)</f>
        <v>-12855188.754865978</v>
      </c>
      <c r="D16" s="53">
        <f>C16-B16</f>
        <v>1071998.3214686718</v>
      </c>
      <c r="E16" s="5">
        <f>C16/B16-1</f>
        <v>-7.6971632217839092E-2</v>
      </c>
      <c r="G16" s="2" t="s">
        <v>352</v>
      </c>
      <c r="H16" s="7">
        <f>SUM('C-Döviz'!AI163:AI170)</f>
        <v>-27716185.496594131</v>
      </c>
      <c r="I16" s="53">
        <f>('Tahmin Data'!M67+SUM('Tahmin Data'!M68:M70)+SUM('Tahmin Data'!M71:M74))</f>
        <v>-25165192.525348786</v>
      </c>
      <c r="J16" s="53">
        <f>I16-H16</f>
        <v>2550992.9712453447</v>
      </c>
      <c r="K16" s="142">
        <f>I16/H16-1</f>
        <v>-9.203982891364404E-2</v>
      </c>
      <c r="M16" s="94"/>
      <c r="N16" s="247">
        <f>C16/1000000</f>
        <v>-12.855188754865978</v>
      </c>
    </row>
    <row r="17" spans="1:15">
      <c r="A17" s="2" t="s">
        <v>353</v>
      </c>
      <c r="B17" s="7">
        <f>SUM('C-Döviz'!Q176:Q183)</f>
        <v>-593715.91772143974</v>
      </c>
      <c r="C17" s="7">
        <f>SUM('C-Döviz'!R176:R183)</f>
        <v>-10389270.10385867</v>
      </c>
      <c r="D17" s="53">
        <f>C17-B17</f>
        <v>-9795554.1861372311</v>
      </c>
      <c r="E17" s="5">
        <f>C17/B17-1</f>
        <v>16.498722526642986</v>
      </c>
      <c r="G17" s="2" t="s">
        <v>353</v>
      </c>
      <c r="H17" s="7">
        <f>SUM('C-Döviz'!AI176:AI183)</f>
        <v>-1445226.8403457212</v>
      </c>
      <c r="I17" s="53">
        <f>('Tahmin Data'!M75+SUM('Tahmin Data'!M76:M78)+SUM('Tahmin Data'!M79:M82))</f>
        <v>-13355980.655118825</v>
      </c>
      <c r="J17" s="53">
        <f>I17-H17</f>
        <v>-11910753.814773103</v>
      </c>
      <c r="K17" s="142">
        <f>I17/H17-1</f>
        <v>8.2414424381461551</v>
      </c>
      <c r="M17" s="52"/>
      <c r="N17" s="1"/>
      <c r="O17" s="1"/>
    </row>
    <row r="18" spans="1:15">
      <c r="A18" s="2"/>
      <c r="B18" s="2"/>
      <c r="C18" s="122"/>
      <c r="D18" s="2"/>
      <c r="E18" s="2"/>
      <c r="G18" s="2"/>
      <c r="H18" s="2"/>
      <c r="I18" s="2"/>
      <c r="J18" s="2"/>
      <c r="K18" s="142"/>
    </row>
    <row r="19" spans="1:15" s="1" customFormat="1">
      <c r="A19" s="3" t="s">
        <v>354</v>
      </c>
      <c r="B19" s="8">
        <f>B9+B16+B17</f>
        <v>25004742.023480188</v>
      </c>
      <c r="C19" s="8">
        <f>C9+C16+C17</f>
        <v>7372484.1304514688</v>
      </c>
      <c r="D19" s="54">
        <f>C19-B19</f>
        <v>-17632257.893028721</v>
      </c>
      <c r="E19" s="55">
        <f>C19/B19-1</f>
        <v>-0.70515656096237711</v>
      </c>
      <c r="G19" s="3" t="s">
        <v>354</v>
      </c>
      <c r="H19" s="8">
        <f>H9+H16+H17</f>
        <v>63591121.692440234</v>
      </c>
      <c r="I19" s="54">
        <f>('Tahmin Data'!M83+SUM('Tahmin Data'!M84:M86)+SUM('Tahmin Data'!M87:M90))</f>
        <v>50421946.091267414</v>
      </c>
      <c r="J19" s="54">
        <f>I19-H19</f>
        <v>-13169175.60117282</v>
      </c>
      <c r="K19" s="143">
        <f>I19/H19-1</f>
        <v>-0.20709141859245395</v>
      </c>
      <c r="M19"/>
      <c r="N19"/>
      <c r="O19"/>
    </row>
    <row r="20" spans="1:15">
      <c r="A20" s="2" t="s">
        <v>355</v>
      </c>
      <c r="B20" s="12">
        <f>B19/B3</f>
        <v>6.095920345884908E-2</v>
      </c>
      <c r="C20" s="12">
        <f>C19/C3</f>
        <v>1.9044999204816521E-2</v>
      </c>
      <c r="D20" s="12">
        <f>C20-B20</f>
        <v>-4.1914204254032555E-2</v>
      </c>
      <c r="E20" s="2"/>
      <c r="G20" s="2" t="s">
        <v>355</v>
      </c>
      <c r="H20" s="12">
        <f>H19/H3</f>
        <v>7.5690676501781462E-2</v>
      </c>
      <c r="I20" s="12">
        <f>I19/I3</f>
        <v>6.4699826911626554E-2</v>
      </c>
      <c r="J20" s="12">
        <f>I20-H20</f>
        <v>-1.0990849590154908E-2</v>
      </c>
      <c r="K20" s="142"/>
    </row>
    <row r="21" spans="1:15">
      <c r="A21" s="2"/>
      <c r="B21" s="2"/>
      <c r="C21" s="2"/>
      <c r="D21" s="2"/>
      <c r="E21" s="2"/>
      <c r="G21" s="2"/>
      <c r="H21" s="2"/>
      <c r="I21" s="2"/>
      <c r="J21" s="2"/>
      <c r="K21" s="142"/>
      <c r="M21" s="1"/>
      <c r="N21" s="1"/>
      <c r="O21" s="1"/>
    </row>
    <row r="22" spans="1:15">
      <c r="A22" s="2" t="s">
        <v>356</v>
      </c>
      <c r="B22" s="7">
        <f>SUM('C-Döviz'!Q202:Q209)</f>
        <v>-2484959.4503557435</v>
      </c>
      <c r="C22" s="7">
        <f>SUM('C-Döviz'!R202:R209)</f>
        <v>-5736685.1938363668</v>
      </c>
      <c r="D22" s="53">
        <f>C22-B22</f>
        <v>-3251725.7434806232</v>
      </c>
      <c r="E22" s="5">
        <f>IFERROR((C22/B22-1),"")</f>
        <v>1.3085628994932335</v>
      </c>
      <c r="G22" s="2" t="s">
        <v>356</v>
      </c>
      <c r="H22" s="7">
        <f>SUM('C-Döviz'!AI202:AI209)</f>
        <v>-9242313.3972256333</v>
      </c>
      <c r="I22" s="53">
        <f>-('Tahmin Data'!M91+SUM('Tahmin Data'!M92:M94)+SUM('Tahmin Data'!M95:M98))</f>
        <v>-11464867.679252278</v>
      </c>
      <c r="J22" s="53">
        <f>I22-H22</f>
        <v>-2222554.2820266448</v>
      </c>
      <c r="K22" s="142">
        <f>IFERROR((I22/H22-1),"")</f>
        <v>0.24047597030131151</v>
      </c>
      <c r="M22" s="13"/>
      <c r="N22" s="13"/>
      <c r="O22" s="13"/>
    </row>
    <row r="23" spans="1:15" s="1" customFormat="1">
      <c r="A23" s="3" t="s">
        <v>357</v>
      </c>
      <c r="B23" s="8">
        <f>B19+B22</f>
        <v>22519782.573124446</v>
      </c>
      <c r="C23" s="8">
        <f>C19+C22</f>
        <v>1635798.936615102</v>
      </c>
      <c r="D23" s="54">
        <f>C23-B23</f>
        <v>-20883983.636509344</v>
      </c>
      <c r="E23" s="55">
        <f>C23/B23-1</f>
        <v>-0.92736169049130623</v>
      </c>
      <c r="G23" s="3" t="s">
        <v>357</v>
      </c>
      <c r="H23" s="8">
        <f>H19+H22</f>
        <v>54348808.295214601</v>
      </c>
      <c r="I23" s="54">
        <f>('Tahmin Data'!M99+SUM('Tahmin Data'!M100:M102)+SUM('Tahmin Data'!M103:M106))</f>
        <v>38957078.41201514</v>
      </c>
      <c r="J23" s="54">
        <f>I23-H23</f>
        <v>-15391729.883199461</v>
      </c>
      <c r="K23" s="143">
        <f>I23/H23-1</f>
        <v>-0.28320271163249588</v>
      </c>
      <c r="M23"/>
      <c r="N23"/>
      <c r="O23"/>
    </row>
    <row r="24" spans="1:15" s="13" customFormat="1">
      <c r="A24" s="20" t="s">
        <v>358</v>
      </c>
      <c r="B24" s="12">
        <f>B23/B3</f>
        <v>5.4901106615499122E-2</v>
      </c>
      <c r="C24" s="12">
        <f>C23/C3</f>
        <v>4.2256841650422875E-3</v>
      </c>
      <c r="D24" s="12">
        <f>C24-B24</f>
        <v>-5.0675422450456836E-2</v>
      </c>
      <c r="E24" s="20"/>
      <c r="G24" s="20" t="s">
        <v>358</v>
      </c>
      <c r="H24" s="12">
        <f>H23/H3</f>
        <v>6.4689817657666265E-2</v>
      </c>
      <c r="I24" s="58">
        <f>I23/I3</f>
        <v>4.9988475765646252E-2</v>
      </c>
      <c r="J24" s="12">
        <f>I24-H24</f>
        <v>-1.4701341892020013E-2</v>
      </c>
      <c r="K24" s="58"/>
      <c r="M24"/>
      <c r="N24"/>
      <c r="O24"/>
    </row>
    <row r="26" spans="1:15">
      <c r="B26" s="52"/>
      <c r="C26" s="52"/>
      <c r="H26" s="52"/>
      <c r="I26" s="52"/>
    </row>
    <row r="27" spans="1:15">
      <c r="B27" s="94"/>
      <c r="C27" s="52"/>
      <c r="I27" s="52"/>
    </row>
    <row r="28" spans="1:15" ht="20">
      <c r="B28" s="287"/>
      <c r="C28" s="287"/>
      <c r="D28" s="287"/>
      <c r="E28" s="286"/>
      <c r="H28" s="284"/>
      <c r="I28" s="285"/>
      <c r="J28" s="284"/>
    </row>
    <row r="29" spans="1:15" ht="20">
      <c r="B29" s="286"/>
      <c r="C29" s="286"/>
      <c r="D29" s="286"/>
      <c r="E29" s="286"/>
      <c r="H29" s="284"/>
      <c r="I29" s="285"/>
      <c r="J29" s="284"/>
      <c r="M29" s="286"/>
    </row>
    <row r="30" spans="1:15" ht="22.5">
      <c r="M30" s="288"/>
    </row>
    <row r="31" spans="1:15" ht="20">
      <c r="H31" s="286"/>
      <c r="I31" s="286"/>
      <c r="J31" s="286"/>
      <c r="M31" s="286"/>
    </row>
    <row r="35" spans="8:13" ht="20">
      <c r="H35" s="285"/>
      <c r="I35" s="285"/>
      <c r="J35" s="285"/>
      <c r="M35" s="286"/>
    </row>
    <row r="36" spans="8:13" ht="20">
      <c r="H36" s="286"/>
      <c r="I36" s="286"/>
      <c r="J36" s="286"/>
      <c r="M36" s="286"/>
    </row>
  </sheetData>
  <mergeCells count="2">
    <mergeCell ref="B1:E1"/>
    <mergeCell ref="H1:K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86C7-AE12-4368-A686-75F758D059B9}">
  <dimension ref="A1:O36"/>
  <sheetViews>
    <sheetView showGridLines="0" zoomScale="85" zoomScaleNormal="85" workbookViewId="0">
      <selection activeCell="M26" sqref="M26"/>
    </sheetView>
  </sheetViews>
  <sheetFormatPr defaultRowHeight="14.5"/>
  <cols>
    <col min="1" max="1" width="26.453125" customWidth="1"/>
    <col min="2" max="3" width="15.1796875" bestFit="1" customWidth="1"/>
    <col min="4" max="4" width="14.54296875" bestFit="1" customWidth="1"/>
    <col min="5" max="5" width="10.81640625" hidden="1" customWidth="1"/>
    <col min="6" max="6" width="3.81640625" customWidth="1"/>
    <col min="7" max="7" width="26.1796875" customWidth="1"/>
    <col min="8" max="8" width="13.1796875" customWidth="1"/>
    <col min="9" max="9" width="14.453125" bestFit="1" customWidth="1"/>
    <col min="10" max="10" width="12.81640625" customWidth="1"/>
    <col min="11" max="11" width="10.26953125" hidden="1" customWidth="1"/>
    <col min="12" max="12" width="3.1796875" customWidth="1"/>
    <col min="13" max="13" width="13.54296875" bestFit="1" customWidth="1"/>
    <col min="14" max="14" width="18.81640625" bestFit="1" customWidth="1"/>
    <col min="15" max="15" width="9.1796875" bestFit="1" customWidth="1"/>
  </cols>
  <sheetData>
    <row r="1" spans="1:15">
      <c r="A1" s="2"/>
      <c r="B1" s="455">
        <v>45838</v>
      </c>
      <c r="C1" s="458"/>
      <c r="D1" s="458"/>
      <c r="E1" s="457"/>
      <c r="G1" s="2"/>
      <c r="H1" s="455">
        <v>46022</v>
      </c>
      <c r="I1" s="458"/>
      <c r="J1" s="458"/>
      <c r="K1" s="457"/>
      <c r="M1" s="3"/>
      <c r="N1" s="11" t="s">
        <v>53</v>
      </c>
      <c r="O1" s="11" t="s">
        <v>344</v>
      </c>
    </row>
    <row r="2" spans="1:15">
      <c r="A2" s="11" t="s">
        <v>345</v>
      </c>
      <c r="B2" s="11" t="s">
        <v>53</v>
      </c>
      <c r="C2" s="11" t="s">
        <v>54</v>
      </c>
      <c r="D2" s="11" t="s">
        <v>55</v>
      </c>
      <c r="E2" s="11" t="s">
        <v>56</v>
      </c>
      <c r="G2" s="11" t="s">
        <v>346</v>
      </c>
      <c r="H2" s="11" t="s">
        <v>53</v>
      </c>
      <c r="I2" s="11" t="s">
        <v>344</v>
      </c>
      <c r="J2" s="11" t="s">
        <v>55</v>
      </c>
      <c r="K2" s="11" t="s">
        <v>56</v>
      </c>
      <c r="M2" s="2" t="s">
        <v>57</v>
      </c>
      <c r="N2" s="10">
        <f>'C-TRY'!AI3</f>
        <v>41.7265625</v>
      </c>
      <c r="O2" s="10">
        <f>'Tahmin-eur'!N2</f>
        <v>19.893999999999998</v>
      </c>
    </row>
    <row r="3" spans="1:15">
      <c r="A3" s="2" t="s">
        <v>59</v>
      </c>
      <c r="B3" s="7">
        <f>SUM('C-Döviz'!Q9:Q16)</f>
        <v>410188135.7481944</v>
      </c>
      <c r="C3" s="7">
        <f>SUM('C-Döviz'!R9:R16)</f>
        <v>387108660.4501906</v>
      </c>
      <c r="D3" s="132">
        <f>C3/B3-1</f>
        <v>-5.6265584707627436E-2</v>
      </c>
      <c r="G3" s="2" t="s">
        <v>59</v>
      </c>
      <c r="H3" s="7">
        <f>SUM('C-Döviz'!AI9:AI16)</f>
        <v>840144713.08026361</v>
      </c>
      <c r="I3" s="53">
        <f>('Tahmin Data'!M3+SUM('Tahmin Data'!M4:M6)+SUM('Tahmin Data'!M7:M10))</f>
        <v>779321189.8408742</v>
      </c>
      <c r="J3" s="122">
        <f>I3/H3-1</f>
        <v>-7.2396483953805046E-2</v>
      </c>
      <c r="K3" s="142">
        <f>I3/H3-1</f>
        <v>-7.2396483953805046E-2</v>
      </c>
      <c r="M3" s="2" t="s">
        <v>347</v>
      </c>
      <c r="N3" s="10">
        <f>'C-TRY'!AI4</f>
        <v>41.34375</v>
      </c>
      <c r="O3" s="10">
        <f>AVERAGE('Tahmin-eur'!B3:N3)</f>
        <v>17.42771461065815</v>
      </c>
    </row>
    <row r="4" spans="1:15" hidden="1">
      <c r="A4" s="2" t="s">
        <v>348</v>
      </c>
      <c r="B4" s="7">
        <v>-333989923.199561</v>
      </c>
      <c r="C4" s="7">
        <v>-320758738.190813</v>
      </c>
      <c r="D4" s="53">
        <f>C4-B4</f>
        <v>13231185.008747995</v>
      </c>
      <c r="E4" s="133">
        <f>C4/B4-1</f>
        <v>-3.961552157620718E-2</v>
      </c>
      <c r="G4" s="2" t="s">
        <v>348</v>
      </c>
      <c r="H4" s="7">
        <v>-676211260.09741795</v>
      </c>
      <c r="I4" s="53">
        <f>-('Tahmin Data'!M11+SUM('Tahmin Data'!M12:M14)+SUM('Tahmin Data'!M15:M18))</f>
        <v>-622301645.6713357</v>
      </c>
      <c r="J4" s="53">
        <f>I4-H4</f>
        <v>53909614.426082253</v>
      </c>
      <c r="K4" s="142">
        <f>I4/H4-1</f>
        <v>-7.9723035694962863E-2</v>
      </c>
      <c r="M4" s="13"/>
      <c r="N4" s="13"/>
      <c r="O4" s="13"/>
    </row>
    <row r="5" spans="1:15" s="1" customFormat="1" hidden="1">
      <c r="A5" s="3" t="s">
        <v>63</v>
      </c>
      <c r="B5" s="8">
        <f>B3+B4</f>
        <v>76198212.548633397</v>
      </c>
      <c r="C5" s="8">
        <f>C3+C4</f>
        <v>66349922.259377599</v>
      </c>
      <c r="D5" s="54">
        <f>C5-B5</f>
        <v>-9848290.2892557979</v>
      </c>
      <c r="E5" s="134">
        <f>C5/B5-1</f>
        <v>-0.12924568647814594</v>
      </c>
      <c r="G5" s="3" t="s">
        <v>63</v>
      </c>
      <c r="H5" s="8">
        <f>H3+H4</f>
        <v>163933452.98284566</v>
      </c>
      <c r="I5" s="8">
        <f>I3+I4</f>
        <v>157019544.1695385</v>
      </c>
      <c r="J5" s="54">
        <f>I5-H5</f>
        <v>-6913908.8133071661</v>
      </c>
      <c r="K5" s="143">
        <f>I5/H5-1</f>
        <v>-4.2175094146468362E-2</v>
      </c>
      <c r="M5"/>
      <c r="N5"/>
      <c r="O5"/>
    </row>
    <row r="6" spans="1:15" s="13" customFormat="1">
      <c r="A6" s="20" t="s">
        <v>64</v>
      </c>
      <c r="B6" s="58">
        <f>B5/B3</f>
        <v>0.18576405777716065</v>
      </c>
      <c r="C6" s="58">
        <f>C5/C3</f>
        <v>0.17139870284021938</v>
      </c>
      <c r="D6" s="132">
        <f>C6-B6</f>
        <v>-1.4365354936941271E-2</v>
      </c>
      <c r="E6" s="58"/>
      <c r="F6" s="295"/>
      <c r="G6" s="58" t="s">
        <v>64</v>
      </c>
      <c r="H6" s="12">
        <f>H5/H3</f>
        <v>0.19512525691176277</v>
      </c>
      <c r="I6" s="12">
        <f>I5/I3</f>
        <v>0.20148245192922259</v>
      </c>
      <c r="J6" s="122">
        <f>I6-H6</f>
        <v>6.3571950174598213E-3</v>
      </c>
      <c r="K6" s="58"/>
      <c r="M6" s="94">
        <f>H3*K3</f>
        <v>-60823523.239389449</v>
      </c>
      <c r="N6"/>
      <c r="O6"/>
    </row>
    <row r="7" spans="1:15">
      <c r="A7" s="2"/>
      <c r="B7" s="53"/>
      <c r="C7" s="53"/>
      <c r="D7" s="132"/>
      <c r="E7" s="2"/>
      <c r="G7" s="2"/>
      <c r="H7" s="2"/>
      <c r="I7" s="53"/>
      <c r="J7" s="122"/>
      <c r="K7" s="142"/>
      <c r="M7" s="1"/>
      <c r="N7" s="1"/>
      <c r="O7" s="1"/>
    </row>
    <row r="8" spans="1:15" hidden="1">
      <c r="A8" s="2" t="s">
        <v>67</v>
      </c>
      <c r="B8" s="7">
        <f>SUM('C-Döviz'!Q91:Q98)</f>
        <v>-36672567.531097122</v>
      </c>
      <c r="C8" s="7">
        <f>SUM('C-Döviz'!R91:R98)</f>
        <v>-35732979.270201482</v>
      </c>
      <c r="D8" s="132">
        <f>C8-B8</f>
        <v>939588.26089563966</v>
      </c>
      <c r="E8" s="5">
        <f>C8/B8-1</f>
        <v>-2.5621011130428806E-2</v>
      </c>
      <c r="G8" s="2" t="s">
        <v>67</v>
      </c>
      <c r="H8" s="7">
        <f>SUM('C-Döviz'!AI91:AI98)</f>
        <v>-71180918.953465581</v>
      </c>
      <c r="I8" s="53">
        <f>('Tahmin Data'!M27+SUM('Tahmin Data'!M28:M30)+SUM('Tahmin Data'!M31:M34))</f>
        <v>-68116871.815764859</v>
      </c>
      <c r="J8" s="122">
        <f>I8-H8</f>
        <v>3064047.1377007216</v>
      </c>
      <c r="K8" s="142">
        <f>I8/H8-1</f>
        <v>-4.3045905879690038E-2</v>
      </c>
      <c r="M8" s="92">
        <f>-I8/I3</f>
        <v>8.7405389079274629E-2</v>
      </c>
      <c r="N8" s="13"/>
      <c r="O8" s="13"/>
    </row>
    <row r="9" spans="1:15" s="1" customFormat="1" hidden="1">
      <c r="A9" s="3" t="s">
        <v>118</v>
      </c>
      <c r="B9" s="8">
        <f>B5+B8</f>
        <v>39525645.017536275</v>
      </c>
      <c r="C9" s="8">
        <f>C5+C8</f>
        <v>30616942.989176117</v>
      </c>
      <c r="D9" s="132">
        <f>C9-B9</f>
        <v>-8908702.0283601582</v>
      </c>
      <c r="E9" s="55">
        <f>C9/B9-1</f>
        <v>-0.22539042751630367</v>
      </c>
      <c r="G9" s="3" t="s">
        <v>118</v>
      </c>
      <c r="H9" s="8">
        <f>H5+H8</f>
        <v>92752534.029380083</v>
      </c>
      <c r="I9" s="8">
        <f>I5+I8</f>
        <v>88902672.353773639</v>
      </c>
      <c r="J9" s="122">
        <f>I9-H9</f>
        <v>-3849861.6756064445</v>
      </c>
      <c r="K9" s="143">
        <f>I9/H9-1</f>
        <v>-4.1506808583655186E-2</v>
      </c>
      <c r="M9" s="52">
        <f>I5-I8</f>
        <v>225136415.98530334</v>
      </c>
      <c r="N9"/>
      <c r="O9"/>
    </row>
    <row r="10" spans="1:15" s="13" customFormat="1">
      <c r="A10" s="20" t="s">
        <v>349</v>
      </c>
      <c r="B10" s="58">
        <f>B9/B3</f>
        <v>9.6359795842072354E-2</v>
      </c>
      <c r="C10" s="58">
        <f>C9/C3</f>
        <v>7.9091340797103171E-2</v>
      </c>
      <c r="D10" s="132">
        <f>C10-B10</f>
        <v>-1.7268455044969183E-2</v>
      </c>
      <c r="E10" s="20"/>
      <c r="G10" s="20" t="s">
        <v>349</v>
      </c>
      <c r="H10" s="12">
        <f>H9/H3</f>
        <v>0.11040066382054221</v>
      </c>
      <c r="I10" s="12">
        <f>I9/I3</f>
        <v>0.11407706284994797</v>
      </c>
      <c r="J10" s="122">
        <f>I10-H10</f>
        <v>3.6763990294057525E-3</v>
      </c>
      <c r="K10" s="58"/>
      <c r="M10" s="52"/>
      <c r="N10"/>
      <c r="O10"/>
    </row>
    <row r="11" spans="1:15">
      <c r="A11" s="2"/>
      <c r="B11" s="2"/>
      <c r="C11" s="53"/>
      <c r="D11" s="132"/>
      <c r="E11" s="2"/>
      <c r="G11" s="2"/>
      <c r="H11" s="2"/>
      <c r="I11" s="2"/>
      <c r="J11" s="122"/>
      <c r="K11" s="142"/>
      <c r="M11" s="1"/>
      <c r="N11" s="1"/>
      <c r="O11" s="1"/>
    </row>
    <row r="12" spans="1:15" ht="18.649999999999999" hidden="1" customHeight="1">
      <c r="A12" s="2" t="s">
        <v>350</v>
      </c>
      <c r="B12" s="7">
        <f>B13-B9</f>
        <v>10904368.621741951</v>
      </c>
      <c r="C12" s="7">
        <f>C13-C9</f>
        <v>10800721.077905156</v>
      </c>
      <c r="D12" s="132">
        <f>C12-B12</f>
        <v>-103647.54383679479</v>
      </c>
      <c r="E12" s="5">
        <f>C12/B12-1</f>
        <v>-9.5051394016646418E-3</v>
      </c>
      <c r="G12" s="2" t="s">
        <v>350</v>
      </c>
      <c r="H12" s="7">
        <f>H13-H9</f>
        <v>20113879.735307515</v>
      </c>
      <c r="I12" s="7">
        <f>('Tahmin Data'!M51+SUM('Tahmin Data'!M52:M54)+SUM('Tahmin Data'!M55:M58))</f>
        <v>21117808.276071791</v>
      </c>
      <c r="J12" s="122">
        <f>I12-H12</f>
        <v>1003928.5407642759</v>
      </c>
      <c r="K12" s="142">
        <f>I12/H12-1</f>
        <v>4.9912227475537696E-2</v>
      </c>
      <c r="M12" s="13"/>
      <c r="N12" s="13"/>
      <c r="O12" s="13"/>
    </row>
    <row r="13" spans="1:15" s="1" customFormat="1" hidden="1">
      <c r="A13" s="3" t="s">
        <v>4</v>
      </c>
      <c r="B13" s="8">
        <f>SUM('C-Döviz'!Q139:Q146)</f>
        <v>50430013.639278226</v>
      </c>
      <c r="C13" s="8">
        <f>SUM('C-Döviz'!R139:R146)</f>
        <v>41417664.067081273</v>
      </c>
      <c r="D13" s="132">
        <f>C13-B13</f>
        <v>-9012349.572196953</v>
      </c>
      <c r="E13" s="55">
        <f>C13/B13-1</f>
        <v>-0.17871003638153971</v>
      </c>
      <c r="G13" s="3" t="s">
        <v>4</v>
      </c>
      <c r="H13" s="8">
        <f>SUM('C-Döviz'!AI139:AI146)</f>
        <v>112866413.7646876</v>
      </c>
      <c r="I13" s="54">
        <f>('Tahmin Data'!M59+SUM('Tahmin Data'!M60:M62)+SUM('Tahmin Data'!M63:M66))</f>
        <v>110020480.62984544</v>
      </c>
      <c r="J13" s="122">
        <f>I13-H13</f>
        <v>-2845933.1348421574</v>
      </c>
      <c r="K13" s="143">
        <f>I13/H13-1</f>
        <v>-2.5215057694449095E-2</v>
      </c>
      <c r="M13"/>
      <c r="N13"/>
      <c r="O13"/>
    </row>
    <row r="14" spans="1:15" s="13" customFormat="1">
      <c r="A14" s="20" t="s">
        <v>351</v>
      </c>
      <c r="B14" s="12">
        <f>B13/B3</f>
        <v>0.12294361841376153</v>
      </c>
      <c r="C14" s="58">
        <f>C13/C3</f>
        <v>0.106992346848852</v>
      </c>
      <c r="D14" s="132">
        <f>C14-B14</f>
        <v>-1.5951271564909525E-2</v>
      </c>
      <c r="E14" s="20"/>
      <c r="G14" s="20" t="s">
        <v>351</v>
      </c>
      <c r="H14" s="12">
        <f>H13/H3</f>
        <v>0.13434163425355608</v>
      </c>
      <c r="I14" s="12">
        <f>I13/I3</f>
        <v>0.14117475832051993</v>
      </c>
      <c r="J14" s="122">
        <f>I14-H14</f>
        <v>6.8331240669638471E-3</v>
      </c>
      <c r="K14" s="58"/>
      <c r="M14"/>
      <c r="N14"/>
      <c r="O14"/>
    </row>
    <row r="15" spans="1:15">
      <c r="A15" s="2"/>
      <c r="B15" s="2"/>
      <c r="C15" s="2"/>
      <c r="D15" s="2"/>
      <c r="E15" s="2"/>
      <c r="G15" s="2"/>
      <c r="H15" s="2"/>
      <c r="I15" s="2"/>
      <c r="J15" s="2"/>
      <c r="K15" s="142"/>
    </row>
    <row r="16" spans="1:15">
      <c r="A16" s="2" t="s">
        <v>352</v>
      </c>
      <c r="B16" s="7">
        <f>SUM('C-Döviz'!Q163:Q170)</f>
        <v>-13927187.07633465</v>
      </c>
      <c r="C16" s="7">
        <f>SUM('C-Döviz'!R163:R170)</f>
        <v>-12855188.754865978</v>
      </c>
      <c r="D16" s="53">
        <f>C16-B16</f>
        <v>1071998.3214686718</v>
      </c>
      <c r="E16" s="5">
        <f>C16/B16-1</f>
        <v>-7.6971632217839092E-2</v>
      </c>
      <c r="G16" s="2" t="s">
        <v>352</v>
      </c>
      <c r="H16" s="7">
        <f>SUM('C-Döviz'!AI163:AI170)</f>
        <v>-27716185.496594131</v>
      </c>
      <c r="I16" s="53">
        <f>('Tahmin Data'!M67+SUM('Tahmin Data'!M68:M70)+SUM('Tahmin Data'!M71:M74))</f>
        <v>-25165192.525348786</v>
      </c>
      <c r="J16" s="53">
        <f>I16-H16</f>
        <v>2550992.9712453447</v>
      </c>
      <c r="K16" s="142">
        <f>I16/H16-1</f>
        <v>-9.203982891364404E-2</v>
      </c>
      <c r="M16" s="94"/>
      <c r="N16" s="247">
        <f>C16/1000000</f>
        <v>-12.855188754865978</v>
      </c>
    </row>
    <row r="17" spans="1:15">
      <c r="A17" s="2" t="s">
        <v>353</v>
      </c>
      <c r="B17" s="7">
        <f>SUM('C-Döviz'!Q176:Q183)</f>
        <v>-593715.91772143974</v>
      </c>
      <c r="C17" s="7">
        <f>SUM('C-Döviz'!R176:R183)</f>
        <v>-10389270.10385867</v>
      </c>
      <c r="D17" s="53">
        <f>C17-B17</f>
        <v>-9795554.1861372311</v>
      </c>
      <c r="E17" s="5">
        <f>C17/B17-1</f>
        <v>16.498722526642986</v>
      </c>
      <c r="G17" s="2" t="s">
        <v>353</v>
      </c>
      <c r="H17" s="7">
        <f>SUM('C-Döviz'!AI176:AI183)</f>
        <v>-1445226.8403457212</v>
      </c>
      <c r="I17" s="53">
        <f>('Tahmin Data'!M75+SUM('Tahmin Data'!M76:M78)+SUM('Tahmin Data'!M79:M82))</f>
        <v>-13355980.655118825</v>
      </c>
      <c r="J17" s="53">
        <f>I17-H17</f>
        <v>-11910753.814773103</v>
      </c>
      <c r="K17" s="142">
        <f>I17/H17-1</f>
        <v>8.2414424381461551</v>
      </c>
      <c r="M17" s="52"/>
      <c r="N17" s="1"/>
      <c r="O17" s="1"/>
    </row>
    <row r="18" spans="1:15">
      <c r="A18" s="2"/>
      <c r="B18" s="2"/>
      <c r="C18" s="122"/>
      <c r="D18" s="2"/>
      <c r="E18" s="2"/>
      <c r="G18" s="2"/>
      <c r="H18" s="2"/>
      <c r="I18" s="2"/>
      <c r="J18" s="2"/>
      <c r="K18" s="142"/>
    </row>
    <row r="19" spans="1:15" s="1" customFormat="1" hidden="1">
      <c r="A19" s="3" t="s">
        <v>354</v>
      </c>
      <c r="B19" s="8">
        <f>B9+B16+B17</f>
        <v>25004742.023480188</v>
      </c>
      <c r="C19" s="8">
        <f>C9+C16+C17</f>
        <v>7372484.1304514688</v>
      </c>
      <c r="D19" s="54">
        <f>C19-B19</f>
        <v>-17632257.893028721</v>
      </c>
      <c r="E19" s="55">
        <f>C19/B19-1</f>
        <v>-0.70515656096237711</v>
      </c>
      <c r="G19" s="3" t="s">
        <v>354</v>
      </c>
      <c r="H19" s="8">
        <f>H9+H16+H17</f>
        <v>63591121.692440234</v>
      </c>
      <c r="I19" s="54">
        <f>('Tahmin Data'!M83+SUM('Tahmin Data'!M84:M86)+SUM('Tahmin Data'!M87:M90))</f>
        <v>50421946.091267414</v>
      </c>
      <c r="J19" s="54">
        <f>I19-H19</f>
        <v>-13169175.60117282</v>
      </c>
      <c r="K19" s="143">
        <f>I19/H19-1</f>
        <v>-0.20709141859245395</v>
      </c>
      <c r="M19"/>
      <c r="N19"/>
      <c r="O19"/>
    </row>
    <row r="20" spans="1:15">
      <c r="A20" s="2" t="s">
        <v>355</v>
      </c>
      <c r="B20" s="12">
        <f>B19/B3</f>
        <v>6.095920345884908E-2</v>
      </c>
      <c r="C20" s="12">
        <f>C19/C3</f>
        <v>1.9044999204816521E-2</v>
      </c>
      <c r="D20" s="12">
        <f>C20-B20</f>
        <v>-4.1914204254032555E-2</v>
      </c>
      <c r="E20" s="2"/>
      <c r="G20" s="2" t="s">
        <v>355</v>
      </c>
      <c r="H20" s="12">
        <f>H19/H3</f>
        <v>7.5690676501781462E-2</v>
      </c>
      <c r="I20" s="12">
        <f>I19/I3</f>
        <v>6.4699826911626554E-2</v>
      </c>
      <c r="J20" s="12">
        <f>I20-H20</f>
        <v>-1.0990849590154908E-2</v>
      </c>
      <c r="K20" s="142"/>
    </row>
    <row r="21" spans="1:15">
      <c r="A21" s="2"/>
      <c r="B21" s="2"/>
      <c r="C21" s="2"/>
      <c r="D21" s="2"/>
      <c r="E21" s="2"/>
      <c r="G21" s="2"/>
      <c r="H21" s="2"/>
      <c r="I21" s="2"/>
      <c r="J21" s="2"/>
      <c r="K21" s="142"/>
      <c r="M21" s="1"/>
      <c r="N21" s="1"/>
      <c r="O21" s="1"/>
    </row>
    <row r="22" spans="1:15">
      <c r="A22" s="2" t="s">
        <v>356</v>
      </c>
      <c r="B22" s="7">
        <f>SUM('C-Döviz'!Q202:Q209)</f>
        <v>-2484959.4503557435</v>
      </c>
      <c r="C22" s="7">
        <f>SUM('C-Döviz'!R202:R209)</f>
        <v>-5736685.1938363668</v>
      </c>
      <c r="D22" s="53">
        <f>C22-B22</f>
        <v>-3251725.7434806232</v>
      </c>
      <c r="E22" s="5">
        <f>IFERROR((C22/B22-1),"")</f>
        <v>1.3085628994932335</v>
      </c>
      <c r="G22" s="2" t="s">
        <v>356</v>
      </c>
      <c r="H22" s="7">
        <f>SUM('C-Döviz'!AI202:AI209)</f>
        <v>-9242313.3972256333</v>
      </c>
      <c r="I22" s="53">
        <f>-('Tahmin Data'!M91+SUM('Tahmin Data'!M92:M94)+SUM('Tahmin Data'!M95:M98))</f>
        <v>-11464867.679252278</v>
      </c>
      <c r="J22" s="53">
        <f>I22-H22</f>
        <v>-2222554.2820266448</v>
      </c>
      <c r="K22" s="142">
        <f>IFERROR((I22/H22-1),"")</f>
        <v>0.24047597030131151</v>
      </c>
      <c r="M22" s="13"/>
      <c r="N22" s="13"/>
      <c r="O22" s="13"/>
    </row>
    <row r="23" spans="1:15" s="1" customFormat="1">
      <c r="A23" s="3" t="s">
        <v>357</v>
      </c>
      <c r="B23" s="8">
        <f>B19+B22</f>
        <v>22519782.573124446</v>
      </c>
      <c r="C23" s="8">
        <f>C19+C22</f>
        <v>1635798.936615102</v>
      </c>
      <c r="D23" s="54">
        <f>C23-B23</f>
        <v>-20883983.636509344</v>
      </c>
      <c r="E23" s="55">
        <f>C23/B23-1</f>
        <v>-0.92736169049130623</v>
      </c>
      <c r="G23" s="3" t="s">
        <v>357</v>
      </c>
      <c r="H23" s="8">
        <f>H19+H22</f>
        <v>54348808.295214601</v>
      </c>
      <c r="I23" s="54">
        <f>('Tahmin Data'!M99+SUM('Tahmin Data'!M100:M102)+SUM('Tahmin Data'!M103:M106))</f>
        <v>38957078.41201514</v>
      </c>
      <c r="J23" s="54">
        <f>I23-H23</f>
        <v>-15391729.883199461</v>
      </c>
      <c r="K23" s="143">
        <f>I23/H23-1</f>
        <v>-0.28320271163249588</v>
      </c>
      <c r="M23"/>
      <c r="N23"/>
      <c r="O23"/>
    </row>
    <row r="24" spans="1:15" s="13" customFormat="1">
      <c r="A24" s="20" t="s">
        <v>358</v>
      </c>
      <c r="B24" s="12">
        <f>B23/B3</f>
        <v>5.4901106615499122E-2</v>
      </c>
      <c r="C24" s="12">
        <f>C23/C3</f>
        <v>4.2256841650422875E-3</v>
      </c>
      <c r="D24" s="12">
        <f>C24-B24</f>
        <v>-5.0675422450456836E-2</v>
      </c>
      <c r="E24" s="20"/>
      <c r="G24" s="20" t="s">
        <v>358</v>
      </c>
      <c r="H24" s="12">
        <f>H23/H3</f>
        <v>6.4689817657666265E-2</v>
      </c>
      <c r="I24" s="58">
        <f>I23/I3</f>
        <v>4.9988475765646252E-2</v>
      </c>
      <c r="J24" s="12">
        <f>I24-H24</f>
        <v>-1.4701341892020013E-2</v>
      </c>
      <c r="K24" s="58"/>
      <c r="M24"/>
      <c r="N24"/>
      <c r="O24"/>
    </row>
    <row r="26" spans="1:15">
      <c r="B26" s="52"/>
      <c r="C26" s="52"/>
      <c r="H26" s="52"/>
      <c r="I26" s="52"/>
    </row>
    <row r="27" spans="1:15">
      <c r="B27" s="94"/>
      <c r="C27" s="52"/>
      <c r="I27" s="52"/>
    </row>
    <row r="28" spans="1:15" ht="20">
      <c r="B28" s="287"/>
      <c r="C28" s="287"/>
      <c r="D28" s="287"/>
      <c r="E28" s="286"/>
      <c r="H28" s="284"/>
      <c r="I28" s="285"/>
      <c r="J28" s="284"/>
    </row>
    <row r="29" spans="1:15" ht="20">
      <c r="B29" s="286"/>
      <c r="C29" s="286"/>
      <c r="D29" s="286"/>
      <c r="E29" s="286"/>
      <c r="H29" s="284"/>
      <c r="I29" s="285"/>
      <c r="J29" s="284"/>
      <c r="M29" s="286"/>
    </row>
    <row r="30" spans="1:15" ht="22.5">
      <c r="M30" s="288"/>
    </row>
    <row r="31" spans="1:15" ht="20">
      <c r="H31" s="286"/>
      <c r="I31" s="286"/>
      <c r="J31" s="286"/>
      <c r="M31" s="286"/>
    </row>
    <row r="35" spans="8:13" ht="20">
      <c r="H35" s="285"/>
      <c r="I35" s="285"/>
      <c r="J35" s="285"/>
      <c r="M35" s="286"/>
    </row>
    <row r="36" spans="8:13" ht="20">
      <c r="H36" s="286"/>
      <c r="I36" s="286"/>
      <c r="J36" s="286"/>
      <c r="M36" s="286"/>
    </row>
  </sheetData>
  <mergeCells count="2">
    <mergeCell ref="B1:E1"/>
    <mergeCell ref="H1:K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3531-1000-4ADB-B073-5F9DA7C64A03}">
  <dimension ref="A1:AH168"/>
  <sheetViews>
    <sheetView showGridLines="0" tabSelected="1" topLeftCell="K1" workbookViewId="0">
      <selection activeCell="T4" sqref="T4"/>
    </sheetView>
  </sheetViews>
  <sheetFormatPr defaultRowHeight="14.5"/>
  <cols>
    <col min="1" max="1" width="21.1796875" bestFit="1" customWidth="1"/>
    <col min="2" max="2" width="17.26953125" bestFit="1" customWidth="1"/>
    <col min="3" max="3" width="13.453125" style="94" customWidth="1"/>
    <col min="4" max="4" width="15" style="94" customWidth="1"/>
    <col min="5" max="5" width="13.54296875" style="94" customWidth="1"/>
    <col min="6" max="6" width="16" style="94" customWidth="1"/>
    <col min="7" max="7" width="13.453125" style="94" customWidth="1"/>
    <col min="8" max="8" width="16" style="94" customWidth="1"/>
    <col min="9" max="9" width="13.453125" style="94" customWidth="1"/>
    <col min="10" max="10" width="16" style="94" customWidth="1"/>
    <col min="11" max="11" width="13.54296875" style="94" customWidth="1"/>
    <col min="12" max="12" width="16" style="94" customWidth="1"/>
    <col min="13" max="13" width="14.81640625" style="94" customWidth="1"/>
    <col min="14" max="14" width="17.7265625" style="94" customWidth="1"/>
    <col min="15" max="15" width="14.1796875" style="94" customWidth="1"/>
    <col min="16" max="16" width="17.7265625" style="94" bestFit="1" customWidth="1"/>
    <col min="17" max="17" width="14.08984375" style="94" bestFit="1" customWidth="1"/>
    <col min="18" max="18" width="16" style="94" bestFit="1" customWidth="1"/>
    <col min="19" max="19" width="13.453125" bestFit="1" customWidth="1"/>
    <col min="20" max="20" width="16" bestFit="1" customWidth="1"/>
    <col min="21" max="21" width="14.26953125" bestFit="1" customWidth="1"/>
    <col min="22" max="22" width="16.453125" bestFit="1" customWidth="1"/>
    <col min="23" max="24" width="16.81640625" bestFit="1" customWidth="1"/>
    <col min="25" max="25" width="16.26953125" bestFit="1" customWidth="1"/>
    <col min="26" max="26" width="14.7265625" bestFit="1" customWidth="1"/>
    <col min="27" max="34" width="13.1796875" bestFit="1" customWidth="1"/>
  </cols>
  <sheetData>
    <row r="1" spans="1:34">
      <c r="A1" s="119" t="s">
        <v>414</v>
      </c>
      <c r="C1" s="94" t="s">
        <v>168</v>
      </c>
      <c r="E1" s="94" t="s">
        <v>167</v>
      </c>
      <c r="G1" s="94" t="s">
        <v>129</v>
      </c>
      <c r="I1" s="94" t="s">
        <v>130</v>
      </c>
      <c r="K1" s="94" t="s">
        <v>131</v>
      </c>
      <c r="M1" s="94" t="s">
        <v>101</v>
      </c>
      <c r="O1" s="94" t="s">
        <v>102</v>
      </c>
      <c r="Q1" s="94" t="s">
        <v>103</v>
      </c>
      <c r="S1" s="94" t="s">
        <v>104</v>
      </c>
      <c r="T1" s="94"/>
      <c r="U1" s="94" t="s">
        <v>105</v>
      </c>
      <c r="V1" s="94"/>
      <c r="W1" s="94" t="s">
        <v>106</v>
      </c>
    </row>
    <row r="2" spans="1:34">
      <c r="A2" s="120" t="s">
        <v>415</v>
      </c>
      <c r="B2" s="120" t="s">
        <v>416</v>
      </c>
      <c r="C2" s="94" t="s">
        <v>417</v>
      </c>
      <c r="D2" s="94" t="s">
        <v>345</v>
      </c>
      <c r="E2" s="94" t="s">
        <v>417</v>
      </c>
      <c r="F2" s="94" t="s">
        <v>345</v>
      </c>
      <c r="G2" s="94" t="s">
        <v>417</v>
      </c>
      <c r="H2" s="94" t="s">
        <v>345</v>
      </c>
      <c r="I2" s="94" t="s">
        <v>417</v>
      </c>
      <c r="J2" s="94" t="s">
        <v>345</v>
      </c>
      <c r="K2" s="94" t="s">
        <v>417</v>
      </c>
      <c r="L2" s="94" t="s">
        <v>345</v>
      </c>
      <c r="M2" s="94" t="s">
        <v>417</v>
      </c>
      <c r="N2" s="94" t="s">
        <v>345</v>
      </c>
      <c r="O2" s="94" t="s">
        <v>417</v>
      </c>
      <c r="P2" s="94" t="s">
        <v>345</v>
      </c>
      <c r="Q2" s="94" t="s">
        <v>417</v>
      </c>
      <c r="R2" s="94" t="s">
        <v>345</v>
      </c>
      <c r="S2" s="94" t="s">
        <v>417</v>
      </c>
      <c r="T2" s="94" t="s">
        <v>345</v>
      </c>
      <c r="U2" s="94" t="s">
        <v>417</v>
      </c>
      <c r="V2" s="94" t="s">
        <v>345</v>
      </c>
      <c r="W2" s="94" t="s">
        <v>417</v>
      </c>
      <c r="X2" s="94" t="s">
        <v>345</v>
      </c>
    </row>
    <row r="3" spans="1:34">
      <c r="A3" s="119" t="s">
        <v>418</v>
      </c>
      <c r="B3" s="121" t="s">
        <v>13</v>
      </c>
      <c r="E3" s="94">
        <v>243779488.54427403</v>
      </c>
      <c r="F3" s="94">
        <v>10057317886.979</v>
      </c>
      <c r="G3" s="94">
        <v>240831721.74646977</v>
      </c>
      <c r="H3" s="94">
        <v>9983937266.8950405</v>
      </c>
      <c r="I3" s="94">
        <v>219395027.27000001</v>
      </c>
      <c r="J3" s="94">
        <v>9141995180.7299995</v>
      </c>
      <c r="K3" s="94">
        <v>184966118.37209001</v>
      </c>
      <c r="L3" s="94">
        <v>8197248019.279561</v>
      </c>
      <c r="M3" s="94">
        <v>181413015.14432389</v>
      </c>
      <c r="N3" s="94">
        <v>8051607305.0267506</v>
      </c>
      <c r="O3" s="94">
        <v>188623166.5197967</v>
      </c>
      <c r="P3" s="94">
        <v>8413525286.3731298</v>
      </c>
      <c r="Q3" s="94">
        <v>179530448.06898224</v>
      </c>
      <c r="R3" s="94">
        <v>8132358067.4304399</v>
      </c>
      <c r="S3" s="94">
        <v>175031198.77250776</v>
      </c>
      <c r="T3" s="94">
        <v>7907685569.9438906</v>
      </c>
      <c r="U3" s="94"/>
      <c r="V3" s="94"/>
      <c r="W3" s="298"/>
      <c r="X3" s="94"/>
      <c r="Z3" t="e">
        <f>X3/W3</f>
        <v>#DIV/0!</v>
      </c>
    </row>
    <row r="4" spans="1:34">
      <c r="A4" s="119" t="s">
        <v>418</v>
      </c>
      <c r="B4" s="121" t="s">
        <v>419</v>
      </c>
      <c r="E4" s="94">
        <v>9276378.7125696149</v>
      </c>
      <c r="F4" s="94">
        <v>382350115.97649002</v>
      </c>
      <c r="G4" s="94">
        <v>9609600.4809003659</v>
      </c>
      <c r="H4" s="94">
        <v>397638254</v>
      </c>
      <c r="I4" s="94">
        <v>9300912.2599999998</v>
      </c>
      <c r="J4" s="94">
        <v>387280326</v>
      </c>
      <c r="K4" s="94">
        <v>8587722.1868892498</v>
      </c>
      <c r="L4" s="94">
        <v>380393056</v>
      </c>
      <c r="M4" s="94">
        <v>8547561.5419829711</v>
      </c>
      <c r="N4" s="94">
        <v>378794226</v>
      </c>
      <c r="O4" s="94">
        <v>8537105.0286138337</v>
      </c>
      <c r="P4" s="94">
        <v>378809311</v>
      </c>
      <c r="Q4" s="94">
        <v>8329673.5544907041</v>
      </c>
      <c r="R4" s="94">
        <v>375141933</v>
      </c>
      <c r="S4" s="94">
        <v>8347111.1794086071</v>
      </c>
      <c r="T4" s="94">
        <v>375141933</v>
      </c>
      <c r="U4" s="297"/>
      <c r="V4" s="297"/>
      <c r="W4" s="297"/>
      <c r="X4" s="94"/>
    </row>
    <row r="5" spans="1:34">
      <c r="A5" s="119" t="s">
        <v>418</v>
      </c>
      <c r="B5" s="121" t="s">
        <v>12</v>
      </c>
      <c r="E5" s="94">
        <v>16924412.051010083</v>
      </c>
      <c r="F5" s="94">
        <v>701005437.35712802</v>
      </c>
      <c r="G5" s="94">
        <v>16964904.362681448</v>
      </c>
      <c r="H5" s="94">
        <v>704901637.05901599</v>
      </c>
      <c r="I5" s="94">
        <v>14327754</v>
      </c>
      <c r="J5" s="94">
        <v>597275692.88</v>
      </c>
      <c r="K5" s="94">
        <v>13229148.410617307</v>
      </c>
      <c r="L5" s="94">
        <v>587338864.06111598</v>
      </c>
      <c r="M5" s="94">
        <v>13116660.723674655</v>
      </c>
      <c r="N5" s="94">
        <v>582899685.56488204</v>
      </c>
      <c r="O5" s="94">
        <v>13327052.768462021</v>
      </c>
      <c r="P5" s="94">
        <v>594278870.69195604</v>
      </c>
      <c r="Q5" s="94">
        <v>12990150.871628292</v>
      </c>
      <c r="R5" s="94">
        <v>590070217.09959805</v>
      </c>
      <c r="S5" s="94">
        <v>12844341.440322451</v>
      </c>
      <c r="T5" s="94">
        <v>582837387.22913396</v>
      </c>
      <c r="U5" s="297"/>
      <c r="V5" s="298"/>
      <c r="W5" s="297"/>
      <c r="X5" s="94"/>
    </row>
    <row r="6" spans="1:34">
      <c r="A6" s="119" t="s">
        <v>418</v>
      </c>
      <c r="B6" s="121" t="s">
        <v>363</v>
      </c>
      <c r="E6" s="94">
        <v>9176774.0603559129</v>
      </c>
      <c r="F6" s="94">
        <v>376557028.87452</v>
      </c>
      <c r="G6" s="94">
        <v>8940198.4715967253</v>
      </c>
      <c r="H6" s="94">
        <v>367736738.91755098</v>
      </c>
      <c r="I6" s="94">
        <v>8217006.71</v>
      </c>
      <c r="J6" s="94">
        <v>339311082.75</v>
      </c>
      <c r="K6" s="94">
        <v>8808601.4082894791</v>
      </c>
      <c r="L6" s="94">
        <v>389504326.791089</v>
      </c>
      <c r="M6" s="94">
        <v>8223796.5866113976</v>
      </c>
      <c r="N6" s="94">
        <v>361981037</v>
      </c>
      <c r="O6" s="94">
        <v>8341038.5606759712</v>
      </c>
      <c r="P6" s="94">
        <v>368132992.07472199</v>
      </c>
      <c r="Q6" s="94">
        <v>7796076.7526215296</v>
      </c>
      <c r="R6" s="94">
        <v>347412185.17201197</v>
      </c>
      <c r="S6" s="94">
        <v>7507536.3060169239</v>
      </c>
      <c r="T6" s="94">
        <v>332517635.48883301</v>
      </c>
      <c r="U6" s="297"/>
      <c r="V6" s="298"/>
      <c r="W6" s="297"/>
      <c r="X6" s="94"/>
    </row>
    <row r="7" spans="1:34">
      <c r="A7" s="119" t="s">
        <v>418</v>
      </c>
      <c r="B7" s="121" t="s">
        <v>420</v>
      </c>
      <c r="E7" s="94">
        <v>269470640.68817103</v>
      </c>
      <c r="F7" s="94">
        <v>11136709536.484156</v>
      </c>
      <c r="G7" s="94">
        <v>272267861.38460702</v>
      </c>
      <c r="H7" s="94">
        <v>11284501328.673729</v>
      </c>
      <c r="I7" s="94">
        <v>269448233.55000001</v>
      </c>
      <c r="J7" s="94">
        <v>11238849550.52</v>
      </c>
      <c r="K7" s="94">
        <v>269782093.40166098</v>
      </c>
      <c r="L7" s="94">
        <v>12022639726.576351</v>
      </c>
      <c r="M7" s="94">
        <v>264267799.02175</v>
      </c>
      <c r="N7" s="94">
        <v>11767274323.710112</v>
      </c>
      <c r="O7" s="94">
        <v>256641593.88602704</v>
      </c>
      <c r="P7" s="94">
        <v>11415400674.234156</v>
      </c>
      <c r="Q7" s="94">
        <v>253598000.86721101</v>
      </c>
      <c r="R7" s="94">
        <v>11483805182.540461</v>
      </c>
      <c r="S7" s="94">
        <v>253345343.626248</v>
      </c>
      <c r="T7" s="94">
        <v>11451013081.653551</v>
      </c>
      <c r="U7" s="94"/>
      <c r="V7" s="94"/>
      <c r="W7" s="283"/>
      <c r="X7" s="296"/>
    </row>
    <row r="8" spans="1:34">
      <c r="A8" s="119" t="s">
        <v>418</v>
      </c>
      <c r="B8" s="121" t="s">
        <v>421</v>
      </c>
      <c r="E8" s="94">
        <v>85847861.319999993</v>
      </c>
      <c r="F8" s="94">
        <v>3532983355.9267817</v>
      </c>
      <c r="G8" s="94">
        <v>94934508.900776997</v>
      </c>
      <c r="H8" s="94">
        <v>3921970372.7221227</v>
      </c>
      <c r="I8" s="94">
        <v>94355283.340000004</v>
      </c>
      <c r="J8" s="94">
        <v>3921940182.23</v>
      </c>
      <c r="K8" s="94">
        <v>94161152.553525001</v>
      </c>
      <c r="L8" s="94">
        <v>4164131135.7094035</v>
      </c>
      <c r="M8" s="94">
        <v>94161152.553525001</v>
      </c>
      <c r="N8" s="94">
        <v>4166081920.0100622</v>
      </c>
      <c r="O8" s="94">
        <v>94646152.952185005</v>
      </c>
      <c r="P8" s="94">
        <v>4194176319.3879161</v>
      </c>
      <c r="Q8" s="94">
        <v>94582018.911289006</v>
      </c>
      <c r="R8" s="94">
        <v>4266933745.1237059</v>
      </c>
      <c r="S8" s="94">
        <v>95763679.463451996</v>
      </c>
      <c r="T8" s="94">
        <v>4315710072.1415901</v>
      </c>
      <c r="U8" s="94"/>
      <c r="V8" s="94"/>
      <c r="W8" s="283"/>
      <c r="X8" s="296"/>
    </row>
    <row r="9" spans="1:34">
      <c r="A9" s="119" t="s">
        <v>418</v>
      </c>
      <c r="B9" s="121" t="s">
        <v>422</v>
      </c>
      <c r="E9" s="94">
        <v>132449192.907066</v>
      </c>
      <c r="F9" s="94">
        <v>5462140396.9626637</v>
      </c>
      <c r="G9" s="94">
        <v>140744000</v>
      </c>
      <c r="H9" s="94">
        <v>5823620294.9029922</v>
      </c>
      <c r="I9" s="94">
        <v>140821193.00999999</v>
      </c>
      <c r="J9" s="94">
        <v>5864750353.7700005</v>
      </c>
      <c r="K9" s="94">
        <v>140596280.78921601</v>
      </c>
      <c r="L9" s="94">
        <v>6243569657.5071201</v>
      </c>
      <c r="M9" s="94">
        <v>140742000</v>
      </c>
      <c r="N9" s="94">
        <v>6250101981.4463158</v>
      </c>
      <c r="O9" s="94">
        <v>138028084.65573499</v>
      </c>
      <c r="P9" s="94">
        <v>6128043576.7678957</v>
      </c>
      <c r="Q9" s="94">
        <v>134805526.864537</v>
      </c>
      <c r="R9" s="94">
        <v>6075180281.6156626</v>
      </c>
      <c r="S9" s="94">
        <v>135924726.530781</v>
      </c>
      <c r="T9" s="94">
        <v>6120685213.4867916</v>
      </c>
      <c r="U9" s="94"/>
      <c r="V9" s="94"/>
      <c r="W9" s="283"/>
      <c r="X9" s="296"/>
    </row>
    <row r="10" spans="1:34">
      <c r="A10" s="119" t="s">
        <v>418</v>
      </c>
      <c r="B10" s="121" t="s">
        <v>423</v>
      </c>
      <c r="E10" s="94">
        <v>76750606.983111441</v>
      </c>
      <c r="F10" s="94">
        <v>3166049824.6361294</v>
      </c>
      <c r="G10" s="94">
        <v>76385073.279548377</v>
      </c>
      <c r="H10" s="94">
        <v>3160559982.3404198</v>
      </c>
      <c r="I10" s="94">
        <v>76239557.599999994</v>
      </c>
      <c r="J10" s="94">
        <v>3177150114.8299999</v>
      </c>
      <c r="K10" s="94">
        <v>69675252.424948066</v>
      </c>
      <c r="L10" s="94">
        <v>3094453019.4726501</v>
      </c>
      <c r="M10" s="94">
        <v>68849204.269006327</v>
      </c>
      <c r="N10" s="94">
        <v>3061003202.4908295</v>
      </c>
      <c r="O10" s="94">
        <v>67920753.234358892</v>
      </c>
      <c r="P10" s="94">
        <v>3022006386.5263</v>
      </c>
      <c r="Q10" s="94">
        <v>65560404.214455523</v>
      </c>
      <c r="R10" s="94">
        <v>2981084427.6690698</v>
      </c>
      <c r="S10" s="94">
        <v>66014098.004867882</v>
      </c>
      <c r="T10" s="94">
        <v>2984545803.5036502</v>
      </c>
      <c r="U10" s="94"/>
      <c r="V10" s="94"/>
      <c r="W10" s="298"/>
      <c r="X10" s="296"/>
      <c r="Y10" s="310">
        <f>X10/0.4</f>
        <v>0</v>
      </c>
    </row>
    <row r="11" spans="1:34">
      <c r="A11" s="119" t="s">
        <v>424</v>
      </c>
      <c r="B11" s="121" t="s">
        <v>13</v>
      </c>
      <c r="E11" s="94">
        <v>194236713.3140476</v>
      </c>
      <c r="F11" s="94">
        <v>8006474940.5089397</v>
      </c>
      <c r="G11" s="94">
        <v>191878190.94766364</v>
      </c>
      <c r="H11" s="94">
        <v>7944917006.28479</v>
      </c>
      <c r="I11" s="94">
        <v>181025962.49000001</v>
      </c>
      <c r="J11" s="94">
        <v>7539625966.9200001</v>
      </c>
      <c r="K11" s="94">
        <v>153292347.55319178</v>
      </c>
      <c r="L11" s="94">
        <v>6781371070.8818102</v>
      </c>
      <c r="M11" s="94">
        <v>150744324.74072903</v>
      </c>
      <c r="N11" s="94">
        <v>6677443772.9959202</v>
      </c>
      <c r="O11" s="94">
        <v>157690418.29698393</v>
      </c>
      <c r="P11" s="94">
        <v>7021176313.3195114</v>
      </c>
      <c r="Q11" s="94">
        <v>150314707.87714487</v>
      </c>
      <c r="R11" s="94">
        <v>6788272547.8947601</v>
      </c>
      <c r="S11" s="94">
        <v>149005133.2102544</v>
      </c>
      <c r="T11" s="94">
        <v>6724726599.000001</v>
      </c>
      <c r="U11" s="94"/>
      <c r="V11" s="94"/>
    </row>
    <row r="12" spans="1:34">
      <c r="A12" s="119" t="s">
        <v>424</v>
      </c>
      <c r="B12" s="121" t="s">
        <v>419</v>
      </c>
      <c r="E12" s="94">
        <v>0</v>
      </c>
      <c r="F12" s="94">
        <v>0</v>
      </c>
      <c r="G12" s="94">
        <v>0</v>
      </c>
      <c r="H12" s="94">
        <v>0</v>
      </c>
      <c r="I12" s="94">
        <v>0</v>
      </c>
      <c r="J12" s="94">
        <v>0</v>
      </c>
      <c r="K12" s="94">
        <v>0</v>
      </c>
      <c r="L12" s="94">
        <v>0</v>
      </c>
      <c r="M12" s="94">
        <v>0</v>
      </c>
      <c r="N12" s="94">
        <v>0</v>
      </c>
      <c r="O12" s="94">
        <v>0</v>
      </c>
      <c r="P12" s="94">
        <v>0</v>
      </c>
      <c r="Q12" s="94">
        <v>0</v>
      </c>
      <c r="R12" s="94">
        <v>0</v>
      </c>
      <c r="S12" s="94">
        <v>0</v>
      </c>
      <c r="T12" s="94">
        <v>0</v>
      </c>
      <c r="U12" s="94"/>
      <c r="V12" s="94"/>
    </row>
    <row r="13" spans="1:34">
      <c r="A13" s="119" t="s">
        <v>424</v>
      </c>
      <c r="B13" s="121" t="s">
        <v>12</v>
      </c>
      <c r="E13" s="94">
        <v>13750109.995705565</v>
      </c>
      <c r="F13" s="94">
        <v>569197034.903458</v>
      </c>
      <c r="G13" s="94">
        <v>13955930.760029702</v>
      </c>
      <c r="H13" s="94">
        <v>579413731.72345495</v>
      </c>
      <c r="I13" s="94">
        <v>12138977.15</v>
      </c>
      <c r="J13" s="94">
        <v>505901916.12</v>
      </c>
      <c r="K13" s="94">
        <v>11189451.310170479</v>
      </c>
      <c r="L13" s="94">
        <v>496396328.11725003</v>
      </c>
      <c r="M13" s="94">
        <v>11063182.784782782</v>
      </c>
      <c r="N13" s="94">
        <v>491139691.04914099</v>
      </c>
      <c r="O13" s="94">
        <v>11176009.154068368</v>
      </c>
      <c r="P13" s="94">
        <v>497630500.54850799</v>
      </c>
      <c r="Q13" s="94">
        <v>10908860.656674828</v>
      </c>
      <c r="R13" s="94">
        <v>494704973.33827299</v>
      </c>
      <c r="S13" s="94">
        <v>10793526.54500882</v>
      </c>
      <c r="T13" s="94">
        <v>489055354.31623501</v>
      </c>
      <c r="U13" s="94"/>
      <c r="V13" s="94"/>
    </row>
    <row r="14" spans="1:34">
      <c r="A14" s="119" t="s">
        <v>424</v>
      </c>
      <c r="B14" s="121" t="s">
        <v>363</v>
      </c>
      <c r="E14" s="94">
        <v>6627846.4855033029</v>
      </c>
      <c r="F14" s="94">
        <v>271017674.47399002</v>
      </c>
      <c r="G14" s="94">
        <v>6504569.9813370677</v>
      </c>
      <c r="H14" s="94">
        <v>266564888.59632599</v>
      </c>
      <c r="I14" s="94">
        <v>6344583.4100000001</v>
      </c>
      <c r="J14" s="94">
        <v>261477180</v>
      </c>
      <c r="K14" s="94">
        <v>6609222.7948376592</v>
      </c>
      <c r="L14" s="94">
        <v>290872478.45389098</v>
      </c>
      <c r="M14" s="94">
        <v>6192294.2279647356</v>
      </c>
      <c r="N14" s="94">
        <v>271278695</v>
      </c>
      <c r="O14" s="94">
        <v>6279261.1715687392</v>
      </c>
      <c r="P14" s="94">
        <v>275844279.36738199</v>
      </c>
      <c r="Q14" s="94">
        <v>5862390.9537604973</v>
      </c>
      <c r="R14" s="94">
        <v>259736596.16812199</v>
      </c>
      <c r="S14" s="94">
        <v>5778829.4382530684</v>
      </c>
      <c r="T14" s="94">
        <v>255366659.13910899</v>
      </c>
      <c r="U14" s="94"/>
      <c r="V14" s="94"/>
    </row>
    <row r="15" spans="1:34">
      <c r="A15" s="119" t="s">
        <v>424</v>
      </c>
      <c r="B15" s="121" t="s">
        <v>420</v>
      </c>
      <c r="E15" s="94">
        <v>226632084.53673401</v>
      </c>
      <c r="F15" s="94">
        <v>9356590111.8309307</v>
      </c>
      <c r="G15" s="94">
        <v>227383564.30997401</v>
      </c>
      <c r="H15" s="94">
        <v>9408706453.4798813</v>
      </c>
      <c r="I15" s="94">
        <v>223347270.47</v>
      </c>
      <c r="J15" s="94">
        <v>9296767857.1800003</v>
      </c>
      <c r="K15" s="94">
        <v>223427216.41568899</v>
      </c>
      <c r="L15" s="94">
        <v>9908605113.3079681</v>
      </c>
      <c r="M15" s="94">
        <v>219934849.57430199</v>
      </c>
      <c r="N15" s="94">
        <v>9742565407.9568825</v>
      </c>
      <c r="O15" s="94">
        <v>217857956.95007503</v>
      </c>
      <c r="P15" s="94">
        <v>9652483343.8216152</v>
      </c>
      <c r="Q15" s="94">
        <v>216172841.07395101</v>
      </c>
      <c r="R15" s="94">
        <v>9739107602.8320065</v>
      </c>
      <c r="S15" s="94">
        <v>216496389.20178199</v>
      </c>
      <c r="T15" s="94">
        <v>9737584431.088707</v>
      </c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</row>
    <row r="16" spans="1:34">
      <c r="A16" s="119" t="s">
        <v>424</v>
      </c>
      <c r="B16" s="121" t="s">
        <v>421</v>
      </c>
      <c r="E16" s="94">
        <v>64085466.238550998</v>
      </c>
      <c r="F16" s="94">
        <v>2637213444.5520697</v>
      </c>
      <c r="G16" s="94">
        <v>68188604.905876994</v>
      </c>
      <c r="H16" s="94">
        <v>2813745042.3575525</v>
      </c>
      <c r="I16" s="94">
        <v>67524303.209999993</v>
      </c>
      <c r="J16" s="94">
        <v>2802859378.29</v>
      </c>
      <c r="K16" s="94">
        <v>67482249.038742006</v>
      </c>
      <c r="L16" s="94">
        <v>2977555638.2732515</v>
      </c>
      <c r="M16" s="94">
        <v>67482249.038742006</v>
      </c>
      <c r="N16" s="94">
        <v>2978478567.3841848</v>
      </c>
      <c r="O16" s="94">
        <v>67148788.993254006</v>
      </c>
      <c r="P16" s="94">
        <v>2965850256.02635</v>
      </c>
      <c r="Q16" s="94">
        <v>67224369.875466004</v>
      </c>
      <c r="R16" s="94">
        <v>3021088811.5158048</v>
      </c>
      <c r="S16" s="94">
        <v>68008808.716645002</v>
      </c>
      <c r="T16" s="94">
        <v>3054488972.9443393</v>
      </c>
      <c r="U16" s="94"/>
      <c r="V16" s="94"/>
    </row>
    <row r="17" spans="1:34">
      <c r="A17" s="119" t="s">
        <v>424</v>
      </c>
      <c r="B17" s="121" t="s">
        <v>422</v>
      </c>
      <c r="E17" s="94">
        <v>110727957.206182</v>
      </c>
      <c r="F17" s="94">
        <v>4564422427.9188471</v>
      </c>
      <c r="G17" s="94">
        <v>113159000</v>
      </c>
      <c r="H17" s="94">
        <v>4676098849.3733025</v>
      </c>
      <c r="I17" s="94">
        <v>111910380.34999999</v>
      </c>
      <c r="J17" s="94">
        <v>4652528389.46</v>
      </c>
      <c r="K17" s="94">
        <v>111641342.66437601</v>
      </c>
      <c r="L17" s="94">
        <v>4940663930.9933348</v>
      </c>
      <c r="M17" s="94">
        <v>111180000</v>
      </c>
      <c r="N17" s="94">
        <v>4916395703.2638216</v>
      </c>
      <c r="O17" s="94">
        <v>109714655.520292</v>
      </c>
      <c r="P17" s="94">
        <v>4851546349.3628807</v>
      </c>
      <c r="Q17" s="94">
        <v>108602118.00883301</v>
      </c>
      <c r="R17" s="94">
        <v>4875547677.976819</v>
      </c>
      <c r="S17" s="94">
        <v>109067926.50193</v>
      </c>
      <c r="T17" s="94">
        <v>4890946730.4648752</v>
      </c>
      <c r="U17" s="94"/>
      <c r="V17" s="94"/>
    </row>
    <row r="18" spans="1:34">
      <c r="A18" s="119" t="s">
        <v>424</v>
      </c>
      <c r="B18" s="121" t="s">
        <v>423</v>
      </c>
      <c r="E18" s="94">
        <v>61889936.829738826</v>
      </c>
      <c r="F18" s="94">
        <v>2554245759.15063</v>
      </c>
      <c r="G18" s="94">
        <v>61628828.958653808</v>
      </c>
      <c r="H18" s="94">
        <v>2551207910.9418001</v>
      </c>
      <c r="I18" s="94">
        <v>61476425.340000004</v>
      </c>
      <c r="J18" s="94">
        <v>2563180093.98</v>
      </c>
      <c r="K18" s="94">
        <v>56611449.48352249</v>
      </c>
      <c r="L18" s="94">
        <v>2518350544.3598599</v>
      </c>
      <c r="M18" s="94">
        <v>55704745.304815196</v>
      </c>
      <c r="N18" s="94">
        <v>2480504184.32481</v>
      </c>
      <c r="O18" s="94">
        <v>54690236.330979168</v>
      </c>
      <c r="P18" s="94">
        <v>2436525265.4509802</v>
      </c>
      <c r="Q18" s="94">
        <v>52520862.666695155</v>
      </c>
      <c r="R18" s="94">
        <v>2391137760.1735802</v>
      </c>
      <c r="S18" s="94">
        <v>52687146.378998362</v>
      </c>
      <c r="T18" s="94">
        <v>2385206366.44238</v>
      </c>
      <c r="U18" s="94"/>
      <c r="V18" s="94"/>
    </row>
    <row r="19" spans="1:34">
      <c r="A19" s="119" t="s">
        <v>425</v>
      </c>
      <c r="B19" s="121" t="s">
        <v>13</v>
      </c>
      <c r="E19" s="94">
        <v>49542775.230226442</v>
      </c>
      <c r="F19" s="94">
        <v>2050842946.4700603</v>
      </c>
      <c r="G19" s="94">
        <v>48953530.798806138</v>
      </c>
      <c r="H19" s="94">
        <v>2039020260.6102514</v>
      </c>
      <c r="I19" s="94">
        <v>38369064.780000001</v>
      </c>
      <c r="J19" s="94">
        <v>1602369213.8099999</v>
      </c>
      <c r="K19" s="94">
        <v>31673770.818898231</v>
      </c>
      <c r="L19" s="94">
        <v>1415876948.3977509</v>
      </c>
      <c r="M19" s="94">
        <v>30668690.403594859</v>
      </c>
      <c r="N19" s="94">
        <v>1374163532.0308304</v>
      </c>
      <c r="O19" s="94">
        <v>30932748.222812749</v>
      </c>
      <c r="P19" s="94">
        <v>1392348973.0536187</v>
      </c>
      <c r="Q19" s="94">
        <v>29215740.191837363</v>
      </c>
      <c r="R19" s="94">
        <v>1344085519.5356798</v>
      </c>
      <c r="S19" s="94">
        <v>26026065.562253334</v>
      </c>
      <c r="T19" s="94">
        <v>1182958970.9438896</v>
      </c>
      <c r="U19" s="94"/>
      <c r="V19" s="94"/>
    </row>
    <row r="20" spans="1:34">
      <c r="A20" s="119" t="s">
        <v>425</v>
      </c>
      <c r="B20" s="121" t="s">
        <v>419</v>
      </c>
      <c r="E20" s="94">
        <v>9276378.7125696149</v>
      </c>
      <c r="F20" s="94">
        <v>382350115.97649002</v>
      </c>
      <c r="G20" s="94">
        <v>9609600.4809003659</v>
      </c>
      <c r="H20" s="94">
        <v>397638254</v>
      </c>
      <c r="I20" s="94">
        <v>9300912.2599999998</v>
      </c>
      <c r="J20" s="94">
        <v>387280326</v>
      </c>
      <c r="K20" s="94">
        <v>8587722.1868892498</v>
      </c>
      <c r="L20" s="94">
        <v>380393056</v>
      </c>
      <c r="M20" s="94">
        <v>8547561.5419829711</v>
      </c>
      <c r="N20" s="94">
        <v>378794226</v>
      </c>
      <c r="O20" s="94">
        <v>8537105.0286138337</v>
      </c>
      <c r="P20" s="94">
        <v>378809311</v>
      </c>
      <c r="Q20" s="94">
        <v>8329673.5544907041</v>
      </c>
      <c r="R20" s="94">
        <v>375141933</v>
      </c>
      <c r="S20" s="94">
        <v>8347111.1794086071</v>
      </c>
      <c r="T20" s="94">
        <v>375141933</v>
      </c>
      <c r="U20" s="94"/>
      <c r="V20" s="94"/>
    </row>
    <row r="21" spans="1:34">
      <c r="A21" s="119" t="s">
        <v>425</v>
      </c>
      <c r="B21" s="121" t="s">
        <v>12</v>
      </c>
      <c r="E21" s="94">
        <v>3174302.055304518</v>
      </c>
      <c r="F21" s="94">
        <v>131808402.45367002</v>
      </c>
      <c r="G21" s="94">
        <v>3008973.6026517469</v>
      </c>
      <c r="H21" s="94">
        <v>125487905.33556104</v>
      </c>
      <c r="I21" s="94">
        <v>2188776.84</v>
      </c>
      <c r="J21" s="94">
        <v>91373776.75</v>
      </c>
      <c r="K21" s="94">
        <v>2039697.1004468277</v>
      </c>
      <c r="L21" s="94">
        <v>90942535.943865955</v>
      </c>
      <c r="M21" s="94">
        <v>2053477.9388918728</v>
      </c>
      <c r="N21" s="94">
        <v>91759994.51574105</v>
      </c>
      <c r="O21" s="94">
        <v>2151043.6143936533</v>
      </c>
      <c r="P21" s="94">
        <v>96648370.143448055</v>
      </c>
      <c r="Q21" s="94">
        <v>2081290.2149534635</v>
      </c>
      <c r="R21" s="94">
        <v>95365243.761325061</v>
      </c>
      <c r="S21" s="94">
        <v>2050814.8953136317</v>
      </c>
      <c r="T21" s="94">
        <v>93782032.912898958</v>
      </c>
      <c r="U21" s="94"/>
      <c r="V21" s="94"/>
    </row>
    <row r="22" spans="1:34">
      <c r="A22" s="119" t="s">
        <v>425</v>
      </c>
      <c r="B22" s="121" t="s">
        <v>363</v>
      </c>
      <c r="E22" s="94">
        <v>2548927.57485261</v>
      </c>
      <c r="F22" s="94">
        <v>105539354.40052998</v>
      </c>
      <c r="G22" s="94">
        <v>2435628.4902596576</v>
      </c>
      <c r="H22" s="94">
        <v>101171850.32122499</v>
      </c>
      <c r="I22" s="94">
        <v>1872423.3</v>
      </c>
      <c r="J22" s="94">
        <v>77833902.75</v>
      </c>
      <c r="K22" s="94">
        <v>2199378.6134518199</v>
      </c>
      <c r="L22" s="94">
        <v>98631848.337198019</v>
      </c>
      <c r="M22" s="94">
        <v>2031502.358646662</v>
      </c>
      <c r="N22" s="94">
        <v>90702342</v>
      </c>
      <c r="O22" s="94">
        <v>2061777.389107232</v>
      </c>
      <c r="P22" s="94">
        <v>92288712.707340002</v>
      </c>
      <c r="Q22" s="94">
        <v>1933685.7988610324</v>
      </c>
      <c r="R22" s="94">
        <v>87675589.003889978</v>
      </c>
      <c r="S22" s="94">
        <v>1728706.8677638555</v>
      </c>
      <c r="T22" s="94">
        <v>77150976.349724025</v>
      </c>
      <c r="U22" s="94"/>
      <c r="V22" s="94"/>
      <c r="W22" s="94"/>
    </row>
    <row r="23" spans="1:34">
      <c r="A23" s="119" t="s">
        <v>425</v>
      </c>
      <c r="B23" s="121" t="s">
        <v>420</v>
      </c>
      <c r="E23" s="94">
        <v>42838556.151437014</v>
      </c>
      <c r="F23" s="94">
        <v>1780119424.6532249</v>
      </c>
      <c r="G23" s="94">
        <v>44884297.074633017</v>
      </c>
      <c r="H23" s="94">
        <v>1875794875.1938486</v>
      </c>
      <c r="I23" s="94">
        <v>46100963.07</v>
      </c>
      <c r="J23" s="94">
        <v>1942081693.3399999</v>
      </c>
      <c r="K23" s="94">
        <v>46354876.985972002</v>
      </c>
      <c r="L23" s="94">
        <v>2114034613.2683837</v>
      </c>
      <c r="M23" s="94">
        <v>44332949.44744803</v>
      </c>
      <c r="N23" s="94">
        <v>2024708915.7532287</v>
      </c>
      <c r="O23" s="94">
        <v>38783636.935952008</v>
      </c>
      <c r="P23" s="94">
        <v>1762917330.4125404</v>
      </c>
      <c r="Q23" s="94">
        <v>37425159.793260023</v>
      </c>
      <c r="R23" s="94">
        <v>1744697579.7084546</v>
      </c>
      <c r="S23" s="94">
        <v>36848954.424466006</v>
      </c>
      <c r="T23" s="94">
        <v>1713428650.5648446</v>
      </c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</row>
    <row r="24" spans="1:34">
      <c r="A24" s="119" t="s">
        <v>425</v>
      </c>
      <c r="B24" s="121" t="s">
        <v>421</v>
      </c>
      <c r="E24" s="94">
        <v>21762395.081448991</v>
      </c>
      <c r="F24" s="94">
        <v>895769911.37471199</v>
      </c>
      <c r="G24" s="94">
        <v>26745903.994900007</v>
      </c>
      <c r="H24" s="94">
        <v>1108225330.3645699</v>
      </c>
      <c r="I24" s="94">
        <v>26830980.129999999</v>
      </c>
      <c r="J24" s="94">
        <v>1119080803.9400001</v>
      </c>
      <c r="K24" s="94">
        <v>26678903.514782999</v>
      </c>
      <c r="L24" s="94">
        <v>1186575497.436152</v>
      </c>
      <c r="M24" s="94">
        <v>26678903.514782999</v>
      </c>
      <c r="N24" s="94">
        <v>1187603352.6258771</v>
      </c>
      <c r="O24" s="94">
        <v>27497363.958931006</v>
      </c>
      <c r="P24" s="94">
        <v>1228326063.3615661</v>
      </c>
      <c r="Q24" s="94">
        <v>27357649.03582301</v>
      </c>
      <c r="R24" s="94">
        <v>1245844933.6079006</v>
      </c>
      <c r="S24" s="94">
        <v>27754870.746806998</v>
      </c>
      <c r="T24" s="94">
        <v>1261221099.1972511</v>
      </c>
      <c r="U24" s="94"/>
      <c r="V24" s="94"/>
    </row>
    <row r="25" spans="1:34">
      <c r="A25" s="119" t="s">
        <v>425</v>
      </c>
      <c r="B25" s="121" t="s">
        <v>422</v>
      </c>
      <c r="E25" s="94">
        <v>21721235.700883996</v>
      </c>
      <c r="F25" s="94">
        <v>897717969.04381633</v>
      </c>
      <c r="G25" s="94">
        <v>27585000</v>
      </c>
      <c r="H25" s="94">
        <v>1147521445.5296891</v>
      </c>
      <c r="I25" s="94">
        <v>28910812.66</v>
      </c>
      <c r="J25" s="94">
        <v>1212221964.3</v>
      </c>
      <c r="K25" s="94">
        <v>28954938.124839999</v>
      </c>
      <c r="L25" s="94">
        <v>1302905726.5137856</v>
      </c>
      <c r="M25" s="94">
        <v>29562000</v>
      </c>
      <c r="N25" s="94">
        <v>1333706278.1824946</v>
      </c>
      <c r="O25" s="94">
        <v>28313429.135442991</v>
      </c>
      <c r="P25" s="94">
        <v>1276497227.4050152</v>
      </c>
      <c r="Q25" s="94">
        <v>26203408.855703995</v>
      </c>
      <c r="R25" s="94">
        <v>1199632603.6388433</v>
      </c>
      <c r="S25" s="94">
        <v>26856800.028851014</v>
      </c>
      <c r="T25" s="94">
        <v>1229738483.0219166</v>
      </c>
      <c r="U25" s="94"/>
      <c r="V25" s="94"/>
    </row>
    <row r="26" spans="1:34">
      <c r="A26" s="119" t="s">
        <v>425</v>
      </c>
      <c r="B26" s="121" t="s">
        <v>423</v>
      </c>
      <c r="E26" s="94">
        <v>14860670.153372614</v>
      </c>
      <c r="F26" s="94">
        <v>611804065.4854995</v>
      </c>
      <c r="G26" s="94">
        <v>14756244.320894573</v>
      </c>
      <c r="H26" s="94">
        <v>609352071.39861965</v>
      </c>
      <c r="I26" s="94">
        <v>14763132.25</v>
      </c>
      <c r="J26" s="94">
        <v>613970020.85000002</v>
      </c>
      <c r="K26" s="94">
        <v>13063802.941425573</v>
      </c>
      <c r="L26" s="94">
        <v>576102475.11279011</v>
      </c>
      <c r="M26" s="94">
        <v>13144458.964191126</v>
      </c>
      <c r="N26" s="94">
        <v>580499018.16601956</v>
      </c>
      <c r="O26" s="94">
        <v>13230516.903379727</v>
      </c>
      <c r="P26" s="94">
        <v>585481121.07531989</v>
      </c>
      <c r="Q26" s="94">
        <v>13039541.547760367</v>
      </c>
      <c r="R26" s="94">
        <v>589946667.49548936</v>
      </c>
      <c r="S26" s="94">
        <v>13326951.625869516</v>
      </c>
      <c r="T26" s="94">
        <v>599339437.06127048</v>
      </c>
      <c r="U26" s="94"/>
      <c r="V26" s="94"/>
      <c r="Y26" s="310">
        <f>X26/0.4</f>
        <v>0</v>
      </c>
    </row>
    <row r="27" spans="1:34">
      <c r="A27" s="119" t="s">
        <v>426</v>
      </c>
      <c r="B27" s="121" t="s">
        <v>13</v>
      </c>
      <c r="E27" s="94">
        <v>-26572832.110686202</v>
      </c>
      <c r="F27" s="94">
        <v>-1094826445.6816199</v>
      </c>
      <c r="G27" s="94">
        <v>-26722571.682179708</v>
      </c>
      <c r="H27" s="94">
        <v>-1104325296.3209701</v>
      </c>
      <c r="I27" s="94">
        <v>-27358685.809999999</v>
      </c>
      <c r="J27" s="94">
        <v>-1139372805.8599999</v>
      </c>
      <c r="K27" s="94">
        <v>-23396748.394340836</v>
      </c>
      <c r="L27" s="94">
        <v>-1031766281.71627</v>
      </c>
      <c r="M27" s="94">
        <v>-23371819.291688826</v>
      </c>
      <c r="N27" s="94">
        <v>-1031406038.2838601</v>
      </c>
      <c r="O27" s="94">
        <v>-22959871.561989106</v>
      </c>
      <c r="P27" s="94">
        <v>-1013214424.59592</v>
      </c>
      <c r="Q27" s="94">
        <v>-22409746.6445232</v>
      </c>
      <c r="R27" s="94">
        <v>-1002719803.7482899</v>
      </c>
      <c r="S27" s="94">
        <v>-22306896.742319621</v>
      </c>
      <c r="T27" s="94">
        <v>-996583013.38884795</v>
      </c>
    </row>
    <row r="28" spans="1:34">
      <c r="A28" s="119" t="s">
        <v>426</v>
      </c>
      <c r="B28" s="121" t="s">
        <v>419</v>
      </c>
      <c r="E28" s="94">
        <v>-5408218.7378001483</v>
      </c>
      <c r="F28" s="94">
        <v>-223385436.89621201</v>
      </c>
      <c r="G28" s="94">
        <v>-5503028.0794154853</v>
      </c>
      <c r="H28" s="94">
        <v>-228144248</v>
      </c>
      <c r="I28" s="94">
        <v>-5469574.2699999996</v>
      </c>
      <c r="J28" s="94">
        <v>-228236421</v>
      </c>
      <c r="K28" s="94">
        <v>-5262523.7144153994</v>
      </c>
      <c r="L28" s="94">
        <v>-234521098.190669</v>
      </c>
      <c r="M28" s="94">
        <v>-5182296.5727165611</v>
      </c>
      <c r="N28" s="94">
        <v>-230980371</v>
      </c>
      <c r="O28" s="94">
        <v>-5180521.7332052235</v>
      </c>
      <c r="P28" s="94">
        <v>-231319836</v>
      </c>
      <c r="Q28" s="94">
        <v>-5153302.12089343</v>
      </c>
      <c r="R28" s="94">
        <v>-234948681.999423</v>
      </c>
      <c r="S28" s="94">
        <v>-5149406.1199711785</v>
      </c>
      <c r="T28" s="94">
        <v>-234948681.999423</v>
      </c>
      <c r="V28" s="94"/>
    </row>
    <row r="29" spans="1:34">
      <c r="A29" s="119" t="s">
        <v>426</v>
      </c>
      <c r="B29" s="121" t="s">
        <v>12</v>
      </c>
      <c r="E29" s="94">
        <v>-2225512.2853316437</v>
      </c>
      <c r="F29" s="94">
        <v>-92283334.740916997</v>
      </c>
      <c r="G29" s="94">
        <v>-2196653.0261541819</v>
      </c>
      <c r="H29" s="94">
        <v>-91412704.094962001</v>
      </c>
      <c r="I29" s="94">
        <v>-2060998.22</v>
      </c>
      <c r="J29" s="94">
        <v>-86304395.760000005</v>
      </c>
      <c r="K29" s="94">
        <v>-1646337.244046893</v>
      </c>
      <c r="L29" s="94">
        <v>-73224282.297316</v>
      </c>
      <c r="M29" s="94">
        <v>-1662205.0274226544</v>
      </c>
      <c r="N29" s="94">
        <v>-74066929.841378003</v>
      </c>
      <c r="O29" s="94">
        <v>-1701133.200014499</v>
      </c>
      <c r="P29" s="94">
        <v>-76065935.425218999</v>
      </c>
      <c r="Q29" s="94">
        <v>-1599205.0725990993</v>
      </c>
      <c r="R29" s="94">
        <v>-72473152.513895005</v>
      </c>
      <c r="S29" s="94">
        <v>-1583631.5916899606</v>
      </c>
      <c r="T29" s="94">
        <v>-71647901.852844998</v>
      </c>
    </row>
    <row r="30" spans="1:34">
      <c r="A30" s="119" t="s">
        <v>426</v>
      </c>
      <c r="B30" s="121" t="s">
        <v>363</v>
      </c>
      <c r="E30" s="94">
        <v>-1639517.5810416744</v>
      </c>
      <c r="F30" s="94">
        <v>-67461548.135161996</v>
      </c>
      <c r="G30" s="94">
        <v>-1632114.6087206826</v>
      </c>
      <c r="H30" s="94">
        <v>-67278575.698275998</v>
      </c>
      <c r="I30" s="94">
        <v>-1616998.71</v>
      </c>
      <c r="J30" s="94">
        <v>-67089017.530000001</v>
      </c>
      <c r="K30" s="94">
        <v>-1542506.8354390403</v>
      </c>
      <c r="L30" s="94">
        <v>-67831670.968214005</v>
      </c>
      <c r="M30" s="94">
        <v>-1622952.7944128383</v>
      </c>
      <c r="N30" s="94">
        <v>-71609553</v>
      </c>
      <c r="O30" s="94">
        <v>-1631945.7766918787</v>
      </c>
      <c r="P30" s="94">
        <v>-72112720</v>
      </c>
      <c r="Q30" s="94">
        <v>-1604067.9858058225</v>
      </c>
      <c r="R30" s="94">
        <v>-71856432</v>
      </c>
      <c r="S30" s="94">
        <v>-1620782.055205316</v>
      </c>
      <c r="T30" s="94">
        <v>-72560522</v>
      </c>
      <c r="V30" s="94"/>
      <c r="W30" s="94"/>
    </row>
    <row r="31" spans="1:34">
      <c r="A31" s="119" t="s">
        <v>426</v>
      </c>
      <c r="B31" s="121" t="s">
        <v>420</v>
      </c>
      <c r="E31" s="94">
        <v>-12502730.973313</v>
      </c>
      <c r="F31" s="94">
        <v>-516713694.8222028</v>
      </c>
      <c r="G31" s="94">
        <v>-12437582.177862</v>
      </c>
      <c r="H31" s="94">
        <v>-515346166.49190199</v>
      </c>
      <c r="I31" s="94">
        <v>-12050292.48</v>
      </c>
      <c r="J31" s="94">
        <v>-502166061.56999999</v>
      </c>
      <c r="K31" s="94">
        <v>-12174251.127023</v>
      </c>
      <c r="L31" s="94">
        <v>-541929728.12494409</v>
      </c>
      <c r="M31" s="94">
        <v>-11835474.162248001</v>
      </c>
      <c r="N31" s="94">
        <v>-526251675.89897251</v>
      </c>
      <c r="O31" s="94">
        <v>-11385152.232217001</v>
      </c>
      <c r="P31" s="94">
        <v>-505183388.74834299</v>
      </c>
      <c r="Q31" s="94">
        <v>-11647844.399270998</v>
      </c>
      <c r="R31" s="94">
        <v>-527152546.47707856</v>
      </c>
      <c r="S31" s="94">
        <v>-11675646.366618998</v>
      </c>
      <c r="T31" s="94">
        <v>-527744533.80632877</v>
      </c>
    </row>
    <row r="32" spans="1:34">
      <c r="A32" s="119" t="s">
        <v>426</v>
      </c>
      <c r="B32" s="121" t="s">
        <v>421</v>
      </c>
      <c r="E32" s="94">
        <v>-4774475.4667079998</v>
      </c>
      <c r="F32" s="94">
        <v>-196610069.40492794</v>
      </c>
      <c r="G32" s="94">
        <v>-5043916.2539029997</v>
      </c>
      <c r="H32" s="94">
        <v>-208804476.53894949</v>
      </c>
      <c r="I32" s="94">
        <v>-4893063.6100000003</v>
      </c>
      <c r="J32" s="94">
        <v>-203677601.02000001</v>
      </c>
      <c r="K32" s="94">
        <v>-4977774.7291360004</v>
      </c>
      <c r="L32" s="94">
        <v>-220048808.78467372</v>
      </c>
      <c r="M32" s="94">
        <v>-4977774.7291360004</v>
      </c>
      <c r="N32" s="94">
        <v>-220096369.19772163</v>
      </c>
      <c r="O32" s="94">
        <v>-4944842.2895750003</v>
      </c>
      <c r="P32" s="94">
        <v>-218661320.01422843</v>
      </c>
      <c r="Q32" s="94">
        <v>-4901115.5730090002</v>
      </c>
      <c r="R32" s="94">
        <v>-219874236.66787001</v>
      </c>
      <c r="S32" s="94">
        <v>-5003602.6875839997</v>
      </c>
      <c r="T32" s="94">
        <v>-224304023.68345112</v>
      </c>
    </row>
    <row r="33" spans="1:25">
      <c r="A33" s="119" t="s">
        <v>426</v>
      </c>
      <c r="B33" s="121" t="s">
        <v>422</v>
      </c>
      <c r="E33" s="94">
        <v>-8460170.8120039999</v>
      </c>
      <c r="F33" s="94">
        <v>-348906646.71013951</v>
      </c>
      <c r="G33" s="94">
        <v>-8734000</v>
      </c>
      <c r="H33" s="94">
        <v>-361340228.95229971</v>
      </c>
      <c r="I33" s="94">
        <v>-8522946.0199999996</v>
      </c>
      <c r="J33" s="94">
        <v>-354601419.19999999</v>
      </c>
      <c r="K33" s="94">
        <v>-8521169.3611600008</v>
      </c>
      <c r="L33" s="94">
        <v>-376596747.74261761</v>
      </c>
      <c r="M33" s="94">
        <v>-8308000</v>
      </c>
      <c r="N33" s="94">
        <v>-366495539.82203305</v>
      </c>
      <c r="O33" s="94">
        <v>-7954938.0660020001</v>
      </c>
      <c r="P33" s="94">
        <v>-349877042.23259807</v>
      </c>
      <c r="Q33" s="94">
        <v>-7957864.8027649997</v>
      </c>
      <c r="R33" s="94">
        <v>-355724390.61296612</v>
      </c>
      <c r="S33" s="94">
        <v>-7970737.1486879997</v>
      </c>
      <c r="T33" s="94">
        <v>-355883283.92341274</v>
      </c>
    </row>
    <row r="34" spans="1:25">
      <c r="A34" s="119" t="s">
        <v>426</v>
      </c>
      <c r="B34" s="121" t="s">
        <v>423</v>
      </c>
      <c r="E34" s="94">
        <v>-11801973.481369903</v>
      </c>
      <c r="F34" s="94">
        <v>-486628322.68690598</v>
      </c>
      <c r="G34" s="94">
        <v>-11826856.670597952</v>
      </c>
      <c r="H34" s="94">
        <v>-489461788.00273508</v>
      </c>
      <c r="I34" s="94">
        <v>-11505185.310000001</v>
      </c>
      <c r="J34" s="94">
        <v>-479677410.62</v>
      </c>
      <c r="K34" s="94">
        <v>-11080305.155549034</v>
      </c>
      <c r="L34" s="94">
        <v>-492450284.64879501</v>
      </c>
      <c r="M34" s="94">
        <v>-11156349.238139978</v>
      </c>
      <c r="N34" s="94">
        <v>-495838273.13329101</v>
      </c>
      <c r="O34" s="94">
        <v>-11034125.536750467</v>
      </c>
      <c r="P34" s="94">
        <v>-490833843.96119601</v>
      </c>
      <c r="Q34" s="94">
        <v>-10708628.053603051</v>
      </c>
      <c r="R34" s="94">
        <v>-486306905.11488706</v>
      </c>
      <c r="S34" s="94">
        <v>-10689942.523320656</v>
      </c>
      <c r="T34" s="94">
        <v>-481966195.790263</v>
      </c>
    </row>
    <row r="35" spans="1:25">
      <c r="A35" s="119" t="s">
        <v>427</v>
      </c>
      <c r="B35" s="121" t="s">
        <v>13</v>
      </c>
    </row>
    <row r="36" spans="1:25">
      <c r="A36" s="119" t="s">
        <v>427</v>
      </c>
      <c r="B36" s="121" t="s">
        <v>419</v>
      </c>
      <c r="S36" s="94"/>
      <c r="T36" s="94"/>
    </row>
    <row r="37" spans="1:25">
      <c r="A37" s="119" t="s">
        <v>427</v>
      </c>
      <c r="B37" s="121" t="s">
        <v>12</v>
      </c>
    </row>
    <row r="38" spans="1:25">
      <c r="A38" s="119" t="s">
        <v>427</v>
      </c>
      <c r="B38" s="121" t="s">
        <v>363</v>
      </c>
    </row>
    <row r="39" spans="1:25">
      <c r="A39" s="119" t="s">
        <v>427</v>
      </c>
      <c r="B39" s="121" t="s">
        <v>420</v>
      </c>
    </row>
    <row r="40" spans="1:25">
      <c r="A40" s="119" t="s">
        <v>427</v>
      </c>
      <c r="B40" s="121" t="s">
        <v>421</v>
      </c>
    </row>
    <row r="41" spans="1:25">
      <c r="A41" s="119" t="s">
        <v>427</v>
      </c>
      <c r="B41" s="121" t="s">
        <v>422</v>
      </c>
    </row>
    <row r="42" spans="1:25">
      <c r="A42" s="119" t="s">
        <v>427</v>
      </c>
      <c r="B42" s="121" t="s">
        <v>423</v>
      </c>
    </row>
    <row r="43" spans="1:25">
      <c r="A43" s="119" t="s">
        <v>118</v>
      </c>
      <c r="B43" s="121" t="s">
        <v>13</v>
      </c>
      <c r="E43" s="94">
        <v>22969943.119540237</v>
      </c>
      <c r="F43" s="94">
        <v>956016500.78844035</v>
      </c>
      <c r="G43" s="94">
        <v>22230959.116626427</v>
      </c>
      <c r="H43" s="94">
        <v>934694964.28928137</v>
      </c>
      <c r="I43" s="94">
        <v>11010378.970000001</v>
      </c>
      <c r="J43" s="94">
        <v>462996407.94999999</v>
      </c>
      <c r="K43" s="94">
        <v>8277022.4245573953</v>
      </c>
      <c r="L43" s="94">
        <v>384110666.68148082</v>
      </c>
      <c r="M43" s="94">
        <v>7296871.1119060311</v>
      </c>
      <c r="N43" s="94">
        <v>342757493.7469703</v>
      </c>
      <c r="O43" s="94">
        <v>7972876.6608236404</v>
      </c>
      <c r="P43" s="94">
        <v>379134548.45769864</v>
      </c>
      <c r="Q43" s="94">
        <v>6805993.5473141633</v>
      </c>
      <c r="R43" s="94">
        <v>341365715.78738987</v>
      </c>
      <c r="S43" s="94">
        <v>3719168.8199337106</v>
      </c>
      <c r="T43" s="94">
        <v>186375957.55504161</v>
      </c>
      <c r="U43" s="94"/>
      <c r="V43" s="94"/>
      <c r="X43" s="94"/>
      <c r="Y43" s="94">
        <f t="shared" ref="Y43:Y50" si="0">V43+V67+V75-V83</f>
        <v>0</v>
      </c>
    </row>
    <row r="44" spans="1:25">
      <c r="A44" s="119" t="s">
        <v>118</v>
      </c>
      <c r="B44" s="121" t="s">
        <v>419</v>
      </c>
      <c r="E44" s="94">
        <v>3868159.9747694666</v>
      </c>
      <c r="F44" s="94">
        <v>158964679.08027801</v>
      </c>
      <c r="G44" s="94">
        <v>4106572.4014848806</v>
      </c>
      <c r="H44" s="94">
        <v>169494006</v>
      </c>
      <c r="I44" s="94">
        <v>3831337.99</v>
      </c>
      <c r="J44" s="94">
        <v>159043905</v>
      </c>
      <c r="K44" s="94">
        <v>3325198.4724738505</v>
      </c>
      <c r="L44" s="94">
        <v>145871957.809331</v>
      </c>
      <c r="M44" s="94">
        <v>3365264.96926641</v>
      </c>
      <c r="N44" s="94">
        <v>147813855</v>
      </c>
      <c r="O44" s="94">
        <v>3356583.2954086103</v>
      </c>
      <c r="P44" s="94">
        <v>147489475</v>
      </c>
      <c r="Q44" s="94">
        <f>Q20+Q28</f>
        <v>3176371.4335972741</v>
      </c>
      <c r="R44" s="94">
        <f>R20+R28</f>
        <v>140193251.000577</v>
      </c>
      <c r="S44" s="94">
        <v>3197705.0594374286</v>
      </c>
      <c r="T44" s="94">
        <v>140193251.000577</v>
      </c>
      <c r="V44" s="94"/>
      <c r="X44" s="94"/>
      <c r="Y44" s="94">
        <f t="shared" si="0"/>
        <v>0</v>
      </c>
    </row>
    <row r="45" spans="1:25">
      <c r="A45" s="119" t="s">
        <v>118</v>
      </c>
      <c r="B45" s="121" t="s">
        <v>12</v>
      </c>
      <c r="E45" s="94">
        <v>948789.76997287432</v>
      </c>
      <c r="F45" s="94">
        <v>39525067.712753028</v>
      </c>
      <c r="G45" s="94">
        <v>812320.57649756502</v>
      </c>
      <c r="H45" s="94">
        <v>34075201.240599036</v>
      </c>
      <c r="I45" s="94">
        <v>127778.62</v>
      </c>
      <c r="J45" s="94">
        <v>5069380.99</v>
      </c>
      <c r="K45" s="94">
        <v>393359.85639993474</v>
      </c>
      <c r="L45" s="94">
        <v>17718253.646549955</v>
      </c>
      <c r="M45" s="94">
        <v>391272.91146921832</v>
      </c>
      <c r="N45" s="94">
        <v>17693064.674363047</v>
      </c>
      <c r="O45" s="94">
        <v>449910.41437915433</v>
      </c>
      <c r="P45" s="94">
        <v>20582434.718229055</v>
      </c>
      <c r="Q45" s="94">
        <v>482085.14235436427</v>
      </c>
      <c r="R45" s="94">
        <v>22892091.247430056</v>
      </c>
      <c r="S45" s="94">
        <v>467183.30362367118</v>
      </c>
      <c r="T45" s="94">
        <v>22134131.060053959</v>
      </c>
      <c r="X45" s="94"/>
      <c r="Y45" s="94">
        <f t="shared" si="0"/>
        <v>0</v>
      </c>
    </row>
    <row r="46" spans="1:25">
      <c r="A46" s="119" t="s">
        <v>118</v>
      </c>
      <c r="B46" s="121" t="s">
        <v>363</v>
      </c>
      <c r="E46" s="94">
        <v>909409.99381093564</v>
      </c>
      <c r="F46" s="94">
        <v>38077806.265367985</v>
      </c>
      <c r="G46" s="94">
        <v>803513.88153897505</v>
      </c>
      <c r="H46" s="94">
        <v>33893274.622948989</v>
      </c>
      <c r="I46" s="94">
        <v>255424.59</v>
      </c>
      <c r="J46" s="94">
        <v>10744885.220000001</v>
      </c>
      <c r="K46" s="94">
        <v>656871.77801277954</v>
      </c>
      <c r="L46" s="94">
        <v>30800177.368984014</v>
      </c>
      <c r="M46" s="94">
        <v>408549.56423382368</v>
      </c>
      <c r="N46" s="94">
        <v>19092789</v>
      </c>
      <c r="O46" s="94">
        <v>429831.6124153533</v>
      </c>
      <c r="P46" s="94">
        <v>20175992.707340002</v>
      </c>
      <c r="Q46" s="94">
        <v>329617.81305520982</v>
      </c>
      <c r="R46" s="94">
        <v>15819157.003889978</v>
      </c>
      <c r="S46" s="94">
        <v>107924.81255853944</v>
      </c>
      <c r="T46" s="94">
        <v>4590454.3497240245</v>
      </c>
      <c r="X46" s="94"/>
      <c r="Y46" s="94">
        <f t="shared" si="0"/>
        <v>0</v>
      </c>
    </row>
    <row r="47" spans="1:25">
      <c r="A47" s="119" t="s">
        <v>118</v>
      </c>
      <c r="B47" s="121" t="s">
        <v>420</v>
      </c>
      <c r="E47" s="94">
        <v>30335825.178124011</v>
      </c>
      <c r="F47" s="94">
        <v>1263405729.831022</v>
      </c>
      <c r="G47" s="94">
        <v>32446714.896771014</v>
      </c>
      <c r="H47" s="94">
        <v>1360448708.7019467</v>
      </c>
      <c r="I47" s="94">
        <v>34050670.590000004</v>
      </c>
      <c r="J47" s="94">
        <v>1439915631.77</v>
      </c>
      <c r="K47" s="94">
        <v>34180625.858948998</v>
      </c>
      <c r="L47" s="94">
        <v>1572104885.1434398</v>
      </c>
      <c r="M47" s="94">
        <v>32497475.28520003</v>
      </c>
      <c r="N47" s="94">
        <v>1498457239.8542562</v>
      </c>
      <c r="O47" s="94">
        <v>27398484.703735005</v>
      </c>
      <c r="P47" s="94">
        <v>1257733941.6641974</v>
      </c>
      <c r="Q47" s="94">
        <v>25777315.393989019</v>
      </c>
      <c r="R47" s="94">
        <v>1217545033.2313759</v>
      </c>
      <c r="S47" s="94">
        <v>25173308.057847004</v>
      </c>
      <c r="T47" s="94">
        <v>1185684116.7585158</v>
      </c>
      <c r="X47" s="94"/>
      <c r="Y47" s="94">
        <f t="shared" si="0"/>
        <v>0</v>
      </c>
    </row>
    <row r="48" spans="1:25">
      <c r="A48" s="119" t="s">
        <v>118</v>
      </c>
      <c r="B48" s="121" t="s">
        <v>421</v>
      </c>
      <c r="E48" s="94">
        <v>16987919.61474099</v>
      </c>
      <c r="F48" s="94">
        <v>699159841.96978402</v>
      </c>
      <c r="G48" s="94">
        <v>21701987.740997005</v>
      </c>
      <c r="H48" s="94">
        <v>899420853.82562053</v>
      </c>
      <c r="I48" s="94">
        <v>21937916.52</v>
      </c>
      <c r="J48" s="94">
        <v>915403202.91999996</v>
      </c>
      <c r="K48" s="94">
        <v>21701128.785646997</v>
      </c>
      <c r="L48" s="94">
        <v>966526688.65147829</v>
      </c>
      <c r="M48" s="94">
        <v>21701128.785646997</v>
      </c>
      <c r="N48" s="94">
        <v>967506983.42815554</v>
      </c>
      <c r="O48" s="94">
        <v>22552521.669356003</v>
      </c>
      <c r="P48" s="94">
        <v>1009664743.3473375</v>
      </c>
      <c r="Q48" s="94">
        <v>22456533.462814007</v>
      </c>
      <c r="R48" s="94">
        <v>1025970696.9400307</v>
      </c>
      <c r="S48" s="94">
        <v>22751268.059223</v>
      </c>
      <c r="T48" s="94">
        <v>1036917075.5138</v>
      </c>
      <c r="X48" s="94"/>
      <c r="Y48" s="94">
        <f t="shared" si="0"/>
        <v>0</v>
      </c>
    </row>
    <row r="49" spans="1:26">
      <c r="A49" s="119" t="s">
        <v>118</v>
      </c>
      <c r="B49" s="121" t="s">
        <v>422</v>
      </c>
      <c r="E49" s="94">
        <v>13261064.888879996</v>
      </c>
      <c r="F49" s="94">
        <v>548811322.33367682</v>
      </c>
      <c r="G49" s="94">
        <v>18851000</v>
      </c>
      <c r="H49" s="94">
        <v>786181216.57738948</v>
      </c>
      <c r="I49" s="94">
        <v>20387866.640000001</v>
      </c>
      <c r="J49" s="94">
        <v>857620545.10000002</v>
      </c>
      <c r="K49" s="94">
        <v>20433768.763679996</v>
      </c>
      <c r="L49" s="94">
        <v>926308978.77116799</v>
      </c>
      <c r="M49" s="94">
        <v>21254000</v>
      </c>
      <c r="N49" s="94">
        <v>967210738.36046159</v>
      </c>
      <c r="O49" s="94">
        <v>20358491.069440991</v>
      </c>
      <c r="P49" s="94">
        <v>926620185.17241716</v>
      </c>
      <c r="Q49" s="94">
        <v>18245544.052938994</v>
      </c>
      <c r="R49" s="94">
        <v>843908213.02587712</v>
      </c>
      <c r="S49" s="94">
        <v>18886062.880163014</v>
      </c>
      <c r="T49" s="94">
        <v>873855199.09850383</v>
      </c>
      <c r="X49" s="94"/>
      <c r="Y49" s="94">
        <f t="shared" si="0"/>
        <v>0</v>
      </c>
    </row>
    <row r="50" spans="1:26">
      <c r="A50" s="119" t="s">
        <v>118</v>
      </c>
      <c r="B50" s="121" t="s">
        <v>423</v>
      </c>
      <c r="E50" s="94">
        <v>3058696.6720027104</v>
      </c>
      <c r="F50" s="94">
        <v>125175742.79859349</v>
      </c>
      <c r="G50" s="94">
        <v>2929387.6502966206</v>
      </c>
      <c r="H50" s="94">
        <v>119890283.39588463</v>
      </c>
      <c r="I50" s="94">
        <v>3257946.94</v>
      </c>
      <c r="J50" s="94">
        <v>134292610.22999999</v>
      </c>
      <c r="K50" s="94">
        <v>1983497.7858765377</v>
      </c>
      <c r="L50" s="94">
        <v>83652190.463995114</v>
      </c>
      <c r="M50" s="94">
        <v>1988109.726051148</v>
      </c>
      <c r="N50" s="94">
        <v>84660745.032728612</v>
      </c>
      <c r="O50" s="94">
        <v>2196391.3666292583</v>
      </c>
      <c r="P50" s="94">
        <v>94647277.114123926</v>
      </c>
      <c r="Q50" s="94">
        <v>2330913.4941573162</v>
      </c>
      <c r="R50" s="94">
        <v>103639762.38060236</v>
      </c>
      <c r="S50" s="94">
        <v>2637009.1025488591</v>
      </c>
      <c r="T50" s="94">
        <v>117373241.27100743</v>
      </c>
      <c r="X50" s="94"/>
      <c r="Y50" s="94">
        <f t="shared" si="0"/>
        <v>0</v>
      </c>
      <c r="Z50" s="310">
        <f>X50/0.4</f>
        <v>0</v>
      </c>
    </row>
    <row r="51" spans="1:26">
      <c r="A51" s="119" t="s">
        <v>428</v>
      </c>
      <c r="B51" s="121" t="s">
        <v>13</v>
      </c>
      <c r="E51" s="94">
        <v>2568137.8481646325</v>
      </c>
      <c r="F51" s="94">
        <v>105820052.53143799</v>
      </c>
      <c r="G51" s="94">
        <v>2571139.5793714519</v>
      </c>
      <c r="H51" s="94">
        <v>106287608.775372</v>
      </c>
      <c r="I51" s="94">
        <v>2539709.2400000002</v>
      </c>
      <c r="J51" s="94">
        <v>105692887.34999999</v>
      </c>
      <c r="K51" s="94">
        <v>2580516.8298248053</v>
      </c>
      <c r="L51" s="94">
        <v>114721009.00852501</v>
      </c>
      <c r="M51" s="94">
        <v>2524980.8161141057</v>
      </c>
      <c r="N51" s="94">
        <v>112216774.855498</v>
      </c>
      <c r="O51" s="94">
        <v>2602998.843927539</v>
      </c>
      <c r="P51" s="94">
        <v>116172072.380197</v>
      </c>
      <c r="Q51" s="94">
        <v>2468527.3277297211</v>
      </c>
      <c r="R51" s="94">
        <v>111641943.793157</v>
      </c>
      <c r="S51" s="94">
        <v>2485005.9337215712</v>
      </c>
      <c r="T51" s="94">
        <v>112310078.191863</v>
      </c>
      <c r="U51" s="94"/>
      <c r="V51" s="94"/>
    </row>
    <row r="52" spans="1:26">
      <c r="A52" s="119" t="s">
        <v>428</v>
      </c>
      <c r="B52" s="121" t="s">
        <v>419</v>
      </c>
      <c r="E52" s="94">
        <v>53369.170697284004</v>
      </c>
      <c r="F52" s="94">
        <v>2194026.7231359999</v>
      </c>
      <c r="G52" s="94">
        <v>53223.986000115823</v>
      </c>
      <c r="H52" s="94">
        <v>2194026.7200000002</v>
      </c>
      <c r="I52" s="94">
        <v>52869.56</v>
      </c>
      <c r="J52" s="94">
        <v>2194026.7200000002</v>
      </c>
      <c r="K52" s="94">
        <v>49774.22363659618</v>
      </c>
      <c r="L52" s="94">
        <v>2194026.7200000002</v>
      </c>
      <c r="M52" s="94">
        <v>49819.970436887117</v>
      </c>
      <c r="N52" s="94">
        <v>2194026.7200000002</v>
      </c>
      <c r="O52" s="94">
        <v>49819.946419489126</v>
      </c>
      <c r="P52" s="94">
        <v>2194026.7200000002</v>
      </c>
      <c r="Q52" s="94">
        <v>49269.66476167769</v>
      </c>
      <c r="R52" s="94">
        <v>2194026.7200000002</v>
      </c>
      <c r="S52" s="94">
        <v>49374.969027653635</v>
      </c>
      <c r="T52" s="94">
        <v>2194026.7200000002</v>
      </c>
      <c r="U52" s="94"/>
      <c r="V52" s="94"/>
    </row>
    <row r="53" spans="1:26">
      <c r="A53" s="119" t="s">
        <v>428</v>
      </c>
      <c r="B53" s="121" t="s">
        <v>12</v>
      </c>
      <c r="E53" s="94">
        <v>12018.303890815567</v>
      </c>
      <c r="F53" s="94">
        <v>502132.60510400002</v>
      </c>
      <c r="G53" s="94">
        <v>6363.1021758529805</v>
      </c>
      <c r="H53" s="94">
        <v>262959.01</v>
      </c>
      <c r="I53" s="94">
        <v>6504.36</v>
      </c>
      <c r="J53" s="94">
        <v>270632.01</v>
      </c>
      <c r="K53" s="94">
        <v>6476.0032191900036</v>
      </c>
      <c r="L53" s="94">
        <v>284014.01</v>
      </c>
      <c r="M53" s="94">
        <v>5450.0681818649064</v>
      </c>
      <c r="N53" s="94">
        <v>234277.01</v>
      </c>
      <c r="O53" s="94">
        <v>-5467.9843152306184</v>
      </c>
      <c r="P53" s="94">
        <v>-294050.01</v>
      </c>
      <c r="Q53" s="94">
        <v>6640.2089807991988</v>
      </c>
      <c r="R53" s="94">
        <v>295546.38510000001</v>
      </c>
      <c r="S53" s="94">
        <v>6646.4511342345431</v>
      </c>
      <c r="T53" s="94">
        <v>295545.01</v>
      </c>
      <c r="U53" s="94"/>
      <c r="V53" s="94"/>
    </row>
    <row r="54" spans="1:26">
      <c r="A54" s="119" t="s">
        <v>428</v>
      </c>
      <c r="B54" s="121" t="s">
        <v>363</v>
      </c>
      <c r="E54" s="94">
        <v>205120.37936389737</v>
      </c>
      <c r="F54" s="94">
        <v>8509636.9273600001</v>
      </c>
      <c r="G54" s="94">
        <v>198343.50088524181</v>
      </c>
      <c r="H54" s="94">
        <v>8270561.7169779995</v>
      </c>
      <c r="I54" s="94">
        <v>194012.25</v>
      </c>
      <c r="J54" s="94">
        <v>8149493.9100000001</v>
      </c>
      <c r="K54" s="94">
        <v>176638.83947942097</v>
      </c>
      <c r="L54" s="94">
        <v>7942856.0099999998</v>
      </c>
      <c r="M54" s="94">
        <v>173596.93069983477</v>
      </c>
      <c r="N54" s="94">
        <v>7812693</v>
      </c>
      <c r="O54" s="94">
        <v>166934.82263433514</v>
      </c>
      <c r="P54" s="94">
        <v>7509799.6404090002</v>
      </c>
      <c r="Q54" s="94">
        <v>160935.03725859273</v>
      </c>
      <c r="R54" s="94">
        <v>7366251.2944480004</v>
      </c>
      <c r="S54" s="94">
        <v>155081.97561095192</v>
      </c>
      <c r="T54" s="94">
        <v>7064896.9484860003</v>
      </c>
      <c r="U54" s="94"/>
      <c r="V54" s="94"/>
    </row>
    <row r="55" spans="1:26">
      <c r="A55" s="119" t="s">
        <v>428</v>
      </c>
      <c r="B55" s="121" t="s">
        <v>420</v>
      </c>
      <c r="E55" s="94">
        <v>7194494.5654929997</v>
      </c>
      <c r="F55" s="94">
        <v>295793323.51578671</v>
      </c>
      <c r="G55" s="94">
        <v>7852467.6527979998</v>
      </c>
      <c r="H55" s="94">
        <v>323956472.51093519</v>
      </c>
      <c r="I55" s="94">
        <v>7873644.4900000002</v>
      </c>
      <c r="J55" s="94">
        <v>326887172.58999997</v>
      </c>
      <c r="K55" s="94">
        <v>7959938.016996</v>
      </c>
      <c r="L55" s="94">
        <v>351496600.42853993</v>
      </c>
      <c r="M55" s="94">
        <v>8020408.2257030001</v>
      </c>
      <c r="N55" s="94">
        <v>354275944.31888944</v>
      </c>
      <c r="O55" s="94">
        <v>8119368.1028180011</v>
      </c>
      <c r="P55" s="94">
        <v>359357878.27779216</v>
      </c>
      <c r="Q55" s="94">
        <v>8229368.8455969999</v>
      </c>
      <c r="R55" s="94">
        <v>370462717.68688637</v>
      </c>
      <c r="S55" s="94">
        <v>8292954.6011619996</v>
      </c>
      <c r="T55" s="94">
        <v>373074357.8108604</v>
      </c>
      <c r="U55" s="94"/>
      <c r="V55" s="94"/>
    </row>
    <row r="56" spans="1:26">
      <c r="A56" s="119" t="s">
        <v>428</v>
      </c>
      <c r="B56" s="121" t="s">
        <v>421</v>
      </c>
      <c r="E56" s="94">
        <v>3152331.6704910002</v>
      </c>
      <c r="F56" s="94">
        <v>130352548.64695194</v>
      </c>
      <c r="G56" s="94">
        <v>3119384.7487359997</v>
      </c>
      <c r="H56" s="94">
        <v>129308491.89382069</v>
      </c>
      <c r="I56" s="94">
        <v>3105662.49</v>
      </c>
      <c r="J56" s="94">
        <v>129585093.79000001</v>
      </c>
      <c r="K56" s="94">
        <v>3093357.2744059996</v>
      </c>
      <c r="L56" s="94">
        <v>138052247.28939357</v>
      </c>
      <c r="M56" s="94">
        <v>3093357.2744059996</v>
      </c>
      <c r="N56" s="94">
        <v>138177220.83183423</v>
      </c>
      <c r="O56" s="94">
        <v>3054951.693395</v>
      </c>
      <c r="P56" s="94">
        <v>136549682.06241408</v>
      </c>
      <c r="Q56" s="94">
        <v>3037409.386709</v>
      </c>
      <c r="R56" s="94">
        <v>138329864.72395718</v>
      </c>
      <c r="S56" s="94">
        <v>3012604.0754219997</v>
      </c>
      <c r="T56" s="94">
        <v>136944775.95317176</v>
      </c>
      <c r="U56" s="94"/>
      <c r="V56" s="94"/>
    </row>
    <row r="57" spans="1:26">
      <c r="A57" s="119" t="s">
        <v>428</v>
      </c>
      <c r="B57" s="121" t="s">
        <v>422</v>
      </c>
      <c r="E57" s="94">
        <v>7334274.369632001</v>
      </c>
      <c r="F57" s="94">
        <v>304644291.81298655</v>
      </c>
      <c r="G57" s="94">
        <v>5246000</v>
      </c>
      <c r="H57" s="94">
        <v>217230537.28821743</v>
      </c>
      <c r="I57" s="94">
        <v>5225029.72</v>
      </c>
      <c r="J57" s="94">
        <v>217763383.25999999</v>
      </c>
      <c r="K57" s="94">
        <v>5222301.8542630002</v>
      </c>
      <c r="L57" s="94">
        <v>232495574.03410116</v>
      </c>
      <c r="M57" s="94">
        <v>5230000</v>
      </c>
      <c r="N57" s="94">
        <v>233000548.63345921</v>
      </c>
      <c r="O57" s="94">
        <v>5258913.1971220002</v>
      </c>
      <c r="P57" s="94">
        <v>234735909.16279563</v>
      </c>
      <c r="Q57" s="94">
        <v>5219558.6961519998</v>
      </c>
      <c r="R57" s="94">
        <v>237165248.17211515</v>
      </c>
      <c r="S57" s="94">
        <v>5255460.8292529993</v>
      </c>
      <c r="T57" s="94">
        <v>238730441.28227594</v>
      </c>
      <c r="U57" s="94"/>
      <c r="V57" s="94"/>
    </row>
    <row r="58" spans="1:26">
      <c r="A58" s="119" t="s">
        <v>428</v>
      </c>
      <c r="B58" s="121" t="s">
        <v>423</v>
      </c>
      <c r="E58" s="94">
        <v>2031902.9181457269</v>
      </c>
      <c r="F58" s="94">
        <v>83732221.175424993</v>
      </c>
      <c r="G58" s="94">
        <v>2102073.4411640097</v>
      </c>
      <c r="H58" s="94">
        <v>86954050.838934004</v>
      </c>
      <c r="I58" s="94">
        <v>1971949.07</v>
      </c>
      <c r="J58" s="94">
        <v>82006477.290000007</v>
      </c>
      <c r="K58" s="94">
        <v>1986440.255280399</v>
      </c>
      <c r="L58" s="94">
        <v>88113487.256057978</v>
      </c>
      <c r="M58" s="94">
        <v>2020194.9905300986</v>
      </c>
      <c r="N58" s="94">
        <v>89686912.294029996</v>
      </c>
      <c r="O58" s="94">
        <v>2056165.784158875</v>
      </c>
      <c r="P58" s="94">
        <v>91505757.417352989</v>
      </c>
      <c r="Q58" s="94">
        <v>2085217.2598850639</v>
      </c>
      <c r="R58" s="94">
        <v>95151935.391921997</v>
      </c>
      <c r="S58" s="94">
        <v>2154865.2920104153</v>
      </c>
      <c r="T58" s="94">
        <v>97521286.313277006</v>
      </c>
      <c r="U58" s="94"/>
      <c r="V58" s="94"/>
    </row>
    <row r="59" spans="1:26">
      <c r="A59" s="119" t="s">
        <v>4</v>
      </c>
      <c r="B59" s="121" t="s">
        <v>13</v>
      </c>
      <c r="E59" s="94">
        <v>25538080.967704866</v>
      </c>
      <c r="F59" s="94">
        <v>1061836553.3198783</v>
      </c>
      <c r="G59" s="94">
        <v>24802098.695997879</v>
      </c>
      <c r="H59" s="94">
        <v>1040982573.0646534</v>
      </c>
      <c r="I59" s="94">
        <v>13550088.210000001</v>
      </c>
      <c r="J59" s="94">
        <v>568689295.29999995</v>
      </c>
      <c r="K59" s="94">
        <v>10857539.254382201</v>
      </c>
      <c r="L59" s="94">
        <v>498831675.69000584</v>
      </c>
      <c r="M59" s="94">
        <v>9821851.9280201364</v>
      </c>
      <c r="N59" s="94">
        <v>454974268.60246825</v>
      </c>
      <c r="O59" s="94">
        <v>10575875.504751179</v>
      </c>
      <c r="P59" s="94">
        <v>495306620.83789569</v>
      </c>
      <c r="Q59" s="94">
        <v>9274520.8750438839</v>
      </c>
      <c r="R59" s="94">
        <v>453007659.58054692</v>
      </c>
      <c r="S59" s="94">
        <v>6204174.7536552809</v>
      </c>
      <c r="T59" s="94">
        <v>298686035.74690461</v>
      </c>
    </row>
    <row r="60" spans="1:26">
      <c r="A60" s="119" t="s">
        <v>4</v>
      </c>
      <c r="B60" s="121" t="s">
        <v>419</v>
      </c>
      <c r="E60" s="94">
        <v>3921529.1454667505</v>
      </c>
      <c r="F60" s="94">
        <v>161158705.80341402</v>
      </c>
      <c r="G60" s="94">
        <v>4159796.3874849966</v>
      </c>
      <c r="H60" s="94">
        <v>171688032.72</v>
      </c>
      <c r="I60" s="94">
        <v>3884207.55</v>
      </c>
      <c r="J60" s="94">
        <v>161237931.72</v>
      </c>
      <c r="K60" s="94">
        <v>3374972.6961104465</v>
      </c>
      <c r="L60" s="94">
        <v>148065984.529331</v>
      </c>
      <c r="M60" s="94">
        <v>3415084.9397032969</v>
      </c>
      <c r="N60" s="94">
        <v>150007881.72</v>
      </c>
      <c r="O60" s="94">
        <v>3406403.2418280994</v>
      </c>
      <c r="P60" s="94">
        <v>149683501.72</v>
      </c>
      <c r="Q60" s="94">
        <f>Q44+Q52</f>
        <v>3225641.098358952</v>
      </c>
      <c r="R60" s="94">
        <f>R44+R52</f>
        <v>142387277.720577</v>
      </c>
      <c r="S60" s="94">
        <v>3247080.0284650824</v>
      </c>
      <c r="T60" s="94">
        <v>142387277.720577</v>
      </c>
      <c r="V60" s="94"/>
    </row>
    <row r="61" spans="1:26">
      <c r="A61" s="119" t="s">
        <v>4</v>
      </c>
      <c r="B61" s="121" t="s">
        <v>12</v>
      </c>
      <c r="E61" s="94">
        <v>960808.0738636899</v>
      </c>
      <c r="F61" s="94">
        <v>40027200.317857027</v>
      </c>
      <c r="G61" s="94">
        <v>818683.67867341801</v>
      </c>
      <c r="H61" s="94">
        <v>34338160.250599034</v>
      </c>
      <c r="I61" s="94">
        <v>134282.98000000001</v>
      </c>
      <c r="J61" s="94">
        <v>5340013</v>
      </c>
      <c r="K61" s="94">
        <v>399835.85961912473</v>
      </c>
      <c r="L61" s="94">
        <v>18002267.656549957</v>
      </c>
      <c r="M61" s="94">
        <v>396722.97965108324</v>
      </c>
      <c r="N61" s="94">
        <v>17927341.684363049</v>
      </c>
      <c r="O61" s="94">
        <v>455378.39869438496</v>
      </c>
      <c r="P61" s="94">
        <v>20876484.728229057</v>
      </c>
      <c r="Q61" s="94">
        <v>488725.35133516346</v>
      </c>
      <c r="R61" s="94">
        <v>23187637.632530056</v>
      </c>
      <c r="S61" s="94">
        <v>473829.75475790573</v>
      </c>
      <c r="T61" s="94">
        <v>22429676.070053961</v>
      </c>
    </row>
    <row r="62" spans="1:26">
      <c r="A62" s="119" t="s">
        <v>4</v>
      </c>
      <c r="B62" s="121" t="s">
        <v>363</v>
      </c>
      <c r="E62" s="94">
        <v>1114530.3731748331</v>
      </c>
      <c r="F62" s="94">
        <v>46587443.192727983</v>
      </c>
      <c r="G62" s="94">
        <v>1001857.3824242168</v>
      </c>
      <c r="H62" s="94">
        <v>42163836.339926988</v>
      </c>
      <c r="I62" s="94">
        <v>449436.84</v>
      </c>
      <c r="J62" s="94">
        <v>18894379.129999999</v>
      </c>
      <c r="K62" s="94">
        <v>833510.61749220057</v>
      </c>
      <c r="L62" s="94">
        <v>38743033.378984012</v>
      </c>
      <c r="M62" s="94">
        <v>582146.49493365851</v>
      </c>
      <c r="N62" s="94">
        <v>26905482</v>
      </c>
      <c r="O62" s="94">
        <v>596766.43504968844</v>
      </c>
      <c r="P62" s="94">
        <v>27685792.347749002</v>
      </c>
      <c r="Q62" s="94">
        <v>490552.85031380254</v>
      </c>
      <c r="R62" s="94">
        <v>23185408.298337977</v>
      </c>
      <c r="S62" s="94">
        <v>263006.78816949134</v>
      </c>
      <c r="T62" s="94">
        <v>11655351.298210025</v>
      </c>
      <c r="V62" s="94"/>
      <c r="W62" s="94"/>
    </row>
    <row r="63" spans="1:26">
      <c r="A63" s="119" t="s">
        <v>4</v>
      </c>
      <c r="B63" s="121" t="s">
        <v>420</v>
      </c>
      <c r="E63" s="94">
        <v>37530319.743617006</v>
      </c>
      <c r="F63" s="94">
        <v>1559199053.3468087</v>
      </c>
      <c r="G63" s="94">
        <v>40299182.549569011</v>
      </c>
      <c r="H63" s="94">
        <v>1684405181.2128818</v>
      </c>
      <c r="I63" s="94">
        <v>41924315.079999998</v>
      </c>
      <c r="J63" s="94">
        <v>1766802804.3599999</v>
      </c>
      <c r="K63" s="94">
        <v>42140563.875945002</v>
      </c>
      <c r="L63" s="94">
        <v>1923601485.5719798</v>
      </c>
      <c r="M63" s="94">
        <v>40517883.510903031</v>
      </c>
      <c r="N63" s="94">
        <v>1852733184.1731455</v>
      </c>
      <c r="O63" s="94">
        <v>35517852.806553006</v>
      </c>
      <c r="P63" s="94">
        <v>1617091819.9419897</v>
      </c>
      <c r="Q63" s="94">
        <v>34006684.239586018</v>
      </c>
      <c r="R63" s="94">
        <v>1588007750.9182625</v>
      </c>
      <c r="S63" s="94">
        <v>33466262.659009006</v>
      </c>
      <c r="T63" s="94">
        <v>1558758474.569376</v>
      </c>
    </row>
    <row r="64" spans="1:26">
      <c r="A64" s="119" t="s">
        <v>4</v>
      </c>
      <c r="B64" s="121" t="s">
        <v>421</v>
      </c>
      <c r="E64" s="94">
        <v>20140251.285231993</v>
      </c>
      <c r="F64" s="94">
        <v>829512390.61673594</v>
      </c>
      <c r="G64" s="94">
        <v>24821372.489733007</v>
      </c>
      <c r="H64" s="94">
        <v>1028729345.7194412</v>
      </c>
      <c r="I64" s="94">
        <v>25043579.010000002</v>
      </c>
      <c r="J64" s="94">
        <v>1044988296.72</v>
      </c>
      <c r="K64" s="94">
        <v>24794486.060052998</v>
      </c>
      <c r="L64" s="94">
        <v>1104578935.9408717</v>
      </c>
      <c r="M64" s="94">
        <v>24794486.060052998</v>
      </c>
      <c r="N64" s="94">
        <v>1105684204.2599897</v>
      </c>
      <c r="O64" s="94">
        <v>25607473.362751</v>
      </c>
      <c r="P64" s="94">
        <v>1146214425.4097517</v>
      </c>
      <c r="Q64" s="94">
        <v>25493942.849523008</v>
      </c>
      <c r="R64" s="94">
        <v>1164300561.6639879</v>
      </c>
      <c r="S64" s="94">
        <v>25763872.134644996</v>
      </c>
      <c r="T64" s="94">
        <v>1173861851.4669719</v>
      </c>
    </row>
    <row r="65" spans="1:26">
      <c r="A65" s="119" t="s">
        <v>4</v>
      </c>
      <c r="B65" s="121" t="s">
        <v>422</v>
      </c>
      <c r="E65" s="94">
        <v>20595339.258511998</v>
      </c>
      <c r="F65" s="94">
        <v>853455614.14666331</v>
      </c>
      <c r="G65" s="94">
        <v>24097000</v>
      </c>
      <c r="H65" s="94">
        <v>1003411753.8656069</v>
      </c>
      <c r="I65" s="94">
        <v>25612896.359999999</v>
      </c>
      <c r="J65" s="94">
        <v>1075383928.3599999</v>
      </c>
      <c r="K65" s="94">
        <v>25656070.617942996</v>
      </c>
      <c r="L65" s="94">
        <v>1158804552.8052692</v>
      </c>
      <c r="M65" s="94">
        <v>26484000</v>
      </c>
      <c r="N65" s="94">
        <v>1200211286.9939208</v>
      </c>
      <c r="O65" s="94">
        <v>25617404.266562991</v>
      </c>
      <c r="P65" s="94">
        <v>1161356094.3352127</v>
      </c>
      <c r="Q65" s="94">
        <v>23465102.749090996</v>
      </c>
      <c r="R65" s="94">
        <v>1081073461.1979921</v>
      </c>
      <c r="S65" s="94">
        <v>24141523.709416009</v>
      </c>
      <c r="T65" s="94">
        <v>1112585640.3807797</v>
      </c>
    </row>
    <row r="66" spans="1:26">
      <c r="A66" s="119" t="s">
        <v>4</v>
      </c>
      <c r="B66" s="121" t="s">
        <v>423</v>
      </c>
      <c r="E66" s="94">
        <v>5090599.5901484368</v>
      </c>
      <c r="F66" s="94">
        <v>208907963.97401845</v>
      </c>
      <c r="G66" s="94">
        <v>5031461.0914606303</v>
      </c>
      <c r="H66" s="94">
        <v>206844334.23481867</v>
      </c>
      <c r="I66" s="94">
        <v>5229896.01</v>
      </c>
      <c r="J66" s="94">
        <v>216299087.52000001</v>
      </c>
      <c r="K66" s="94">
        <v>3969938.0411569364</v>
      </c>
      <c r="L66" s="94">
        <v>171765677.72005311</v>
      </c>
      <c r="M66" s="94">
        <v>4008304.7165812468</v>
      </c>
      <c r="N66" s="94">
        <v>174347657.32675859</v>
      </c>
      <c r="O66" s="94">
        <v>4252557.150788133</v>
      </c>
      <c r="P66" s="94">
        <v>186153034.53147694</v>
      </c>
      <c r="Q66" s="94">
        <v>4416130.7540423796</v>
      </c>
      <c r="R66" s="94">
        <v>198791697.77252436</v>
      </c>
      <c r="S66" s="94">
        <v>4791874.3945592744</v>
      </c>
      <c r="T66" s="94">
        <v>214894527.58428445</v>
      </c>
      <c r="Z66" s="310">
        <f>X66/0.4</f>
        <v>0</v>
      </c>
    </row>
    <row r="67" spans="1:26">
      <c r="A67" s="119" t="s">
        <v>429</v>
      </c>
      <c r="B67" s="121" t="s">
        <v>13</v>
      </c>
      <c r="E67" s="94">
        <v>-21814836.104569942</v>
      </c>
      <c r="F67" s="94">
        <v>-900287068.82836604</v>
      </c>
      <c r="G67" s="94">
        <v>-21597204.385847267</v>
      </c>
      <c r="H67" s="94">
        <v>-894564089.11119998</v>
      </c>
      <c r="I67" s="94">
        <v>-27783282.309999999</v>
      </c>
      <c r="J67" s="94">
        <v>-1165910578.8199999</v>
      </c>
      <c r="K67" s="94">
        <v>-25040225.846763629</v>
      </c>
      <c r="L67" s="94">
        <v>-1130209464.4921818</v>
      </c>
      <c r="M67" s="94">
        <v>-20408441.448304791</v>
      </c>
      <c r="N67" s="94">
        <v>-909606850.09445512</v>
      </c>
      <c r="O67" s="94">
        <v>-23241497.938198842</v>
      </c>
      <c r="P67" s="94">
        <v>-1047555129.6792711</v>
      </c>
      <c r="Q67" s="94">
        <v>-23562939.842708286</v>
      </c>
      <c r="R67" s="94">
        <v>-1085345737.2875104</v>
      </c>
      <c r="S67" s="94">
        <v>-24046958.684834529</v>
      </c>
      <c r="T67" s="94">
        <v>-1110330719.7241092</v>
      </c>
      <c r="U67" s="94"/>
      <c r="V67" s="94"/>
      <c r="W67" s="94"/>
      <c r="X67" s="94"/>
      <c r="Y67" s="94">
        <f>W67/0.4</f>
        <v>0</v>
      </c>
      <c r="Z67" s="94">
        <f>X67/0.4</f>
        <v>0</v>
      </c>
    </row>
    <row r="68" spans="1:26">
      <c r="A68" s="119" t="s">
        <v>429</v>
      </c>
      <c r="B68" s="121" t="s">
        <v>419</v>
      </c>
      <c r="E68" s="94">
        <v>-1010869.104411</v>
      </c>
      <c r="F68" s="94">
        <v>-40443037.01041688</v>
      </c>
      <c r="G68" s="94">
        <v>-1009376.9009340681</v>
      </c>
      <c r="H68" s="94">
        <v>-40219789.099999994</v>
      </c>
      <c r="I68" s="94">
        <v>-931315.22</v>
      </c>
      <c r="J68" s="94">
        <v>-36984839</v>
      </c>
      <c r="K68" s="94">
        <v>-1040833.5605349664</v>
      </c>
      <c r="L68" s="94">
        <v>-37648556</v>
      </c>
      <c r="M68" s="94">
        <v>-933934.37800177513</v>
      </c>
      <c r="N68" s="94">
        <v>-37786948.999999993</v>
      </c>
      <c r="O68" s="94">
        <v>-1014322.616420994</v>
      </c>
      <c r="P68" s="94">
        <v>-41569632.986379415</v>
      </c>
      <c r="Q68" s="94">
        <v>-1129121.0169710016</v>
      </c>
      <c r="R68" s="94">
        <v>-42385659.760000005</v>
      </c>
      <c r="S68" s="94">
        <v>-1129121.0169710016</v>
      </c>
      <c r="T68" s="94">
        <v>-42385659.760000005</v>
      </c>
      <c r="U68" s="94"/>
      <c r="V68" s="94"/>
      <c r="W68" s="94"/>
      <c r="X68" s="94"/>
      <c r="Y68" s="94"/>
    </row>
    <row r="69" spans="1:26">
      <c r="A69" s="119" t="s">
        <v>429</v>
      </c>
      <c r="B69" s="121" t="s">
        <v>12</v>
      </c>
      <c r="E69" s="94">
        <v>-597080.08093555097</v>
      </c>
      <c r="F69" s="94">
        <v>-24713873.146375895</v>
      </c>
      <c r="G69" s="94">
        <v>-519559.25083887612</v>
      </c>
      <c r="H69" s="94">
        <v>-21513192.914296426</v>
      </c>
      <c r="I69" s="94">
        <v>-518971.38</v>
      </c>
      <c r="J69" s="94">
        <v>-21642184.469999999</v>
      </c>
      <c r="K69" s="94">
        <v>-487859.71919553849</v>
      </c>
      <c r="L69" s="94">
        <v>-21704901.702886648</v>
      </c>
      <c r="M69" s="94">
        <v>-490902.92895479669</v>
      </c>
      <c r="N69" s="94">
        <v>-21836056.989468087</v>
      </c>
      <c r="O69" s="94">
        <v>-542280.87542388518</v>
      </c>
      <c r="P69" s="94">
        <v>-24321868.501115691</v>
      </c>
      <c r="Q69" s="94">
        <v>-549949.61783702031</v>
      </c>
      <c r="R69" s="94">
        <v>-25110532.12211116</v>
      </c>
      <c r="S69" s="94">
        <v>-537933.03228872456</v>
      </c>
      <c r="T69" s="94">
        <v>-24490651.428968698</v>
      </c>
      <c r="U69" s="94"/>
      <c r="V69" s="94"/>
      <c r="W69" s="94"/>
      <c r="X69" s="94"/>
    </row>
    <row r="70" spans="1:26">
      <c r="A70" s="119" t="s">
        <v>429</v>
      </c>
      <c r="B70" s="121" t="s">
        <v>363</v>
      </c>
      <c r="E70" s="94">
        <v>-91639.935909486536</v>
      </c>
      <c r="F70" s="94">
        <v>-3293628.008746691</v>
      </c>
      <c r="G70" s="94">
        <v>-259826.94093538393</v>
      </c>
      <c r="H70" s="94">
        <v>-10191278.027713517</v>
      </c>
      <c r="I70" s="94">
        <v>-611685.69999999995</v>
      </c>
      <c r="J70" s="94">
        <v>-25263548.359999999</v>
      </c>
      <c r="K70" s="94">
        <v>-626513.158178841</v>
      </c>
      <c r="L70" s="94">
        <v>-27204153.002437007</v>
      </c>
      <c r="M70" s="94">
        <v>-1414242.1527011131</v>
      </c>
      <c r="N70" s="94">
        <v>-64840266.039126143</v>
      </c>
      <c r="O70" s="94">
        <v>-1414783.295336436</v>
      </c>
      <c r="P70" s="94">
        <v>-65132514.505953588</v>
      </c>
      <c r="Q70" s="94">
        <v>-1430587.1771982142</v>
      </c>
      <c r="R70" s="94">
        <v>-68085901.080507174</v>
      </c>
      <c r="S70" s="94">
        <v>-1441478.7097789692</v>
      </c>
      <c r="T70" s="94">
        <v>-68848540.891908303</v>
      </c>
      <c r="U70" s="94"/>
      <c r="V70" s="94"/>
      <c r="W70" s="94"/>
      <c r="X70" s="94"/>
    </row>
    <row r="71" spans="1:26">
      <c r="A71" s="119" t="s">
        <v>429</v>
      </c>
      <c r="B71" s="121" t="s">
        <v>420</v>
      </c>
      <c r="E71" s="94">
        <v>-636530.24369937647</v>
      </c>
      <c r="F71" s="94">
        <v>-26041637.883474734</v>
      </c>
      <c r="G71" s="94">
        <v>-713911.25956922886</v>
      </c>
      <c r="H71" s="94">
        <v>-29182342.087478664</v>
      </c>
      <c r="I71" s="94">
        <v>-678470.55</v>
      </c>
      <c r="J71" s="94">
        <v>-27826109.350000001</v>
      </c>
      <c r="K71" s="94">
        <v>-678937.05974753201</v>
      </c>
      <c r="L71" s="94">
        <v>-29473359.102157045</v>
      </c>
      <c r="M71" s="94">
        <v>-690430.38520754105</v>
      </c>
      <c r="N71" s="94">
        <v>-30003067.805279624</v>
      </c>
      <c r="O71" s="94">
        <v>-667096.98039533256</v>
      </c>
      <c r="P71" s="94">
        <v>-28944383.15768946</v>
      </c>
      <c r="Q71" s="94">
        <v>-567617.89471264638</v>
      </c>
      <c r="R71" s="94">
        <v>-24710853.889436126</v>
      </c>
      <c r="S71" s="94">
        <v>-505303.98932431603</v>
      </c>
      <c r="T71" s="94">
        <v>-21663463.928595483</v>
      </c>
      <c r="U71" s="94"/>
      <c r="V71" s="94"/>
      <c r="W71" s="94"/>
      <c r="X71" s="94"/>
    </row>
    <row r="72" spans="1:26">
      <c r="A72" s="119" t="s">
        <v>429</v>
      </c>
      <c r="B72" s="121" t="s">
        <v>421</v>
      </c>
      <c r="E72" s="94">
        <v>-306972.91888244549</v>
      </c>
      <c r="F72" s="94">
        <v>-13489990.929977553</v>
      </c>
      <c r="G72" s="94">
        <v>-173258.18581257117</v>
      </c>
      <c r="H72" s="94">
        <v>-8030743.7942993687</v>
      </c>
      <c r="I72" s="94">
        <v>-52385.84</v>
      </c>
      <c r="J72" s="94">
        <v>-2981753.99</v>
      </c>
      <c r="K72" s="94">
        <v>108287.01063904467</v>
      </c>
      <c r="L72" s="94">
        <v>2920856.3850082927</v>
      </c>
      <c r="M72" s="94">
        <v>108287.01063904467</v>
      </c>
      <c r="N72" s="94">
        <v>2531028.8886215109</v>
      </c>
      <c r="O72" s="94">
        <v>411467.14924356475</v>
      </c>
      <c r="P72" s="94">
        <v>16895097.586955663</v>
      </c>
      <c r="Q72" s="94">
        <v>454425.76026342023</v>
      </c>
      <c r="R72" s="94">
        <v>18633673.420280211</v>
      </c>
      <c r="S72" s="94">
        <v>557663.88720933453</v>
      </c>
      <c r="T72" s="94">
        <v>23686882.972950589</v>
      </c>
      <c r="U72" s="94"/>
      <c r="V72" s="94"/>
      <c r="W72" s="94"/>
      <c r="X72" s="94"/>
    </row>
    <row r="73" spans="1:26">
      <c r="A73" s="119" t="s">
        <v>429</v>
      </c>
      <c r="B73" s="121" t="s">
        <v>422</v>
      </c>
      <c r="E73" s="94">
        <v>-516841.03181245824</v>
      </c>
      <c r="F73" s="94">
        <v>-21386991.654845465</v>
      </c>
      <c r="G73" s="94">
        <v>-479000.00850835559</v>
      </c>
      <c r="H73" s="94">
        <v>-19833067.57066467</v>
      </c>
      <c r="I73" s="94">
        <v>-470000.25</v>
      </c>
      <c r="J73" s="94">
        <v>-19578119.489999998</v>
      </c>
      <c r="K73" s="94">
        <v>-456321.12698003254</v>
      </c>
      <c r="L73" s="94">
        <v>-20444172.99633041</v>
      </c>
      <c r="M73" s="94">
        <v>-495000.00879268441</v>
      </c>
      <c r="N73" s="94">
        <v>-22090860.772360291</v>
      </c>
      <c r="O73" s="94">
        <v>-534378.7077998037</v>
      </c>
      <c r="P73" s="94">
        <v>-23960510.581142221</v>
      </c>
      <c r="Q73" s="94">
        <v>-482802.24792368041</v>
      </c>
      <c r="R73" s="94">
        <v>-21868625.084962603</v>
      </c>
      <c r="S73" s="94">
        <v>-465799.52152923285</v>
      </c>
      <c r="T73" s="94">
        <v>-20985389.774655126</v>
      </c>
      <c r="U73" s="94"/>
      <c r="V73" s="94"/>
      <c r="W73" s="94"/>
      <c r="X73" s="94"/>
    </row>
    <row r="74" spans="1:26">
      <c r="A74" s="119" t="s">
        <v>429</v>
      </c>
      <c r="B74" s="121" t="s">
        <v>423</v>
      </c>
      <c r="E74" s="94">
        <v>-531246.74754494987</v>
      </c>
      <c r="F74" s="94">
        <v>-21037537.64043282</v>
      </c>
      <c r="G74" s="94">
        <v>-540676.53705806413</v>
      </c>
      <c r="H74" s="94">
        <v>-21235724.340478435</v>
      </c>
      <c r="I74" s="94">
        <v>-1733903.06</v>
      </c>
      <c r="J74" s="94">
        <v>-72358638.260000005</v>
      </c>
      <c r="K74" s="94">
        <v>-654368.58362330217</v>
      </c>
      <c r="L74" s="94">
        <v>-26495690.662323795</v>
      </c>
      <c r="M74" s="94">
        <v>-840528.23402513086</v>
      </c>
      <c r="N74" s="94">
        <v>-34916662.752027333</v>
      </c>
      <c r="O74" s="94">
        <v>-1012634.4370555833</v>
      </c>
      <c r="P74" s="94">
        <v>-42996838.745832779</v>
      </c>
      <c r="Q74" s="94">
        <v>-1194446.2619491403</v>
      </c>
      <c r="R74" s="94">
        <v>-52387606.506555349</v>
      </c>
      <c r="S74" s="94">
        <v>-1396563.3723611925</v>
      </c>
      <c r="T74" s="94">
        <v>-61407244.27741868</v>
      </c>
      <c r="U74" s="94"/>
      <c r="V74" s="94"/>
      <c r="W74" s="94"/>
      <c r="X74" s="94"/>
      <c r="Y74" s="94"/>
    </row>
    <row r="75" spans="1:26">
      <c r="A75" s="119" t="s">
        <v>430</v>
      </c>
      <c r="B75" s="121" t="s">
        <v>13</v>
      </c>
      <c r="E75" s="94">
        <v>-6642970.7836900838</v>
      </c>
      <c r="F75" s="94">
        <v>-269672814.89283103</v>
      </c>
      <c r="G75" s="94">
        <v>-7528556.072710501</v>
      </c>
      <c r="H75" s="94">
        <v>-303819168.10229802</v>
      </c>
      <c r="I75" s="94">
        <v>-7962541.5499999998</v>
      </c>
      <c r="J75" s="94">
        <v>-323483075.56999999</v>
      </c>
      <c r="K75" s="94">
        <v>-10367977.862704216</v>
      </c>
      <c r="L75" s="94">
        <v>-440767837.61528999</v>
      </c>
      <c r="M75" s="94">
        <v>-11369248.579565365</v>
      </c>
      <c r="N75" s="94">
        <v>-489936424.32140499</v>
      </c>
      <c r="O75" s="94">
        <v>-11154223.575075636</v>
      </c>
      <c r="P75" s="94">
        <v>-479810618.05392504</v>
      </c>
      <c r="Q75" s="94">
        <v>-9999768.5332488697</v>
      </c>
      <c r="R75" s="94">
        <v>-426712318.04099602</v>
      </c>
      <c r="S75" s="94">
        <v>-9014003.0059773065</v>
      </c>
      <c r="T75" s="94">
        <v>-374279651.51876402</v>
      </c>
      <c r="X75" s="94"/>
      <c r="Y75" s="94">
        <f>V75/0.4</f>
        <v>0</v>
      </c>
    </row>
    <row r="76" spans="1:26">
      <c r="A76" s="119" t="s">
        <v>430</v>
      </c>
      <c r="B76" s="121" t="s">
        <v>419</v>
      </c>
      <c r="E76" s="94">
        <v>529212.62957997178</v>
      </c>
      <c r="F76" s="94">
        <v>20370017.489089999</v>
      </c>
      <c r="G76" s="94">
        <v>1739581.7897064257</v>
      </c>
      <c r="H76" s="94">
        <v>70251569</v>
      </c>
      <c r="I76" s="94">
        <v>1585528.04</v>
      </c>
      <c r="J76" s="94">
        <v>63895879</v>
      </c>
      <c r="K76" s="94">
        <v>1753197.7568475511</v>
      </c>
      <c r="L76" s="94">
        <v>66818710</v>
      </c>
      <c r="M76" s="94">
        <v>1602285.6208951026</v>
      </c>
      <c r="N76" s="94">
        <v>65185598</v>
      </c>
      <c r="O76" s="94">
        <v>1587817.77865918</v>
      </c>
      <c r="P76" s="94">
        <v>64554882</v>
      </c>
      <c r="Q76" s="94">
        <v>1642975.6264992452</v>
      </c>
      <c r="R76" s="94">
        <v>67309891</v>
      </c>
      <c r="S76" s="94">
        <v>1644304.4101561711</v>
      </c>
      <c r="T76" s="94">
        <v>67309889</v>
      </c>
      <c r="U76" s="94"/>
      <c r="V76" s="94"/>
      <c r="X76" s="94"/>
      <c r="Y76" s="94"/>
    </row>
    <row r="77" spans="1:26">
      <c r="A77" s="119" t="s">
        <v>430</v>
      </c>
      <c r="B77" s="121" t="s">
        <v>12</v>
      </c>
      <c r="E77" s="94">
        <v>80878.219414761086</v>
      </c>
      <c r="F77" s="94">
        <v>3339257.1838230002</v>
      </c>
      <c r="G77" s="94">
        <v>87094.880226986017</v>
      </c>
      <c r="H77" s="94">
        <v>3599766.0783299999</v>
      </c>
      <c r="I77" s="94">
        <v>86669.19</v>
      </c>
      <c r="J77" s="94">
        <v>3606409.96</v>
      </c>
      <c r="K77" s="94">
        <v>85967.212097389536</v>
      </c>
      <c r="L77" s="94">
        <v>3805725.8363140002</v>
      </c>
      <c r="M77" s="94">
        <v>87734.388720270697</v>
      </c>
      <c r="N77" s="94">
        <v>3892168.7161710002</v>
      </c>
      <c r="O77" s="94">
        <v>89660.045856101438</v>
      </c>
      <c r="P77" s="94">
        <v>4004916.5978049999</v>
      </c>
      <c r="Q77" s="94">
        <v>78847.388529849675</v>
      </c>
      <c r="R77" s="94">
        <v>3548031.2782749999</v>
      </c>
      <c r="S77" s="94">
        <v>89780.196173295219</v>
      </c>
      <c r="T77" s="94">
        <v>4105992.9560529999</v>
      </c>
    </row>
    <row r="78" spans="1:26">
      <c r="A78" s="119" t="s">
        <v>430</v>
      </c>
      <c r="B78" s="121" t="s">
        <v>363</v>
      </c>
      <c r="E78" s="94">
        <v>14284.509614331959</v>
      </c>
      <c r="F78" s="94">
        <v>611400</v>
      </c>
      <c r="G78" s="94">
        <v>11889.557825845566</v>
      </c>
      <c r="H78" s="94">
        <v>509434.86</v>
      </c>
      <c r="I78" s="94">
        <v>194627.4</v>
      </c>
      <c r="J78" s="94">
        <v>8311630</v>
      </c>
      <c r="K78" s="94">
        <v>124406.49333808845</v>
      </c>
      <c r="L78" s="94">
        <v>5285179.18</v>
      </c>
      <c r="M78" s="94">
        <v>-185396.84930956142</v>
      </c>
      <c r="N78" s="94">
        <v>-8726128.9600000009</v>
      </c>
      <c r="O78" s="94">
        <v>-215419.09046492423</v>
      </c>
      <c r="P78" s="94">
        <v>-10133773.609999999</v>
      </c>
      <c r="Q78" s="94">
        <v>-338147.46713863959</v>
      </c>
      <c r="R78" s="94">
        <v>-15929698.49</v>
      </c>
      <c r="S78" s="94">
        <v>-374936.94683589705</v>
      </c>
      <c r="T78" s="94">
        <v>-17708787.120000001</v>
      </c>
    </row>
    <row r="79" spans="1:26">
      <c r="A79" s="119" t="s">
        <v>430</v>
      </c>
      <c r="B79" s="121" t="s">
        <v>420</v>
      </c>
      <c r="E79" s="94">
        <v>-248776.01</v>
      </c>
      <c r="F79" s="94">
        <v>-9247548.8792418651</v>
      </c>
      <c r="G79" s="94">
        <v>-294500.09000000003</v>
      </c>
      <c r="H79" s="94">
        <v>-11069647.567360578</v>
      </c>
      <c r="I79" s="94">
        <v>-265547.26</v>
      </c>
      <c r="J79" s="94">
        <v>-9834138.3399999999</v>
      </c>
      <c r="K79" s="94">
        <v>-435623.14</v>
      </c>
      <c r="L79" s="94">
        <v>-17254439.804428283</v>
      </c>
      <c r="M79" s="94">
        <v>-394235.37</v>
      </c>
      <c r="N79" s="94">
        <v>-15382586.439206587</v>
      </c>
      <c r="O79" s="94">
        <v>-610059.62</v>
      </c>
      <c r="P79" s="94">
        <v>-25507809.860971104</v>
      </c>
      <c r="Q79" s="94">
        <v>-440352.44000000006</v>
      </c>
      <c r="R79" s="94">
        <v>-17480234.88413607</v>
      </c>
      <c r="S79" s="94">
        <v>-315091</v>
      </c>
      <c r="T79" s="94">
        <v>-11425353.660488065</v>
      </c>
    </row>
    <row r="80" spans="1:26">
      <c r="A80" s="119" t="s">
        <v>430</v>
      </c>
      <c r="B80" s="121" t="s">
        <v>421</v>
      </c>
      <c r="E80" s="94">
        <v>-7483.0236530000002</v>
      </c>
      <c r="F80" s="94">
        <v>2925742.1843858529</v>
      </c>
      <c r="G80" s="94">
        <v>-1170153.647568</v>
      </c>
      <c r="H80" s="94">
        <v>-44861393.573039271</v>
      </c>
      <c r="I80" s="94">
        <v>-3389941.29</v>
      </c>
      <c r="J80" s="94">
        <v>-139590196.63</v>
      </c>
      <c r="K80" s="94">
        <v>-3726024.1797259999</v>
      </c>
      <c r="L80" s="94">
        <v>-154221594.11714596</v>
      </c>
      <c r="M80" s="94">
        <v>-3726024.1797259999</v>
      </c>
      <c r="N80" s="94">
        <v>-150586451.67484853</v>
      </c>
      <c r="O80" s="94">
        <v>-5107835.5625679996</v>
      </c>
      <c r="P80" s="94">
        <v>-216882657.88197824</v>
      </c>
      <c r="Q80" s="94">
        <v>-5676107.789194</v>
      </c>
      <c r="R80" s="94">
        <v>-243946172.32939705</v>
      </c>
      <c r="S80" s="94">
        <v>-5977220.1145679997</v>
      </c>
      <c r="T80" s="94">
        <v>-258403691.59137151</v>
      </c>
    </row>
    <row r="81" spans="1:25">
      <c r="A81" s="119" t="s">
        <v>430</v>
      </c>
      <c r="B81" s="121" t="s">
        <v>422</v>
      </c>
      <c r="E81" s="94">
        <v>610624.25483300001</v>
      </c>
      <c r="F81" s="94">
        <v>23828182.175709531</v>
      </c>
      <c r="G81" s="94">
        <v>350000</v>
      </c>
      <c r="H81" s="94">
        <v>13008636.28956838</v>
      </c>
      <c r="I81" s="94">
        <v>643220.04</v>
      </c>
      <c r="J81" s="94">
        <v>25488476.57</v>
      </c>
      <c r="K81" s="94">
        <v>680290.17492099991</v>
      </c>
      <c r="L81" s="94">
        <v>26817388.194982458</v>
      </c>
      <c r="M81" s="94">
        <v>41000</v>
      </c>
      <c r="N81" s="94">
        <v>-3706677.5223193178</v>
      </c>
      <c r="O81" s="94">
        <v>-82880.881587986019</v>
      </c>
      <c r="P81" s="94">
        <v>-11595731.429116894</v>
      </c>
      <c r="Q81" s="94">
        <v>-415209.59642800008</v>
      </c>
      <c r="R81" s="94">
        <v>-25809419.743273862</v>
      </c>
      <c r="S81" s="94">
        <v>-354093.48852299998</v>
      </c>
      <c r="T81" s="94">
        <v>-23067373.70644496</v>
      </c>
    </row>
    <row r="82" spans="1:25">
      <c r="A82" s="119" t="s">
        <v>430</v>
      </c>
      <c r="B82" s="121" t="s">
        <v>423</v>
      </c>
      <c r="E82" s="94">
        <v>-1153112.9297226358</v>
      </c>
      <c r="F82" s="94">
        <v>-49043207.091569997</v>
      </c>
      <c r="G82" s="94">
        <v>-980734.69383765792</v>
      </c>
      <c r="H82" s="94">
        <v>-42648219.321570002</v>
      </c>
      <c r="I82" s="94">
        <v>195287.05</v>
      </c>
      <c r="J82" s="94">
        <v>7160481.0999999996</v>
      </c>
      <c r="K82" s="94">
        <v>486982.53191636282</v>
      </c>
      <c r="L82" s="94">
        <v>19706406.149999999</v>
      </c>
      <c r="M82" s="94">
        <v>587904.3138667274</v>
      </c>
      <c r="N82" s="94">
        <v>24273280.300000001</v>
      </c>
      <c r="O82" s="94">
        <v>629229.76047119009</v>
      </c>
      <c r="P82" s="94">
        <v>26208334.41</v>
      </c>
      <c r="Q82" s="94">
        <v>667094.53699500358</v>
      </c>
      <c r="R82" s="94">
        <v>28142662.25</v>
      </c>
      <c r="S82" s="94">
        <v>721617.97610110382</v>
      </c>
      <c r="T82" s="94">
        <v>30642326.079999998</v>
      </c>
    </row>
    <row r="83" spans="1:25">
      <c r="A83" s="119" t="s">
        <v>117</v>
      </c>
      <c r="B83" s="121" t="s">
        <v>13</v>
      </c>
      <c r="E83" s="94">
        <v>-5487863.5450040698</v>
      </c>
      <c r="F83" s="94">
        <v>-213943382.708931</v>
      </c>
      <c r="G83" s="94">
        <v>-6894801.1177374003</v>
      </c>
      <c r="H83" s="94">
        <v>-263688292.70021701</v>
      </c>
      <c r="I83" s="94">
        <v>24735444.57</v>
      </c>
      <c r="J83" s="94">
        <v>-1026397246.13</v>
      </c>
      <c r="K83" s="94">
        <v>-27131180.946467001</v>
      </c>
      <c r="L83" s="94">
        <v>-1186866635.0813</v>
      </c>
      <c r="M83" s="94">
        <v>-24488580.301020201</v>
      </c>
      <c r="N83" s="94">
        <v>-1056785780.3864599</v>
      </c>
      <c r="O83" s="94">
        <v>-26431220.325681798</v>
      </c>
      <c r="P83" s="94">
        <v>-1148231198.96422</v>
      </c>
      <c r="Q83" s="94">
        <v>-26769171.881848998</v>
      </c>
      <c r="R83" s="94">
        <v>-1170692339.2074699</v>
      </c>
      <c r="S83" s="94">
        <v>-29355247.544465698</v>
      </c>
      <c r="T83" s="94">
        <v>-1298234413.5876601</v>
      </c>
      <c r="U83" s="94"/>
      <c r="V83" s="94"/>
      <c r="W83" s="94"/>
      <c r="X83" s="94"/>
      <c r="Y83" s="94"/>
    </row>
    <row r="84" spans="1:25">
      <c r="A84" s="119" t="s">
        <v>117</v>
      </c>
      <c r="B84" s="121" t="s">
        <v>419</v>
      </c>
      <c r="E84" s="94">
        <v>3381594.0970857921</v>
      </c>
      <c r="F84" s="94">
        <v>138891659.66472602</v>
      </c>
      <c r="G84" s="94">
        <v>4835245.63114007</v>
      </c>
      <c r="H84" s="94">
        <v>199525786</v>
      </c>
      <c r="I84" s="94">
        <v>4485550.47</v>
      </c>
      <c r="J84" s="94">
        <v>185954945</v>
      </c>
      <c r="K84" s="94">
        <v>4037562.6688005067</v>
      </c>
      <c r="L84" s="94">
        <v>175042111.80999994</v>
      </c>
      <c r="M84" s="94">
        <v>4033614.9583187145</v>
      </c>
      <c r="N84" s="94">
        <v>175212503</v>
      </c>
      <c r="O84" s="94">
        <v>3930078.4989891844</v>
      </c>
      <c r="P84" s="94">
        <v>170474726</v>
      </c>
      <c r="Q84" s="94">
        <f>Q44+Q68+Q76</f>
        <v>3690226.0431255177</v>
      </c>
      <c r="R84" s="94">
        <f>R44+R68+R76</f>
        <v>165117482.24057698</v>
      </c>
      <c r="S84" s="94">
        <v>3807811.5109767891</v>
      </c>
      <c r="T84" s="94">
        <v>165117482.24057698</v>
      </c>
      <c r="U84" s="94"/>
      <c r="V84" s="94"/>
      <c r="X84" s="94"/>
      <c r="Y84" s="94"/>
    </row>
    <row r="85" spans="1:25">
      <c r="A85" s="119" t="s">
        <v>117</v>
      </c>
      <c r="B85" s="121" t="s">
        <v>12</v>
      </c>
      <c r="E85" s="94">
        <v>432587.94246070588</v>
      </c>
      <c r="F85" s="94">
        <v>18150451.785457</v>
      </c>
      <c r="G85" s="94">
        <v>379856.23538955196</v>
      </c>
      <c r="H85" s="94">
        <v>16161774.435152</v>
      </c>
      <c r="I85" s="94">
        <v>-304523.53000000003</v>
      </c>
      <c r="J85" s="94">
        <v>-12966393.49</v>
      </c>
      <c r="K85" s="94">
        <v>-8532.6132985689292</v>
      </c>
      <c r="L85" s="94">
        <v>-180922.18306800001</v>
      </c>
      <c r="M85" s="94">
        <v>-11895.59062541178</v>
      </c>
      <c r="N85" s="94">
        <v>-250823.56147300001</v>
      </c>
      <c r="O85" s="94">
        <v>-2710.3744199168868</v>
      </c>
      <c r="P85" s="94">
        <v>265482.85584500001</v>
      </c>
      <c r="Q85" s="94">
        <v>10982.954085163932</v>
      </c>
      <c r="R85" s="94">
        <v>1329590.44615</v>
      </c>
      <c r="S85" s="94">
        <v>19030.509020204961</v>
      </c>
      <c r="T85" s="94">
        <v>1749472.629158</v>
      </c>
      <c r="U85" s="94"/>
      <c r="V85" s="94"/>
      <c r="X85" s="94"/>
      <c r="Y85" s="94"/>
    </row>
    <row r="86" spans="1:25">
      <c r="A86" s="119" t="s">
        <v>117</v>
      </c>
      <c r="B86" s="121" t="s">
        <v>363</v>
      </c>
      <c r="E86" s="94">
        <v>832054.57267241541</v>
      </c>
      <c r="F86" s="94">
        <v>35395578.265368</v>
      </c>
      <c r="G86" s="94">
        <v>555576.51633253787</v>
      </c>
      <c r="H86" s="94">
        <v>24211431.252953</v>
      </c>
      <c r="I86" s="94">
        <v>-161527.07999999999</v>
      </c>
      <c r="J86" s="94">
        <v>-6207033.0700000003</v>
      </c>
      <c r="K86" s="94">
        <v>154941.28480607111</v>
      </c>
      <c r="L86" s="94">
        <v>8881203.6163899992</v>
      </c>
      <c r="M86" s="94">
        <v>-1190907.302027978</v>
      </c>
      <c r="N86" s="94">
        <v>-54473605.82</v>
      </c>
      <c r="O86" s="94">
        <v>-1200183.7200708177</v>
      </c>
      <c r="P86" s="94">
        <v>-55090295.231686004</v>
      </c>
      <c r="Q86" s="94">
        <v>-1438897.0574418819</v>
      </c>
      <c r="R86" s="94">
        <v>-68196442.370637</v>
      </c>
      <c r="S86" s="94">
        <v>-1708263.0658338086</v>
      </c>
      <c r="T86" s="94">
        <v>-81966873.455131993</v>
      </c>
      <c r="U86" s="94"/>
      <c r="V86" s="94"/>
      <c r="X86" s="94"/>
      <c r="Y86" s="94"/>
    </row>
    <row r="87" spans="1:25">
      <c r="A87" s="119" t="s">
        <v>117</v>
      </c>
      <c r="B87" s="121" t="s">
        <v>420</v>
      </c>
      <c r="E87" s="94">
        <v>29450518.930331003</v>
      </c>
      <c r="F87" s="94">
        <v>1228116543.0741935</v>
      </c>
      <c r="G87" s="94">
        <v>31444330.893757001</v>
      </c>
      <c r="H87" s="94">
        <v>1320436907.7748508</v>
      </c>
      <c r="I87" s="94">
        <v>33112680.120000001</v>
      </c>
      <c r="J87" s="94">
        <v>1402495572.8</v>
      </c>
      <c r="K87" s="94">
        <v>33072093.005493004</v>
      </c>
      <c r="L87" s="94">
        <v>1525617274.9642634</v>
      </c>
      <c r="M87" s="94">
        <v>31418836.876524001</v>
      </c>
      <c r="N87" s="94">
        <v>1453311774.3374233</v>
      </c>
      <c r="O87" s="94">
        <v>26127355.449838005</v>
      </c>
      <c r="P87" s="94">
        <v>1203521937.3731544</v>
      </c>
      <c r="Q87" s="94">
        <v>24775372.404872</v>
      </c>
      <c r="R87" s="94">
        <v>1175594133.1844621</v>
      </c>
      <c r="S87" s="94">
        <v>24365530.183507998</v>
      </c>
      <c r="T87" s="94">
        <v>1153154023.8681571</v>
      </c>
      <c r="U87" s="94"/>
      <c r="V87" s="94"/>
      <c r="X87" s="94"/>
      <c r="Y87" s="94"/>
    </row>
    <row r="88" spans="1:25">
      <c r="A88" s="119" t="s">
        <v>117</v>
      </c>
      <c r="B88" s="121" t="s">
        <v>421</v>
      </c>
      <c r="E88" s="94">
        <v>16673463.679524001</v>
      </c>
      <c r="F88" s="94">
        <v>688595593.16547954</v>
      </c>
      <c r="G88" s="94">
        <v>20358575.912179001</v>
      </c>
      <c r="H88" s="94">
        <v>847050841.0740906</v>
      </c>
      <c r="I88" s="94">
        <v>18495589.390000001</v>
      </c>
      <c r="J88" s="94">
        <v>773389140.27999997</v>
      </c>
      <c r="K88" s="94">
        <v>18083391.613685001</v>
      </c>
      <c r="L88" s="94">
        <v>815783867.20735991</v>
      </c>
      <c r="M88" s="94">
        <v>18083391.613685001</v>
      </c>
      <c r="N88" s="94">
        <v>820009479.99288523</v>
      </c>
      <c r="O88" s="94">
        <v>17856153.245163999</v>
      </c>
      <c r="P88" s="94">
        <v>810235094.46905792</v>
      </c>
      <c r="Q88" s="94">
        <v>17234844.281872001</v>
      </c>
      <c r="R88" s="94">
        <v>801215771.70686507</v>
      </c>
      <c r="S88" s="94">
        <v>17331704.677306</v>
      </c>
      <c r="T88" s="94">
        <v>802757815.81950164</v>
      </c>
      <c r="U88" s="94"/>
      <c r="V88" s="94"/>
      <c r="X88" s="94"/>
      <c r="Y88" s="94"/>
    </row>
    <row r="89" spans="1:25">
      <c r="A89" s="119" t="s">
        <v>117</v>
      </c>
      <c r="B89" s="121" t="s">
        <v>422</v>
      </c>
      <c r="E89" s="94">
        <v>13355041.411656002</v>
      </c>
      <c r="F89" s="94">
        <v>550805237.71420872</v>
      </c>
      <c r="G89" s="94">
        <v>18731000</v>
      </c>
      <c r="H89" s="94">
        <v>779261638.7273947</v>
      </c>
      <c r="I89" s="94">
        <v>20580986.329999998</v>
      </c>
      <c r="J89" s="94">
        <v>863900817.50999999</v>
      </c>
      <c r="K89" s="94">
        <v>20679179.109735001</v>
      </c>
      <c r="L89" s="94">
        <v>933119359.58703041</v>
      </c>
      <c r="M89" s="94">
        <v>20842000</v>
      </c>
      <c r="N89" s="94">
        <v>942780906.34418643</v>
      </c>
      <c r="O89" s="94">
        <v>19741231.489732001</v>
      </c>
      <c r="P89" s="94">
        <v>892532023.10233188</v>
      </c>
      <c r="Q89" s="94">
        <v>17394857.987539999</v>
      </c>
      <c r="R89" s="94">
        <v>797848674.83775377</v>
      </c>
      <c r="S89" s="94">
        <v>18113913.048678</v>
      </c>
      <c r="T89" s="94">
        <v>831441118.51746941</v>
      </c>
      <c r="U89" s="94"/>
      <c r="V89" s="94"/>
      <c r="X89" s="94"/>
      <c r="Y89" s="94"/>
    </row>
    <row r="90" spans="1:25">
      <c r="A90" s="119" t="s">
        <v>117</v>
      </c>
      <c r="B90" s="121" t="s">
        <v>423</v>
      </c>
      <c r="E90" s="94">
        <v>1374337.0120395278</v>
      </c>
      <c r="F90" s="94">
        <v>55094998.083206996</v>
      </c>
      <c r="G90" s="94">
        <v>1407976.4370967301</v>
      </c>
      <c r="H90" s="94">
        <v>56006339.750637002</v>
      </c>
      <c r="I90" s="94">
        <v>1719330.99</v>
      </c>
      <c r="J90" s="94">
        <v>69094453.129999995</v>
      </c>
      <c r="K90" s="94">
        <v>1816111.7576487085</v>
      </c>
      <c r="L90" s="94">
        <v>76862905.973070994</v>
      </c>
      <c r="M90" s="94">
        <v>1735485.8364133013</v>
      </c>
      <c r="N90" s="94">
        <v>74017362.609215006</v>
      </c>
      <c r="O90" s="94">
        <v>1812986.7273174878</v>
      </c>
      <c r="P90" s="94">
        <v>77858772.813859999</v>
      </c>
      <c r="Q90" s="94">
        <v>1803561.8147507613</v>
      </c>
      <c r="R90" s="94">
        <v>79394818.167980999</v>
      </c>
      <c r="S90" s="94">
        <v>1962063.7591777153</v>
      </c>
      <c r="T90" s="94">
        <v>86608323.125030994</v>
      </c>
      <c r="U90" s="94"/>
      <c r="V90" s="94"/>
      <c r="X90" s="94"/>
      <c r="Y90" s="94"/>
    </row>
    <row r="91" spans="1:25">
      <c r="A91" s="119" t="s">
        <v>18</v>
      </c>
      <c r="B91" s="121" t="s">
        <v>13</v>
      </c>
      <c r="E91" s="94">
        <v>0</v>
      </c>
      <c r="F91" s="94">
        <v>0</v>
      </c>
      <c r="G91" s="94">
        <v>0</v>
      </c>
      <c r="H91" s="94">
        <v>0</v>
      </c>
      <c r="I91" s="94">
        <v>0</v>
      </c>
      <c r="J91" s="94">
        <v>0</v>
      </c>
      <c r="K91" s="94">
        <v>0</v>
      </c>
      <c r="L91" s="94">
        <v>0</v>
      </c>
      <c r="M91" s="94">
        <v>0</v>
      </c>
      <c r="N91" s="94">
        <v>0</v>
      </c>
      <c r="O91" s="94">
        <v>0</v>
      </c>
      <c r="P91" s="94">
        <v>0</v>
      </c>
      <c r="Q91" s="94">
        <v>0</v>
      </c>
      <c r="R91" s="94">
        <v>0</v>
      </c>
      <c r="S91">
        <v>0</v>
      </c>
      <c r="T91">
        <v>0</v>
      </c>
      <c r="W91" s="94"/>
      <c r="X91" s="94"/>
    </row>
    <row r="92" spans="1:25">
      <c r="A92" s="119" t="s">
        <v>18</v>
      </c>
      <c r="B92" s="121" t="s">
        <v>419</v>
      </c>
      <c r="E92" s="94">
        <v>845398.52507533773</v>
      </c>
      <c r="F92" s="94">
        <v>34722914.916180998</v>
      </c>
      <c r="G92" s="94">
        <v>450901.09242453752</v>
      </c>
      <c r="H92" s="94">
        <v>49881447</v>
      </c>
      <c r="I92" s="94">
        <v>1050824.3632463501</v>
      </c>
      <c r="J92" s="94">
        <v>46488736</v>
      </c>
      <c r="K92" s="94">
        <v>822623.83352030697</v>
      </c>
      <c r="L92" s="94">
        <v>43325458.702333003</v>
      </c>
      <c r="M92" s="94">
        <v>268608.16299344454</v>
      </c>
      <c r="N92" s="94">
        <v>43803126</v>
      </c>
      <c r="O92" s="94">
        <v>410741.47057132982</v>
      </c>
      <c r="P92" s="94">
        <v>42618681</v>
      </c>
      <c r="Q92" s="94">
        <v>590843.0018896478</v>
      </c>
      <c r="R92" s="94">
        <v>41279370.560144</v>
      </c>
      <c r="S92" s="94">
        <v>827154.96519707423</v>
      </c>
      <c r="T92" s="94">
        <v>41279370.560144</v>
      </c>
      <c r="U92" s="94"/>
      <c r="V92" s="94"/>
      <c r="W92" s="94"/>
      <c r="X92" s="94"/>
    </row>
    <row r="93" spans="1:25">
      <c r="A93" s="119" t="s">
        <v>18</v>
      </c>
      <c r="B93" s="121" t="s">
        <v>12</v>
      </c>
      <c r="E93" s="94">
        <v>108148.02255982946</v>
      </c>
      <c r="F93" s="94">
        <v>4537612.9463640004</v>
      </c>
      <c r="G93" s="94">
        <v>95395.399324777958</v>
      </c>
      <c r="H93" s="94">
        <v>4040443.608788</v>
      </c>
      <c r="I93" s="94">
        <v>109.02</v>
      </c>
      <c r="J93" s="94">
        <v>0</v>
      </c>
      <c r="K93" s="94">
        <v>1.8742182997612433</v>
      </c>
      <c r="L93" s="94">
        <v>0</v>
      </c>
      <c r="M93" s="94">
        <v>1.9333944669502454</v>
      </c>
      <c r="N93" s="94">
        <v>0</v>
      </c>
      <c r="O93" s="94">
        <v>1.9830577288798406</v>
      </c>
      <c r="P93" s="94">
        <v>0</v>
      </c>
      <c r="Q93" s="94">
        <v>2.3131390162173755</v>
      </c>
      <c r="R93" s="94">
        <v>0</v>
      </c>
      <c r="S93">
        <v>8446.7769391150669</v>
      </c>
      <c r="T93">
        <v>437368.157289</v>
      </c>
      <c r="W93" s="94"/>
      <c r="X93" s="94"/>
    </row>
    <row r="94" spans="1:25">
      <c r="A94" s="119" t="s">
        <v>18</v>
      </c>
      <c r="B94" s="121" t="s">
        <v>363</v>
      </c>
      <c r="E94" s="94">
        <v>166596.16785267889</v>
      </c>
      <c r="F94" s="94">
        <v>7079115.653074</v>
      </c>
      <c r="G94" s="94">
        <v>140575.37429840298</v>
      </c>
      <c r="H94" s="94">
        <v>6052857.8132379996</v>
      </c>
      <c r="I94" s="94">
        <v>2736.53</v>
      </c>
      <c r="J94" s="94">
        <v>0</v>
      </c>
      <c r="K94" s="94">
        <v>37203.853441513922</v>
      </c>
      <c r="L94" s="94">
        <v>1776240.723278</v>
      </c>
      <c r="M94" s="94">
        <v>68.247321702654972</v>
      </c>
      <c r="N94" s="94">
        <v>0</v>
      </c>
      <c r="O94" s="94">
        <v>3357.1263476551148</v>
      </c>
      <c r="P94" s="94">
        <v>0</v>
      </c>
      <c r="Q94" s="94">
        <v>1106.1965044759891</v>
      </c>
      <c r="R94" s="94">
        <v>0</v>
      </c>
      <c r="S94" s="94">
        <v>482.83212432487926</v>
      </c>
      <c r="T94" s="94">
        <v>0</v>
      </c>
      <c r="W94" s="94"/>
      <c r="X94" s="94"/>
    </row>
    <row r="95" spans="1:25">
      <c r="A95" s="119" t="s">
        <v>18</v>
      </c>
      <c r="B95" s="121" t="s">
        <v>420</v>
      </c>
      <c r="E95" s="94">
        <v>262919.78775199997</v>
      </c>
      <c r="F95" s="94">
        <v>13759454.546695571</v>
      </c>
      <c r="G95" s="94">
        <v>1042290.876149</v>
      </c>
      <c r="H95" s="94">
        <v>41097739.265006565</v>
      </c>
      <c r="I95" s="94">
        <v>1396172.03</v>
      </c>
      <c r="J95" s="94">
        <v>56311165.590000004</v>
      </c>
      <c r="K95" s="94">
        <v>1557074.267216</v>
      </c>
      <c r="L95" s="94">
        <v>63164718.697219625</v>
      </c>
      <c r="M95" s="94">
        <v>1989182.132277</v>
      </c>
      <c r="N95" s="94">
        <v>83458842.743790671</v>
      </c>
      <c r="O95" s="94">
        <v>1215976.518255</v>
      </c>
      <c r="P95" s="94">
        <v>46706389.08684954</v>
      </c>
      <c r="Q95" s="94">
        <v>882062.29784000001</v>
      </c>
      <c r="R95" s="94">
        <v>29720447.493328534</v>
      </c>
      <c r="S95">
        <v>1376286.64053</v>
      </c>
      <c r="T95">
        <v>55703969.12044289</v>
      </c>
      <c r="W95" s="94"/>
      <c r="X95" s="94"/>
    </row>
    <row r="96" spans="1:25">
      <c r="A96" s="119" t="s">
        <v>18</v>
      </c>
      <c r="B96" s="121" t="s">
        <v>421</v>
      </c>
      <c r="E96" s="94">
        <v>5337893.0201620003</v>
      </c>
      <c r="F96" s="94">
        <v>220032442.81290612</v>
      </c>
      <c r="G96" s="94">
        <v>4488849.4881370002</v>
      </c>
      <c r="H96" s="94">
        <v>186199670.22534716</v>
      </c>
      <c r="I96" s="94">
        <v>4095607.09</v>
      </c>
      <c r="J96" s="94">
        <v>170805310.52000001</v>
      </c>
      <c r="K96" s="94">
        <v>3985061.4757960001</v>
      </c>
      <c r="L96" s="94">
        <v>182610236.12782085</v>
      </c>
      <c r="M96" s="94">
        <v>3985061.4757960001</v>
      </c>
      <c r="N96" s="94">
        <v>183601340.49663606</v>
      </c>
      <c r="O96" s="94">
        <v>4677605.4388730004</v>
      </c>
      <c r="P96" s="94">
        <v>218787925.54224911</v>
      </c>
      <c r="Q96" s="94">
        <v>8383449.7694870001</v>
      </c>
      <c r="R96" s="94">
        <v>418822993.77412838</v>
      </c>
      <c r="S96">
        <v>8408478.1978670005</v>
      </c>
      <c r="T96">
        <v>425343810.60156476</v>
      </c>
      <c r="W96" s="94"/>
      <c r="X96" s="94"/>
    </row>
    <row r="97" spans="1:27">
      <c r="A97" s="119" t="s">
        <v>18</v>
      </c>
      <c r="B97" s="121" t="s">
        <v>422</v>
      </c>
      <c r="E97" s="94">
        <v>2992586.8899119999</v>
      </c>
      <c r="F97" s="94">
        <v>122281729.23820637</v>
      </c>
      <c r="G97" s="94">
        <v>4130000</v>
      </c>
      <c r="H97" s="94">
        <v>169809496.44102141</v>
      </c>
      <c r="I97" s="94">
        <v>4894637.2300000004</v>
      </c>
      <c r="J97" s="94">
        <v>203559556.30000001</v>
      </c>
      <c r="K97" s="94">
        <v>5132867.4138730001</v>
      </c>
      <c r="L97" s="94">
        <v>227023345.51366657</v>
      </c>
      <c r="M97" s="94">
        <v>4876000</v>
      </c>
      <c r="N97" s="94">
        <v>215421320.89332283</v>
      </c>
      <c r="O97" s="94">
        <v>4700896.5928039998</v>
      </c>
      <c r="P97" s="94">
        <v>208143752.32619852</v>
      </c>
      <c r="Q97" s="94">
        <v>4211071.5147839999</v>
      </c>
      <c r="R97" s="94">
        <v>188292046.80176228</v>
      </c>
      <c r="S97">
        <v>4273660.0162660005</v>
      </c>
      <c r="T97">
        <v>191292625.03736517</v>
      </c>
      <c r="W97" s="94"/>
      <c r="X97" s="94"/>
      <c r="AA97" s="94"/>
    </row>
    <row r="98" spans="1:27">
      <c r="A98" s="119" t="s">
        <v>18</v>
      </c>
      <c r="B98" s="121" t="s">
        <v>423</v>
      </c>
      <c r="E98" s="94">
        <v>358196.85994918953</v>
      </c>
      <c r="F98" s="94">
        <v>14720935.788276</v>
      </c>
      <c r="G98" s="94">
        <v>187178.06097466877</v>
      </c>
      <c r="H98" s="94">
        <v>7677736.7537590005</v>
      </c>
      <c r="I98" s="94">
        <v>390261.76000000001</v>
      </c>
      <c r="J98" s="94">
        <v>16420761.220000001</v>
      </c>
      <c r="K98" s="94">
        <v>268433.26750406629</v>
      </c>
      <c r="L98" s="94">
        <v>12321786.662776001</v>
      </c>
      <c r="M98" s="94">
        <v>345945.72746966459</v>
      </c>
      <c r="N98" s="94">
        <v>15949028.828092</v>
      </c>
      <c r="O98" s="94">
        <v>360080.77681159339</v>
      </c>
      <c r="P98" s="94">
        <v>16677680.680880001</v>
      </c>
      <c r="Q98" s="94">
        <v>389209.71891270933</v>
      </c>
      <c r="R98" s="94">
        <v>18751817.803966999</v>
      </c>
      <c r="S98">
        <v>349577.52502820431</v>
      </c>
      <c r="T98">
        <v>16581018.576270999</v>
      </c>
      <c r="W98" s="94"/>
      <c r="X98" s="94"/>
    </row>
    <row r="99" spans="1:27">
      <c r="A99" s="119" t="s">
        <v>5</v>
      </c>
      <c r="B99" s="121" t="s">
        <v>13</v>
      </c>
      <c r="E99" s="94">
        <v>-5487863.5450040698</v>
      </c>
      <c r="F99" s="94">
        <v>-213943382.708931</v>
      </c>
      <c r="G99" s="94">
        <v>-6894801.1177374003</v>
      </c>
      <c r="H99" s="94">
        <v>-263688292.70021701</v>
      </c>
      <c r="I99" s="94">
        <v>-24735444.57</v>
      </c>
      <c r="J99" s="94">
        <v>-1026397246.13</v>
      </c>
      <c r="K99" s="94">
        <v>-27131180.946467001</v>
      </c>
      <c r="L99" s="94">
        <v>-1186866635.0813</v>
      </c>
      <c r="M99" s="94">
        <v>-24488580.301020201</v>
      </c>
      <c r="N99" s="94">
        <v>-1056785780.3864599</v>
      </c>
      <c r="O99" s="94">
        <v>-26431220.325681798</v>
      </c>
      <c r="P99" s="94">
        <v>-1148231198.96422</v>
      </c>
      <c r="Q99" s="94">
        <v>-26769171.881848998</v>
      </c>
      <c r="R99" s="94">
        <v>-1170692339.2074699</v>
      </c>
      <c r="S99" s="94">
        <v>-29355247.544465698</v>
      </c>
      <c r="T99" s="94">
        <v>-1298234413.5876601</v>
      </c>
      <c r="U99" s="94"/>
      <c r="V99" s="94"/>
      <c r="W99" s="304"/>
      <c r="Y99" s="94"/>
    </row>
    <row r="100" spans="1:27">
      <c r="A100" s="119" t="s">
        <v>5</v>
      </c>
      <c r="B100" s="121" t="s">
        <v>419</v>
      </c>
      <c r="E100" s="94">
        <v>2536195.5720104543</v>
      </c>
      <c r="F100" s="94">
        <v>104168744.74854502</v>
      </c>
      <c r="G100" s="94">
        <v>4384344.538715532</v>
      </c>
      <c r="H100" s="94">
        <v>149644339</v>
      </c>
      <c r="I100" s="94">
        <v>4398416.4800000004</v>
      </c>
      <c r="J100" s="94">
        <v>139466209</v>
      </c>
      <c r="K100" s="94">
        <v>3214938.8352801995</v>
      </c>
      <c r="L100" s="94">
        <v>131716653.10766694</v>
      </c>
      <c r="M100" s="94">
        <v>3765006.7953252699</v>
      </c>
      <c r="N100" s="94">
        <v>131409377</v>
      </c>
      <c r="O100" s="94">
        <v>3519337.0284178546</v>
      </c>
      <c r="P100" s="94">
        <v>127856045</v>
      </c>
      <c r="Q100" s="94">
        <f>Q84-Q92</f>
        <v>3099383.0412358698</v>
      </c>
      <c r="R100" s="94">
        <f>R84-R92</f>
        <v>123838111.68043298</v>
      </c>
      <c r="S100" s="94">
        <v>2980656.5457797148</v>
      </c>
      <c r="T100" s="94">
        <v>123838111.68043298</v>
      </c>
      <c r="U100" s="94"/>
      <c r="V100" s="94"/>
      <c r="W100" s="305"/>
      <c r="X100" s="94"/>
      <c r="Y100" s="94"/>
    </row>
    <row r="101" spans="1:27">
      <c r="A101" s="119" t="s">
        <v>5</v>
      </c>
      <c r="B101" s="121" t="s">
        <v>12</v>
      </c>
      <c r="E101" s="94">
        <v>324439.91990087641</v>
      </c>
      <c r="F101" s="94">
        <v>13612838.839093</v>
      </c>
      <c r="G101" s="94">
        <v>284460.83606477402</v>
      </c>
      <c r="H101" s="94">
        <v>12121330.826363999</v>
      </c>
      <c r="I101" s="94">
        <v>-304632.55</v>
      </c>
      <c r="J101" s="94">
        <v>-12966393.49</v>
      </c>
      <c r="K101" s="94">
        <v>-8534.4875168686904</v>
      </c>
      <c r="L101" s="94">
        <v>-180922.18306800001</v>
      </c>
      <c r="M101" s="94">
        <v>-11897.524019878731</v>
      </c>
      <c r="N101" s="94">
        <v>-250823.56147300001</v>
      </c>
      <c r="O101" s="94">
        <v>-2712.3574776457667</v>
      </c>
      <c r="P101" s="94">
        <v>265482.85584500001</v>
      </c>
      <c r="Q101" s="94">
        <v>10980.640946147714</v>
      </c>
      <c r="R101" s="94">
        <v>1329590.44615</v>
      </c>
      <c r="S101" s="94">
        <v>10583.732081089895</v>
      </c>
      <c r="T101" s="94">
        <v>1312104.471869</v>
      </c>
      <c r="U101" s="94"/>
      <c r="V101" s="282"/>
      <c r="W101" s="306"/>
    </row>
    <row r="102" spans="1:27">
      <c r="A102" s="119" t="s">
        <v>5</v>
      </c>
      <c r="B102" s="121" t="s">
        <v>363</v>
      </c>
      <c r="E102" s="94">
        <v>665458.40481973649</v>
      </c>
      <c r="F102" s="94">
        <v>28316462.612294</v>
      </c>
      <c r="G102" s="94">
        <v>415001.14203413489</v>
      </c>
      <c r="H102" s="94">
        <v>18158573.439715002</v>
      </c>
      <c r="I102" s="94">
        <v>-164263.60999999999</v>
      </c>
      <c r="J102" s="94">
        <v>-6207033.0700000003</v>
      </c>
      <c r="K102" s="94">
        <v>117737.43136455718</v>
      </c>
      <c r="L102" s="94">
        <v>7104962.8931119991</v>
      </c>
      <c r="M102" s="94">
        <v>-1190975.5493496805</v>
      </c>
      <c r="N102" s="94">
        <v>-54473605.82</v>
      </c>
      <c r="O102" s="94">
        <v>-1203540.8464184729</v>
      </c>
      <c r="P102" s="94">
        <v>-55090295.231686004</v>
      </c>
      <c r="Q102" s="94">
        <v>-1440003.2539463579</v>
      </c>
      <c r="R102" s="94">
        <v>-68196442.370637</v>
      </c>
      <c r="S102" s="94">
        <v>-1708745.8979581336</v>
      </c>
      <c r="T102" s="94">
        <v>-81966873.455131993</v>
      </c>
      <c r="U102" s="94"/>
      <c r="V102" s="282"/>
      <c r="W102" s="306"/>
    </row>
    <row r="103" spans="1:27">
      <c r="A103" s="119" t="s">
        <v>5</v>
      </c>
      <c r="B103" s="121" t="s">
        <v>420</v>
      </c>
      <c r="E103" s="94">
        <v>29187599.142579</v>
      </c>
      <c r="F103" s="94">
        <v>1214357088.527498</v>
      </c>
      <c r="G103" s="94">
        <v>30402040.017608002</v>
      </c>
      <c r="H103" s="94">
        <v>1279339168.5098443</v>
      </c>
      <c r="I103" s="94">
        <v>31716508.09</v>
      </c>
      <c r="J103" s="94">
        <v>1346184407.21</v>
      </c>
      <c r="K103" s="94">
        <v>31515018.738277003</v>
      </c>
      <c r="L103" s="94">
        <v>1462452556.2670438</v>
      </c>
      <c r="M103" s="94">
        <v>29429654.744247001</v>
      </c>
      <c r="N103" s="94">
        <v>1369852931.5936327</v>
      </c>
      <c r="O103" s="94">
        <v>24911378.931583002</v>
      </c>
      <c r="P103" s="94">
        <v>1156815548.286305</v>
      </c>
      <c r="Q103" s="94">
        <v>23893310.107031997</v>
      </c>
      <c r="R103" s="94">
        <v>1145873685.6911333</v>
      </c>
      <c r="S103" s="94">
        <v>22989243.542978</v>
      </c>
      <c r="T103" s="94">
        <v>1097450054.7477143</v>
      </c>
      <c r="U103" s="94"/>
      <c r="V103" s="94"/>
      <c r="W103" s="307"/>
    </row>
    <row r="104" spans="1:27">
      <c r="A104" s="119" t="s">
        <v>5</v>
      </c>
      <c r="B104" s="121" t="s">
        <v>421</v>
      </c>
      <c r="E104" s="94">
        <v>11335570.659361999</v>
      </c>
      <c r="F104" s="94">
        <v>468563150.35257345</v>
      </c>
      <c r="G104" s="94">
        <v>15869726.424042</v>
      </c>
      <c r="H104" s="94">
        <v>660851170.84874344</v>
      </c>
      <c r="I104" s="94">
        <v>14399982.300000001</v>
      </c>
      <c r="J104" s="94">
        <v>602583829.76999998</v>
      </c>
      <c r="K104" s="94">
        <v>14098330.137889</v>
      </c>
      <c r="L104" s="94">
        <v>633173631.07953906</v>
      </c>
      <c r="M104" s="94">
        <v>14098330.137889</v>
      </c>
      <c r="N104" s="94">
        <v>636408139.4962492</v>
      </c>
      <c r="O104" s="94">
        <v>13178547.806290997</v>
      </c>
      <c r="P104" s="94">
        <v>591447168.92680883</v>
      </c>
      <c r="Q104" s="94">
        <v>8851394.5123849995</v>
      </c>
      <c r="R104" s="94">
        <v>382392777.93273669</v>
      </c>
      <c r="S104" s="94">
        <v>8923226.4794389997</v>
      </c>
      <c r="T104" s="94">
        <v>377414005.21793693</v>
      </c>
      <c r="U104" s="94"/>
      <c r="V104" s="94"/>
      <c r="W104" s="307"/>
    </row>
    <row r="105" spans="1:27">
      <c r="A105" s="119" t="s">
        <v>5</v>
      </c>
      <c r="B105" s="121" t="s">
        <v>422</v>
      </c>
      <c r="E105" s="94">
        <v>10362454.521744002</v>
      </c>
      <c r="F105" s="94">
        <v>428523508.47600234</v>
      </c>
      <c r="G105" s="94">
        <v>14601000</v>
      </c>
      <c r="H105" s="94">
        <v>609452142.28637338</v>
      </c>
      <c r="I105" s="94">
        <v>15686349.1</v>
      </c>
      <c r="J105" s="94">
        <v>660341261.21000004</v>
      </c>
      <c r="K105" s="94">
        <v>15546311.695862003</v>
      </c>
      <c r="L105" s="94">
        <v>706096014.07336378</v>
      </c>
      <c r="M105" s="94">
        <v>15966000</v>
      </c>
      <c r="N105" s="94">
        <v>727359585.4508636</v>
      </c>
      <c r="O105" s="94">
        <v>15040334.896928001</v>
      </c>
      <c r="P105" s="94">
        <v>684388270.7761333</v>
      </c>
      <c r="Q105" s="94">
        <v>13183786.472756</v>
      </c>
      <c r="R105" s="94">
        <v>609556628.03599143</v>
      </c>
      <c r="S105" s="94">
        <v>13840253.032412</v>
      </c>
      <c r="T105" s="94">
        <v>640148493.48010421</v>
      </c>
      <c r="U105" s="94"/>
      <c r="V105" s="94"/>
      <c r="W105" s="307"/>
    </row>
    <row r="106" spans="1:27">
      <c r="A106" s="119" t="s">
        <v>5</v>
      </c>
      <c r="B106" s="121" t="s">
        <v>423</v>
      </c>
      <c r="E106" s="94">
        <v>1016140.1520903382</v>
      </c>
      <c r="F106" s="94">
        <v>40374062.294931002</v>
      </c>
      <c r="G106" s="94">
        <v>1220798.3761220614</v>
      </c>
      <c r="H106" s="94">
        <v>48328602.996877998</v>
      </c>
      <c r="I106" s="94">
        <v>1329069.23</v>
      </c>
      <c r="J106" s="94">
        <v>52673691.909999996</v>
      </c>
      <c r="K106" s="94">
        <v>1547678.4901446423</v>
      </c>
      <c r="L106" s="94">
        <v>64541119.310294993</v>
      </c>
      <c r="M106" s="94">
        <v>1389540.1089436365</v>
      </c>
      <c r="N106" s="94">
        <v>58068333.781122997</v>
      </c>
      <c r="O106" s="94">
        <v>1452905.9505058944</v>
      </c>
      <c r="P106" s="94">
        <v>61181092.132980004</v>
      </c>
      <c r="Q106" s="94">
        <v>1414352.0958380518</v>
      </c>
      <c r="R106" s="94">
        <v>60643000.364014</v>
      </c>
      <c r="S106" s="94">
        <v>1612486.234149511</v>
      </c>
      <c r="T106" s="94">
        <v>70027304.548759982</v>
      </c>
      <c r="U106" s="94"/>
      <c r="V106" s="94"/>
      <c r="W106" s="308"/>
      <c r="Z106" s="310">
        <f>X106/0.4</f>
        <v>0</v>
      </c>
    </row>
    <row r="107" spans="1:27">
      <c r="A107" s="119" t="s">
        <v>431</v>
      </c>
      <c r="B107" s="121" t="s">
        <v>13</v>
      </c>
    </row>
    <row r="108" spans="1:27" s="405" customFormat="1">
      <c r="A108" s="430" t="s">
        <v>431</v>
      </c>
      <c r="B108" s="431" t="s">
        <v>419</v>
      </c>
    </row>
    <row r="109" spans="1:27">
      <c r="A109" s="119" t="s">
        <v>431</v>
      </c>
      <c r="B109" s="121" t="s">
        <v>12</v>
      </c>
    </row>
    <row r="110" spans="1:27">
      <c r="A110" s="119" t="s">
        <v>431</v>
      </c>
      <c r="B110" s="121" t="s">
        <v>363</v>
      </c>
    </row>
    <row r="111" spans="1:27">
      <c r="A111" s="119" t="s">
        <v>431</v>
      </c>
      <c r="B111" s="121" t="s">
        <v>420</v>
      </c>
    </row>
    <row r="112" spans="1:27">
      <c r="A112" s="119" t="s">
        <v>431</v>
      </c>
      <c r="B112" s="121" t="s">
        <v>421</v>
      </c>
    </row>
    <row r="113" spans="1:21">
      <c r="A113" s="119" t="s">
        <v>431</v>
      </c>
      <c r="B113" s="121" t="s">
        <v>422</v>
      </c>
    </row>
    <row r="114" spans="1:21">
      <c r="A114" s="119" t="s">
        <v>431</v>
      </c>
      <c r="B114" s="121" t="s">
        <v>423</v>
      </c>
    </row>
    <row r="115" spans="1:21">
      <c r="A115" s="119" t="s">
        <v>432</v>
      </c>
      <c r="B115" s="121" t="s">
        <v>13</v>
      </c>
    </row>
    <row r="116" spans="1:21">
      <c r="A116" s="119" t="s">
        <v>432</v>
      </c>
      <c r="B116" s="121" t="s">
        <v>419</v>
      </c>
      <c r="S116" s="94"/>
      <c r="T116" s="94"/>
    </row>
    <row r="117" spans="1:21">
      <c r="A117" s="119" t="s">
        <v>432</v>
      </c>
      <c r="B117" s="121" t="s">
        <v>12</v>
      </c>
    </row>
    <row r="118" spans="1:21">
      <c r="A118" s="119" t="s">
        <v>432</v>
      </c>
      <c r="B118" s="121" t="s">
        <v>363</v>
      </c>
    </row>
    <row r="119" spans="1:21">
      <c r="A119" s="119" t="s">
        <v>432</v>
      </c>
      <c r="B119" s="121" t="s">
        <v>420</v>
      </c>
    </row>
    <row r="120" spans="1:21">
      <c r="A120" s="119" t="s">
        <v>432</v>
      </c>
      <c r="B120" s="121" t="s">
        <v>421</v>
      </c>
    </row>
    <row r="121" spans="1:21">
      <c r="A121" s="119" t="s">
        <v>432</v>
      </c>
      <c r="B121" s="121" t="s">
        <v>422</v>
      </c>
    </row>
    <row r="122" spans="1:21">
      <c r="A122" s="119" t="s">
        <v>432</v>
      </c>
      <c r="B122" s="121" t="s">
        <v>423</v>
      </c>
    </row>
    <row r="123" spans="1:21">
      <c r="A123" s="119" t="s">
        <v>433</v>
      </c>
      <c r="B123" s="121" t="s">
        <v>13</v>
      </c>
    </row>
    <row r="124" spans="1:21">
      <c r="A124" s="119" t="s">
        <v>433</v>
      </c>
      <c r="B124" s="121" t="s">
        <v>419</v>
      </c>
      <c r="S124" s="94"/>
      <c r="T124" s="94"/>
      <c r="U124" s="9">
        <v>364927677</v>
      </c>
    </row>
    <row r="125" spans="1:21">
      <c r="A125" s="119" t="s">
        <v>433</v>
      </c>
      <c r="B125" s="121" t="s">
        <v>12</v>
      </c>
    </row>
    <row r="126" spans="1:21">
      <c r="A126" s="119" t="s">
        <v>433</v>
      </c>
      <c r="B126" s="121" t="s">
        <v>363</v>
      </c>
    </row>
    <row r="127" spans="1:21">
      <c r="A127" s="119" t="s">
        <v>433</v>
      </c>
      <c r="B127" s="121" t="s">
        <v>420</v>
      </c>
    </row>
    <row r="128" spans="1:21">
      <c r="A128" s="119" t="s">
        <v>433</v>
      </c>
      <c r="B128" s="121" t="s">
        <v>421</v>
      </c>
    </row>
    <row r="129" spans="1:26">
      <c r="A129" s="119" t="s">
        <v>433</v>
      </c>
      <c r="B129" s="121" t="s">
        <v>422</v>
      </c>
    </row>
    <row r="130" spans="1:26">
      <c r="A130" s="119" t="s">
        <v>433</v>
      </c>
      <c r="B130" s="121" t="s">
        <v>423</v>
      </c>
    </row>
    <row r="131" spans="1:26">
      <c r="A131" s="119" t="s">
        <v>434</v>
      </c>
      <c r="B131" s="121" t="s">
        <v>13</v>
      </c>
      <c r="E131" s="94">
        <v>6229033.2265715301</v>
      </c>
      <c r="F131" s="94">
        <v>260223364.18107599</v>
      </c>
      <c r="G131" s="94">
        <v>6182063.2325175917</v>
      </c>
      <c r="H131" s="94">
        <v>260223364.18107599</v>
      </c>
      <c r="I131" s="94">
        <v>6127981.5999999996</v>
      </c>
      <c r="J131" s="94">
        <v>260223364.18000001</v>
      </c>
      <c r="K131" s="94">
        <v>5560555.2775294343</v>
      </c>
      <c r="L131" s="94">
        <v>260223364.18107599</v>
      </c>
      <c r="M131" s="94">
        <v>5512706.6472138762</v>
      </c>
      <c r="N131" s="94">
        <v>260223364.18107599</v>
      </c>
      <c r="O131" s="94">
        <v>5472549.955114604</v>
      </c>
      <c r="P131" s="94">
        <v>260223364.18000001</v>
      </c>
      <c r="Q131" s="94">
        <v>5259037.3992554499</v>
      </c>
      <c r="R131" s="94">
        <v>260223364.18107599</v>
      </c>
      <c r="S131" s="94">
        <v>5220784.5078560086</v>
      </c>
      <c r="T131" s="94">
        <v>260223364.18107599</v>
      </c>
      <c r="U131" s="94">
        <f>S131*0.4</f>
        <v>2088313.8031424035</v>
      </c>
      <c r="V131">
        <f>SUM(U131:U138)/1000000</f>
        <v>7.5201572513214723</v>
      </c>
      <c r="W131" s="94"/>
      <c r="X131" s="94"/>
      <c r="Z131">
        <f>W131/0.4</f>
        <v>0</v>
      </c>
    </row>
    <row r="132" spans="1:26">
      <c r="A132" s="119" t="s">
        <v>434</v>
      </c>
      <c r="B132" s="121" t="s">
        <v>419</v>
      </c>
      <c r="E132" s="94">
        <v>14898.836952688021</v>
      </c>
      <c r="F132" s="94">
        <v>623854.16666700004</v>
      </c>
      <c r="G132" s="94">
        <v>14760.179122562689</v>
      </c>
      <c r="H132" s="94">
        <v>623854.17000000004</v>
      </c>
      <c r="I132" s="94">
        <v>14625.05</v>
      </c>
      <c r="J132" s="94">
        <v>623854.17000000004</v>
      </c>
      <c r="K132" s="94">
        <v>13207.280429213433</v>
      </c>
      <c r="L132" s="94">
        <v>623854.17000000004</v>
      </c>
      <c r="M132" s="94">
        <v>13087.725923419686</v>
      </c>
      <c r="N132" s="94">
        <v>623854.17000000004</v>
      </c>
      <c r="O132" s="94">
        <v>13451.861363547949</v>
      </c>
      <c r="P132" s="94">
        <v>623854.17000000004</v>
      </c>
      <c r="Q132" s="94">
        <v>13138.667983423438</v>
      </c>
      <c r="R132" s="94">
        <v>623854.17000000004</v>
      </c>
      <c r="S132" s="94">
        <v>13062.11678160591</v>
      </c>
      <c r="T132" s="94">
        <v>623854.17000000004</v>
      </c>
      <c r="U132" s="94">
        <f>S132</f>
        <v>13062.11678160591</v>
      </c>
      <c r="V132" s="94"/>
      <c r="W132" s="94"/>
      <c r="X132" s="94"/>
    </row>
    <row r="133" spans="1:26">
      <c r="A133" s="119" t="s">
        <v>434</v>
      </c>
      <c r="B133" s="121" t="s">
        <v>12</v>
      </c>
      <c r="E133" s="94">
        <v>0</v>
      </c>
      <c r="F133" s="94">
        <v>0</v>
      </c>
      <c r="G133" s="94">
        <v>0</v>
      </c>
      <c r="H133" s="94">
        <v>0</v>
      </c>
      <c r="I133" s="94">
        <v>0</v>
      </c>
      <c r="J133" s="94">
        <v>0</v>
      </c>
      <c r="K133" s="94">
        <v>0</v>
      </c>
      <c r="L133" s="94">
        <v>0</v>
      </c>
      <c r="M133" s="94">
        <v>0</v>
      </c>
      <c r="N133" s="94">
        <v>0</v>
      </c>
      <c r="O133" s="94">
        <v>0</v>
      </c>
      <c r="P133" s="94">
        <v>0</v>
      </c>
      <c r="Q133" s="94">
        <v>0</v>
      </c>
      <c r="R133" s="94">
        <v>0</v>
      </c>
      <c r="S133" s="94">
        <v>0</v>
      </c>
      <c r="T133" s="94">
        <v>0</v>
      </c>
      <c r="U133" s="94">
        <f>S133</f>
        <v>0</v>
      </c>
      <c r="W133" s="94"/>
      <c r="X133" s="94"/>
    </row>
    <row r="134" spans="1:26">
      <c r="A134" s="119" t="s">
        <v>434</v>
      </c>
      <c r="B134" s="121" t="s">
        <v>363</v>
      </c>
      <c r="E134" s="94">
        <v>915374.66980514652</v>
      </c>
      <c r="F134" s="94">
        <v>37868076.939597003</v>
      </c>
      <c r="G134" s="94">
        <v>711284.4421620965</v>
      </c>
      <c r="H134" s="94">
        <v>29330335.550000001</v>
      </c>
      <c r="I134" s="94">
        <v>615111.01</v>
      </c>
      <c r="J134" s="94">
        <v>25412066</v>
      </c>
      <c r="K134" s="94">
        <v>545966.06044245698</v>
      </c>
      <c r="L134" s="94">
        <v>23611473.550000001</v>
      </c>
      <c r="M134" s="94">
        <v>608784.87590789516</v>
      </c>
      <c r="N134" s="94">
        <v>26552130</v>
      </c>
      <c r="O134" s="94">
        <v>584905.8343840033</v>
      </c>
      <c r="P134" s="94">
        <v>25412066</v>
      </c>
      <c r="Q134" s="94">
        <v>580382.04179782083</v>
      </c>
      <c r="R134" s="94">
        <v>25412066</v>
      </c>
      <c r="S134" s="94">
        <v>582377.17604632268</v>
      </c>
      <c r="T134" s="94">
        <v>25412066</v>
      </c>
      <c r="U134" s="94">
        <f>S134</f>
        <v>582377.17604632268</v>
      </c>
      <c r="W134" s="94"/>
      <c r="X134" s="94"/>
    </row>
    <row r="135" spans="1:26">
      <c r="A135" s="119" t="s">
        <v>434</v>
      </c>
      <c r="B135" s="121" t="s">
        <v>420</v>
      </c>
      <c r="E135" s="94">
        <v>3767300</v>
      </c>
      <c r="F135" s="94">
        <v>-159501271.56587392</v>
      </c>
      <c r="G135" s="94">
        <v>3841120</v>
      </c>
      <c r="H135" s="94">
        <v>-164556326.65300146</v>
      </c>
      <c r="I135" s="94">
        <v>4399299.4800000004</v>
      </c>
      <c r="J135" s="94">
        <v>190249173.83000001</v>
      </c>
      <c r="K135" s="94">
        <v>4218145.49</v>
      </c>
      <c r="L135" s="94">
        <v>208825420.91536501</v>
      </c>
      <c r="M135" s="94">
        <v>3937750.8700000006</v>
      </c>
      <c r="N135" s="94">
        <v>198064211.67172599</v>
      </c>
      <c r="O135" s="94">
        <v>3882770.1600000006</v>
      </c>
      <c r="P135" s="94">
        <v>-197612197.78871045</v>
      </c>
      <c r="Q135" s="94">
        <v>3882770.1600000006</v>
      </c>
      <c r="R135" s="94">
        <v>-213761885.97483653</v>
      </c>
      <c r="S135" s="94">
        <v>3582770.1600000006</v>
      </c>
      <c r="T135" s="94">
        <v>-202867584.36926857</v>
      </c>
      <c r="U135" s="94">
        <f t="shared" ref="U135:U138" si="1">S135*0.4</f>
        <v>1433108.0640000002</v>
      </c>
      <c r="W135" s="94"/>
      <c r="X135" s="94"/>
      <c r="Z135" s="94">
        <f>W135/0.4</f>
        <v>0</v>
      </c>
    </row>
    <row r="136" spans="1:26">
      <c r="A136" s="119" t="s">
        <v>434</v>
      </c>
      <c r="B136" s="121" t="s">
        <v>421</v>
      </c>
      <c r="E136" s="94">
        <v>3087000</v>
      </c>
      <c r="F136" s="94">
        <v>129848195.78805871</v>
      </c>
      <c r="G136" s="94">
        <v>3086997.9155319999</v>
      </c>
      <c r="H136" s="94">
        <v>131004074.73690379</v>
      </c>
      <c r="I136" s="94">
        <v>3080000</v>
      </c>
      <c r="J136" s="94">
        <v>131223996.14</v>
      </c>
      <c r="K136" s="94">
        <v>3080000</v>
      </c>
      <c r="L136" s="94">
        <f>K136*49.5</f>
        <v>152460000</v>
      </c>
      <c r="M136" s="94">
        <v>1870942.2721569999</v>
      </c>
      <c r="N136" s="94">
        <v>64427773.288161159</v>
      </c>
      <c r="O136" s="94">
        <v>3135986.85739</v>
      </c>
      <c r="P136" s="94">
        <v>131179848.79937352</v>
      </c>
      <c r="Q136" s="94">
        <v>2584055.2527660001</v>
      </c>
      <c r="R136" s="94">
        <v>109188774.11909565</v>
      </c>
      <c r="S136" s="94">
        <v>3080000.0027660001</v>
      </c>
      <c r="T136" s="94">
        <v>135240053.82191694</v>
      </c>
      <c r="U136" s="94">
        <f t="shared" si="1"/>
        <v>1232000.0011064</v>
      </c>
      <c r="W136" s="94"/>
      <c r="X136" s="94"/>
      <c r="Z136" s="94">
        <f>W136/0.4</f>
        <v>0</v>
      </c>
    </row>
    <row r="137" spans="1:26">
      <c r="A137" s="119" t="s">
        <v>434</v>
      </c>
      <c r="B137" s="121" t="s">
        <v>422</v>
      </c>
      <c r="E137" s="94">
        <v>3297999.17</v>
      </c>
      <c r="F137" s="94">
        <v>137984221.60023403</v>
      </c>
      <c r="G137" s="94">
        <v>3300000</v>
      </c>
      <c r="H137" s="94">
        <v>139198703.67641068</v>
      </c>
      <c r="I137" s="94">
        <v>3298472.48</v>
      </c>
      <c r="J137" s="94">
        <v>140270755.38999999</v>
      </c>
      <c r="K137" s="94">
        <v>3298397.0383220003</v>
      </c>
      <c r="L137" s="94">
        <v>152666890.91773918</v>
      </c>
      <c r="M137" s="94">
        <v>3300000</v>
      </c>
      <c r="N137" s="94">
        <v>153301813.52099338</v>
      </c>
      <c r="O137" s="94">
        <v>3398936.030611</v>
      </c>
      <c r="P137" s="94">
        <v>159118190.04309326</v>
      </c>
      <c r="Q137" s="94">
        <v>3427125.5606550002</v>
      </c>
      <c r="R137" s="94">
        <v>162591613.40769589</v>
      </c>
      <c r="S137" s="94">
        <v>3426991.46</v>
      </c>
      <c r="T137" s="94">
        <v>162449130.85624829</v>
      </c>
      <c r="U137" s="94">
        <f t="shared" si="1"/>
        <v>1370796.584</v>
      </c>
      <c r="W137" s="94"/>
      <c r="X137" s="94"/>
      <c r="Z137" s="94">
        <f>W137/0.4</f>
        <v>0</v>
      </c>
    </row>
    <row r="138" spans="1:26">
      <c r="A138" s="119" t="s">
        <v>434</v>
      </c>
      <c r="B138" s="121" t="s">
        <v>423</v>
      </c>
      <c r="E138" s="94">
        <v>596805.62876054295</v>
      </c>
      <c r="F138" s="94">
        <v>24000000</v>
      </c>
      <c r="G138" s="94">
        <v>613331.05191954877</v>
      </c>
      <c r="H138" s="94">
        <v>24000000</v>
      </c>
      <c r="I138" s="94">
        <v>682942.17</v>
      </c>
      <c r="J138" s="94">
        <v>27000000</v>
      </c>
      <c r="K138" s="94">
        <v>675615.37296490115</v>
      </c>
      <c r="L138" s="94">
        <v>27000000</v>
      </c>
      <c r="M138" s="94">
        <v>701600.0014671844</v>
      </c>
      <c r="N138" s="94">
        <v>27000000</v>
      </c>
      <c r="O138" s="94">
        <v>1236010.5946737085</v>
      </c>
      <c r="P138" s="94">
        <v>52129630.399999999</v>
      </c>
      <c r="Q138" s="94">
        <v>1248525.5721302202</v>
      </c>
      <c r="R138" s="94">
        <v>52129630.399999999</v>
      </c>
      <c r="S138" s="94">
        <v>2001248.7656118511</v>
      </c>
      <c r="T138" s="94">
        <v>93143393.599999994</v>
      </c>
      <c r="U138" s="94">
        <f t="shared" si="1"/>
        <v>800499.50624474045</v>
      </c>
      <c r="W138" s="94"/>
      <c r="X138" s="94"/>
      <c r="Z138" s="94">
        <f>W138/0.4</f>
        <v>0</v>
      </c>
    </row>
    <row r="139" spans="1:26">
      <c r="A139" s="119" t="s">
        <v>19</v>
      </c>
      <c r="B139" s="121" t="s">
        <v>13</v>
      </c>
      <c r="E139" s="94">
        <v>16187570.506129116</v>
      </c>
      <c r="F139" s="94">
        <v>418436123.71666682</v>
      </c>
      <c r="G139" s="94">
        <v>7516355.9773312928</v>
      </c>
      <c r="H139" s="94">
        <v>33057411.651332229</v>
      </c>
      <c r="I139" s="94">
        <v>4454251.46</v>
      </c>
      <c r="J139" s="94">
        <v>-63012060.689999998</v>
      </c>
      <c r="K139" s="94">
        <v>17733991.49230592</v>
      </c>
      <c r="L139" s="94">
        <v>542492909.25035453</v>
      </c>
      <c r="M139" s="94">
        <v>16698304.165943855</v>
      </c>
      <c r="N139" s="94">
        <v>498635502.162817</v>
      </c>
      <c r="O139" s="94">
        <v>15056206.108337957</v>
      </c>
      <c r="P139" s="94">
        <v>420359833.49856555</v>
      </c>
      <c r="Q139" s="94">
        <v>13354777.636417784</v>
      </c>
      <c r="R139" s="94">
        <v>293527433.88650548</v>
      </c>
      <c r="S139" s="94">
        <v>8648919.8707051072</v>
      </c>
      <c r="T139" s="94">
        <v>54054441.410366893</v>
      </c>
      <c r="U139" s="94">
        <f>S139*0.4</f>
        <v>3459567.948282043</v>
      </c>
      <c r="V139">
        <f>SUM(U139:U146)/1000000</f>
        <v>37.896779501128378</v>
      </c>
      <c r="W139" s="94"/>
      <c r="X139" s="94"/>
    </row>
    <row r="140" spans="1:26">
      <c r="A140" s="119" t="s">
        <v>19</v>
      </c>
      <c r="B140" s="121" t="s">
        <v>419</v>
      </c>
      <c r="E140" s="94">
        <v>3354239.8659522925</v>
      </c>
      <c r="F140" s="94">
        <v>122739746.79036802</v>
      </c>
      <c r="G140" s="94">
        <v>3987004.5405893819</v>
      </c>
      <c r="H140" s="94">
        <v>118110541.621667</v>
      </c>
      <c r="I140" s="94">
        <v>3935417.87</v>
      </c>
      <c r="J140" s="94">
        <v>104632699.62</v>
      </c>
      <c r="K140" s="94">
        <v>3457852.8810579428</v>
      </c>
      <c r="L140" s="94">
        <v>94624029.728664994</v>
      </c>
      <c r="M140" s="94">
        <v>3403794.7642053803</v>
      </c>
      <c r="N140" s="94">
        <v>96088259.621666998</v>
      </c>
      <c r="O140" s="94">
        <v>3252979.7587522976</v>
      </c>
      <c r="P140" s="94">
        <v>96948324.621666998</v>
      </c>
      <c r="Q140" s="94">
        <v>2990039.5524367858</v>
      </c>
      <c r="R140" s="94">
        <v>90991411.062099993</v>
      </c>
      <c r="S140" s="94">
        <v>2775166.5192354899</v>
      </c>
      <c r="T140" s="94">
        <v>90991411.062099993</v>
      </c>
      <c r="U140" s="94">
        <f>S140</f>
        <v>2775166.5192354899</v>
      </c>
      <c r="V140" s="94"/>
      <c r="W140" s="94"/>
      <c r="X140" s="94"/>
    </row>
    <row r="141" spans="1:26">
      <c r="A141" s="119" t="s">
        <v>19</v>
      </c>
      <c r="B141" s="121" t="s">
        <v>12</v>
      </c>
      <c r="E141" s="94">
        <v>-63268.905850558775</v>
      </c>
      <c r="F141" s="94">
        <v>-15766705.35250695</v>
      </c>
      <c r="G141" s="94">
        <v>1094174.1321509883</v>
      </c>
      <c r="H141" s="94">
        <v>38154479.25020007</v>
      </c>
      <c r="I141" s="94">
        <v>520914.52</v>
      </c>
      <c r="J141" s="94">
        <v>13925101.449999999</v>
      </c>
      <c r="K141" s="94">
        <v>642145.53952392051</v>
      </c>
      <c r="L141" s="94">
        <v>17258727.795888986</v>
      </c>
      <c r="M141" s="94">
        <v>628280.2231703375</v>
      </c>
      <c r="N141" s="94">
        <v>16651559.15183806</v>
      </c>
      <c r="O141" s="94">
        <v>855047.91971504409</v>
      </c>
      <c r="P141" s="94">
        <v>27922262.390355084</v>
      </c>
      <c r="Q141" s="94">
        <v>843219.19260105048</v>
      </c>
      <c r="R141" s="94">
        <v>25823723.184270069</v>
      </c>
      <c r="S141" s="94">
        <v>967115.05001238512</v>
      </c>
      <c r="T141" s="94">
        <v>32413492.617582001</v>
      </c>
      <c r="U141" s="94">
        <f>S141</f>
        <v>967115.05001238512</v>
      </c>
      <c r="W141" s="94"/>
      <c r="X141" s="94"/>
    </row>
    <row r="142" spans="1:26">
      <c r="A142" s="119" t="s">
        <v>19</v>
      </c>
      <c r="B142" s="121" t="s">
        <v>363</v>
      </c>
      <c r="E142" s="94">
        <v>1176321.2476040502</v>
      </c>
      <c r="F142" s="94">
        <v>40320461.600055993</v>
      </c>
      <c r="G142" s="94">
        <v>739671.29800919001</v>
      </c>
      <c r="H142" s="94">
        <v>20845090.836283989</v>
      </c>
      <c r="I142" s="94">
        <v>675087.35</v>
      </c>
      <c r="J142" s="94">
        <v>19706513.190000001</v>
      </c>
      <c r="K142" s="94">
        <v>1084021.2408287574</v>
      </c>
      <c r="L142" s="94">
        <v>37778926.716108017</v>
      </c>
      <c r="M142" s="94">
        <v>565760.94539200666</v>
      </c>
      <c r="N142" s="94">
        <v>12668043</v>
      </c>
      <c r="O142" s="94">
        <v>771420.31616719498</v>
      </c>
      <c r="P142" s="94">
        <v>23067604.677161999</v>
      </c>
      <c r="Q142" s="94">
        <v>634707.42123282095</v>
      </c>
      <c r="R142" s="94">
        <v>13883388.139825974</v>
      </c>
      <c r="S142" s="94">
        <v>513204.67861101555</v>
      </c>
      <c r="T142" s="94">
        <v>7927411.2678500265</v>
      </c>
      <c r="U142" s="94">
        <f>S142</f>
        <v>513204.67861101555</v>
      </c>
      <c r="W142" s="94"/>
      <c r="X142" s="94"/>
    </row>
    <row r="143" spans="1:26">
      <c r="A143" s="119" t="s">
        <v>19</v>
      </c>
      <c r="B143" s="121" t="s">
        <v>420</v>
      </c>
      <c r="E143" s="94">
        <v>33262702.225063007</v>
      </c>
      <c r="F143" s="94">
        <v>1223496256.6121161</v>
      </c>
      <c r="G143" s="94">
        <v>34035315.327183008</v>
      </c>
      <c r="H143" s="94">
        <v>1265463738.3633325</v>
      </c>
      <c r="I143" s="94">
        <v>35425079.229999997</v>
      </c>
      <c r="J143" s="94">
        <v>1338092104.21</v>
      </c>
      <c r="K143" s="94">
        <v>36593482.551042005</v>
      </c>
      <c r="L143" s="94">
        <v>1471493695.6149733</v>
      </c>
      <c r="M143" s="94">
        <v>37072605.487922035</v>
      </c>
      <c r="N143" s="94">
        <v>1505759872.9352267</v>
      </c>
      <c r="O143" s="94">
        <v>33955351.528112009</v>
      </c>
      <c r="P143" s="94">
        <v>1361794733.3216531</v>
      </c>
      <c r="Q143" s="94">
        <v>31109574.74109203</v>
      </c>
      <c r="R143" s="94">
        <v>1209657472.8360736</v>
      </c>
      <c r="S143" s="94">
        <v>27766034.664194014</v>
      </c>
      <c r="T143" s="94">
        <v>1032341896.4868337</v>
      </c>
      <c r="U143" s="94">
        <f t="shared" ref="U143:U146" si="2">S143*0.4</f>
        <v>11106413.865677606</v>
      </c>
      <c r="W143" s="94"/>
      <c r="X143" s="94"/>
    </row>
    <row r="144" spans="1:26">
      <c r="A144" s="119" t="s">
        <v>19</v>
      </c>
      <c r="B144" s="121" t="s">
        <v>421</v>
      </c>
      <c r="E144" s="94">
        <v>21555498.663706992</v>
      </c>
      <c r="F144" s="94">
        <v>784281068.91990507</v>
      </c>
      <c r="G144" s="94">
        <v>25493439.371334005</v>
      </c>
      <c r="H144" s="94">
        <v>944188005.2826215</v>
      </c>
      <c r="I144" s="94">
        <v>26653381.370000001</v>
      </c>
      <c r="J144" s="94">
        <v>1000853966.8099999</v>
      </c>
      <c r="K144" s="94">
        <v>26725103.201717995</v>
      </c>
      <c r="L144" s="94">
        <v>1026903786.6785586</v>
      </c>
      <c r="M144" s="94">
        <v>26725103.201717995</v>
      </c>
      <c r="N144" s="94">
        <v>1027017950.6288614</v>
      </c>
      <c r="O144" s="94">
        <v>28253002.924494997</v>
      </c>
      <c r="P144" s="94">
        <v>1102030677.6992321</v>
      </c>
      <c r="Q144" s="94">
        <v>24170708.240723006</v>
      </c>
      <c r="R144" s="94">
        <v>881187266.25737274</v>
      </c>
      <c r="S144" s="94">
        <v>24930269.750263996</v>
      </c>
      <c r="T144" s="94">
        <v>911440421.24966753</v>
      </c>
      <c r="U144" s="94">
        <f t="shared" si="2"/>
        <v>9972107.9001055993</v>
      </c>
      <c r="W144" s="94"/>
      <c r="X144" s="94"/>
    </row>
    <row r="145" spans="1:24">
      <c r="A145" s="119" t="s">
        <v>19</v>
      </c>
      <c r="B145" s="121" t="s">
        <v>422</v>
      </c>
      <c r="E145" s="94">
        <v>14117598.105075993</v>
      </c>
      <c r="F145" s="94">
        <v>424080801.21084094</v>
      </c>
      <c r="G145" s="94">
        <v>17437003.669999994</v>
      </c>
      <c r="H145" s="94">
        <v>570386741.29822826</v>
      </c>
      <c r="I145" s="94">
        <v>18997155.809999999</v>
      </c>
      <c r="J145" s="94">
        <v>645767378.71000004</v>
      </c>
      <c r="K145" s="94">
        <v>18938313.926017996</v>
      </c>
      <c r="L145" s="94">
        <v>649381791.73667157</v>
      </c>
      <c r="M145" s="94">
        <v>20619680.669999994</v>
      </c>
      <c r="N145" s="94">
        <v>731920762.97424054</v>
      </c>
      <c r="O145" s="94">
        <v>20934517.210822988</v>
      </c>
      <c r="P145" s="94">
        <v>750156417.80232489</v>
      </c>
      <c r="Q145" s="94">
        <v>18760218.706181992</v>
      </c>
      <c r="R145" s="94">
        <v>608767651.2940135</v>
      </c>
      <c r="S145" s="94">
        <v>16915992.229906008</v>
      </c>
      <c r="T145" s="94">
        <v>507309386.04678094</v>
      </c>
      <c r="U145" s="94">
        <f t="shared" si="2"/>
        <v>6766396.8919624034</v>
      </c>
      <c r="W145" s="94"/>
      <c r="X145" s="94"/>
    </row>
    <row r="146" spans="1:24">
      <c r="A146" s="119" t="s">
        <v>19</v>
      </c>
      <c r="B146" s="121" t="s">
        <v>423</v>
      </c>
      <c r="E146" s="94">
        <v>7044734.7075245269</v>
      </c>
      <c r="F146" s="94">
        <v>248963292.94725347</v>
      </c>
      <c r="G146" s="94">
        <v>7156615.0077538537</v>
      </c>
      <c r="H146" s="94">
        <v>253942862.23993456</v>
      </c>
      <c r="I146" s="94">
        <v>6306457.3600000003</v>
      </c>
      <c r="J146" s="94">
        <v>215814027.16999999</v>
      </c>
      <c r="K146" s="94">
        <v>5465452.6391945221</v>
      </c>
      <c r="L146" s="94">
        <v>175379591.92615211</v>
      </c>
      <c r="M146" s="94">
        <v>5426306.8666312117</v>
      </c>
      <c r="N146" s="94">
        <v>174334329.96045157</v>
      </c>
      <c r="O146" s="94">
        <v>5383029.468572191</v>
      </c>
      <c r="P146" s="94">
        <v>171878013.55764493</v>
      </c>
      <c r="Q146" s="94">
        <v>5017229.4246311039</v>
      </c>
      <c r="R146" s="94">
        <v>142138602.08726037</v>
      </c>
      <c r="S146" s="94">
        <v>5842016.6181045799</v>
      </c>
      <c r="T146" s="94">
        <v>182059856.73765248</v>
      </c>
      <c r="U146" s="94">
        <f t="shared" si="2"/>
        <v>2336806.6472418322</v>
      </c>
      <c r="W146" s="94"/>
      <c r="X146" s="94"/>
    </row>
    <row r="147" spans="1:24">
      <c r="A147" s="119" t="s">
        <v>20</v>
      </c>
      <c r="B147" s="121" t="s">
        <v>13</v>
      </c>
      <c r="E147" s="94">
        <v>9958537.2795575857</v>
      </c>
      <c r="F147" s="94">
        <v>158212759.53559086</v>
      </c>
      <c r="G147" s="94">
        <v>1334292.7448137011</v>
      </c>
      <c r="H147" s="94">
        <v>-227165952.52974376</v>
      </c>
      <c r="I147" s="94">
        <v>-1673730.14</v>
      </c>
      <c r="J147" s="94">
        <v>-323235424.87</v>
      </c>
      <c r="K147" s="94">
        <v>12173436.214776486</v>
      </c>
      <c r="L147" s="94">
        <v>282269545.0692786</v>
      </c>
      <c r="M147" s="94">
        <v>11185597.518729979</v>
      </c>
      <c r="N147" s="94">
        <v>238412137.98174104</v>
      </c>
      <c r="O147" s="94">
        <v>9583656.1532233525</v>
      </c>
      <c r="P147" s="94">
        <v>160136469.31856552</v>
      </c>
      <c r="Q147" s="94">
        <v>8095740.237162333</v>
      </c>
      <c r="R147" s="94">
        <v>33304069.705429524</v>
      </c>
      <c r="S147" s="94">
        <v>3428135.3628490991</v>
      </c>
      <c r="T147" s="94">
        <v>-206168922.7707091</v>
      </c>
      <c r="U147" s="94"/>
      <c r="V147" s="94"/>
      <c r="W147" s="94"/>
      <c r="X147" s="94"/>
    </row>
    <row r="148" spans="1:24">
      <c r="A148" s="119" t="s">
        <v>20</v>
      </c>
      <c r="B148" s="121" t="s">
        <v>419</v>
      </c>
      <c r="E148" s="94">
        <v>3339341.0289996043</v>
      </c>
      <c r="F148" s="94">
        <v>122115892.62370102</v>
      </c>
      <c r="G148" s="94">
        <v>3972244.3614668194</v>
      </c>
      <c r="H148" s="94">
        <v>117486687.451667</v>
      </c>
      <c r="I148" s="94">
        <v>3920792.82</v>
      </c>
      <c r="J148" s="94">
        <v>104008845.45</v>
      </c>
      <c r="K148" s="94">
        <v>3444645.6006287294</v>
      </c>
      <c r="L148" s="94">
        <v>94000175.558664992</v>
      </c>
      <c r="M148" s="94">
        <v>3390707.0382819609</v>
      </c>
      <c r="N148" s="94">
        <v>95464405.451666996</v>
      </c>
      <c r="O148" s="94">
        <v>3239527.8973887498</v>
      </c>
      <c r="P148" s="94">
        <v>96324470.451666996</v>
      </c>
      <c r="Q148" s="94">
        <v>2976900.8844533623</v>
      </c>
      <c r="R148" s="94">
        <v>90367556.892099991</v>
      </c>
      <c r="S148" s="94">
        <v>2762104.402453884</v>
      </c>
      <c r="T148" s="94">
        <v>90367556.892099991</v>
      </c>
      <c r="U148" s="94"/>
      <c r="V148" s="94"/>
      <c r="W148" s="94"/>
      <c r="X148" s="94"/>
    </row>
    <row r="149" spans="1:24">
      <c r="A149" s="119" t="s">
        <v>20</v>
      </c>
      <c r="B149" s="121" t="s">
        <v>12</v>
      </c>
      <c r="E149" s="94">
        <v>-63268.905850558775</v>
      </c>
      <c r="F149" s="94">
        <v>-15766705.35250695</v>
      </c>
      <c r="G149" s="94">
        <v>1094174.1321509883</v>
      </c>
      <c r="H149" s="94">
        <v>38154479.25020007</v>
      </c>
      <c r="I149" s="94">
        <v>520914.52</v>
      </c>
      <c r="J149" s="94">
        <v>13925101.449999999</v>
      </c>
      <c r="K149" s="94">
        <v>642145.53952392051</v>
      </c>
      <c r="L149" s="94">
        <v>17258727.795888986</v>
      </c>
      <c r="M149" s="94">
        <v>628280.2231703375</v>
      </c>
      <c r="N149" s="94">
        <v>16651559.15183806</v>
      </c>
      <c r="O149" s="94">
        <v>855047.91971504409</v>
      </c>
      <c r="P149" s="94">
        <v>27922262.390355084</v>
      </c>
      <c r="Q149" s="94">
        <v>843219.19260105048</v>
      </c>
      <c r="R149" s="94">
        <v>25823723.184270069</v>
      </c>
      <c r="S149" s="94">
        <v>967115.05001238512</v>
      </c>
      <c r="T149" s="94">
        <v>32413492.617582001</v>
      </c>
      <c r="U149" s="94"/>
      <c r="V149" s="94"/>
      <c r="W149" s="94"/>
      <c r="X149" s="94"/>
    </row>
    <row r="150" spans="1:24">
      <c r="A150" s="119" t="s">
        <v>20</v>
      </c>
      <c r="B150" s="121" t="s">
        <v>363</v>
      </c>
      <c r="E150" s="94">
        <v>260946.57779890369</v>
      </c>
      <c r="F150" s="94">
        <v>2452384.6604589894</v>
      </c>
      <c r="G150" s="94">
        <v>28386.85584709351</v>
      </c>
      <c r="H150" s="94">
        <v>-8485244.7137160115</v>
      </c>
      <c r="I150" s="94">
        <v>59976.34</v>
      </c>
      <c r="J150" s="94">
        <v>-5705552.8099999996</v>
      </c>
      <c r="K150" s="94">
        <v>538055.18038630043</v>
      </c>
      <c r="L150" s="94">
        <v>14167453.166108016</v>
      </c>
      <c r="M150" s="94">
        <v>-43023.930515888496</v>
      </c>
      <c r="N150" s="94">
        <v>-13884087</v>
      </c>
      <c r="O150" s="94">
        <v>186514.48178319167</v>
      </c>
      <c r="P150" s="94">
        <v>-2344461.322838001</v>
      </c>
      <c r="Q150" s="94">
        <v>54325.379435000126</v>
      </c>
      <c r="R150" s="94">
        <v>-11528677.860174026</v>
      </c>
      <c r="S150" s="94">
        <v>-69172.49743530713</v>
      </c>
      <c r="T150" s="94">
        <v>-17484654.732149974</v>
      </c>
      <c r="U150" s="94"/>
      <c r="V150" s="94"/>
      <c r="W150" s="94"/>
      <c r="X150" s="94"/>
    </row>
    <row r="151" spans="1:24">
      <c r="A151" s="119" t="s">
        <v>20</v>
      </c>
      <c r="B151" s="121" t="s">
        <v>420</v>
      </c>
      <c r="E151" s="94">
        <v>29495402.225063007</v>
      </c>
      <c r="F151" s="94">
        <v>1063994985.0462422</v>
      </c>
      <c r="G151" s="94">
        <v>30194195.327183012</v>
      </c>
      <c r="H151" s="94">
        <v>1100907411.710331</v>
      </c>
      <c r="I151" s="94">
        <v>31025779.75</v>
      </c>
      <c r="J151" s="94">
        <v>1147842930.3800001</v>
      </c>
      <c r="K151" s="94">
        <v>32375337.061042003</v>
      </c>
      <c r="L151" s="94">
        <v>1262668274.6996083</v>
      </c>
      <c r="M151" s="94">
        <v>33134854.617922034</v>
      </c>
      <c r="N151" s="94">
        <v>1307695661.2635007</v>
      </c>
      <c r="O151" s="94">
        <v>30072581.368112013</v>
      </c>
      <c r="P151" s="94">
        <v>1164182535.5329428</v>
      </c>
      <c r="Q151" s="94">
        <v>27226804.581092026</v>
      </c>
      <c r="R151" s="94">
        <v>995895586.86123705</v>
      </c>
      <c r="S151" s="94">
        <v>24183264.504194017</v>
      </c>
      <c r="T151" s="94">
        <v>829474312.11756504</v>
      </c>
      <c r="U151" s="94"/>
      <c r="V151" s="94"/>
      <c r="W151" s="94"/>
      <c r="X151" s="94"/>
    </row>
    <row r="152" spans="1:24">
      <c r="A152" s="119" t="s">
        <v>20</v>
      </c>
      <c r="B152" s="121" t="s">
        <v>421</v>
      </c>
      <c r="E152" s="94">
        <v>18468498.663706992</v>
      </c>
      <c r="F152" s="94">
        <v>654432873.13184643</v>
      </c>
      <c r="G152" s="94">
        <v>22406441.455802005</v>
      </c>
      <c r="H152" s="94">
        <v>813183930.54571772</v>
      </c>
      <c r="I152" s="94">
        <v>23573381.370000001</v>
      </c>
      <c r="J152" s="94">
        <v>869629970.66999996</v>
      </c>
      <c r="K152" s="94">
        <v>23645103.201717995</v>
      </c>
      <c r="L152" s="94">
        <v>874443786.67855859</v>
      </c>
      <c r="M152" s="94">
        <v>24854160.929560997</v>
      </c>
      <c r="N152" s="94">
        <v>962590177.34070027</v>
      </c>
      <c r="O152" s="94">
        <v>25117016.067104999</v>
      </c>
      <c r="P152" s="94">
        <v>970850828.89985859</v>
      </c>
      <c r="Q152" s="94">
        <v>21586652.987957008</v>
      </c>
      <c r="R152" s="94">
        <v>771998492.13827705</v>
      </c>
      <c r="S152" s="94">
        <v>21850269.747497998</v>
      </c>
      <c r="T152" s="94">
        <v>776200367.42775047</v>
      </c>
      <c r="U152" s="94"/>
      <c r="V152" s="94"/>
      <c r="W152" s="94"/>
      <c r="X152" s="94"/>
    </row>
    <row r="153" spans="1:24">
      <c r="A153" s="119" t="s">
        <v>20</v>
      </c>
      <c r="B153" s="121" t="s">
        <v>422</v>
      </c>
      <c r="E153" s="94">
        <v>10819598.935075993</v>
      </c>
      <c r="F153" s="94">
        <v>286096579.61060685</v>
      </c>
      <c r="G153" s="94">
        <v>14137003.669999996</v>
      </c>
      <c r="H153" s="94">
        <v>431188037.62181765</v>
      </c>
      <c r="I153" s="94">
        <v>15698683.34</v>
      </c>
      <c r="J153" s="94">
        <v>505496623.31</v>
      </c>
      <c r="K153" s="94">
        <v>15639916.887695996</v>
      </c>
      <c r="L153" s="94">
        <v>496714900.81893241</v>
      </c>
      <c r="M153" s="94">
        <v>17319680.669999994</v>
      </c>
      <c r="N153" s="94">
        <v>578618949.45324719</v>
      </c>
      <c r="O153" s="94">
        <v>17535581.180211987</v>
      </c>
      <c r="P153" s="94">
        <v>591038227.75923157</v>
      </c>
      <c r="Q153" s="94">
        <v>15333093.145526994</v>
      </c>
      <c r="R153" s="94">
        <v>446176037.88631767</v>
      </c>
      <c r="S153" s="94">
        <v>13489000.769906009</v>
      </c>
      <c r="T153" s="94">
        <v>344860255.19053262</v>
      </c>
      <c r="U153" s="94"/>
      <c r="V153" s="94"/>
      <c r="W153" s="94"/>
      <c r="X153" s="94"/>
    </row>
    <row r="154" spans="1:24">
      <c r="A154" s="119" t="s">
        <v>20</v>
      </c>
      <c r="B154" s="121" t="s">
        <v>423</v>
      </c>
      <c r="E154" s="94">
        <v>6447929.0787639841</v>
      </c>
      <c r="F154" s="94">
        <v>224963292.94725347</v>
      </c>
      <c r="G154" s="94">
        <v>6543283.9558343049</v>
      </c>
      <c r="H154" s="94">
        <v>229942862.23993456</v>
      </c>
      <c r="I154" s="94">
        <v>5623515.1900000004</v>
      </c>
      <c r="J154" s="94">
        <v>188814027.16999999</v>
      </c>
      <c r="K154" s="94">
        <v>4789837.2662296211</v>
      </c>
      <c r="L154" s="94">
        <v>148379591.92615211</v>
      </c>
      <c r="M154" s="94">
        <v>4724706.8651640275</v>
      </c>
      <c r="N154" s="94">
        <v>147334329.96045157</v>
      </c>
      <c r="O154" s="94">
        <v>4147018.8738984824</v>
      </c>
      <c r="P154" s="94">
        <v>119748383.15764494</v>
      </c>
      <c r="Q154" s="94">
        <v>3768703.8525008839</v>
      </c>
      <c r="R154" s="94">
        <v>90008971.687260374</v>
      </c>
      <c r="S154" s="94">
        <v>3840767.8524927292</v>
      </c>
      <c r="T154" s="94">
        <v>88916463.137652501</v>
      </c>
      <c r="U154" s="94"/>
      <c r="V154" s="94"/>
      <c r="W154" s="94"/>
      <c r="X154" s="94"/>
    </row>
    <row r="157" spans="1:24">
      <c r="S157">
        <f>S139*0.4</f>
        <v>3459567.948282043</v>
      </c>
      <c r="U157" s="94"/>
      <c r="V157" s="94"/>
    </row>
    <row r="158" spans="1:24">
      <c r="U158" s="94"/>
      <c r="V158" s="94"/>
    </row>
    <row r="159" spans="1:24">
      <c r="U159" s="94"/>
      <c r="V159" s="94"/>
      <c r="W159" s="296"/>
      <c r="X159" s="94">
        <v>789316919.72162962</v>
      </c>
    </row>
    <row r="161" spans="21:22">
      <c r="V161" s="94"/>
    </row>
    <row r="165" spans="21:22">
      <c r="U165" s="428" t="s">
        <v>15</v>
      </c>
      <c r="V165" s="429">
        <v>1639026</v>
      </c>
    </row>
    <row r="166" spans="21:22">
      <c r="U166" s="299" t="s">
        <v>16</v>
      </c>
      <c r="V166" s="301">
        <v>3460000</v>
      </c>
    </row>
    <row r="167" spans="21:22">
      <c r="U167" s="300" t="s">
        <v>435</v>
      </c>
      <c r="V167" s="75">
        <v>3800819</v>
      </c>
    </row>
    <row r="168" spans="21:22">
      <c r="U168" s="3" t="s">
        <v>9</v>
      </c>
      <c r="V168" s="302">
        <f>SUM(V165:V167)</f>
        <v>8899845</v>
      </c>
    </row>
  </sheetData>
  <pageMargins left="0.7" right="0.7" top="0.75" bottom="0.75" header="0.3" footer="0.3"/>
  <pageSetup paperSize="9" orientation="portrait" r:id="rId1"/>
  <customProperties>
    <customPr name="_pios_id" r:id="rId2"/>
    <customPr name="EpmWorksheetKeyString_GUID" r:id="rId3"/>
  </customPropertie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CD204-8F9C-47F9-BF2B-258B4B53E7FD}">
  <dimension ref="B3:O22"/>
  <sheetViews>
    <sheetView showGridLines="0" zoomScale="85" zoomScaleNormal="85" workbookViewId="0">
      <selection activeCell="H8" sqref="H8"/>
    </sheetView>
  </sheetViews>
  <sheetFormatPr defaultRowHeight="14.5"/>
  <cols>
    <col min="2" max="2" width="26.453125" customWidth="1"/>
    <col min="3" max="3" width="4.81640625" customWidth="1"/>
    <col min="4" max="4" width="15.1796875" bestFit="1" customWidth="1"/>
    <col min="5" max="5" width="14.1796875" bestFit="1" customWidth="1"/>
    <col min="6" max="6" width="6.1796875" customWidth="1"/>
    <col min="7" max="7" width="13" bestFit="1" customWidth="1"/>
    <col min="8" max="8" width="13.54296875" customWidth="1"/>
    <col min="9" max="9" width="7" customWidth="1"/>
    <col min="11" max="11" width="21.1796875" bestFit="1" customWidth="1"/>
    <col min="13" max="14" width="13.26953125" bestFit="1" customWidth="1"/>
  </cols>
  <sheetData>
    <row r="3" spans="2:15">
      <c r="B3" s="276"/>
      <c r="C3" s="276"/>
      <c r="D3" s="276" t="s">
        <v>436</v>
      </c>
      <c r="E3" s="276" t="s">
        <v>437</v>
      </c>
      <c r="F3" s="276"/>
      <c r="G3" s="276" t="s">
        <v>438</v>
      </c>
      <c r="H3" s="276" t="s">
        <v>439</v>
      </c>
      <c r="I3" s="276"/>
      <c r="K3" s="276"/>
      <c r="L3" s="276"/>
      <c r="M3" s="276" t="s">
        <v>440</v>
      </c>
      <c r="N3" s="276" t="s">
        <v>441</v>
      </c>
      <c r="O3" s="276"/>
    </row>
    <row r="4" spans="2:15">
      <c r="B4" s="277"/>
      <c r="C4" s="277"/>
      <c r="D4" s="277">
        <v>2024</v>
      </c>
      <c r="E4" s="277">
        <v>2024</v>
      </c>
      <c r="F4" s="277" t="s">
        <v>28</v>
      </c>
      <c r="G4" s="277">
        <v>2024</v>
      </c>
      <c r="H4" s="277">
        <v>2024</v>
      </c>
      <c r="I4" s="277" t="s">
        <v>28</v>
      </c>
      <c r="K4" s="280" t="s">
        <v>442</v>
      </c>
      <c r="L4" s="280" t="s">
        <v>443</v>
      </c>
      <c r="M4" s="277">
        <v>2024</v>
      </c>
      <c r="N4" s="277">
        <v>2024</v>
      </c>
      <c r="O4" s="277" t="s">
        <v>28</v>
      </c>
    </row>
    <row r="5" spans="2:15">
      <c r="B5" s="278" t="s">
        <v>444</v>
      </c>
      <c r="C5" s="278" t="s">
        <v>346</v>
      </c>
      <c r="D5" s="274">
        <f>'C-Döviz'!$AI$14</f>
        <v>133999736.311259</v>
      </c>
      <c r="E5" s="274">
        <f>'Tahmin Data'!$W$9</f>
        <v>0</v>
      </c>
      <c r="F5" s="275">
        <f>E5/D5-1</f>
        <v>-1</v>
      </c>
      <c r="G5" s="274">
        <f>'C-Döviz'!AI220</f>
        <v>10606958.572944</v>
      </c>
      <c r="H5" s="274">
        <f>'Tahmin Data'!$W$105</f>
        <v>0</v>
      </c>
      <c r="I5" s="275">
        <f>H5/G5-1</f>
        <v>-1</v>
      </c>
      <c r="K5" s="278" t="s">
        <v>444</v>
      </c>
      <c r="L5" s="281">
        <v>1.3299999999999999E-2</v>
      </c>
      <c r="M5" s="274">
        <v>75825751.423583806</v>
      </c>
      <c r="N5" s="274">
        <v>58768416</v>
      </c>
      <c r="O5" s="275">
        <f t="shared" ref="O5:O11" si="0">N5/M5-1</f>
        <v>-0.22495438691133796</v>
      </c>
    </row>
    <row r="6" spans="2:15">
      <c r="B6" s="278" t="s">
        <v>445</v>
      </c>
      <c r="C6" s="278" t="s">
        <v>346</v>
      </c>
      <c r="D6" s="274">
        <f>'C-Döviz'!$AI$15</f>
        <v>85847861.318379998</v>
      </c>
      <c r="E6" s="274">
        <f>'Tahmin Data'!$W$8</f>
        <v>0</v>
      </c>
      <c r="F6" s="275">
        <f t="shared" ref="F6:F11" si="1">E6/D6-1</f>
        <v>-1</v>
      </c>
      <c r="G6" s="274">
        <f>'C-Döviz'!AI221</f>
        <v>11335570.659361999</v>
      </c>
      <c r="H6" s="274">
        <f>'Tahmin Data'!$W$104</f>
        <v>0</v>
      </c>
      <c r="I6" s="275">
        <f t="shared" ref="I6:I11" si="2">H6/G6-1</f>
        <v>-1</v>
      </c>
      <c r="K6" s="278" t="s">
        <v>445</v>
      </c>
      <c r="L6" s="281">
        <v>1.3299999999999999E-2</v>
      </c>
      <c r="M6" s="274">
        <v>43163460.086838007</v>
      </c>
      <c r="N6" s="274">
        <v>39887332</v>
      </c>
      <c r="O6" s="275">
        <f t="shared" si="0"/>
        <v>-7.5900497324518423E-2</v>
      </c>
    </row>
    <row r="7" spans="2:15">
      <c r="B7" s="278" t="s">
        <v>446</v>
      </c>
      <c r="C7" s="278" t="s">
        <v>346</v>
      </c>
      <c r="D7" s="274">
        <f>'C-Döviz'!$AI$16</f>
        <v>247682976.362176</v>
      </c>
      <c r="E7" s="274">
        <f>'Tahmin Data'!$W$7</f>
        <v>0</v>
      </c>
      <c r="F7" s="275">
        <f t="shared" si="1"/>
        <v>-1</v>
      </c>
      <c r="G7" s="274">
        <f>'C-Döviz'!AI222</f>
        <v>25708085.693652999</v>
      </c>
      <c r="H7" s="274">
        <f>'Tahmin Data'!$W$103</f>
        <v>0</v>
      </c>
      <c r="I7" s="275">
        <f t="shared" si="2"/>
        <v>-1</v>
      </c>
      <c r="K7" s="278" t="s">
        <v>446</v>
      </c>
      <c r="L7" s="281">
        <v>1.3299999999999999E-2</v>
      </c>
      <c r="M7" s="274">
        <v>134732179.74768454</v>
      </c>
      <c r="N7" s="274">
        <v>111252572</v>
      </c>
      <c r="O7" s="275">
        <f t="shared" si="0"/>
        <v>-0.17426874404953019</v>
      </c>
    </row>
    <row r="8" spans="2:15">
      <c r="B8" s="278" t="s">
        <v>13</v>
      </c>
      <c r="C8" s="278" t="s">
        <v>442</v>
      </c>
      <c r="D8" s="274">
        <f>'C-TRY'!$AI$12</f>
        <v>10761627798.073826</v>
      </c>
      <c r="E8" s="274">
        <f>'Tahmin Data'!$W$3</f>
        <v>0</v>
      </c>
      <c r="F8" s="275">
        <f t="shared" si="1"/>
        <v>-1</v>
      </c>
      <c r="G8" s="274">
        <f>'C-TRY'!$AI$218</f>
        <v>48175268.32986097</v>
      </c>
      <c r="H8" s="274">
        <f>'Tahmin Data'!$W$99</f>
        <v>0</v>
      </c>
      <c r="I8" s="275">
        <f t="shared" si="2"/>
        <v>-1</v>
      </c>
      <c r="K8" s="278" t="s">
        <v>13</v>
      </c>
      <c r="L8" s="281">
        <v>8.9999999999999993E-3</v>
      </c>
      <c r="M8" s="274">
        <v>89823536.642302319</v>
      </c>
      <c r="N8" s="274">
        <v>76685557</v>
      </c>
      <c r="O8" s="275">
        <f t="shared" si="0"/>
        <v>-0.14626433263945882</v>
      </c>
    </row>
    <row r="9" spans="2:15">
      <c r="B9" s="278" t="s">
        <v>423</v>
      </c>
      <c r="C9" s="278" t="s">
        <v>442</v>
      </c>
      <c r="D9" s="274">
        <f>'C-TRY'!$AI$13</f>
        <v>3249823673.9163437</v>
      </c>
      <c r="E9" s="274">
        <f>'Tahmin Data'!$W$10</f>
        <v>0</v>
      </c>
      <c r="F9" s="275">
        <f t="shared" si="1"/>
        <v>-1</v>
      </c>
      <c r="G9" s="274">
        <f>'C-TRY'!$AI$219</f>
        <v>45442586.187923856</v>
      </c>
      <c r="H9" s="274">
        <f>'Tahmin Data'!$W$106</f>
        <v>0</v>
      </c>
      <c r="I9" s="275">
        <f t="shared" si="2"/>
        <v>-1</v>
      </c>
      <c r="K9" s="278" t="s">
        <v>423</v>
      </c>
      <c r="L9" s="281">
        <v>2.8E-3</v>
      </c>
      <c r="M9" s="274">
        <v>6573226.1866762862</v>
      </c>
      <c r="N9" s="274">
        <v>6797596</v>
      </c>
      <c r="O9" s="275">
        <f t="shared" si="0"/>
        <v>3.4133895130294523E-2</v>
      </c>
    </row>
    <row r="10" spans="2:15">
      <c r="B10" s="278" t="s">
        <v>363</v>
      </c>
      <c r="C10" s="278" t="s">
        <v>442</v>
      </c>
      <c r="D10" s="274">
        <f>'C-TRY'!$AI$10</f>
        <v>382716321.87452096</v>
      </c>
      <c r="E10" s="274">
        <f>'Tahmin Data'!$V$6</f>
        <v>0</v>
      </c>
      <c r="F10" s="275">
        <f t="shared" si="1"/>
        <v>-1</v>
      </c>
      <c r="G10" s="274">
        <f>'C-TRY'!$AI$216</f>
        <v>28316462.612296995</v>
      </c>
      <c r="H10" s="274">
        <f>'Tahmin Data'!$V$102</f>
        <v>0</v>
      </c>
      <c r="I10" s="275">
        <f t="shared" si="2"/>
        <v>-1</v>
      </c>
      <c r="K10" s="278" t="s">
        <v>363</v>
      </c>
      <c r="L10" s="281">
        <v>8.0000000000000002E-3</v>
      </c>
      <c r="M10" s="274">
        <v>3285726.0885800058</v>
      </c>
      <c r="N10" s="274">
        <v>2109362</v>
      </c>
      <c r="O10" s="275">
        <f t="shared" si="0"/>
        <v>-0.35802256696582879</v>
      </c>
    </row>
    <row r="11" spans="2:15">
      <c r="B11" s="278" t="s">
        <v>12</v>
      </c>
      <c r="C11" s="278" t="s">
        <v>442</v>
      </c>
      <c r="D11" s="274">
        <f>'C-TRY'!$AI$11</f>
        <v>700788183.64928198</v>
      </c>
      <c r="E11" s="274">
        <f>'Tahmin Data'!$V$5</f>
        <v>0</v>
      </c>
      <c r="F11" s="275">
        <f t="shared" si="1"/>
        <v>-1</v>
      </c>
      <c r="G11" s="274">
        <f>'C-TRY'!$AI$217</f>
        <v>7430329.4159820005</v>
      </c>
      <c r="H11" s="274">
        <f>'Tahmin Data'!$V$101</f>
        <v>0</v>
      </c>
      <c r="I11" s="275">
        <f t="shared" si="2"/>
        <v>-1</v>
      </c>
      <c r="K11" s="278" t="s">
        <v>12</v>
      </c>
      <c r="L11" s="281">
        <v>8.0000000000000002E-3</v>
      </c>
      <c r="M11" s="274">
        <v>3570564.6399199995</v>
      </c>
      <c r="N11" s="274">
        <v>3489491</v>
      </c>
      <c r="O11" s="275">
        <f t="shared" si="0"/>
        <v>-2.2706111804718931E-2</v>
      </c>
    </row>
    <row r="15" spans="2:15">
      <c r="B15" s="279" t="s">
        <v>447</v>
      </c>
      <c r="C15" s="279"/>
      <c r="D15" s="279"/>
    </row>
    <row r="16" spans="2:15">
      <c r="B16" s="278" t="s">
        <v>448</v>
      </c>
      <c r="C16" s="278" t="s">
        <v>442</v>
      </c>
      <c r="D16" s="274">
        <v>11000000</v>
      </c>
    </row>
    <row r="17" spans="2:4">
      <c r="B17" s="278" t="s">
        <v>419</v>
      </c>
      <c r="C17" s="278" t="s">
        <v>346</v>
      </c>
      <c r="D17" s="274">
        <v>10000000</v>
      </c>
    </row>
    <row r="18" spans="2:4">
      <c r="B18" s="278" t="s">
        <v>12</v>
      </c>
      <c r="C18" s="278" t="s">
        <v>442</v>
      </c>
      <c r="D18" s="274">
        <v>7870435</v>
      </c>
    </row>
    <row r="19" spans="2:4">
      <c r="B19" s="278" t="s">
        <v>446</v>
      </c>
      <c r="C19" s="278" t="s">
        <v>346</v>
      </c>
      <c r="D19" s="274">
        <v>8500000</v>
      </c>
    </row>
    <row r="20" spans="2:4">
      <c r="B20" s="278" t="s">
        <v>445</v>
      </c>
      <c r="C20" s="278" t="s">
        <v>346</v>
      </c>
      <c r="D20" s="274">
        <v>12000000</v>
      </c>
    </row>
    <row r="21" spans="2:4">
      <c r="B21" s="278" t="s">
        <v>444</v>
      </c>
      <c r="C21" s="278" t="s">
        <v>346</v>
      </c>
      <c r="D21" s="274">
        <v>13000000</v>
      </c>
    </row>
    <row r="22" spans="2:4">
      <c r="B22" s="278" t="s">
        <v>423</v>
      </c>
      <c r="C22" s="278" t="s">
        <v>442</v>
      </c>
      <c r="D22" s="274">
        <v>50000000</v>
      </c>
    </row>
  </sheetData>
  <pageMargins left="0.7" right="0.7" top="0.75" bottom="0.75" header="0.3" footer="0.3"/>
  <ignoredErrors>
    <ignoredError sqref="F5 F9 F8 I8 F11 I11 F10 I10 I9 F7 I7 F6 I6 I5" evalError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3354D-4621-4B10-A83B-B11E0418EE30}">
  <sheetPr filterMode="1"/>
  <dimension ref="A1:G154"/>
  <sheetViews>
    <sheetView showGridLines="0" workbookViewId="0">
      <selection activeCell="C44" sqref="C44"/>
    </sheetView>
  </sheetViews>
  <sheetFormatPr defaultRowHeight="14.5"/>
  <cols>
    <col min="1" max="1" width="21.1796875" bestFit="1" customWidth="1"/>
    <col min="2" max="2" width="17.26953125" bestFit="1" customWidth="1"/>
    <col min="3" max="3" width="13.54296875" style="94" bestFit="1" customWidth="1"/>
    <col min="4" max="4" width="15" style="94" bestFit="1" customWidth="1"/>
  </cols>
  <sheetData>
    <row r="1" spans="1:4">
      <c r="A1" s="119" t="s">
        <v>414</v>
      </c>
      <c r="C1" s="94" t="s">
        <v>131</v>
      </c>
    </row>
    <row r="2" spans="1:4">
      <c r="A2" s="120" t="s">
        <v>415</v>
      </c>
      <c r="B2" s="120" t="s">
        <v>416</v>
      </c>
      <c r="C2" s="94" t="s">
        <v>417</v>
      </c>
      <c r="D2" s="94" t="s">
        <v>345</v>
      </c>
    </row>
    <row r="3" spans="1:4" hidden="1">
      <c r="A3" s="119" t="s">
        <v>418</v>
      </c>
      <c r="B3" s="121" t="s">
        <v>13</v>
      </c>
      <c r="C3" s="94">
        <v>105176089.7145772</v>
      </c>
      <c r="D3" s="94">
        <v>3915040434.3625841</v>
      </c>
    </row>
    <row r="4" spans="1:4">
      <c r="A4" s="119" t="s">
        <v>418</v>
      </c>
      <c r="B4" s="121" t="s">
        <v>419</v>
      </c>
      <c r="C4" s="94">
        <v>9024046.7217882052</v>
      </c>
      <c r="D4" s="94">
        <v>334400224</v>
      </c>
    </row>
    <row r="5" spans="1:4" hidden="1">
      <c r="A5" s="119" t="s">
        <v>418</v>
      </c>
      <c r="B5" s="121" t="s">
        <v>12</v>
      </c>
      <c r="C5" s="94">
        <v>12235559.04634773</v>
      </c>
      <c r="D5" s="94">
        <v>451553540.99733102</v>
      </c>
    </row>
    <row r="6" spans="1:4" hidden="1">
      <c r="A6" s="119" t="s">
        <v>418</v>
      </c>
      <c r="B6" s="121" t="s">
        <v>363</v>
      </c>
      <c r="C6" s="94">
        <v>10132316.884306245</v>
      </c>
      <c r="D6" s="94">
        <v>373480231.20143902</v>
      </c>
    </row>
    <row r="7" spans="1:4" hidden="1">
      <c r="A7" s="119" t="s">
        <v>418</v>
      </c>
      <c r="B7" s="121" t="s">
        <v>420</v>
      </c>
      <c r="C7" s="94">
        <v>101513528.46211481</v>
      </c>
      <c r="D7" s="94">
        <v>3771662129.2995901</v>
      </c>
    </row>
    <row r="8" spans="1:4" hidden="1">
      <c r="A8" s="119" t="s">
        <v>418</v>
      </c>
      <c r="B8" s="121" t="s">
        <v>421</v>
      </c>
      <c r="C8" s="94">
        <v>31355620.514714804</v>
      </c>
      <c r="D8" s="94">
        <v>1149425855.6927848</v>
      </c>
    </row>
    <row r="9" spans="1:4" hidden="1">
      <c r="A9" s="119" t="s">
        <v>418</v>
      </c>
      <c r="B9" s="121" t="s">
        <v>422</v>
      </c>
      <c r="C9" s="94">
        <v>50808954.414390802</v>
      </c>
      <c r="D9" s="94">
        <v>1876416572.0610521</v>
      </c>
    </row>
    <row r="10" spans="1:4" hidden="1">
      <c r="A10" s="119" t="s">
        <v>418</v>
      </c>
      <c r="B10" s="121" t="s">
        <v>423</v>
      </c>
      <c r="C10" s="94">
        <v>26618616.981658876</v>
      </c>
      <c r="D10" s="94">
        <v>986413529.62795603</v>
      </c>
    </row>
    <row r="11" spans="1:4" hidden="1">
      <c r="A11" s="119" t="s">
        <v>424</v>
      </c>
      <c r="B11" s="121" t="s">
        <v>13</v>
      </c>
      <c r="C11" s="94">
        <v>86906130.278924048</v>
      </c>
      <c r="D11" s="94">
        <v>3235890084.1086321</v>
      </c>
    </row>
    <row r="12" spans="1:4">
      <c r="A12" s="119" t="s">
        <v>424</v>
      </c>
      <c r="B12" s="121" t="s">
        <v>419</v>
      </c>
      <c r="C12" s="94">
        <v>0</v>
      </c>
      <c r="D12" s="94">
        <v>0</v>
      </c>
    </row>
    <row r="13" spans="1:4" hidden="1">
      <c r="A13" s="119" t="s">
        <v>424</v>
      </c>
      <c r="B13" s="121" t="s">
        <v>12</v>
      </c>
      <c r="C13" s="94">
        <v>10187184.94689893</v>
      </c>
      <c r="D13" s="94">
        <v>375549793.32310402</v>
      </c>
    </row>
    <row r="14" spans="1:4" hidden="1">
      <c r="A14" s="119" t="s">
        <v>424</v>
      </c>
      <c r="B14" s="121" t="s">
        <v>363</v>
      </c>
      <c r="C14" s="94">
        <v>7550899.2651905939</v>
      </c>
      <c r="D14" s="94">
        <v>278528053.05165797</v>
      </c>
    </row>
    <row r="15" spans="1:4" hidden="1">
      <c r="A15" s="119" t="s">
        <v>424</v>
      </c>
      <c r="B15" s="121" t="s">
        <v>420</v>
      </c>
      <c r="C15" s="94">
        <v>83808705.414266407</v>
      </c>
      <c r="D15" s="94">
        <v>3105797142.6237473</v>
      </c>
    </row>
    <row r="16" spans="1:4" hidden="1">
      <c r="A16" s="119" t="s">
        <v>424</v>
      </c>
      <c r="B16" s="121" t="s">
        <v>421</v>
      </c>
      <c r="C16" s="94">
        <v>23540422.826374799</v>
      </c>
      <c r="D16" s="94">
        <v>864008424.35848296</v>
      </c>
    </row>
    <row r="17" spans="1:7" hidden="1">
      <c r="A17" s="119" t="s">
        <v>424</v>
      </c>
      <c r="B17" s="121" t="s">
        <v>422</v>
      </c>
      <c r="C17" s="94">
        <v>41690914.495700806</v>
      </c>
      <c r="D17" s="94">
        <v>1538757385.621304</v>
      </c>
    </row>
    <row r="18" spans="1:7" hidden="1">
      <c r="A18" s="119" t="s">
        <v>424</v>
      </c>
      <c r="B18" s="121" t="s">
        <v>423</v>
      </c>
      <c r="C18" s="94">
        <v>21938759.836252093</v>
      </c>
      <c r="D18" s="94">
        <v>812047573.552284</v>
      </c>
    </row>
    <row r="19" spans="1:7" hidden="1">
      <c r="A19" s="119" t="s">
        <v>425</v>
      </c>
      <c r="B19" s="121" t="s">
        <v>13</v>
      </c>
      <c r="C19" s="94">
        <v>18269959.43565315</v>
      </c>
      <c r="D19" s="94">
        <v>679150350.25395203</v>
      </c>
      <c r="F19" s="94"/>
      <c r="G19" s="94"/>
    </row>
    <row r="20" spans="1:7">
      <c r="A20" s="119" t="s">
        <v>425</v>
      </c>
      <c r="B20" s="121" t="s">
        <v>419</v>
      </c>
      <c r="C20" s="94">
        <v>9024046.7217882052</v>
      </c>
      <c r="D20" s="94">
        <v>334400224</v>
      </c>
      <c r="F20" s="94"/>
      <c r="G20" s="94"/>
    </row>
    <row r="21" spans="1:7" hidden="1">
      <c r="A21" s="119" t="s">
        <v>425</v>
      </c>
      <c r="B21" s="121" t="s">
        <v>12</v>
      </c>
      <c r="C21" s="94">
        <v>2048374.0994488001</v>
      </c>
      <c r="D21" s="94">
        <v>76003747.674226999</v>
      </c>
      <c r="F21" s="94"/>
      <c r="G21" s="94"/>
    </row>
    <row r="22" spans="1:7" hidden="1">
      <c r="A22" s="119" t="s">
        <v>425</v>
      </c>
      <c r="B22" s="121" t="s">
        <v>363</v>
      </c>
      <c r="C22" s="94">
        <v>2581417.6191156507</v>
      </c>
      <c r="D22" s="94">
        <v>94952178.149781048</v>
      </c>
      <c r="F22" s="94"/>
      <c r="G22" s="94"/>
    </row>
    <row r="23" spans="1:7" hidden="1">
      <c r="A23" s="119" t="s">
        <v>425</v>
      </c>
      <c r="B23" s="121" t="s">
        <v>420</v>
      </c>
      <c r="C23" s="94">
        <v>17704823.047848403</v>
      </c>
      <c r="D23" s="94">
        <v>665864986.67584276</v>
      </c>
      <c r="F23" s="94"/>
      <c r="G23" s="94"/>
    </row>
    <row r="24" spans="1:7" hidden="1">
      <c r="A24" s="119" t="s">
        <v>425</v>
      </c>
      <c r="B24" s="121" t="s">
        <v>421</v>
      </c>
      <c r="C24" s="94">
        <v>7815197.6883400045</v>
      </c>
      <c r="D24" s="94">
        <v>285417431.33430183</v>
      </c>
      <c r="F24" s="94"/>
      <c r="G24" s="94"/>
    </row>
    <row r="25" spans="1:7" hidden="1">
      <c r="A25" s="119" t="s">
        <v>425</v>
      </c>
      <c r="B25" s="121" t="s">
        <v>422</v>
      </c>
      <c r="C25" s="94">
        <v>9118039.918689996</v>
      </c>
      <c r="D25" s="94">
        <v>337659186.43974805</v>
      </c>
      <c r="F25" s="94"/>
      <c r="G25" s="94"/>
    </row>
    <row r="26" spans="1:7" hidden="1">
      <c r="A26" s="119" t="s">
        <v>425</v>
      </c>
      <c r="B26" s="121" t="s">
        <v>423</v>
      </c>
      <c r="C26" s="94">
        <v>4679857.1454067826</v>
      </c>
      <c r="D26" s="94">
        <v>174365956.07567203</v>
      </c>
      <c r="F26" s="94"/>
      <c r="G26" s="94"/>
    </row>
    <row r="27" spans="1:7" hidden="1">
      <c r="A27" s="119" t="s">
        <v>426</v>
      </c>
      <c r="B27" s="121" t="s">
        <v>13</v>
      </c>
      <c r="C27" s="94">
        <v>9204577.8966369387</v>
      </c>
      <c r="D27" s="94">
        <v>341223037.04086202</v>
      </c>
      <c r="F27" s="94"/>
    </row>
    <row r="28" spans="1:7">
      <c r="A28" s="119" t="s">
        <v>426</v>
      </c>
      <c r="B28" s="121" t="s">
        <v>419</v>
      </c>
      <c r="C28" s="94">
        <v>4245969.0256558079</v>
      </c>
      <c r="D28" s="94">
        <v>158056464.99035385</v>
      </c>
    </row>
    <row r="29" spans="1:7" hidden="1">
      <c r="A29" s="119" t="s">
        <v>426</v>
      </c>
      <c r="B29" s="121" t="s">
        <v>12</v>
      </c>
      <c r="C29" s="94">
        <v>1331171.2502260408</v>
      </c>
      <c r="D29" s="94">
        <v>49332558.676174998</v>
      </c>
    </row>
    <row r="30" spans="1:7" hidden="1">
      <c r="A30" s="119" t="s">
        <v>426</v>
      </c>
      <c r="B30" s="121" t="s">
        <v>363</v>
      </c>
      <c r="C30" s="94">
        <v>1715869.2851196646</v>
      </c>
      <c r="D30" s="94">
        <v>63618846</v>
      </c>
    </row>
    <row r="31" spans="1:7" hidden="1">
      <c r="A31" s="119" t="s">
        <v>426</v>
      </c>
      <c r="B31" s="121" t="s">
        <v>420</v>
      </c>
      <c r="C31" s="94">
        <v>4510138.1152000008</v>
      </c>
      <c r="D31" s="94">
        <v>167505077.24492899</v>
      </c>
    </row>
    <row r="32" spans="1:7" hidden="1">
      <c r="A32" s="119" t="s">
        <v>426</v>
      </c>
      <c r="B32" s="121" t="s">
        <v>421</v>
      </c>
      <c r="C32" s="94">
        <v>1652387.5278036001</v>
      </c>
      <c r="D32" s="94">
        <v>60595057.585140109</v>
      </c>
    </row>
    <row r="33" spans="1:4" hidden="1">
      <c r="A33" s="119" t="s">
        <v>426</v>
      </c>
      <c r="B33" s="121" t="s">
        <v>422</v>
      </c>
      <c r="C33" s="94">
        <v>3106757.5513892001</v>
      </c>
      <c r="D33" s="94">
        <v>114665488.66623862</v>
      </c>
    </row>
    <row r="34" spans="1:4" hidden="1">
      <c r="A34" s="119" t="s">
        <v>426</v>
      </c>
      <c r="B34" s="121" t="s">
        <v>423</v>
      </c>
      <c r="C34" s="94">
        <v>3451582.1480333367</v>
      </c>
      <c r="D34" s="94">
        <v>128407145.7565044</v>
      </c>
    </row>
    <row r="35" spans="1:4" hidden="1">
      <c r="A35" s="119" t="s">
        <v>427</v>
      </c>
      <c r="B35" s="121" t="s">
        <v>13</v>
      </c>
    </row>
    <row r="36" spans="1:4">
      <c r="A36" s="119" t="s">
        <v>427</v>
      </c>
      <c r="B36" s="121" t="s">
        <v>419</v>
      </c>
    </row>
    <row r="37" spans="1:4" hidden="1">
      <c r="A37" s="119" t="s">
        <v>427</v>
      </c>
      <c r="B37" s="121" t="s">
        <v>12</v>
      </c>
    </row>
    <row r="38" spans="1:4" hidden="1">
      <c r="A38" s="119" t="s">
        <v>427</v>
      </c>
      <c r="B38" s="121" t="s">
        <v>363</v>
      </c>
    </row>
    <row r="39" spans="1:4" hidden="1">
      <c r="A39" s="119" t="s">
        <v>427</v>
      </c>
      <c r="B39" s="121" t="s">
        <v>420</v>
      </c>
    </row>
    <row r="40" spans="1:4" hidden="1">
      <c r="A40" s="119" t="s">
        <v>427</v>
      </c>
      <c r="B40" s="121" t="s">
        <v>421</v>
      </c>
    </row>
    <row r="41" spans="1:4" hidden="1">
      <c r="A41" s="119" t="s">
        <v>427</v>
      </c>
      <c r="B41" s="121" t="s">
        <v>422</v>
      </c>
    </row>
    <row r="42" spans="1:4" hidden="1">
      <c r="A42" s="119" t="s">
        <v>427</v>
      </c>
      <c r="B42" s="121" t="s">
        <v>423</v>
      </c>
    </row>
    <row r="43" spans="1:4" hidden="1">
      <c r="A43" s="119" t="s">
        <v>118</v>
      </c>
      <c r="B43" s="121" t="s">
        <v>13</v>
      </c>
      <c r="C43" s="94">
        <v>9065381.5390162114</v>
      </c>
      <c r="D43" s="94">
        <v>337927313.21309</v>
      </c>
    </row>
    <row r="44" spans="1:4">
      <c r="A44" s="119" t="s">
        <v>118</v>
      </c>
      <c r="B44" s="121" t="s">
        <v>419</v>
      </c>
      <c r="C44" s="94">
        <v>4778077.6961323973</v>
      </c>
      <c r="D44" s="94">
        <v>176343759.00964609</v>
      </c>
    </row>
    <row r="45" spans="1:4" hidden="1">
      <c r="A45" s="119" t="s">
        <v>118</v>
      </c>
      <c r="B45" s="121" t="s">
        <v>12</v>
      </c>
      <c r="C45" s="94">
        <v>717202.84922275925</v>
      </c>
      <c r="D45" s="94">
        <v>26671188.998052001</v>
      </c>
    </row>
    <row r="46" spans="1:4" hidden="1">
      <c r="A46" s="119" t="s">
        <v>118</v>
      </c>
      <c r="B46" s="121" t="s">
        <v>363</v>
      </c>
      <c r="C46" s="94">
        <v>865548.33399598603</v>
      </c>
      <c r="D46" s="94">
        <v>31333332.149781048</v>
      </c>
    </row>
    <row r="47" spans="1:4" hidden="1">
      <c r="A47" s="119" t="s">
        <v>118</v>
      </c>
      <c r="B47" s="121" t="s">
        <v>420</v>
      </c>
      <c r="C47" s="94">
        <v>13194684.932648402</v>
      </c>
      <c r="D47" s="94">
        <v>498359909.43091381</v>
      </c>
    </row>
    <row r="48" spans="1:4" hidden="1">
      <c r="A48" s="119" t="s">
        <v>118</v>
      </c>
      <c r="B48" s="121" t="s">
        <v>421</v>
      </c>
      <c r="C48" s="94">
        <v>6162810.1605364047</v>
      </c>
      <c r="D48" s="94">
        <v>224822373.74916172</v>
      </c>
    </row>
    <row r="49" spans="1:4" hidden="1">
      <c r="A49" s="119" t="s">
        <v>118</v>
      </c>
      <c r="B49" s="121" t="s">
        <v>422</v>
      </c>
      <c r="C49" s="94">
        <v>6011282.3673007954</v>
      </c>
      <c r="D49" s="94">
        <v>222993697.77350944</v>
      </c>
    </row>
    <row r="50" spans="1:4" hidden="1">
      <c r="A50" s="119" t="s">
        <v>118</v>
      </c>
      <c r="B50" s="121" t="s">
        <v>423</v>
      </c>
      <c r="C50" s="94">
        <v>1228274.9973734459</v>
      </c>
      <c r="D50" s="94">
        <v>45958810.319167629</v>
      </c>
    </row>
    <row r="51" spans="1:4" hidden="1">
      <c r="A51" s="119" t="s">
        <v>428</v>
      </c>
      <c r="B51" s="121" t="s">
        <v>13</v>
      </c>
      <c r="C51" s="94">
        <v>918170.91460728319</v>
      </c>
      <c r="D51" s="94">
        <v>33662359.978713207</v>
      </c>
    </row>
    <row r="52" spans="1:4">
      <c r="A52" s="119" t="s">
        <v>428</v>
      </c>
      <c r="B52" s="121" t="s">
        <v>419</v>
      </c>
      <c r="C52" s="94">
        <v>63943.725522374662</v>
      </c>
      <c r="D52" s="94">
        <v>2383935</v>
      </c>
    </row>
    <row r="53" spans="1:4" hidden="1">
      <c r="A53" s="119" t="s">
        <v>428</v>
      </c>
      <c r="B53" s="121" t="s">
        <v>12</v>
      </c>
      <c r="C53" s="94">
        <v>6626.1063592382934</v>
      </c>
      <c r="D53" s="94">
        <v>245610.78</v>
      </c>
    </row>
    <row r="54" spans="1:4" hidden="1">
      <c r="A54" s="119" t="s">
        <v>428</v>
      </c>
      <c r="B54" s="121" t="s">
        <v>363</v>
      </c>
      <c r="C54" s="94">
        <v>150798.89902994953</v>
      </c>
      <c r="D54" s="94">
        <v>5666283</v>
      </c>
    </row>
    <row r="55" spans="1:4" hidden="1">
      <c r="A55" s="119" t="s">
        <v>428</v>
      </c>
      <c r="B55" s="121" t="s">
        <v>420</v>
      </c>
      <c r="C55" s="94">
        <v>2923702.2218296002</v>
      </c>
      <c r="D55" s="94">
        <v>107131052.87109444</v>
      </c>
    </row>
    <row r="56" spans="1:4" hidden="1">
      <c r="A56" s="119" t="s">
        <v>428</v>
      </c>
      <c r="B56" s="121" t="s">
        <v>421</v>
      </c>
      <c r="C56" s="94">
        <v>1244115.5096847999</v>
      </c>
      <c r="D56" s="94">
        <v>46274841.952279344</v>
      </c>
    </row>
    <row r="57" spans="1:4" hidden="1">
      <c r="A57" s="119" t="s">
        <v>428</v>
      </c>
      <c r="B57" s="121" t="s">
        <v>422</v>
      </c>
      <c r="C57" s="94">
        <v>2266901.1248400002</v>
      </c>
      <c r="D57" s="94">
        <v>84320180.405051455</v>
      </c>
    </row>
    <row r="58" spans="1:4" hidden="1">
      <c r="A58" s="119" t="s">
        <v>428</v>
      </c>
      <c r="B58" s="121" t="s">
        <v>423</v>
      </c>
      <c r="C58" s="94">
        <v>495575.30059861182</v>
      </c>
      <c r="D58" s="94">
        <v>18252626.840287201</v>
      </c>
    </row>
    <row r="59" spans="1:4" hidden="1">
      <c r="A59" s="119" t="s">
        <v>4</v>
      </c>
      <c r="B59" s="121" t="s">
        <v>13</v>
      </c>
      <c r="C59" s="94">
        <v>9983552.4536234941</v>
      </c>
      <c r="D59" s="94">
        <v>371589673.19180322</v>
      </c>
    </row>
    <row r="60" spans="1:4">
      <c r="A60" s="119" t="s">
        <v>4</v>
      </c>
      <c r="B60" s="121" t="s">
        <v>419</v>
      </c>
      <c r="C60" s="94">
        <v>4842021.4216547729</v>
      </c>
      <c r="D60" s="94">
        <v>178727690.98991281</v>
      </c>
    </row>
    <row r="61" spans="1:4" hidden="1">
      <c r="A61" s="119" t="s">
        <v>4</v>
      </c>
      <c r="B61" s="121" t="s">
        <v>12</v>
      </c>
      <c r="C61" s="94">
        <v>723828.95558199752</v>
      </c>
      <c r="D61" s="94">
        <v>26916799.778052002</v>
      </c>
    </row>
    <row r="62" spans="1:4" hidden="1">
      <c r="A62" s="119" t="s">
        <v>4</v>
      </c>
      <c r="B62" s="121" t="s">
        <v>363</v>
      </c>
      <c r="C62" s="94">
        <v>1016347.2330259356</v>
      </c>
      <c r="D62" s="94">
        <v>36999615.149781048</v>
      </c>
    </row>
    <row r="63" spans="1:4" hidden="1">
      <c r="A63" s="119" t="s">
        <v>4</v>
      </c>
      <c r="B63" s="121" t="s">
        <v>420</v>
      </c>
      <c r="C63" s="94">
        <v>16118387.154478002</v>
      </c>
      <c r="D63" s="94">
        <v>605490962.30200827</v>
      </c>
    </row>
    <row r="64" spans="1:4" hidden="1">
      <c r="A64" s="119" t="s">
        <v>4</v>
      </c>
      <c r="B64" s="121" t="s">
        <v>421</v>
      </c>
      <c r="C64" s="94">
        <v>7406925.6702212049</v>
      </c>
      <c r="D64" s="94">
        <v>271097215.70144105</v>
      </c>
    </row>
    <row r="65" spans="1:4" hidden="1">
      <c r="A65" s="119" t="s">
        <v>4</v>
      </c>
      <c r="B65" s="121" t="s">
        <v>422</v>
      </c>
      <c r="C65" s="94">
        <v>8278183.492140796</v>
      </c>
      <c r="D65" s="94">
        <v>307313878.17856091</v>
      </c>
    </row>
    <row r="66" spans="1:4" hidden="1">
      <c r="A66" s="119" t="s">
        <v>4</v>
      </c>
      <c r="B66" s="121" t="s">
        <v>423</v>
      </c>
      <c r="C66" s="94">
        <v>1723850.2979720577</v>
      </c>
      <c r="D66" s="94">
        <v>64211437.15945483</v>
      </c>
    </row>
    <row r="67" spans="1:4" hidden="1">
      <c r="A67" s="119" t="s">
        <v>429</v>
      </c>
      <c r="B67" s="121" t="s">
        <v>13</v>
      </c>
      <c r="C67" s="94">
        <v>-6680661.7964975797</v>
      </c>
      <c r="D67" s="94">
        <v>-252124570.34558976</v>
      </c>
    </row>
    <row r="68" spans="1:4">
      <c r="A68" s="119" t="s">
        <v>429</v>
      </c>
      <c r="B68" s="121" t="s">
        <v>419</v>
      </c>
      <c r="C68" s="94">
        <v>-2957880.9602855025</v>
      </c>
      <c r="D68" s="94">
        <v>-109077799</v>
      </c>
    </row>
    <row r="69" spans="1:4" hidden="1">
      <c r="A69" s="119" t="s">
        <v>429</v>
      </c>
      <c r="B69" s="121" t="s">
        <v>12</v>
      </c>
      <c r="C69" s="94">
        <v>-321673.72526348289</v>
      </c>
      <c r="D69" s="94">
        <v>-11935977.459897138</v>
      </c>
    </row>
    <row r="70" spans="1:4" hidden="1">
      <c r="A70" s="119" t="s">
        <v>429</v>
      </c>
      <c r="B70" s="121" t="s">
        <v>363</v>
      </c>
      <c r="C70" s="94">
        <v>-283332.90363282728</v>
      </c>
      <c r="D70" s="94">
        <v>-10477498.028053688</v>
      </c>
    </row>
    <row r="71" spans="1:4" hidden="1">
      <c r="A71" s="119" t="s">
        <v>429</v>
      </c>
      <c r="B71" s="121" t="s">
        <v>420</v>
      </c>
      <c r="C71" s="94">
        <v>341478.77536387456</v>
      </c>
      <c r="D71" s="94">
        <v>13770832.908337442</v>
      </c>
    </row>
    <row r="72" spans="1:4" hidden="1">
      <c r="A72" s="119" t="s">
        <v>429</v>
      </c>
      <c r="B72" s="121" t="s">
        <v>421</v>
      </c>
      <c r="C72" s="94">
        <v>46033.090788096903</v>
      </c>
      <c r="D72" s="94">
        <v>1203586.4084255777</v>
      </c>
    </row>
    <row r="73" spans="1:4" hidden="1">
      <c r="A73" s="119" t="s">
        <v>429</v>
      </c>
      <c r="B73" s="121" t="s">
        <v>422</v>
      </c>
      <c r="C73" s="94">
        <v>-135160.54949977179</v>
      </c>
      <c r="D73" s="94">
        <v>-5036394.8008502936</v>
      </c>
    </row>
    <row r="74" spans="1:4" hidden="1">
      <c r="A74" s="119" t="s">
        <v>429</v>
      </c>
      <c r="B74" s="121" t="s">
        <v>423</v>
      </c>
      <c r="C74" s="94">
        <v>-407090.6919961879</v>
      </c>
      <c r="D74" s="94">
        <v>-15613284.654513935</v>
      </c>
    </row>
    <row r="75" spans="1:4" hidden="1">
      <c r="A75" s="119" t="s">
        <v>430</v>
      </c>
      <c r="B75" s="121" t="s">
        <v>13</v>
      </c>
      <c r="C75" s="94">
        <v>-3105018.4395080856</v>
      </c>
      <c r="D75" s="94">
        <v>-109432179.64193121</v>
      </c>
    </row>
    <row r="76" spans="1:4">
      <c r="A76" s="119" t="s">
        <v>430</v>
      </c>
      <c r="B76" s="121" t="s">
        <v>419</v>
      </c>
      <c r="C76" s="94">
        <v>602730.81455436663</v>
      </c>
      <c r="D76" s="94">
        <v>21169283.999999993</v>
      </c>
    </row>
    <row r="77" spans="1:4" hidden="1">
      <c r="A77" s="119" t="s">
        <v>430</v>
      </c>
      <c r="B77" s="121" t="s">
        <v>12</v>
      </c>
      <c r="C77" s="94">
        <v>123854.8418888001</v>
      </c>
      <c r="D77" s="94">
        <v>4498637.9482310005</v>
      </c>
    </row>
    <row r="78" spans="1:4" hidden="1">
      <c r="A78" s="119" t="s">
        <v>430</v>
      </c>
      <c r="B78" s="121" t="s">
        <v>363</v>
      </c>
      <c r="C78" s="94">
        <v>21277.121490183748</v>
      </c>
      <c r="D78" s="94">
        <v>762509</v>
      </c>
    </row>
    <row r="79" spans="1:4" hidden="1">
      <c r="A79" s="119" t="s">
        <v>430</v>
      </c>
      <c r="B79" s="121" t="s">
        <v>420</v>
      </c>
      <c r="C79" s="94">
        <v>-508124.82800000004</v>
      </c>
      <c r="D79" s="94">
        <v>-19686770.552135505</v>
      </c>
    </row>
    <row r="80" spans="1:4" hidden="1">
      <c r="A80" s="119" t="s">
        <v>430</v>
      </c>
      <c r="B80" s="121" t="s">
        <v>421</v>
      </c>
      <c r="C80" s="94">
        <v>318749.30394280003</v>
      </c>
      <c r="D80" s="94">
        <v>11956985.170656575</v>
      </c>
    </row>
    <row r="81" spans="1:4" hidden="1">
      <c r="A81" s="119" t="s">
        <v>430</v>
      </c>
      <c r="B81" s="121" t="s">
        <v>422</v>
      </c>
      <c r="C81" s="94">
        <v>205962.26849720001</v>
      </c>
      <c r="D81" s="94">
        <v>7483470.3400295787</v>
      </c>
    </row>
    <row r="82" spans="1:4" hidden="1">
      <c r="A82" s="119" t="s">
        <v>430</v>
      </c>
      <c r="B82" s="121" t="s">
        <v>423</v>
      </c>
      <c r="C82" s="94">
        <v>168524.12721800953</v>
      </c>
      <c r="D82" s="94">
        <v>5520926.7490124004</v>
      </c>
    </row>
    <row r="83" spans="1:4" hidden="1">
      <c r="A83" s="119" t="s">
        <v>117</v>
      </c>
      <c r="B83" s="121" t="s">
        <v>13</v>
      </c>
      <c r="C83" s="94">
        <v>721819.62972932355</v>
      </c>
      <c r="D83" s="94">
        <v>-23629436.710032001</v>
      </c>
    </row>
    <row r="84" spans="1:4">
      <c r="A84" s="119" t="s">
        <v>117</v>
      </c>
      <c r="B84" s="121" t="s">
        <v>419</v>
      </c>
      <c r="C84" s="94">
        <v>2422927.550401262</v>
      </c>
      <c r="D84" s="94">
        <v>88435244.009646118</v>
      </c>
    </row>
    <row r="85" spans="1:4" hidden="1">
      <c r="A85" s="119" t="s">
        <v>117</v>
      </c>
      <c r="B85" s="121" t="s">
        <v>12</v>
      </c>
      <c r="C85" s="94">
        <v>519383.99214947916</v>
      </c>
      <c r="D85" s="94">
        <v>19233849.512818001</v>
      </c>
    </row>
    <row r="86" spans="1:4" hidden="1">
      <c r="A86" s="119" t="s">
        <v>117</v>
      </c>
      <c r="B86" s="121" t="s">
        <v>363</v>
      </c>
      <c r="C86" s="94">
        <v>603492.5937791114</v>
      </c>
      <c r="D86" s="94">
        <v>21618343.860739</v>
      </c>
    </row>
    <row r="87" spans="1:4" hidden="1">
      <c r="A87" s="119" t="s">
        <v>117</v>
      </c>
      <c r="B87" s="121" t="s">
        <v>420</v>
      </c>
      <c r="C87" s="94">
        <v>13028038.876648402</v>
      </c>
      <c r="D87" s="94">
        <v>492443971.78346503</v>
      </c>
    </row>
    <row r="88" spans="1:4" hidden="1">
      <c r="A88" s="119" t="s">
        <v>117</v>
      </c>
      <c r="B88" s="121" t="s">
        <v>421</v>
      </c>
      <c r="C88" s="94">
        <v>6527592.5537996003</v>
      </c>
      <c r="D88" s="94">
        <v>237976449.86231798</v>
      </c>
    </row>
    <row r="89" spans="1:4" hidden="1">
      <c r="A89" s="119" t="s">
        <v>117</v>
      </c>
      <c r="B89" s="121" t="s">
        <v>422</v>
      </c>
      <c r="C89" s="94">
        <v>6086117.7689584009</v>
      </c>
      <c r="D89" s="94">
        <v>225577997.31813806</v>
      </c>
    </row>
    <row r="90" spans="1:4" hidden="1">
      <c r="A90" s="119" t="s">
        <v>117</v>
      </c>
      <c r="B90" s="121" t="s">
        <v>423</v>
      </c>
      <c r="C90" s="94">
        <v>989708.44788872963</v>
      </c>
      <c r="D90" s="94">
        <v>35866452.429494798</v>
      </c>
    </row>
    <row r="91" spans="1:4" hidden="1">
      <c r="A91" s="119" t="s">
        <v>18</v>
      </c>
      <c r="B91" s="121" t="s">
        <v>13</v>
      </c>
      <c r="C91" s="94">
        <v>0</v>
      </c>
      <c r="D91" s="94">
        <v>0</v>
      </c>
    </row>
    <row r="92" spans="1:4">
      <c r="A92" s="119" t="s">
        <v>18</v>
      </c>
      <c r="B92" s="121" t="s">
        <v>419</v>
      </c>
      <c r="C92" s="94">
        <v>605731.8876003155</v>
      </c>
      <c r="D92" s="94">
        <v>22108811.002411529</v>
      </c>
    </row>
    <row r="93" spans="1:4" hidden="1">
      <c r="A93" s="119" t="s">
        <v>18</v>
      </c>
      <c r="B93" s="121" t="s">
        <v>12</v>
      </c>
      <c r="C93" s="94">
        <v>132971.36968055356</v>
      </c>
      <c r="D93" s="94">
        <v>4910805.7282530004</v>
      </c>
    </row>
    <row r="94" spans="1:4" hidden="1">
      <c r="A94" s="119" t="s">
        <v>18</v>
      </c>
      <c r="B94" s="121" t="s">
        <v>363</v>
      </c>
      <c r="C94" s="94">
        <v>68542.802133202757</v>
      </c>
      <c r="D94" s="94">
        <v>2432063.6843329999</v>
      </c>
    </row>
    <row r="95" spans="1:4" hidden="1">
      <c r="A95" s="119" t="s">
        <v>18</v>
      </c>
      <c r="B95" s="121" t="s">
        <v>420</v>
      </c>
      <c r="C95" s="94">
        <v>231784.97323920002</v>
      </c>
      <c r="D95" s="94">
        <v>14810073.981359074</v>
      </c>
    </row>
    <row r="96" spans="1:4" hidden="1">
      <c r="A96" s="119" t="s">
        <v>18</v>
      </c>
      <c r="B96" s="121" t="s">
        <v>421</v>
      </c>
      <c r="C96" s="94">
        <v>173345.27394000001</v>
      </c>
      <c r="D96" s="94">
        <v>4743984.1671591755</v>
      </c>
    </row>
    <row r="97" spans="1:4" hidden="1">
      <c r="A97" s="119" t="s">
        <v>18</v>
      </c>
      <c r="B97" s="121" t="s">
        <v>422</v>
      </c>
      <c r="C97" s="94">
        <v>506554.26306120004</v>
      </c>
      <c r="D97" s="94">
        <v>17939037.673346192</v>
      </c>
    </row>
    <row r="98" spans="1:4" hidden="1">
      <c r="A98" s="119" t="s">
        <v>18</v>
      </c>
      <c r="B98" s="121" t="s">
        <v>423</v>
      </c>
      <c r="C98" s="94">
        <v>218511.82636634866</v>
      </c>
      <c r="D98" s="94">
        <v>7986999.0707048001</v>
      </c>
    </row>
    <row r="99" spans="1:4" hidden="1">
      <c r="A99" s="119" t="s">
        <v>5</v>
      </c>
      <c r="B99" s="121" t="s">
        <v>13</v>
      </c>
      <c r="C99" s="94">
        <v>721819.62972932355</v>
      </c>
      <c r="D99" s="94">
        <v>-23629436.710032001</v>
      </c>
    </row>
    <row r="100" spans="1:4">
      <c r="A100" s="119" t="s">
        <v>5</v>
      </c>
      <c r="B100" s="121" t="s">
        <v>419</v>
      </c>
      <c r="C100" s="94">
        <v>1817195.662800946</v>
      </c>
      <c r="D100" s="94">
        <v>66326433.007234588</v>
      </c>
    </row>
    <row r="101" spans="1:4" hidden="1">
      <c r="A101" s="119" t="s">
        <v>5</v>
      </c>
      <c r="B101" s="121" t="s">
        <v>12</v>
      </c>
      <c r="C101" s="94">
        <v>386412.62246892561</v>
      </c>
      <c r="D101" s="94">
        <v>14323043.784565002</v>
      </c>
    </row>
    <row r="102" spans="1:4" hidden="1">
      <c r="A102" s="119" t="s">
        <v>5</v>
      </c>
      <c r="B102" s="121" t="s">
        <v>363</v>
      </c>
      <c r="C102" s="94">
        <v>534949.79164590861</v>
      </c>
      <c r="D102" s="94">
        <v>19186280.176406</v>
      </c>
    </row>
    <row r="103" spans="1:4" hidden="1">
      <c r="A103" s="119" t="s">
        <v>5</v>
      </c>
      <c r="B103" s="121" t="s">
        <v>420</v>
      </c>
      <c r="C103" s="94">
        <v>12796253.903409202</v>
      </c>
      <c r="D103" s="94">
        <v>477633897.80210596</v>
      </c>
    </row>
    <row r="104" spans="1:4" hidden="1">
      <c r="A104" s="119" t="s">
        <v>5</v>
      </c>
      <c r="B104" s="121" t="s">
        <v>421</v>
      </c>
      <c r="C104" s="94">
        <v>6354247.2798596006</v>
      </c>
      <c r="D104" s="94">
        <v>233232465.69515881</v>
      </c>
    </row>
    <row r="105" spans="1:4" hidden="1">
      <c r="A105" s="119" t="s">
        <v>5</v>
      </c>
      <c r="B105" s="121" t="s">
        <v>422</v>
      </c>
      <c r="C105" s="94">
        <v>5579563.5058972007</v>
      </c>
      <c r="D105" s="94">
        <v>207638959.64479187</v>
      </c>
    </row>
    <row r="106" spans="1:4" hidden="1">
      <c r="A106" s="119" t="s">
        <v>5</v>
      </c>
      <c r="B106" s="121" t="s">
        <v>423</v>
      </c>
      <c r="C106" s="94">
        <v>771196.62152238097</v>
      </c>
      <c r="D106" s="94">
        <v>27879453.358789999</v>
      </c>
    </row>
    <row r="107" spans="1:4" hidden="1">
      <c r="A107" s="119" t="s">
        <v>431</v>
      </c>
      <c r="B107" s="121" t="s">
        <v>13</v>
      </c>
    </row>
    <row r="108" spans="1:4">
      <c r="A108" s="119" t="s">
        <v>431</v>
      </c>
      <c r="B108" s="121" t="s">
        <v>419</v>
      </c>
    </row>
    <row r="109" spans="1:4" hidden="1">
      <c r="A109" s="119" t="s">
        <v>431</v>
      </c>
      <c r="B109" s="121" t="s">
        <v>12</v>
      </c>
    </row>
    <row r="110" spans="1:4" hidden="1">
      <c r="A110" s="119" t="s">
        <v>431</v>
      </c>
      <c r="B110" s="121" t="s">
        <v>363</v>
      </c>
    </row>
    <row r="111" spans="1:4" hidden="1">
      <c r="A111" s="119" t="s">
        <v>431</v>
      </c>
      <c r="B111" s="121" t="s">
        <v>420</v>
      </c>
    </row>
    <row r="112" spans="1:4" hidden="1">
      <c r="A112" s="119" t="s">
        <v>431</v>
      </c>
      <c r="B112" s="121" t="s">
        <v>421</v>
      </c>
    </row>
    <row r="113" spans="1:2" hidden="1">
      <c r="A113" s="119" t="s">
        <v>431</v>
      </c>
      <c r="B113" s="121" t="s">
        <v>422</v>
      </c>
    </row>
    <row r="114" spans="1:2" hidden="1">
      <c r="A114" s="119" t="s">
        <v>431</v>
      </c>
      <c r="B114" s="121" t="s">
        <v>423</v>
      </c>
    </row>
    <row r="115" spans="1:2" hidden="1">
      <c r="A115" s="119" t="s">
        <v>432</v>
      </c>
      <c r="B115" s="121" t="s">
        <v>13</v>
      </c>
    </row>
    <row r="116" spans="1:2">
      <c r="A116" s="119" t="s">
        <v>432</v>
      </c>
      <c r="B116" s="121" t="s">
        <v>419</v>
      </c>
    </row>
    <row r="117" spans="1:2" hidden="1">
      <c r="A117" s="119" t="s">
        <v>432</v>
      </c>
      <c r="B117" s="121" t="s">
        <v>12</v>
      </c>
    </row>
    <row r="118" spans="1:2" hidden="1">
      <c r="A118" s="119" t="s">
        <v>432</v>
      </c>
      <c r="B118" s="121" t="s">
        <v>363</v>
      </c>
    </row>
    <row r="119" spans="1:2" hidden="1">
      <c r="A119" s="119" t="s">
        <v>432</v>
      </c>
      <c r="B119" s="121" t="s">
        <v>420</v>
      </c>
    </row>
    <row r="120" spans="1:2" hidden="1">
      <c r="A120" s="119" t="s">
        <v>432</v>
      </c>
      <c r="B120" s="121" t="s">
        <v>421</v>
      </c>
    </row>
    <row r="121" spans="1:2" hidden="1">
      <c r="A121" s="119" t="s">
        <v>432</v>
      </c>
      <c r="B121" s="121" t="s">
        <v>422</v>
      </c>
    </row>
    <row r="122" spans="1:2" hidden="1">
      <c r="A122" s="119" t="s">
        <v>432</v>
      </c>
      <c r="B122" s="121" t="s">
        <v>423</v>
      </c>
    </row>
    <row r="123" spans="1:2" hidden="1">
      <c r="A123" s="119" t="s">
        <v>433</v>
      </c>
      <c r="B123" s="121" t="s">
        <v>13</v>
      </c>
    </row>
    <row r="124" spans="1:2">
      <c r="A124" s="119" t="s">
        <v>433</v>
      </c>
      <c r="B124" s="121" t="s">
        <v>419</v>
      </c>
    </row>
    <row r="125" spans="1:2" hidden="1">
      <c r="A125" s="119" t="s">
        <v>433</v>
      </c>
      <c r="B125" s="121" t="s">
        <v>12</v>
      </c>
    </row>
    <row r="126" spans="1:2" hidden="1">
      <c r="A126" s="119" t="s">
        <v>433</v>
      </c>
      <c r="B126" s="121" t="s">
        <v>363</v>
      </c>
    </row>
    <row r="127" spans="1:2" hidden="1">
      <c r="A127" s="119" t="s">
        <v>433</v>
      </c>
      <c r="B127" s="121" t="s">
        <v>420</v>
      </c>
    </row>
    <row r="128" spans="1:2" hidden="1">
      <c r="A128" s="119" t="s">
        <v>433</v>
      </c>
      <c r="B128" s="121" t="s">
        <v>421</v>
      </c>
    </row>
    <row r="129" spans="1:2" hidden="1">
      <c r="A129" s="119" t="s">
        <v>433</v>
      </c>
      <c r="B129" s="121" t="s">
        <v>422</v>
      </c>
    </row>
    <row r="130" spans="1:2" hidden="1">
      <c r="A130" s="119" t="s">
        <v>433</v>
      </c>
      <c r="B130" s="121" t="s">
        <v>423</v>
      </c>
    </row>
    <row r="131" spans="1:2" hidden="1">
      <c r="A131" s="119" t="s">
        <v>434</v>
      </c>
      <c r="B131" s="121" t="s">
        <v>13</v>
      </c>
    </row>
    <row r="132" spans="1:2">
      <c r="A132" s="119" t="s">
        <v>434</v>
      </c>
      <c r="B132" s="121" t="s">
        <v>419</v>
      </c>
    </row>
    <row r="133" spans="1:2" hidden="1">
      <c r="A133" s="119" t="s">
        <v>434</v>
      </c>
      <c r="B133" s="121" t="s">
        <v>12</v>
      </c>
    </row>
    <row r="134" spans="1:2" hidden="1">
      <c r="A134" s="119" t="s">
        <v>434</v>
      </c>
      <c r="B134" s="121" t="s">
        <v>363</v>
      </c>
    </row>
    <row r="135" spans="1:2" hidden="1">
      <c r="A135" s="119" t="s">
        <v>434</v>
      </c>
      <c r="B135" s="121" t="s">
        <v>420</v>
      </c>
    </row>
    <row r="136" spans="1:2" hidden="1">
      <c r="A136" s="119" t="s">
        <v>434</v>
      </c>
      <c r="B136" s="121" t="s">
        <v>421</v>
      </c>
    </row>
    <row r="137" spans="1:2" hidden="1">
      <c r="A137" s="119" t="s">
        <v>434</v>
      </c>
      <c r="B137" s="121" t="s">
        <v>422</v>
      </c>
    </row>
    <row r="138" spans="1:2" hidden="1">
      <c r="A138" s="119" t="s">
        <v>434</v>
      </c>
      <c r="B138" s="121" t="s">
        <v>423</v>
      </c>
    </row>
    <row r="139" spans="1:2" hidden="1">
      <c r="A139" s="119" t="s">
        <v>19</v>
      </c>
      <c r="B139" s="121" t="s">
        <v>13</v>
      </c>
    </row>
    <row r="140" spans="1:2">
      <c r="A140" s="119" t="s">
        <v>19</v>
      </c>
      <c r="B140" s="121" t="s">
        <v>419</v>
      </c>
    </row>
    <row r="141" spans="1:2" hidden="1">
      <c r="A141" s="119" t="s">
        <v>19</v>
      </c>
      <c r="B141" s="121" t="s">
        <v>12</v>
      </c>
    </row>
    <row r="142" spans="1:2" hidden="1">
      <c r="A142" s="119" t="s">
        <v>19</v>
      </c>
      <c r="B142" s="121" t="s">
        <v>363</v>
      </c>
    </row>
    <row r="143" spans="1:2" hidden="1">
      <c r="A143" s="119" t="s">
        <v>19</v>
      </c>
      <c r="B143" s="121" t="s">
        <v>420</v>
      </c>
    </row>
    <row r="144" spans="1:2" hidden="1">
      <c r="A144" s="119" t="s">
        <v>19</v>
      </c>
      <c r="B144" s="121" t="s">
        <v>421</v>
      </c>
    </row>
    <row r="145" spans="1:2" hidden="1">
      <c r="A145" s="119" t="s">
        <v>19</v>
      </c>
      <c r="B145" s="121" t="s">
        <v>422</v>
      </c>
    </row>
    <row r="146" spans="1:2" hidden="1">
      <c r="A146" s="119" t="s">
        <v>19</v>
      </c>
      <c r="B146" s="121" t="s">
        <v>423</v>
      </c>
    </row>
    <row r="147" spans="1:2" hidden="1">
      <c r="A147" s="119" t="s">
        <v>20</v>
      </c>
      <c r="B147" s="121" t="s">
        <v>13</v>
      </c>
    </row>
    <row r="148" spans="1:2">
      <c r="A148" s="119" t="s">
        <v>20</v>
      </c>
      <c r="B148" s="121" t="s">
        <v>419</v>
      </c>
    </row>
    <row r="149" spans="1:2" hidden="1">
      <c r="A149" s="119" t="s">
        <v>20</v>
      </c>
      <c r="B149" s="121" t="s">
        <v>12</v>
      </c>
    </row>
    <row r="150" spans="1:2" hidden="1">
      <c r="A150" s="119" t="s">
        <v>20</v>
      </c>
      <c r="B150" s="121" t="s">
        <v>363</v>
      </c>
    </row>
    <row r="151" spans="1:2" hidden="1">
      <c r="A151" s="119" t="s">
        <v>20</v>
      </c>
      <c r="B151" s="121" t="s">
        <v>420</v>
      </c>
    </row>
    <row r="152" spans="1:2" hidden="1">
      <c r="A152" s="119" t="s">
        <v>20</v>
      </c>
      <c r="B152" s="121" t="s">
        <v>421</v>
      </c>
    </row>
    <row r="153" spans="1:2" hidden="1">
      <c r="A153" s="119" t="s">
        <v>20</v>
      </c>
      <c r="B153" s="121" t="s">
        <v>422</v>
      </c>
    </row>
    <row r="154" spans="1:2" hidden="1">
      <c r="A154" s="119" t="s">
        <v>20</v>
      </c>
      <c r="B154" s="121" t="s">
        <v>423</v>
      </c>
    </row>
  </sheetData>
  <autoFilter ref="A2:O154" xr:uid="{BDE3354D-4621-4B10-A83B-B11E0418EE30}">
    <filterColumn colId="1">
      <filters>
        <filter val="İnci Holding"/>
      </filters>
    </filterColumn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C9FB6-EC0D-40F5-A991-2939F30A9D3C}">
  <sheetPr>
    <tabColor rgb="FF00B0F0"/>
  </sheetPr>
  <dimension ref="A1:W211"/>
  <sheetViews>
    <sheetView showGridLines="0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8" sqref="A8:A12"/>
    </sheetView>
  </sheetViews>
  <sheetFormatPr defaultColWidth="8.81640625" defaultRowHeight="14.5"/>
  <cols>
    <col min="1" max="1" width="29.81640625" bestFit="1" customWidth="1"/>
    <col min="2" max="2" width="12.26953125" bestFit="1" customWidth="1"/>
    <col min="3" max="3" width="12.1796875" bestFit="1" customWidth="1"/>
    <col min="4" max="4" width="12.26953125" bestFit="1" customWidth="1"/>
    <col min="5" max="6" width="12.1796875" bestFit="1" customWidth="1"/>
    <col min="7" max="8" width="13.26953125" bestFit="1" customWidth="1"/>
    <col min="9" max="9" width="12.1796875" bestFit="1" customWidth="1"/>
    <col min="10" max="13" width="13.26953125" bestFit="1" customWidth="1"/>
    <col min="14" max="14" width="14.1796875" bestFit="1" customWidth="1"/>
    <col min="15" max="15" width="15.1796875" bestFit="1" customWidth="1"/>
    <col min="16" max="16" width="13.26953125" bestFit="1" customWidth="1"/>
    <col min="17" max="17" width="16.26953125" bestFit="1" customWidth="1"/>
    <col min="18" max="18" width="13.54296875" bestFit="1" customWidth="1"/>
    <col min="19" max="19" width="13.26953125" bestFit="1" customWidth="1"/>
    <col min="20" max="20" width="13.54296875" bestFit="1" customWidth="1"/>
  </cols>
  <sheetData>
    <row r="1" spans="1:20">
      <c r="A1" s="60" t="s">
        <v>449</v>
      </c>
      <c r="B1" s="61" t="s">
        <v>450</v>
      </c>
      <c r="C1" s="61" t="s">
        <v>451</v>
      </c>
      <c r="D1" s="61" t="s">
        <v>452</v>
      </c>
      <c r="E1" s="61" t="s">
        <v>453</v>
      </c>
      <c r="F1" s="61" t="s">
        <v>454</v>
      </c>
      <c r="G1" s="61" t="s">
        <v>455</v>
      </c>
      <c r="H1" s="61" t="s">
        <v>456</v>
      </c>
      <c r="I1" s="61" t="s">
        <v>457</v>
      </c>
      <c r="J1" s="61" t="s">
        <v>458</v>
      </c>
      <c r="K1" s="61" t="s">
        <v>459</v>
      </c>
      <c r="L1" s="61" t="s">
        <v>460</v>
      </c>
      <c r="M1" s="61" t="s">
        <v>461</v>
      </c>
      <c r="N1" s="68" t="s">
        <v>462</v>
      </c>
    </row>
    <row r="2" spans="1:20">
      <c r="A2" s="61" t="s">
        <v>175</v>
      </c>
      <c r="B2" s="140">
        <f>'gerç aylık-tl'!B160/'gerç aylık-eur'!B160</f>
        <v>37.184399999999997</v>
      </c>
      <c r="C2" s="140">
        <f>'gerç aylık-tl'!C160/'gerç aylık-eur'!C160</f>
        <v>38.103999999999999</v>
      </c>
      <c r="D2" s="140">
        <f>'gerç aylık-tl'!D160/'gerç aylık-eur'!D160</f>
        <v>40.701900000000002</v>
      </c>
      <c r="E2" s="140">
        <f>'gerç aylık-tl'!E160/'gerç aylık-eur'!E160</f>
        <v>43.6858</v>
      </c>
      <c r="F2" s="140">
        <f>'gerç aylık-tl'!F160/'gerç aylık-eur'!F160</f>
        <v>44.270600000000002</v>
      </c>
      <c r="G2" s="140">
        <f>'gerç aylık-tl'!G160/'gerç aylık-eur'!G160</f>
        <v>46.552599999999998</v>
      </c>
      <c r="H2" s="140">
        <f>'gerç aylık-tl'!H160/'gerç aylık-eur'!H160</f>
        <v>46.7684</v>
      </c>
      <c r="I2" s="140">
        <f>'gerç aylık-tl'!I160/'gerç aylık-eur'!I160</f>
        <v>47.784100000000002</v>
      </c>
      <c r="J2" s="140">
        <f>'gerç aylık-tl'!J160/'gerç aylık-eur'!J160</f>
        <v>48.647899999999993</v>
      </c>
      <c r="K2" s="140" t="e">
        <f>'gerç aylık-tl'!K160/'gerç aylık-eur'!K160</f>
        <v>#DIV/0!</v>
      </c>
      <c r="L2" s="140" t="e">
        <f>'gerç aylık-tl'!L160/'gerç aylık-eur'!L160</f>
        <v>#DIV/0!</v>
      </c>
      <c r="M2" s="140" t="e">
        <f>'gerç aylık-tl'!M160/'gerç aylık-eur'!M160</f>
        <v>#DIV/0!</v>
      </c>
      <c r="N2" s="69"/>
    </row>
    <row r="3" spans="1:20">
      <c r="A3" s="61" t="s">
        <v>176</v>
      </c>
      <c r="B3" s="141">
        <f>'gerç aylık-tl'!B5/'gerç aylık-eur'!B5</f>
        <v>36.689261290322584</v>
      </c>
      <c r="C3" s="141">
        <f>'gerç aylık-tl'!C5/'gerç aylık-eur'!C5</f>
        <v>37.57770714285715</v>
      </c>
      <c r="D3" s="141">
        <f>'gerç aylık-tl'!D5/'gerç aylık-eur'!D5</f>
        <v>39.849870967741943</v>
      </c>
      <c r="E3" s="141">
        <f>'gerç aylık-tl'!E5/'gerç aylık-eur'!E5</f>
        <v>42.673176666666649</v>
      </c>
      <c r="F3" s="141">
        <f>'gerç aylık-tl'!F5/'gerç aylık-eur'!F5</f>
        <v>43.629358064516119</v>
      </c>
      <c r="G3" s="141">
        <f>'gerç aylık-tl'!G5/'gerç aylık-eur'!G5</f>
        <v>45.227209999999999</v>
      </c>
      <c r="H3" s="141">
        <f>'gerç aylık-tl'!H5/'gerç aylık-eur'!H5</f>
        <v>46.914206451612912</v>
      </c>
      <c r="I3" s="141">
        <f>'gerç aylık-tl'!I5/'gerç aylık-eur'!I5</f>
        <v>47.302506451612928</v>
      </c>
      <c r="J3" s="141">
        <f>'gerç aylık-tl'!J5/'gerç aylık-eur'!J5</f>
        <v>48.337949999999999</v>
      </c>
      <c r="K3" s="141" t="e">
        <f>'gerç aylık-tl'!K5/'gerç aylık-eur'!K5</f>
        <v>#DIV/0!</v>
      </c>
      <c r="L3" s="141" t="e">
        <f>'gerç aylık-tl'!L5/'gerç aylık-eur'!L5</f>
        <v>#DIV/0!</v>
      </c>
      <c r="M3" s="141" t="e">
        <f>'gerç aylık-tl'!M5/'gerç aylık-eur'!M5</f>
        <v>#DIV/0!</v>
      </c>
      <c r="N3" s="69"/>
    </row>
    <row r="4" spans="1:20">
      <c r="A4" s="61" t="s">
        <v>177</v>
      </c>
      <c r="B4" s="64">
        <f>SUM(B5:B7)+SUM(B8:B12)*0.4</f>
        <v>30208400.538231172</v>
      </c>
      <c r="C4" s="64">
        <f t="shared" ref="C4:I4" si="0">SUM(C5:C7)+SUM(C8:C12)*0.4</f>
        <v>27091507.218858514</v>
      </c>
      <c r="D4" s="64">
        <f t="shared" si="0"/>
        <v>28022189.236976314</v>
      </c>
      <c r="E4" s="64">
        <f t="shared" si="0"/>
        <v>26602564.282311246</v>
      </c>
      <c r="F4" s="64">
        <f t="shared" si="0"/>
        <v>28299452.88777275</v>
      </c>
      <c r="G4" s="64">
        <f t="shared" si="0"/>
        <v>23718501.568336729</v>
      </c>
      <c r="H4" s="64">
        <f t="shared" si="0"/>
        <v>27200733.136235934</v>
      </c>
      <c r="I4" s="64">
        <f t="shared" si="0"/>
        <v>21922624.301572159</v>
      </c>
      <c r="J4" s="64">
        <f>SUM(J5:J7)+SUM(J8:J12)*0.4</f>
        <v>26154340.888091411</v>
      </c>
      <c r="K4" s="64">
        <f>SUM(K5:K7)+SUM(K8:K12)*0.4</f>
        <v>0</v>
      </c>
      <c r="L4" s="64">
        <f>SUM(L5:L7)+SUM(L8:L12)*0.4</f>
        <v>0</v>
      </c>
      <c r="M4" s="64">
        <f>SUM(M5:M7)+SUM(M8:M12)*0.4</f>
        <v>0</v>
      </c>
      <c r="N4" s="70">
        <f>SUM(B4:M4)</f>
        <v>239220314.05838624</v>
      </c>
      <c r="O4" s="94"/>
      <c r="P4" s="94"/>
      <c r="Q4" s="94"/>
      <c r="R4" s="94"/>
      <c r="S4" s="94"/>
      <c r="T4" s="94"/>
    </row>
    <row r="5" spans="1:20">
      <c r="A5" s="61" t="s">
        <v>179</v>
      </c>
      <c r="B5" s="64">
        <v>754597.33410611225</v>
      </c>
      <c r="C5" s="64">
        <v>724922.81996981858</v>
      </c>
      <c r="D5" s="64">
        <v>791351.51568062697</v>
      </c>
      <c r="E5" s="64">
        <v>689017.20745264436</v>
      </c>
      <c r="F5" s="64">
        <v>778380.85194336087</v>
      </c>
      <c r="G5" s="64">
        <v>668367.48828857671</v>
      </c>
      <c r="H5" s="64">
        <v>729930.37504149636</v>
      </c>
      <c r="I5" s="64">
        <v>603787.73203520454</v>
      </c>
      <c r="J5" s="64">
        <v>789956.16860044748</v>
      </c>
      <c r="K5" s="64"/>
      <c r="L5" s="64"/>
      <c r="M5" s="64"/>
      <c r="N5" s="70">
        <f t="shared" ref="N5:N12" si="1">SUM(B5:M5)</f>
        <v>6530311.493118288</v>
      </c>
      <c r="O5" s="94">
        <f>N5-SUM(B5:M5)</f>
        <v>0</v>
      </c>
    </row>
    <row r="6" spans="1:20">
      <c r="A6" s="61" t="s">
        <v>180</v>
      </c>
      <c r="B6" s="64">
        <v>881940.78190761793</v>
      </c>
      <c r="C6" s="64">
        <v>936556.67191737343</v>
      </c>
      <c r="D6" s="64">
        <v>696132.56739044108</v>
      </c>
      <c r="E6" s="64">
        <v>467016.19627880224</v>
      </c>
      <c r="F6" s="64">
        <v>705071.84585774795</v>
      </c>
      <c r="G6" s="64">
        <v>633638.42853793106</v>
      </c>
      <c r="H6" s="64">
        <v>693656.15614594275</v>
      </c>
      <c r="I6" s="64">
        <v>500471.21325042972</v>
      </c>
      <c r="J6" s="64">
        <v>453450.99586335372</v>
      </c>
      <c r="K6" s="64"/>
      <c r="L6" s="64"/>
      <c r="M6" s="64"/>
      <c r="N6" s="70">
        <f t="shared" si="1"/>
        <v>5967934.8571496392</v>
      </c>
      <c r="O6" s="94">
        <f t="shared" ref="O6:O12" si="2">N6-SUM(B6:M6)</f>
        <v>0</v>
      </c>
    </row>
    <row r="7" spans="1:20">
      <c r="A7" s="61" t="s">
        <v>181</v>
      </c>
      <c r="B7" s="64">
        <v>967950.96851315629</v>
      </c>
      <c r="C7" s="64">
        <v>1038871.4056339251</v>
      </c>
      <c r="D7" s="64">
        <v>1519045.4259940127</v>
      </c>
      <c r="E7" s="64">
        <v>1265253.1709029088</v>
      </c>
      <c r="F7" s="64">
        <v>747521.94569933356</v>
      </c>
      <c r="G7" s="64">
        <v>899615.96127640863</v>
      </c>
      <c r="H7" s="64">
        <v>927197.7162794898</v>
      </c>
      <c r="I7" s="64">
        <v>831655.35209516576</v>
      </c>
      <c r="J7" s="64">
        <v>890674.75968674722</v>
      </c>
      <c r="K7" s="64"/>
      <c r="L7" s="64"/>
      <c r="M7" s="64"/>
      <c r="N7" s="70">
        <f t="shared" si="1"/>
        <v>9087786.7060811482</v>
      </c>
      <c r="O7" s="94">
        <f t="shared" si="2"/>
        <v>0</v>
      </c>
    </row>
    <row r="8" spans="1:20">
      <c r="A8" s="61" t="s">
        <v>182</v>
      </c>
      <c r="B8" s="64">
        <v>21339706.384310201</v>
      </c>
      <c r="C8" s="64">
        <v>15129669.043276552</v>
      </c>
      <c r="D8" s="64">
        <v>12750548.496673902</v>
      </c>
      <c r="E8" s="64">
        <v>12435016.931867266</v>
      </c>
      <c r="F8" s="64">
        <v>14259476.831738273</v>
      </c>
      <c r="G8" s="64">
        <v>8679241.2331981342</v>
      </c>
      <c r="H8" s="64">
        <v>16380819.217029219</v>
      </c>
      <c r="I8" s="64">
        <v>14295312.34252416</v>
      </c>
      <c r="J8" s="64">
        <v>10760310.273309914</v>
      </c>
      <c r="K8" s="64"/>
      <c r="L8" s="64"/>
      <c r="M8" s="64"/>
      <c r="N8" s="70">
        <f t="shared" si="1"/>
        <v>126030100.75392762</v>
      </c>
      <c r="O8" s="94">
        <f t="shared" si="2"/>
        <v>0</v>
      </c>
    </row>
    <row r="9" spans="1:20">
      <c r="A9" s="61" t="s">
        <v>183</v>
      </c>
      <c r="B9" s="64">
        <v>6014583.6999505255</v>
      </c>
      <c r="C9" s="64">
        <v>5689931.3400669349</v>
      </c>
      <c r="D9" s="64">
        <v>6425103.5631041657</v>
      </c>
      <c r="E9" s="64">
        <v>5089628.3873249665</v>
      </c>
      <c r="F9" s="64">
        <v>5622265.8689424954</v>
      </c>
      <c r="G9" s="64">
        <v>4374597.432386389</v>
      </c>
      <c r="H9" s="64">
        <v>5296348.1348933158</v>
      </c>
      <c r="I9" s="64">
        <v>4571844.3979542218</v>
      </c>
      <c r="J9" s="64">
        <v>5403645.5865422292</v>
      </c>
      <c r="K9" s="64"/>
      <c r="L9" s="64"/>
      <c r="M9" s="64"/>
      <c r="N9" s="70">
        <f t="shared" si="1"/>
        <v>48487948.41116523</v>
      </c>
      <c r="O9" s="94">
        <f t="shared" si="2"/>
        <v>0</v>
      </c>
    </row>
    <row r="10" spans="1:20">
      <c r="A10" s="61" t="s">
        <v>184</v>
      </c>
      <c r="B10" s="64">
        <v>11605520.09</v>
      </c>
      <c r="C10" s="64">
        <v>11543132.73</v>
      </c>
      <c r="D10" s="64">
        <v>12423119.07</v>
      </c>
      <c r="E10" s="64">
        <v>12093194.74</v>
      </c>
      <c r="F10" s="64">
        <v>12658094.32</v>
      </c>
      <c r="G10" s="64">
        <v>12477093.469999997</v>
      </c>
      <c r="H10" s="64">
        <v>10770777.799999997</v>
      </c>
      <c r="I10" s="64">
        <v>9564597.1899999976</v>
      </c>
      <c r="J10" s="64">
        <v>11814678.540000007</v>
      </c>
      <c r="K10" s="64"/>
      <c r="L10" s="64"/>
      <c r="M10" s="64"/>
      <c r="N10" s="70">
        <f t="shared" si="1"/>
        <v>104950207.95</v>
      </c>
      <c r="O10" s="94">
        <f t="shared" si="2"/>
        <v>0</v>
      </c>
    </row>
    <row r="11" spans="1:20">
      <c r="A11" s="61" t="s">
        <v>185</v>
      </c>
      <c r="B11" s="64">
        <v>7830554.3300000001</v>
      </c>
      <c r="C11" s="64">
        <v>8732829.0899999999</v>
      </c>
      <c r="D11" s="64">
        <v>8949431.2500000019</v>
      </c>
      <c r="E11" s="64">
        <v>8776440.4200000018</v>
      </c>
      <c r="F11" s="64">
        <v>8093665.3099999949</v>
      </c>
      <c r="G11" s="64">
        <v>7243188.6499999985</v>
      </c>
      <c r="H11" s="64">
        <v>8047483.3599999994</v>
      </c>
      <c r="I11" s="64">
        <v>6472770.0900000036</v>
      </c>
      <c r="J11" s="64">
        <v>9589366.3299999982</v>
      </c>
      <c r="K11" s="64"/>
      <c r="L11" s="64"/>
      <c r="M11" s="64"/>
      <c r="N11" s="70">
        <f t="shared" si="1"/>
        <v>73735728.829999998</v>
      </c>
      <c r="O11" s="94">
        <f t="shared" si="2"/>
        <v>0</v>
      </c>
    </row>
    <row r="12" spans="1:20">
      <c r="A12" s="61" t="s">
        <v>186</v>
      </c>
      <c r="B12" s="64">
        <v>22219414.129999999</v>
      </c>
      <c r="C12" s="64">
        <v>19882328.599999998</v>
      </c>
      <c r="D12" s="64">
        <v>21990946.940000005</v>
      </c>
      <c r="E12" s="64">
        <v>22058913.789999992</v>
      </c>
      <c r="F12" s="64">
        <v>24537693.280000001</v>
      </c>
      <c r="G12" s="64">
        <v>21018078.440000013</v>
      </c>
      <c r="H12" s="64">
        <v>21629443.709999979</v>
      </c>
      <c r="I12" s="64">
        <v>15062250.99000001</v>
      </c>
      <c r="J12" s="64">
        <v>22482646.680000007</v>
      </c>
      <c r="K12" s="64"/>
      <c r="L12" s="64"/>
      <c r="M12" s="64"/>
      <c r="N12" s="70">
        <f t="shared" si="1"/>
        <v>190881716.56</v>
      </c>
      <c r="O12" s="94">
        <f t="shared" si="2"/>
        <v>0</v>
      </c>
    </row>
    <row r="13" spans="1:20">
      <c r="A13" s="61" t="s">
        <v>187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70"/>
    </row>
    <row r="14" spans="1:20">
      <c r="A14" s="61" t="s">
        <v>188</v>
      </c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70"/>
    </row>
    <row r="15" spans="1:20">
      <c r="A15" s="61" t="s">
        <v>189</v>
      </c>
      <c r="B15" s="64">
        <f t="shared" ref="B15:M15" si="3">SUM(B16:B18)+SUM(B19:B23)*0.4</f>
        <v>-24977661.016322665</v>
      </c>
      <c r="C15" s="64">
        <f t="shared" si="3"/>
        <v>-21839160.812535547</v>
      </c>
      <c r="D15" s="64">
        <f t="shared" si="3"/>
        <v>-22923129.042587362</v>
      </c>
      <c r="E15" s="64">
        <f t="shared" si="3"/>
        <v>-21871431.201607466</v>
      </c>
      <c r="F15" s="64">
        <f t="shared" si="3"/>
        <v>-22630200.954216022</v>
      </c>
      <c r="G15" s="64">
        <f t="shared" si="3"/>
        <v>-19359712.282367967</v>
      </c>
      <c r="H15" s="64">
        <f t="shared" si="3"/>
        <v>-22225001.673278652</v>
      </c>
      <c r="I15" s="64">
        <f t="shared" si="3"/>
        <v>-17755689.357902694</v>
      </c>
      <c r="J15" s="64">
        <f t="shared" si="3"/>
        <v>-19802015.867863256</v>
      </c>
      <c r="K15" s="64">
        <f t="shared" si="3"/>
        <v>0</v>
      </c>
      <c r="L15" s="64">
        <f t="shared" si="3"/>
        <v>0</v>
      </c>
      <c r="M15" s="64">
        <f t="shared" si="3"/>
        <v>0</v>
      </c>
      <c r="N15" s="70">
        <f>SUM(B15:M15)</f>
        <v>-193384002.20868164</v>
      </c>
    </row>
    <row r="16" spans="1:20">
      <c r="A16" s="61" t="s">
        <v>191</v>
      </c>
      <c r="B16" s="64">
        <v>0</v>
      </c>
      <c r="C16" s="64">
        <v>0</v>
      </c>
      <c r="D16" s="64">
        <v>0</v>
      </c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0</v>
      </c>
      <c r="K16" s="64"/>
      <c r="L16" s="64"/>
      <c r="M16" s="64"/>
      <c r="N16" s="70">
        <f t="shared" ref="N16:N23" si="4">SUM(B16:M16)</f>
        <v>0</v>
      </c>
      <c r="O16" s="94">
        <f>N16-SUM(B16:M16)</f>
        <v>0</v>
      </c>
    </row>
    <row r="17" spans="1:15">
      <c r="A17" s="61" t="s">
        <v>192</v>
      </c>
      <c r="B17" s="64">
        <v>-767129.85417694505</v>
      </c>
      <c r="C17" s="64">
        <v>-735480.74262935505</v>
      </c>
      <c r="D17" s="64">
        <v>-512067.71186775761</v>
      </c>
      <c r="E17" s="64">
        <v>-348214.02165911725</v>
      </c>
      <c r="F17" s="64">
        <v>-528284.97471996048</v>
      </c>
      <c r="G17" s="64">
        <v>-452190.23486047453</v>
      </c>
      <c r="H17" s="64">
        <v>-500825.15973564365</v>
      </c>
      <c r="I17" s="64">
        <v>-372109.31949321291</v>
      </c>
      <c r="J17" s="64">
        <v>-349748.38282372337</v>
      </c>
      <c r="K17" s="64"/>
      <c r="L17" s="64"/>
      <c r="M17" s="64"/>
      <c r="N17" s="70">
        <f t="shared" si="4"/>
        <v>-4566050.40196619</v>
      </c>
      <c r="O17" s="94">
        <f t="shared" ref="O17:O23" si="5">N17-SUM(B17:M17)</f>
        <v>0</v>
      </c>
    </row>
    <row r="18" spans="1:15">
      <c r="A18" s="61" t="s">
        <v>193</v>
      </c>
      <c r="B18" s="64">
        <v>-812200.19051896257</v>
      </c>
      <c r="C18" s="64">
        <v>-887645.04825144226</v>
      </c>
      <c r="D18" s="64">
        <v>-1333158.2730344371</v>
      </c>
      <c r="E18" s="64">
        <v>-1101433.3150574763</v>
      </c>
      <c r="F18" s="64">
        <v>-592110.23668510886</v>
      </c>
      <c r="G18" s="64">
        <v>-757063.74547534552</v>
      </c>
      <c r="H18" s="64">
        <v>-754712.39711830858</v>
      </c>
      <c r="I18" s="64">
        <v>-701275.78617705347</v>
      </c>
      <c r="J18" s="64">
        <v>-720338.92872991087</v>
      </c>
      <c r="K18" s="64"/>
      <c r="L18" s="64"/>
      <c r="M18" s="64"/>
      <c r="N18" s="70">
        <f t="shared" si="4"/>
        <v>-7659937.9210480452</v>
      </c>
      <c r="O18" s="94">
        <f t="shared" si="5"/>
        <v>0</v>
      </c>
    </row>
    <row r="19" spans="1:15">
      <c r="A19" s="61" t="s">
        <v>194</v>
      </c>
      <c r="B19" s="64">
        <v>-18157629.552022379</v>
      </c>
      <c r="C19" s="64">
        <v>-12233803.884177862</v>
      </c>
      <c r="D19" s="64">
        <v>-10995533.788446732</v>
      </c>
      <c r="E19" s="64">
        <v>-11073551.632366696</v>
      </c>
      <c r="F19" s="64">
        <v>-12511024.343444459</v>
      </c>
      <c r="G19" s="64">
        <v>-7798345.1608620565</v>
      </c>
      <c r="H19" s="64">
        <v>-15147147.591998354</v>
      </c>
      <c r="I19" s="64">
        <v>-11924532.930335166</v>
      </c>
      <c r="J19" s="64">
        <v>-9112889.3125022482</v>
      </c>
      <c r="K19" s="64"/>
      <c r="L19" s="64"/>
      <c r="M19" s="64"/>
      <c r="N19" s="70">
        <f t="shared" si="4"/>
        <v>-108954458.19615595</v>
      </c>
      <c r="O19" s="94">
        <f t="shared" si="5"/>
        <v>0</v>
      </c>
    </row>
    <row r="20" spans="1:15">
      <c r="A20" s="61" t="s">
        <v>195</v>
      </c>
      <c r="B20" s="64">
        <v>-4806926.6570445132</v>
      </c>
      <c r="C20" s="64">
        <v>-4364788.4399590101</v>
      </c>
      <c r="D20" s="64">
        <v>-5238263.5757661853</v>
      </c>
      <c r="E20" s="64">
        <v>-4126059.7398604816</v>
      </c>
      <c r="F20" s="64">
        <v>-4375272.2135829367</v>
      </c>
      <c r="G20" s="64">
        <v>-3419608.6842183061</v>
      </c>
      <c r="H20" s="64">
        <v>-4199812.029063385</v>
      </c>
      <c r="I20" s="64">
        <v>-3462987.3902459233</v>
      </c>
      <c r="J20" s="64">
        <v>-4220624.2182717929</v>
      </c>
      <c r="K20" s="64"/>
      <c r="L20" s="64"/>
      <c r="M20" s="64"/>
      <c r="N20" s="70">
        <f t="shared" si="4"/>
        <v>-38214342.948012531</v>
      </c>
      <c r="O20" s="94">
        <f t="shared" si="5"/>
        <v>0</v>
      </c>
    </row>
    <row r="21" spans="1:15">
      <c r="A21" s="61" t="s">
        <v>196</v>
      </c>
      <c r="B21" s="64">
        <v>-10209677.41</v>
      </c>
      <c r="C21" s="64">
        <v>-9472337.5899999999</v>
      </c>
      <c r="D21" s="64">
        <v>-10020408.18</v>
      </c>
      <c r="E21" s="64">
        <v>-9830366.5300000012</v>
      </c>
      <c r="F21" s="64">
        <v>-10263254.189999998</v>
      </c>
      <c r="G21" s="64">
        <v>-10239801.07</v>
      </c>
      <c r="H21" s="64">
        <v>-8729660.2900000066</v>
      </c>
      <c r="I21" s="64">
        <v>-8043420.699999989</v>
      </c>
      <c r="J21" s="64">
        <v>-8787607.9700000137</v>
      </c>
      <c r="K21" s="64"/>
      <c r="L21" s="64"/>
      <c r="M21" s="64"/>
      <c r="N21" s="70">
        <f t="shared" si="4"/>
        <v>-85596533.930000007</v>
      </c>
      <c r="O21" s="94">
        <f t="shared" si="5"/>
        <v>0</v>
      </c>
    </row>
    <row r="22" spans="1:15">
      <c r="A22" s="61" t="s">
        <v>197</v>
      </c>
      <c r="B22" s="64">
        <v>-6060948.9100000001</v>
      </c>
      <c r="C22" s="64">
        <v>-6296735.0199999996</v>
      </c>
      <c r="D22" s="64">
        <v>-6668993.2400000021</v>
      </c>
      <c r="E22" s="64">
        <v>-6062040.549999997</v>
      </c>
      <c r="F22" s="64">
        <v>-5953403.6300000018</v>
      </c>
      <c r="G22" s="64">
        <v>-5258438.799999997</v>
      </c>
      <c r="H22" s="64">
        <v>-5450068.4600000009</v>
      </c>
      <c r="I22" s="64">
        <v>-4671113.5099999979</v>
      </c>
      <c r="J22" s="64">
        <v>-6189426.9200000009</v>
      </c>
      <c r="K22" s="64"/>
      <c r="L22" s="64"/>
      <c r="M22" s="64"/>
      <c r="N22" s="70">
        <f t="shared" si="4"/>
        <v>-52611169.039999999</v>
      </c>
      <c r="O22" s="94">
        <f t="shared" si="5"/>
        <v>0</v>
      </c>
    </row>
    <row r="23" spans="1:15">
      <c r="A23" s="61" t="s">
        <v>198</v>
      </c>
      <c r="B23" s="64">
        <v>-19260644.899999999</v>
      </c>
      <c r="C23" s="64">
        <v>-18172422.620000005</v>
      </c>
      <c r="D23" s="64">
        <v>-19771558.859999999</v>
      </c>
      <c r="E23" s="64">
        <v>-19962441.210000001</v>
      </c>
      <c r="F23" s="64">
        <v>-20671559.979999989</v>
      </c>
      <c r="G23" s="64">
        <v>-18659952.040000007</v>
      </c>
      <c r="H23" s="64">
        <v>-18896971.920000002</v>
      </c>
      <c r="I23" s="64">
        <v>-13603706.099999994</v>
      </c>
      <c r="J23" s="64">
        <v>-18519272.969999999</v>
      </c>
      <c r="K23" s="64"/>
      <c r="L23" s="64"/>
      <c r="M23" s="64"/>
      <c r="N23" s="70">
        <f t="shared" si="4"/>
        <v>-167518530.59999999</v>
      </c>
      <c r="O23" s="94">
        <f t="shared" si="5"/>
        <v>0</v>
      </c>
    </row>
    <row r="24" spans="1:15">
      <c r="A24" s="61" t="s">
        <v>199</v>
      </c>
      <c r="B24" s="64"/>
      <c r="C24" s="64">
        <v>0</v>
      </c>
      <c r="D24" s="64">
        <v>0</v>
      </c>
      <c r="E24" s="64">
        <v>0</v>
      </c>
      <c r="F24" s="64">
        <v>0</v>
      </c>
      <c r="G24" s="64">
        <v>0</v>
      </c>
      <c r="H24" s="64">
        <v>0</v>
      </c>
      <c r="I24" s="64">
        <v>0</v>
      </c>
      <c r="J24" s="64">
        <v>0</v>
      </c>
      <c r="K24" s="64">
        <v>0</v>
      </c>
      <c r="L24" s="64">
        <v>0</v>
      </c>
      <c r="M24" s="64">
        <v>0</v>
      </c>
      <c r="N24" s="70"/>
    </row>
    <row r="25" spans="1:15">
      <c r="A25" s="61" t="s">
        <v>200</v>
      </c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70"/>
    </row>
    <row r="26" spans="1:15">
      <c r="A26" s="61" t="s">
        <v>201</v>
      </c>
      <c r="B26" s="64">
        <f t="shared" ref="B26:M26" si="6">SUM(B27:B29)+SUM(B30:B34)*0.4</f>
        <v>5230739.5219085133</v>
      </c>
      <c r="C26" s="64">
        <f t="shared" si="6"/>
        <v>5252346.4063229626</v>
      </c>
      <c r="D26" s="64">
        <f t="shared" si="6"/>
        <v>5099060.1943889502</v>
      </c>
      <c r="E26" s="64">
        <f t="shared" si="6"/>
        <v>4731133.0807037819</v>
      </c>
      <c r="F26" s="64">
        <f t="shared" si="6"/>
        <v>5669251.9335567253</v>
      </c>
      <c r="G26" s="64">
        <f t="shared" si="6"/>
        <v>4358789.2859687628</v>
      </c>
      <c r="H26" s="64">
        <f t="shared" si="6"/>
        <v>4975731.4629572826</v>
      </c>
      <c r="I26" s="64">
        <f t="shared" si="6"/>
        <v>4166934.9436694635</v>
      </c>
      <c r="J26" s="64">
        <f t="shared" si="6"/>
        <v>6352325.0202281559</v>
      </c>
      <c r="K26" s="64">
        <f t="shared" si="6"/>
        <v>0</v>
      </c>
      <c r="L26" s="64">
        <f t="shared" si="6"/>
        <v>0</v>
      </c>
      <c r="M26" s="64">
        <f t="shared" si="6"/>
        <v>0</v>
      </c>
      <c r="N26" s="70">
        <f>SUM(B26:M26)</f>
        <v>45836311.849704593</v>
      </c>
    </row>
    <row r="27" spans="1:15">
      <c r="A27" s="61" t="s">
        <v>203</v>
      </c>
      <c r="B27" s="64">
        <v>754597.33410611225</v>
      </c>
      <c r="C27" s="64">
        <v>724922.81996981858</v>
      </c>
      <c r="D27" s="64">
        <v>791351.51568062697</v>
      </c>
      <c r="E27" s="64">
        <v>689017.20745264436</v>
      </c>
      <c r="F27" s="64">
        <v>778380.85194336087</v>
      </c>
      <c r="G27" s="64">
        <v>668367.48828857671</v>
      </c>
      <c r="H27" s="64">
        <v>729930.37504149636</v>
      </c>
      <c r="I27" s="64">
        <v>603787.73203520454</v>
      </c>
      <c r="J27" s="64">
        <v>789956.16860044748</v>
      </c>
      <c r="K27" s="64"/>
      <c r="L27" s="64"/>
      <c r="M27" s="64"/>
      <c r="N27" s="70">
        <f t="shared" ref="N27:N34" si="7">SUM(B27:M27)</f>
        <v>6530311.493118288</v>
      </c>
      <c r="O27" s="94">
        <f>N27-SUM(B27:M27)</f>
        <v>0</v>
      </c>
    </row>
    <row r="28" spans="1:15">
      <c r="A28" s="61" t="s">
        <v>204</v>
      </c>
      <c r="B28" s="64">
        <v>114810.92773067288</v>
      </c>
      <c r="C28" s="64">
        <v>201075.92928801838</v>
      </c>
      <c r="D28" s="64">
        <v>184064.85552268347</v>
      </c>
      <c r="E28" s="64">
        <v>118802.17461968499</v>
      </c>
      <c r="F28" s="64">
        <v>176786.87113778747</v>
      </c>
      <c r="G28" s="64">
        <v>181448.19367745653</v>
      </c>
      <c r="H28" s="64">
        <v>192830.99641029909</v>
      </c>
      <c r="I28" s="64">
        <v>128361.89375721681</v>
      </c>
      <c r="J28" s="64">
        <v>103702.61303963035</v>
      </c>
      <c r="K28" s="64"/>
      <c r="L28" s="64"/>
      <c r="M28" s="64"/>
      <c r="N28" s="70">
        <f t="shared" si="7"/>
        <v>1401884.4551834501</v>
      </c>
      <c r="O28" s="94">
        <f t="shared" ref="O28:O34" si="8">N28-SUM(B28:M28)</f>
        <v>0</v>
      </c>
    </row>
    <row r="29" spans="1:15">
      <c r="A29" s="61" t="s">
        <v>205</v>
      </c>
      <c r="B29" s="64">
        <v>155750.77799419372</v>
      </c>
      <c r="C29" s="64">
        <v>151226.35738248285</v>
      </c>
      <c r="D29" s="64">
        <v>185887.15295957564</v>
      </c>
      <c r="E29" s="64">
        <v>163819.8558454325</v>
      </c>
      <c r="F29" s="64">
        <v>155411.7090142247</v>
      </c>
      <c r="G29" s="64">
        <v>142552.21580106311</v>
      </c>
      <c r="H29" s="64">
        <v>172485.31916118122</v>
      </c>
      <c r="I29" s="64">
        <v>130379.56591811229</v>
      </c>
      <c r="J29" s="64">
        <v>170335.83095683635</v>
      </c>
      <c r="K29" s="64"/>
      <c r="L29" s="64"/>
      <c r="M29" s="64"/>
      <c r="N29" s="70">
        <f t="shared" si="7"/>
        <v>1427848.7850331021</v>
      </c>
      <c r="O29" s="94">
        <f t="shared" si="8"/>
        <v>0</v>
      </c>
    </row>
    <row r="30" spans="1:15">
      <c r="A30" s="61" t="s">
        <v>206</v>
      </c>
      <c r="B30" s="64">
        <v>3182076.8322878215</v>
      </c>
      <c r="C30" s="64">
        <v>2895865.1590986899</v>
      </c>
      <c r="D30" s="64">
        <v>1755014.7082271706</v>
      </c>
      <c r="E30" s="64">
        <v>1361465.2995005692</v>
      </c>
      <c r="F30" s="64">
        <v>1748452.4882938131</v>
      </c>
      <c r="G30" s="64">
        <v>880896.07233607792</v>
      </c>
      <c r="H30" s="64">
        <v>1233671.6250308673</v>
      </c>
      <c r="I30" s="64">
        <v>2370779.4121889933</v>
      </c>
      <c r="J30" s="64">
        <v>1647420.9608076676</v>
      </c>
      <c r="K30" s="64"/>
      <c r="L30" s="64"/>
      <c r="M30" s="64"/>
      <c r="N30" s="70">
        <f t="shared" si="7"/>
        <v>17075642.557771672</v>
      </c>
      <c r="O30" s="94">
        <f t="shared" si="8"/>
        <v>0</v>
      </c>
    </row>
    <row r="31" spans="1:15">
      <c r="A31" s="61" t="s">
        <v>207</v>
      </c>
      <c r="B31" s="64">
        <v>1207657.0429060124</v>
      </c>
      <c r="C31" s="64">
        <v>1325142.9001079244</v>
      </c>
      <c r="D31" s="64">
        <v>1186839.9873379804</v>
      </c>
      <c r="E31" s="64">
        <v>963568.64746448467</v>
      </c>
      <c r="F31" s="64">
        <v>1246993.6553595588</v>
      </c>
      <c r="G31" s="64">
        <v>954988.74816808267</v>
      </c>
      <c r="H31" s="64">
        <v>1096536.1058299313</v>
      </c>
      <c r="I31" s="64">
        <v>1108857.0077082985</v>
      </c>
      <c r="J31" s="64">
        <v>1183021.3682704365</v>
      </c>
      <c r="K31" s="64"/>
      <c r="L31" s="64"/>
      <c r="M31" s="64"/>
      <c r="N31" s="70">
        <f t="shared" si="7"/>
        <v>10273605.463152708</v>
      </c>
      <c r="O31" s="94">
        <f t="shared" si="8"/>
        <v>0</v>
      </c>
    </row>
    <row r="32" spans="1:15">
      <c r="A32" s="61" t="s">
        <v>208</v>
      </c>
      <c r="B32" s="64">
        <v>1395842.6800000004</v>
      </c>
      <c r="C32" s="64">
        <v>2070795.1399999997</v>
      </c>
      <c r="D32" s="64">
        <v>2402710.8900000015</v>
      </c>
      <c r="E32" s="64">
        <v>2262828.21</v>
      </c>
      <c r="F32" s="64">
        <v>2394840.1300000027</v>
      </c>
      <c r="G32" s="64">
        <v>2237292.3999999976</v>
      </c>
      <c r="H32" s="64">
        <v>2041117.5099999912</v>
      </c>
      <c r="I32" s="64">
        <v>1521176.4900000091</v>
      </c>
      <c r="J32" s="64">
        <v>3027070.5699999933</v>
      </c>
      <c r="K32" s="64"/>
      <c r="L32" s="64"/>
      <c r="M32" s="64"/>
      <c r="N32" s="70">
        <f t="shared" si="7"/>
        <v>19353674.019999996</v>
      </c>
      <c r="O32" s="94">
        <f t="shared" si="8"/>
        <v>0</v>
      </c>
    </row>
    <row r="33" spans="1:16">
      <c r="A33" s="61" t="s">
        <v>209</v>
      </c>
      <c r="B33" s="64">
        <v>1769605.4200000002</v>
      </c>
      <c r="C33" s="64">
        <v>2436094.0699999998</v>
      </c>
      <c r="D33" s="64">
        <v>2280438.0099999998</v>
      </c>
      <c r="E33" s="64">
        <v>2714399.8700000052</v>
      </c>
      <c r="F33" s="64">
        <v>2140261.6799999923</v>
      </c>
      <c r="G33" s="64">
        <v>1984749.850000001</v>
      </c>
      <c r="H33" s="64">
        <v>2597414.8999999985</v>
      </c>
      <c r="I33" s="64">
        <v>1801656.5800000064</v>
      </c>
      <c r="J33" s="64">
        <v>3399939.4099999974</v>
      </c>
      <c r="K33" s="64"/>
      <c r="L33" s="64"/>
      <c r="M33" s="64"/>
      <c r="N33" s="70">
        <f t="shared" si="7"/>
        <v>21124559.789999999</v>
      </c>
      <c r="O33" s="94">
        <f t="shared" si="8"/>
        <v>0</v>
      </c>
    </row>
    <row r="34" spans="1:16">
      <c r="A34" s="61" t="s">
        <v>210</v>
      </c>
      <c r="B34" s="64">
        <v>2958769.2300000018</v>
      </c>
      <c r="C34" s="64">
        <v>1709905.979999993</v>
      </c>
      <c r="D34" s="64">
        <v>2219388.0800000066</v>
      </c>
      <c r="E34" s="64">
        <v>2096472.5799999898</v>
      </c>
      <c r="F34" s="64">
        <v>3866133.3000000124</v>
      </c>
      <c r="G34" s="64">
        <v>2358126.400000006</v>
      </c>
      <c r="H34" s="64">
        <v>2732471.7899999768</v>
      </c>
      <c r="I34" s="64">
        <v>1458544.8900000169</v>
      </c>
      <c r="J34" s="64">
        <v>3963373.7100000097</v>
      </c>
      <c r="K34" s="64"/>
      <c r="L34" s="64"/>
      <c r="M34" s="64"/>
      <c r="N34" s="70">
        <f t="shared" si="7"/>
        <v>23363185.960000008</v>
      </c>
      <c r="O34" s="94">
        <f t="shared" si="8"/>
        <v>0</v>
      </c>
    </row>
    <row r="35" spans="1:16">
      <c r="A35" s="61" t="s">
        <v>211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70"/>
    </row>
    <row r="36" spans="1:16">
      <c r="A36" s="61" t="s">
        <v>212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70"/>
    </row>
    <row r="37" spans="1:16">
      <c r="A37" s="61" t="s">
        <v>213</v>
      </c>
      <c r="B37" s="64">
        <f t="shared" ref="B37:M37" si="9">SUM(B38:B40)+SUM(B41:B45)*0.4</f>
        <v>-2658838.1060562544</v>
      </c>
      <c r="C37" s="64">
        <f t="shared" si="9"/>
        <v>-2885711.5793888923</v>
      </c>
      <c r="D37" s="64">
        <f t="shared" si="9"/>
        <v>-2803281.9552966934</v>
      </c>
      <c r="E37" s="64">
        <f t="shared" si="9"/>
        <v>-3149506.9434047658</v>
      </c>
      <c r="F37" s="64">
        <f t="shared" si="9"/>
        <v>-2853856.8870052318</v>
      </c>
      <c r="G37" s="64">
        <f t="shared" si="9"/>
        <v>-2483556.9177298727</v>
      </c>
      <c r="H37" s="64">
        <f t="shared" si="9"/>
        <v>-2479988.8084937511</v>
      </c>
      <c r="I37" s="64">
        <f t="shared" si="9"/>
        <v>-2225152.4344236511</v>
      </c>
      <c r="J37" s="64">
        <f t="shared" si="9"/>
        <v>-2359437.9460122124</v>
      </c>
      <c r="K37" s="64">
        <f t="shared" si="9"/>
        <v>0</v>
      </c>
      <c r="L37" s="64">
        <f t="shared" si="9"/>
        <v>0</v>
      </c>
      <c r="M37" s="64">
        <f t="shared" si="9"/>
        <v>0</v>
      </c>
      <c r="N37" s="70">
        <f>SUM(B37:M37)</f>
        <v>-23899331.577811327</v>
      </c>
    </row>
    <row r="38" spans="1:16">
      <c r="A38" s="61" t="s">
        <v>215</v>
      </c>
      <c r="B38" s="64">
        <v>-379095.49200077966</v>
      </c>
      <c r="C38" s="64">
        <v>-414616.15155946364</v>
      </c>
      <c r="D38" s="64">
        <v>-452066.60680489504</v>
      </c>
      <c r="E38" s="64">
        <v>-555022.29714481859</v>
      </c>
      <c r="F38" s="64">
        <v>-354817.39101245906</v>
      </c>
      <c r="G38" s="64">
        <v>-370767.34381802456</v>
      </c>
      <c r="H38" s="64">
        <v>-381941.33238683315</v>
      </c>
      <c r="I38" s="64">
        <v>-312966.88295246154</v>
      </c>
      <c r="J38" s="64">
        <v>-311389.8959306301</v>
      </c>
      <c r="K38" s="64"/>
      <c r="L38" s="64"/>
      <c r="M38" s="64"/>
      <c r="N38" s="70">
        <f t="shared" ref="N38:N45" si="10">SUM(B38:M38)</f>
        <v>-3532683.3936103657</v>
      </c>
      <c r="O38" s="94">
        <f>N38-SUM(B38:M38)</f>
        <v>0</v>
      </c>
      <c r="P38" s="138">
        <v>-1</v>
      </c>
    </row>
    <row r="39" spans="1:16">
      <c r="A39" s="61" t="s">
        <v>216</v>
      </c>
      <c r="B39" s="64">
        <v>-126365.65144000031</v>
      </c>
      <c r="C39" s="64">
        <v>-162672.98985914708</v>
      </c>
      <c r="D39" s="64">
        <v>-163546.88812861414</v>
      </c>
      <c r="E39" s="64">
        <v>-138314.23994203078</v>
      </c>
      <c r="F39" s="64">
        <v>-148496.54414322527</v>
      </c>
      <c r="G39" s="64">
        <v>-160173.08359332799</v>
      </c>
      <c r="H39" s="64">
        <v>-142821.57420504853</v>
      </c>
      <c r="I39" s="64">
        <v>-113424.72696201185</v>
      </c>
      <c r="J39" s="64">
        <v>-138693.87107128045</v>
      </c>
      <c r="K39" s="64"/>
      <c r="L39" s="64"/>
      <c r="M39" s="64"/>
      <c r="N39" s="70">
        <f t="shared" si="10"/>
        <v>-1294509.5693446863</v>
      </c>
      <c r="O39" s="94">
        <f t="shared" ref="O39:O45" si="11">N39-SUM(B39:M39)</f>
        <v>0</v>
      </c>
    </row>
    <row r="40" spans="1:16">
      <c r="A40" s="61" t="s">
        <v>217</v>
      </c>
      <c r="B40" s="64">
        <v>-121903.78336071088</v>
      </c>
      <c r="C40" s="64">
        <v>-119725.06599831699</v>
      </c>
      <c r="D40" s="64">
        <v>-177243.87829806382</v>
      </c>
      <c r="E40" s="64">
        <v>-141699.63587811176</v>
      </c>
      <c r="F40" s="64">
        <v>-122616.7165061252</v>
      </c>
      <c r="G40" s="64">
        <v>-126790.70851374649</v>
      </c>
      <c r="H40" s="64">
        <v>-143950.88782817553</v>
      </c>
      <c r="I40" s="64">
        <v>-108305.29938542635</v>
      </c>
      <c r="J40" s="64">
        <v>-115524.06055637445</v>
      </c>
      <c r="K40" s="64"/>
      <c r="L40" s="64"/>
      <c r="M40" s="64"/>
      <c r="N40" s="70">
        <f t="shared" si="10"/>
        <v>-1177760.0363250517</v>
      </c>
      <c r="O40" s="94">
        <f t="shared" si="11"/>
        <v>0</v>
      </c>
    </row>
    <row r="41" spans="1:16">
      <c r="A41" s="61" t="s">
        <v>218</v>
      </c>
      <c r="B41" s="64">
        <v>-2081641.7654548122</v>
      </c>
      <c r="C41" s="64">
        <v>-2272721.0307976096</v>
      </c>
      <c r="D41" s="64">
        <v>-2300144.3896901496</v>
      </c>
      <c r="E41" s="64">
        <v>-2068806.5128187945</v>
      </c>
      <c r="F41" s="64">
        <v>-1942443.3664733067</v>
      </c>
      <c r="G41" s="64">
        <v>-1761143.502068423</v>
      </c>
      <c r="H41" s="64">
        <v>-1677881.0900276823</v>
      </c>
      <c r="I41" s="64">
        <v>-1685794.1352079648</v>
      </c>
      <c r="J41" s="64">
        <v>-1591887.6338078466</v>
      </c>
      <c r="K41" s="64"/>
      <c r="L41" s="64"/>
      <c r="M41" s="64"/>
      <c r="N41" s="70">
        <f t="shared" si="10"/>
        <v>-17382463.426346589</v>
      </c>
      <c r="O41" s="94">
        <f t="shared" si="11"/>
        <v>0</v>
      </c>
    </row>
    <row r="42" spans="1:16">
      <c r="A42" s="61" t="s">
        <v>219</v>
      </c>
      <c r="B42" s="64">
        <v>-958807.09268209711</v>
      </c>
      <c r="C42" s="64">
        <v>-880426.68913230253</v>
      </c>
      <c r="D42" s="64">
        <v>-742575.84547265049</v>
      </c>
      <c r="E42" s="64">
        <v>-1078954.013280716</v>
      </c>
      <c r="F42" s="64">
        <v>-1220908.2518852497</v>
      </c>
      <c r="G42" s="64">
        <v>-889329.38244351139</v>
      </c>
      <c r="H42" s="64">
        <v>-798607.81515655189</v>
      </c>
      <c r="I42" s="64">
        <v>-796253.15760141297</v>
      </c>
      <c r="J42" s="64">
        <v>-786328.44232697075</v>
      </c>
      <c r="K42" s="64"/>
      <c r="L42" s="64"/>
      <c r="M42" s="64"/>
      <c r="N42" s="70">
        <f t="shared" si="10"/>
        <v>-8152190.6899814643</v>
      </c>
      <c r="O42" s="94">
        <f t="shared" si="11"/>
        <v>0</v>
      </c>
    </row>
    <row r="43" spans="1:16">
      <c r="A43" s="61" t="s">
        <v>220</v>
      </c>
      <c r="B43" s="64">
        <v>-671544.15</v>
      </c>
      <c r="C43" s="64">
        <v>-817810.98999999987</v>
      </c>
      <c r="D43" s="64">
        <v>-707904.8</v>
      </c>
      <c r="E43" s="64">
        <v>-952352.62999999989</v>
      </c>
      <c r="F43" s="64">
        <v>-828014.35000000009</v>
      </c>
      <c r="G43" s="64">
        <v>-648135.79999999981</v>
      </c>
      <c r="H43" s="64">
        <v>-607325.29</v>
      </c>
      <c r="I43" s="64">
        <v>-450295.95999999996</v>
      </c>
      <c r="J43" s="64">
        <v>-594990.36000000034</v>
      </c>
      <c r="K43" s="64"/>
      <c r="L43" s="64"/>
      <c r="M43" s="64"/>
      <c r="N43" s="70">
        <f t="shared" si="10"/>
        <v>-6278374.3300000001</v>
      </c>
      <c r="O43" s="94">
        <f t="shared" si="11"/>
        <v>0</v>
      </c>
    </row>
    <row r="44" spans="1:16">
      <c r="A44" s="61" t="s">
        <v>221</v>
      </c>
      <c r="B44" s="64">
        <v>-411416.13</v>
      </c>
      <c r="C44" s="64">
        <v>-487724.54000000004</v>
      </c>
      <c r="D44" s="64">
        <v>-279388.90000000002</v>
      </c>
      <c r="E44" s="64">
        <v>-687637.28</v>
      </c>
      <c r="F44" s="64">
        <v>-491309.33000000007</v>
      </c>
      <c r="G44" s="64">
        <v>-384841.34999999963</v>
      </c>
      <c r="H44" s="64">
        <v>-453411.52</v>
      </c>
      <c r="I44" s="64">
        <v>-345208.70000000013</v>
      </c>
      <c r="J44" s="64">
        <v>-521905.66000000021</v>
      </c>
      <c r="K44" s="64"/>
      <c r="L44" s="64"/>
      <c r="M44" s="64"/>
      <c r="N44" s="70">
        <f t="shared" si="10"/>
        <v>-4062843.41</v>
      </c>
      <c r="O44" s="94">
        <f t="shared" si="11"/>
        <v>0</v>
      </c>
    </row>
    <row r="45" spans="1:16">
      <c r="A45" s="61" t="s">
        <v>222</v>
      </c>
      <c r="B45" s="64">
        <v>-955273.81</v>
      </c>
      <c r="C45" s="64">
        <v>-1013060.1799999999</v>
      </c>
      <c r="D45" s="64">
        <v>-996047.51999999979</v>
      </c>
      <c r="E45" s="64">
        <v>-998426.49000000034</v>
      </c>
      <c r="F45" s="64">
        <v>-1087140.29</v>
      </c>
      <c r="G45" s="64">
        <v>-881114.41999999993</v>
      </c>
      <c r="H45" s="64">
        <v>-990961.8200000003</v>
      </c>
      <c r="I45" s="64">
        <v>-948586.8599999994</v>
      </c>
      <c r="J45" s="64">
        <v>-989463.20000000019</v>
      </c>
      <c r="K45" s="64"/>
      <c r="L45" s="64"/>
      <c r="M45" s="64"/>
      <c r="N45" s="70">
        <f t="shared" si="10"/>
        <v>-8860074.5899999999</v>
      </c>
      <c r="O45" s="94">
        <f t="shared" si="11"/>
        <v>0</v>
      </c>
    </row>
    <row r="46" spans="1:16">
      <c r="A46" s="61" t="s">
        <v>223</v>
      </c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70"/>
    </row>
    <row r="47" spans="1:16">
      <c r="A47" s="61" t="s">
        <v>224</v>
      </c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70"/>
    </row>
    <row r="48" spans="1:16">
      <c r="A48" s="61" t="s">
        <v>225</v>
      </c>
      <c r="B48" s="64">
        <f t="shared" ref="B48:M48" si="12">SUM(B49:B51)+SUM(B52:B56)*0.4</f>
        <v>77.316000000000003</v>
      </c>
      <c r="C48" s="64">
        <f t="shared" si="12"/>
        <v>392.904</v>
      </c>
      <c r="D48" s="64">
        <f t="shared" si="12"/>
        <v>5697.7160000000003</v>
      </c>
      <c r="E48" s="64">
        <f t="shared" si="12"/>
        <v>-16538.828000000001</v>
      </c>
      <c r="F48" s="64">
        <f t="shared" si="12"/>
        <v>-613.70400000000052</v>
      </c>
      <c r="G48" s="64">
        <f t="shared" si="12"/>
        <v>-3297.5639999999985</v>
      </c>
      <c r="H48" s="64">
        <f t="shared" si="12"/>
        <v>34348.507999999994</v>
      </c>
      <c r="I48" s="64">
        <f t="shared" si="12"/>
        <v>1272.0399999999995</v>
      </c>
      <c r="J48" s="64">
        <f t="shared" si="12"/>
        <v>2808.5800000000008</v>
      </c>
      <c r="K48" s="64">
        <f t="shared" si="12"/>
        <v>0</v>
      </c>
      <c r="L48" s="64">
        <f t="shared" si="12"/>
        <v>0</v>
      </c>
      <c r="M48" s="64">
        <f t="shared" si="12"/>
        <v>0</v>
      </c>
      <c r="N48" s="70">
        <f>SUM(B48:M48)</f>
        <v>24146.968000000001</v>
      </c>
    </row>
    <row r="49" spans="1:15">
      <c r="A49" s="61" t="s">
        <v>227</v>
      </c>
      <c r="B49" s="64">
        <v>0</v>
      </c>
      <c r="C49" s="64">
        <v>0</v>
      </c>
      <c r="D49" s="64">
        <v>0</v>
      </c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/>
      <c r="L49" s="64"/>
      <c r="M49" s="64"/>
      <c r="N49" s="70">
        <f t="shared" ref="N49:N56" si="13">SUM(B49:M49)</f>
        <v>0</v>
      </c>
    </row>
    <row r="50" spans="1:15">
      <c r="A50" s="61" t="s">
        <v>228</v>
      </c>
      <c r="B50" s="64">
        <v>0</v>
      </c>
      <c r="C50" s="64">
        <v>0</v>
      </c>
      <c r="D50" s="64">
        <v>0</v>
      </c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/>
      <c r="L50" s="64"/>
      <c r="M50" s="64"/>
      <c r="N50" s="70">
        <f t="shared" si="13"/>
        <v>0</v>
      </c>
    </row>
    <row r="51" spans="1:15">
      <c r="A51" s="61" t="s">
        <v>229</v>
      </c>
      <c r="B51" s="64">
        <v>0</v>
      </c>
      <c r="C51" s="64">
        <v>0</v>
      </c>
      <c r="D51" s="64">
        <v>0</v>
      </c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/>
      <c r="L51" s="64"/>
      <c r="M51" s="64"/>
      <c r="N51" s="70">
        <f t="shared" si="13"/>
        <v>0</v>
      </c>
    </row>
    <row r="52" spans="1:15">
      <c r="A52" s="61" t="s">
        <v>230</v>
      </c>
      <c r="B52" s="64">
        <v>0</v>
      </c>
      <c r="C52" s="64">
        <v>0</v>
      </c>
      <c r="D52" s="64">
        <v>0</v>
      </c>
      <c r="E52" s="64">
        <v>0</v>
      </c>
      <c r="F52" s="64">
        <v>0</v>
      </c>
      <c r="G52" s="64">
        <v>0</v>
      </c>
      <c r="H52" s="64">
        <v>0</v>
      </c>
      <c r="I52" s="64">
        <v>0</v>
      </c>
      <c r="J52" s="64">
        <v>0</v>
      </c>
      <c r="K52" s="64"/>
      <c r="L52" s="64"/>
      <c r="M52" s="64"/>
      <c r="N52" s="70">
        <f t="shared" si="13"/>
        <v>0</v>
      </c>
    </row>
    <row r="53" spans="1:15">
      <c r="A53" s="61" t="s">
        <v>231</v>
      </c>
      <c r="B53" s="64">
        <v>0</v>
      </c>
      <c r="C53" s="64">
        <v>0</v>
      </c>
      <c r="D53" s="64">
        <v>0</v>
      </c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/>
      <c r="L53" s="64"/>
      <c r="M53" s="64"/>
      <c r="N53" s="70">
        <f t="shared" si="13"/>
        <v>0</v>
      </c>
    </row>
    <row r="54" spans="1:15">
      <c r="A54" s="61" t="s">
        <v>232</v>
      </c>
      <c r="B54" s="64">
        <v>193.29</v>
      </c>
      <c r="C54" s="64">
        <v>982.26</v>
      </c>
      <c r="D54" s="64">
        <v>8216.9500000000007</v>
      </c>
      <c r="E54" s="64">
        <v>-29292.39</v>
      </c>
      <c r="F54" s="64">
        <v>-1541.4000000000015</v>
      </c>
      <c r="G54" s="64">
        <v>-20298.589999999997</v>
      </c>
      <c r="H54" s="64">
        <v>85885.549999999974</v>
      </c>
      <c r="I54" s="64">
        <v>3180.0999999999985</v>
      </c>
      <c r="J54" s="64">
        <v>417.40000000000151</v>
      </c>
      <c r="K54" s="64"/>
      <c r="L54" s="64"/>
      <c r="M54" s="64"/>
      <c r="N54" s="70">
        <f t="shared" si="13"/>
        <v>47743.169999999976</v>
      </c>
    </row>
    <row r="55" spans="1:15">
      <c r="A55" s="61" t="s">
        <v>233</v>
      </c>
      <c r="B55" s="64">
        <v>0</v>
      </c>
      <c r="C55" s="64">
        <v>0</v>
      </c>
      <c r="D55" s="64">
        <v>0</v>
      </c>
      <c r="E55" s="64">
        <v>0</v>
      </c>
      <c r="F55" s="64">
        <v>7.14</v>
      </c>
      <c r="G55" s="64">
        <v>0</v>
      </c>
      <c r="H55" s="64">
        <v>-14.28</v>
      </c>
      <c r="I55" s="64">
        <v>0</v>
      </c>
      <c r="J55" s="64">
        <v>14.28</v>
      </c>
      <c r="K55" s="64"/>
      <c r="L55" s="64"/>
      <c r="M55" s="64"/>
      <c r="N55" s="70">
        <f t="shared" si="13"/>
        <v>7.14</v>
      </c>
    </row>
    <row r="56" spans="1:15">
      <c r="A56" s="61" t="s">
        <v>234</v>
      </c>
      <c r="B56" s="64">
        <v>0</v>
      </c>
      <c r="C56" s="64">
        <v>0</v>
      </c>
      <c r="D56" s="64">
        <v>6027.34</v>
      </c>
      <c r="E56" s="64">
        <v>-12054.68</v>
      </c>
      <c r="F56" s="64">
        <v>0</v>
      </c>
      <c r="G56" s="64">
        <v>12054.68</v>
      </c>
      <c r="H56" s="64">
        <v>0</v>
      </c>
      <c r="I56" s="64">
        <v>0</v>
      </c>
      <c r="J56" s="64">
        <v>6589.77</v>
      </c>
      <c r="K56" s="64"/>
      <c r="L56" s="64"/>
      <c r="M56" s="64"/>
      <c r="N56" s="70">
        <f t="shared" si="13"/>
        <v>12617.11</v>
      </c>
    </row>
    <row r="57" spans="1:15">
      <c r="A57" s="61" t="s">
        <v>235</v>
      </c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70"/>
    </row>
    <row r="58" spans="1:15">
      <c r="A58" s="61" t="s">
        <v>236</v>
      </c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70"/>
    </row>
    <row r="59" spans="1:15">
      <c r="A59" s="61" t="s">
        <v>237</v>
      </c>
      <c r="B59" s="64">
        <f t="shared" ref="B59:M59" si="14">SUM(B60:B62)+SUM(B63:B67)*0.4</f>
        <v>2571901.4158522584</v>
      </c>
      <c r="C59" s="64">
        <f t="shared" si="14"/>
        <v>2366634.8269340703</v>
      </c>
      <c r="D59" s="64">
        <f t="shared" si="14"/>
        <v>2295778.2390922569</v>
      </c>
      <c r="E59" s="64">
        <f t="shared" si="14"/>
        <v>1581626.1372990161</v>
      </c>
      <c r="F59" s="64">
        <f t="shared" si="14"/>
        <v>2815395.0465514925</v>
      </c>
      <c r="G59" s="64">
        <f t="shared" si="14"/>
        <v>1875232.3682388898</v>
      </c>
      <c r="H59" s="64">
        <f t="shared" si="14"/>
        <v>2495742.6544635314</v>
      </c>
      <c r="I59" s="64">
        <f t="shared" si="14"/>
        <v>1941782.5092458127</v>
      </c>
      <c r="J59" s="64">
        <f t="shared" si="14"/>
        <v>3992887.0742159444</v>
      </c>
      <c r="K59" s="64">
        <f t="shared" si="14"/>
        <v>0</v>
      </c>
      <c r="L59" s="64">
        <f t="shared" si="14"/>
        <v>0</v>
      </c>
      <c r="M59" s="64">
        <f t="shared" si="14"/>
        <v>0</v>
      </c>
      <c r="N59" s="70">
        <f>SUM(B59:M59)</f>
        <v>21936980.271893274</v>
      </c>
    </row>
    <row r="60" spans="1:15">
      <c r="A60" s="61" t="s">
        <v>239</v>
      </c>
      <c r="B60" s="64">
        <v>375501.84210533259</v>
      </c>
      <c r="C60" s="64">
        <v>310306.66841035493</v>
      </c>
      <c r="D60" s="64">
        <v>339284.90887573193</v>
      </c>
      <c r="E60" s="64">
        <v>133994.91030782578</v>
      </c>
      <c r="F60" s="64">
        <v>423563.46093090181</v>
      </c>
      <c r="G60" s="64">
        <v>297600.14447055216</v>
      </c>
      <c r="H60" s="64">
        <v>347989.04265466321</v>
      </c>
      <c r="I60" s="64">
        <v>290820.84908274299</v>
      </c>
      <c r="J60" s="64">
        <v>478566.27266981738</v>
      </c>
      <c r="K60" s="64"/>
      <c r="L60" s="64"/>
      <c r="M60" s="64"/>
      <c r="N60" s="70">
        <f t="shared" ref="N60:N67" si="15">SUM(B60:M60)</f>
        <v>2997628.0995079228</v>
      </c>
      <c r="O60" s="94">
        <f t="shared" ref="O60:O67" si="16">N60-SUM(B60:M60)</f>
        <v>0</v>
      </c>
    </row>
    <row r="61" spans="1:15">
      <c r="A61" s="61" t="s">
        <v>240</v>
      </c>
      <c r="B61" s="64">
        <v>-11554.723709327431</v>
      </c>
      <c r="C61" s="64">
        <v>38402.939428871294</v>
      </c>
      <c r="D61" s="64">
        <v>20517.967394069332</v>
      </c>
      <c r="E61" s="64">
        <v>-19512.065322345792</v>
      </c>
      <c r="F61" s="64">
        <v>28290.326994562201</v>
      </c>
      <c r="G61" s="64">
        <v>21275.110084128537</v>
      </c>
      <c r="H61" s="64">
        <v>50009.422205250565</v>
      </c>
      <c r="I61" s="64">
        <v>14937.166795204961</v>
      </c>
      <c r="J61" s="64">
        <v>-34991.258031650097</v>
      </c>
      <c r="K61" s="64"/>
      <c r="L61" s="64"/>
      <c r="M61" s="64"/>
      <c r="N61" s="70">
        <f t="shared" si="15"/>
        <v>107374.88583876356</v>
      </c>
      <c r="O61" s="94">
        <f t="shared" si="16"/>
        <v>0</v>
      </c>
    </row>
    <row r="62" spans="1:15">
      <c r="A62" s="61" t="s">
        <v>241</v>
      </c>
      <c r="B62" s="64">
        <v>33846.994633482842</v>
      </c>
      <c r="C62" s="64">
        <v>31501.291384165859</v>
      </c>
      <c r="D62" s="64">
        <v>8643.2746615118231</v>
      </c>
      <c r="E62" s="64">
        <v>22120.219967320736</v>
      </c>
      <c r="F62" s="64">
        <v>32794.992508099502</v>
      </c>
      <c r="G62" s="64">
        <v>15761.507287316621</v>
      </c>
      <c r="H62" s="64">
        <v>28534.43133300569</v>
      </c>
      <c r="I62" s="64">
        <v>22074.266532685942</v>
      </c>
      <c r="J62" s="64">
        <v>54811.770400461901</v>
      </c>
      <c r="K62" s="64"/>
      <c r="L62" s="64"/>
      <c r="M62" s="64"/>
      <c r="N62" s="70">
        <f t="shared" si="15"/>
        <v>250088.74870805093</v>
      </c>
      <c r="O62" s="94">
        <f t="shared" si="16"/>
        <v>0</v>
      </c>
    </row>
    <row r="63" spans="1:15">
      <c r="A63" s="61" t="s">
        <v>242</v>
      </c>
      <c r="B63" s="64">
        <v>1100435.066833009</v>
      </c>
      <c r="C63" s="64">
        <v>623144.1283010802</v>
      </c>
      <c r="D63" s="64">
        <v>-545129.68146297906</v>
      </c>
      <c r="E63" s="64">
        <v>-707341.21331822535</v>
      </c>
      <c r="F63" s="64">
        <v>-193990.87817949359</v>
      </c>
      <c r="G63" s="64">
        <v>-880247.42973234504</v>
      </c>
      <c r="H63" s="64">
        <v>-444209.46499681508</v>
      </c>
      <c r="I63" s="64">
        <v>684985.27698102838</v>
      </c>
      <c r="J63" s="64">
        <v>55533.326999821002</v>
      </c>
      <c r="K63" s="64"/>
      <c r="L63" s="64"/>
      <c r="M63" s="64"/>
      <c r="N63" s="70">
        <f t="shared" si="15"/>
        <v>-306820.8685749193</v>
      </c>
      <c r="O63" s="94">
        <f t="shared" si="16"/>
        <v>0</v>
      </c>
    </row>
    <row r="64" spans="1:15">
      <c r="A64" s="61" t="s">
        <v>243</v>
      </c>
      <c r="B64" s="64">
        <v>248849.95022391537</v>
      </c>
      <c r="C64" s="64">
        <v>444716.21097562177</v>
      </c>
      <c r="D64" s="64">
        <v>444264.14186532988</v>
      </c>
      <c r="E64" s="64">
        <v>-115385.36581623135</v>
      </c>
      <c r="F64" s="64">
        <v>26085.403474308987</v>
      </c>
      <c r="G64" s="64">
        <v>65659.365724571253</v>
      </c>
      <c r="H64" s="64">
        <v>297928.29067337938</v>
      </c>
      <c r="I64" s="64">
        <v>312603.85010688566</v>
      </c>
      <c r="J64" s="64">
        <v>396692.92594346579</v>
      </c>
      <c r="K64" s="64"/>
      <c r="L64" s="64"/>
      <c r="M64" s="64"/>
      <c r="N64" s="70">
        <f t="shared" si="15"/>
        <v>2121414.7731712465</v>
      </c>
      <c r="O64" s="94">
        <f t="shared" si="16"/>
        <v>0</v>
      </c>
    </row>
    <row r="65" spans="1:15">
      <c r="A65" s="61" t="s">
        <v>244</v>
      </c>
      <c r="B65" s="64">
        <v>724298.53000000026</v>
      </c>
      <c r="C65" s="64">
        <v>1252984.1499999997</v>
      </c>
      <c r="D65" s="64">
        <v>1694806.0900000012</v>
      </c>
      <c r="E65" s="64">
        <v>1310475.58</v>
      </c>
      <c r="F65" s="64">
        <v>1566825.7800000026</v>
      </c>
      <c r="G65" s="64">
        <v>1589156.5999999975</v>
      </c>
      <c r="H65" s="64">
        <v>1433792.2199999909</v>
      </c>
      <c r="I65" s="64">
        <v>1070880.5300000091</v>
      </c>
      <c r="J65" s="64">
        <v>2432080.209999993</v>
      </c>
      <c r="K65" s="64"/>
      <c r="L65" s="64"/>
      <c r="M65" s="64"/>
      <c r="N65" s="70">
        <f t="shared" si="15"/>
        <v>13075299.689999996</v>
      </c>
      <c r="O65" s="94">
        <f t="shared" si="16"/>
        <v>0</v>
      </c>
    </row>
    <row r="66" spans="1:15">
      <c r="A66" s="61" t="s">
        <v>245</v>
      </c>
      <c r="B66" s="64">
        <v>1358189.29</v>
      </c>
      <c r="C66" s="64">
        <v>1948369.53</v>
      </c>
      <c r="D66" s="64">
        <v>2001049.1099999996</v>
      </c>
      <c r="E66" s="64">
        <v>2026762.5900000054</v>
      </c>
      <c r="F66" s="64">
        <v>1648952.3499999922</v>
      </c>
      <c r="G66" s="64">
        <v>1599908.5000000014</v>
      </c>
      <c r="H66" s="64">
        <v>2144003.3799999985</v>
      </c>
      <c r="I66" s="64">
        <v>1456447.8800000059</v>
      </c>
      <c r="J66" s="64">
        <v>2878033.7499999977</v>
      </c>
      <c r="K66" s="64"/>
      <c r="L66" s="64"/>
      <c r="M66" s="64"/>
      <c r="N66" s="70">
        <f t="shared" si="15"/>
        <v>17061716.380000003</v>
      </c>
      <c r="O66" s="94">
        <f t="shared" si="16"/>
        <v>0</v>
      </c>
    </row>
    <row r="67" spans="1:15">
      <c r="A67" s="61" t="s">
        <v>246</v>
      </c>
      <c r="B67" s="64">
        <v>2003495.4200000018</v>
      </c>
      <c r="C67" s="64">
        <v>696845.79999999295</v>
      </c>
      <c r="D67" s="64">
        <v>1223340.5600000068</v>
      </c>
      <c r="E67" s="64">
        <v>1098046.0899999894</v>
      </c>
      <c r="F67" s="64">
        <v>2778993.0100000123</v>
      </c>
      <c r="G67" s="64">
        <v>1477011.980000006</v>
      </c>
      <c r="H67" s="64">
        <v>1741509.9699999765</v>
      </c>
      <c r="I67" s="64">
        <v>509958.03000001743</v>
      </c>
      <c r="J67" s="64">
        <v>2973910.5100000096</v>
      </c>
      <c r="K67" s="64"/>
      <c r="L67" s="64"/>
      <c r="M67" s="64"/>
      <c r="N67" s="70">
        <f t="shared" si="15"/>
        <v>14503111.370000012</v>
      </c>
      <c r="O67" s="94">
        <f t="shared" si="16"/>
        <v>0</v>
      </c>
    </row>
    <row r="68" spans="1:15">
      <c r="A68" s="61" t="s">
        <v>247</v>
      </c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70"/>
    </row>
    <row r="69" spans="1:15">
      <c r="A69" s="61" t="s">
        <v>248</v>
      </c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70"/>
    </row>
    <row r="70" spans="1:15">
      <c r="A70" s="61" t="s">
        <v>249</v>
      </c>
      <c r="B70" s="64">
        <f t="shared" ref="B70:M70" si="17">SUM(B71:B73)+SUM(B74:B78)*0.4</f>
        <v>736804.45276275068</v>
      </c>
      <c r="C70" s="64">
        <f t="shared" si="17"/>
        <v>694728.76093107706</v>
      </c>
      <c r="D70" s="64">
        <f t="shared" si="17"/>
        <v>749618.59455819579</v>
      </c>
      <c r="E70" s="64">
        <f t="shared" si="17"/>
        <v>751668.08774371364</v>
      </c>
      <c r="F70" s="64">
        <f t="shared" si="17"/>
        <v>747158.80043006456</v>
      </c>
      <c r="G70" s="64">
        <f t="shared" si="17"/>
        <v>723100.34273821348</v>
      </c>
      <c r="H70" s="64">
        <f t="shared" si="17"/>
        <v>744596.70717472292</v>
      </c>
      <c r="I70" s="64">
        <f t="shared" si="17"/>
        <v>754593.95226654643</v>
      </c>
      <c r="J70" s="64">
        <f t="shared" si="17"/>
        <v>725769.7897969404</v>
      </c>
      <c r="K70" s="64">
        <f t="shared" si="17"/>
        <v>0</v>
      </c>
      <c r="L70" s="64">
        <f t="shared" si="17"/>
        <v>0</v>
      </c>
      <c r="M70" s="64">
        <f t="shared" si="17"/>
        <v>0</v>
      </c>
      <c r="N70" s="70">
        <f>SUM(B70:M70)</f>
        <v>6628039.4884022241</v>
      </c>
    </row>
    <row r="71" spans="1:15">
      <c r="A71" s="61" t="s">
        <v>251</v>
      </c>
      <c r="B71" s="64">
        <v>4905.1584488420667</v>
      </c>
      <c r="C71" s="64">
        <v>4789.1812375840609</v>
      </c>
      <c r="D71" s="64">
        <v>4535.4636190994261</v>
      </c>
      <c r="E71" s="64">
        <v>4206.0515297939319</v>
      </c>
      <c r="F71" s="64">
        <v>4116.6088149729912</v>
      </c>
      <c r="G71" s="64">
        <v>6132.8346364942699</v>
      </c>
      <c r="H71" s="64">
        <v>3778.9192956477032</v>
      </c>
      <c r="I71" s="64">
        <v>4996.3460232653542</v>
      </c>
      <c r="J71" s="64">
        <v>4000.1696389689673</v>
      </c>
      <c r="K71" s="64"/>
      <c r="L71" s="64"/>
      <c r="M71" s="64"/>
      <c r="N71" s="70">
        <f t="shared" ref="N71:N78" si="18">SUM(B71:M71)</f>
        <v>41460.733244668772</v>
      </c>
      <c r="O71" s="94">
        <f t="shared" ref="O71:O78" si="19">N71-SUM(B71:M71)</f>
        <v>0</v>
      </c>
    </row>
    <row r="72" spans="1:15">
      <c r="A72" s="61" t="s">
        <v>252</v>
      </c>
      <c r="B72" s="64">
        <v>8779.8581566145167</v>
      </c>
      <c r="C72" s="64">
        <v>13057.782055052015</v>
      </c>
      <c r="D72" s="64">
        <v>10237.15585754922</v>
      </c>
      <c r="E72" s="64">
        <v>20726.65358168399</v>
      </c>
      <c r="F72" s="64">
        <v>12833.159249605607</v>
      </c>
      <c r="G72" s="64">
        <v>12269.387167592253</v>
      </c>
      <c r="H72" s="64">
        <v>11791.25347820909</v>
      </c>
      <c r="I72" s="64">
        <v>12230.464374901494</v>
      </c>
      <c r="J72" s="64">
        <v>11582.140326596391</v>
      </c>
      <c r="K72" s="64"/>
      <c r="L72" s="64"/>
      <c r="M72" s="64"/>
      <c r="N72" s="70">
        <f t="shared" si="18"/>
        <v>113507.85424780459</v>
      </c>
      <c r="O72" s="94">
        <f t="shared" si="19"/>
        <v>0</v>
      </c>
    </row>
    <row r="73" spans="1:15">
      <c r="A73" s="61" t="s">
        <v>253</v>
      </c>
      <c r="B73" s="64">
        <v>266.97648454927173</v>
      </c>
      <c r="C73" s="64">
        <v>260.66438707295868</v>
      </c>
      <c r="D73" s="64">
        <v>1590.1850736554775</v>
      </c>
      <c r="E73" s="64">
        <v>648.48699257058684</v>
      </c>
      <c r="F73" s="64">
        <v>765.12700348781152</v>
      </c>
      <c r="G73" s="64">
        <v>657.50241945059179</v>
      </c>
      <c r="H73" s="64">
        <v>432.68343504725573</v>
      </c>
      <c r="I73" s="64">
        <v>429.1315941315799</v>
      </c>
      <c r="J73" s="64">
        <v>419.93919891100057</v>
      </c>
      <c r="K73" s="64"/>
      <c r="L73" s="64"/>
      <c r="M73" s="64"/>
      <c r="N73" s="70">
        <f t="shared" si="18"/>
        <v>5470.6965888765335</v>
      </c>
      <c r="O73" s="94">
        <f t="shared" si="19"/>
        <v>0</v>
      </c>
    </row>
    <row r="74" spans="1:15">
      <c r="A74" s="61" t="s">
        <v>254</v>
      </c>
      <c r="B74" s="64">
        <v>198424.95919276631</v>
      </c>
      <c r="C74" s="64">
        <v>220629.51346388689</v>
      </c>
      <c r="D74" s="64">
        <v>208518.05223011607</v>
      </c>
      <c r="E74" s="64">
        <v>252270.67804345168</v>
      </c>
      <c r="F74" s="64">
        <v>200049.0063380629</v>
      </c>
      <c r="G74" s="64">
        <v>184969.05919752733</v>
      </c>
      <c r="H74" s="64">
        <v>206120.69339068071</v>
      </c>
      <c r="I74" s="64">
        <v>192159.2725803658</v>
      </c>
      <c r="J74" s="64">
        <v>218816.13267949928</v>
      </c>
      <c r="K74" s="64"/>
      <c r="L74" s="64"/>
      <c r="M74" s="64"/>
      <c r="N74" s="70">
        <f t="shared" si="18"/>
        <v>1881957.367116357</v>
      </c>
      <c r="O74" s="94">
        <f t="shared" si="19"/>
        <v>0</v>
      </c>
    </row>
    <row r="75" spans="1:15">
      <c r="A75" s="61" t="s">
        <v>255</v>
      </c>
      <c r="B75" s="64">
        <v>166903.73998909586</v>
      </c>
      <c r="C75" s="64">
        <v>161190.68966453322</v>
      </c>
      <c r="D75" s="64">
        <v>173920.29278961354</v>
      </c>
      <c r="E75" s="64">
        <v>175208.68105571083</v>
      </c>
      <c r="F75" s="64">
        <v>189887.25706693213</v>
      </c>
      <c r="G75" s="64">
        <v>204731.69708916382</v>
      </c>
      <c r="H75" s="64">
        <v>202326.23402386604</v>
      </c>
      <c r="I75" s="64">
        <v>221081.72310525441</v>
      </c>
      <c r="J75" s="64">
        <v>209707.7889016601</v>
      </c>
      <c r="K75" s="64"/>
      <c r="L75" s="64"/>
      <c r="M75" s="64"/>
      <c r="N75" s="70">
        <f t="shared" si="18"/>
        <v>1704958.1036858298</v>
      </c>
      <c r="O75" s="94">
        <f t="shared" si="19"/>
        <v>0</v>
      </c>
    </row>
    <row r="76" spans="1:15">
      <c r="A76" s="61" t="s">
        <v>256</v>
      </c>
      <c r="B76" s="64">
        <v>443019.62</v>
      </c>
      <c r="C76" s="64">
        <v>396373.65</v>
      </c>
      <c r="D76" s="64">
        <v>440788.65999999992</v>
      </c>
      <c r="E76" s="64">
        <v>427168.12000000011</v>
      </c>
      <c r="F76" s="64">
        <v>439360.69000000018</v>
      </c>
      <c r="G76" s="64">
        <v>423303.87999999989</v>
      </c>
      <c r="H76" s="64">
        <v>440164.16999999993</v>
      </c>
      <c r="I76" s="64">
        <v>441735.14000000013</v>
      </c>
      <c r="J76" s="64">
        <v>433535.0299999998</v>
      </c>
      <c r="K76" s="64"/>
      <c r="L76" s="64"/>
      <c r="M76" s="64"/>
      <c r="N76" s="70">
        <f t="shared" si="18"/>
        <v>3885448.96</v>
      </c>
      <c r="O76" s="94">
        <f t="shared" si="19"/>
        <v>0</v>
      </c>
    </row>
    <row r="77" spans="1:15">
      <c r="A77" s="61" t="s">
        <v>257</v>
      </c>
      <c r="B77" s="64">
        <v>251260.35000000003</v>
      </c>
      <c r="C77" s="64">
        <v>226918.99000000005</v>
      </c>
      <c r="D77" s="64">
        <v>252717.21000000005</v>
      </c>
      <c r="E77" s="64">
        <v>244749.21999999997</v>
      </c>
      <c r="F77" s="64">
        <v>252523.6099999999</v>
      </c>
      <c r="G77" s="64">
        <v>241361.87000000011</v>
      </c>
      <c r="H77" s="64">
        <v>251181.66999999993</v>
      </c>
      <c r="I77" s="64">
        <v>251124.74000000002</v>
      </c>
      <c r="J77" s="64">
        <v>238963.67000000016</v>
      </c>
      <c r="K77" s="64"/>
      <c r="L77" s="64"/>
      <c r="M77" s="64"/>
      <c r="N77" s="70">
        <f t="shared" si="18"/>
        <v>2210801.33</v>
      </c>
      <c r="O77" s="94">
        <f t="shared" si="19"/>
        <v>0</v>
      </c>
    </row>
    <row r="78" spans="1:15">
      <c r="A78" s="61" t="s">
        <v>258</v>
      </c>
      <c r="B78" s="64">
        <v>747522.48</v>
      </c>
      <c r="C78" s="64">
        <v>686439.98999999987</v>
      </c>
      <c r="D78" s="64">
        <v>757195.25999999989</v>
      </c>
      <c r="E78" s="64">
        <v>715820.54</v>
      </c>
      <c r="F78" s="64">
        <v>741789.20000000019</v>
      </c>
      <c r="G78" s="64">
        <v>705735.03999999957</v>
      </c>
      <c r="H78" s="64">
        <v>721691.86000000022</v>
      </c>
      <c r="I78" s="64">
        <v>736244.14999999944</v>
      </c>
      <c r="J78" s="64">
        <v>673396.23000000045</v>
      </c>
      <c r="K78" s="64"/>
      <c r="L78" s="64"/>
      <c r="M78" s="64"/>
      <c r="N78" s="70">
        <f t="shared" si="18"/>
        <v>6485834.75</v>
      </c>
      <c r="O78" s="94">
        <f t="shared" si="19"/>
        <v>0</v>
      </c>
    </row>
    <row r="79" spans="1:15">
      <c r="A79" s="61" t="s">
        <v>259</v>
      </c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70"/>
    </row>
    <row r="80" spans="1:15">
      <c r="A80" s="61" t="s">
        <v>261</v>
      </c>
      <c r="B80" s="64">
        <f t="shared" ref="B80:M80" si="20">SUM(B81:B83)+SUM(B84:B88)*0.4</f>
        <v>3309189.8557035588</v>
      </c>
      <c r="C80" s="64">
        <f t="shared" si="20"/>
        <v>3062153.5744448905</v>
      </c>
      <c r="D80" s="64">
        <f t="shared" si="20"/>
        <v>2972054.1182366908</v>
      </c>
      <c r="E80" s="64">
        <f t="shared" si="20"/>
        <v>2416537.5790742347</v>
      </c>
      <c r="F80" s="64">
        <f t="shared" si="20"/>
        <v>3529025.7142457194</v>
      </c>
      <c r="G80" s="64">
        <f t="shared" si="20"/>
        <v>2606457.8473023516</v>
      </c>
      <c r="H80" s="64">
        <f t="shared" si="20"/>
        <v>3241295.939283777</v>
      </c>
      <c r="I80" s="64">
        <f t="shared" si="20"/>
        <v>2697648.4852827629</v>
      </c>
      <c r="J80" s="64">
        <f t="shared" si="20"/>
        <v>4721462.6287739016</v>
      </c>
      <c r="K80" s="64">
        <f t="shared" si="20"/>
        <v>0</v>
      </c>
      <c r="L80" s="64">
        <f t="shared" si="20"/>
        <v>0</v>
      </c>
      <c r="M80" s="64">
        <f t="shared" si="20"/>
        <v>0</v>
      </c>
      <c r="N80" s="70">
        <f>SUM(B80:M80)</f>
        <v>28555825.742347889</v>
      </c>
    </row>
    <row r="81" spans="1:23">
      <c r="A81" s="61" t="s">
        <v>263</v>
      </c>
      <c r="B81" s="64">
        <v>380407.00055417459</v>
      </c>
      <c r="C81" s="64">
        <v>315095.84964793903</v>
      </c>
      <c r="D81" s="64">
        <v>343820.37249483133</v>
      </c>
      <c r="E81" s="64">
        <v>138200.96183761963</v>
      </c>
      <c r="F81" s="64">
        <v>427680.06974587479</v>
      </c>
      <c r="G81" s="64">
        <v>303732.97910704644</v>
      </c>
      <c r="H81" s="64">
        <v>351767.96195031086</v>
      </c>
      <c r="I81" s="64">
        <v>295817.19510600832</v>
      </c>
      <c r="J81" s="64">
        <v>482566.44230878633</v>
      </c>
      <c r="K81" s="64"/>
      <c r="L81" s="64"/>
      <c r="M81" s="64"/>
      <c r="N81" s="70">
        <f t="shared" ref="N81:N88" si="21">SUM(B81:M81)</f>
        <v>3039088.832752591</v>
      </c>
      <c r="O81" s="94">
        <f t="shared" ref="O81:O88" si="22">N81-SUM(B81:M81)</f>
        <v>0</v>
      </c>
    </row>
    <row r="82" spans="1:23">
      <c r="A82" s="61" t="s">
        <v>264</v>
      </c>
      <c r="B82" s="64">
        <v>-2368.1966064800008</v>
      </c>
      <c r="C82" s="64">
        <v>51857.818718628572</v>
      </c>
      <c r="D82" s="64">
        <v>30755.079571828453</v>
      </c>
      <c r="E82" s="64">
        <v>1214.5942908320319</v>
      </c>
      <c r="F82" s="64">
        <v>41123.511662190183</v>
      </c>
      <c r="G82" s="64">
        <v>33544.485576978994</v>
      </c>
      <c r="H82" s="64">
        <v>61800.675683459653</v>
      </c>
      <c r="I82" s="64">
        <v>27167.629690269419</v>
      </c>
      <c r="J82" s="64">
        <v>-23409.094708546807</v>
      </c>
      <c r="K82" s="64"/>
      <c r="L82" s="64"/>
      <c r="M82" s="64"/>
      <c r="N82" s="70">
        <f t="shared" si="21"/>
        <v>221686.5038791605</v>
      </c>
      <c r="O82" s="94">
        <f t="shared" si="22"/>
        <v>0</v>
      </c>
    </row>
    <row r="83" spans="1:23">
      <c r="A83" s="61" t="s">
        <v>265</v>
      </c>
      <c r="B83" s="64">
        <v>34113.973260348394</v>
      </c>
      <c r="C83" s="64">
        <v>31761.941116273527</v>
      </c>
      <c r="D83" s="64">
        <v>10233.464001178614</v>
      </c>
      <c r="E83" s="64">
        <v>22768.706959891206</v>
      </c>
      <c r="F83" s="64">
        <v>33560.148645639696</v>
      </c>
      <c r="G83" s="64">
        <v>16419.009706767232</v>
      </c>
      <c r="H83" s="64">
        <v>28967.088413562593</v>
      </c>
      <c r="I83" s="64">
        <v>22503.383377070575</v>
      </c>
      <c r="J83" s="64">
        <v>55231.727363882826</v>
      </c>
      <c r="K83" s="64"/>
      <c r="L83" s="64"/>
      <c r="M83" s="64"/>
      <c r="N83" s="70">
        <f t="shared" si="21"/>
        <v>255559.44284461462</v>
      </c>
      <c r="O83" s="94">
        <f t="shared" si="22"/>
        <v>0</v>
      </c>
    </row>
    <row r="84" spans="1:23">
      <c r="A84" s="61" t="s">
        <v>266</v>
      </c>
      <c r="B84" s="64">
        <v>1298860.0260257791</v>
      </c>
      <c r="C84" s="64">
        <v>843773.64176496724</v>
      </c>
      <c r="D84" s="64">
        <v>-336611.62923283834</v>
      </c>
      <c r="E84" s="64">
        <v>-455070.53527475073</v>
      </c>
      <c r="F84" s="64">
        <v>-79296.600061203993</v>
      </c>
      <c r="G84" s="64">
        <v>-695278.37053483957</v>
      </c>
      <c r="H84" s="64">
        <v>-238088.77160613221</v>
      </c>
      <c r="I84" s="64">
        <v>877144.54956139496</v>
      </c>
      <c r="J84" s="64">
        <v>274349.45967932028</v>
      </c>
      <c r="K84" s="64"/>
      <c r="L84" s="64"/>
      <c r="M84" s="64"/>
      <c r="N84" s="70">
        <f t="shared" si="21"/>
        <v>1489781.7703216965</v>
      </c>
      <c r="O84" s="94">
        <f t="shared" si="22"/>
        <v>0</v>
      </c>
    </row>
    <row r="85" spans="1:23">
      <c r="A85" s="61" t="s">
        <v>267</v>
      </c>
      <c r="B85" s="64">
        <v>415753.69021301129</v>
      </c>
      <c r="C85" s="64">
        <v>605906.90064015531</v>
      </c>
      <c r="D85" s="64">
        <v>618184.43465496867</v>
      </c>
      <c r="E85" s="64">
        <v>59823.315239479489</v>
      </c>
      <c r="F85" s="64">
        <v>215972.66054124109</v>
      </c>
      <c r="G85" s="64">
        <v>270391.06281373539</v>
      </c>
      <c r="H85" s="64">
        <v>500254.52469724411</v>
      </c>
      <c r="I85" s="64">
        <v>533685.57321214012</v>
      </c>
      <c r="J85" s="64">
        <v>606400.71484512684</v>
      </c>
      <c r="K85" s="64"/>
      <c r="L85" s="64"/>
      <c r="M85" s="64"/>
      <c r="N85" s="70">
        <f t="shared" si="21"/>
        <v>3826372.8768571024</v>
      </c>
      <c r="O85" s="94">
        <f t="shared" si="22"/>
        <v>0</v>
      </c>
    </row>
    <row r="86" spans="1:23">
      <c r="A86" s="61" t="s">
        <v>268</v>
      </c>
      <c r="B86" s="64">
        <v>1167511.44</v>
      </c>
      <c r="C86" s="64">
        <v>1650340.06</v>
      </c>
      <c r="D86" s="64">
        <v>2143811.7000000002</v>
      </c>
      <c r="E86" s="64">
        <v>1748151.0899999999</v>
      </c>
      <c r="F86" s="64">
        <v>2007727.87</v>
      </c>
      <c r="G86" s="64">
        <v>2032759.0700000003</v>
      </c>
      <c r="H86" s="64">
        <v>1876362.18</v>
      </c>
      <c r="I86" s="64">
        <v>1515795.7699999996</v>
      </c>
      <c r="J86" s="64">
        <v>2866032.6400000006</v>
      </c>
      <c r="K86" s="64"/>
      <c r="L86" s="64"/>
      <c r="M86" s="64"/>
      <c r="N86" s="70">
        <f t="shared" si="21"/>
        <v>17008491.82</v>
      </c>
      <c r="O86" s="94">
        <f t="shared" si="22"/>
        <v>0</v>
      </c>
    </row>
    <row r="87" spans="1:23">
      <c r="A87" s="61" t="s">
        <v>269</v>
      </c>
      <c r="B87" s="64">
        <v>1609449.64</v>
      </c>
      <c r="C87" s="64">
        <v>2175288.5200000005</v>
      </c>
      <c r="D87" s="64">
        <v>2056165.3399999999</v>
      </c>
      <c r="E87" s="64">
        <v>2469112.79</v>
      </c>
      <c r="F87" s="64">
        <v>1901468.8199999994</v>
      </c>
      <c r="G87" s="64">
        <v>1841284.6500000004</v>
      </c>
      <c r="H87" s="64">
        <v>2395170.7699999996</v>
      </c>
      <c r="I87" s="64">
        <v>1707572.620000001</v>
      </c>
      <c r="J87" s="64">
        <v>3117004.5600000005</v>
      </c>
      <c r="K87" s="64"/>
      <c r="L87" s="64"/>
      <c r="M87" s="64"/>
      <c r="N87" s="70">
        <f t="shared" si="21"/>
        <v>19272517.710000001</v>
      </c>
      <c r="O87" s="94">
        <f t="shared" si="22"/>
        <v>0</v>
      </c>
    </row>
    <row r="88" spans="1:23">
      <c r="A88" s="61" t="s">
        <v>270</v>
      </c>
      <c r="B88" s="64">
        <v>2751017.8999999994</v>
      </c>
      <c r="C88" s="64">
        <v>1383285.7899999998</v>
      </c>
      <c r="D88" s="64">
        <v>1986563.16</v>
      </c>
      <c r="E88" s="64">
        <v>1813866.6300000008</v>
      </c>
      <c r="F88" s="64">
        <v>3520782.209999999</v>
      </c>
      <c r="G88" s="64">
        <v>2182747.0200000014</v>
      </c>
      <c r="H88" s="64">
        <v>2463201.8299999982</v>
      </c>
      <c r="I88" s="64">
        <v>1246202.1799999997</v>
      </c>
      <c r="J88" s="64">
        <v>3653896.5100000016</v>
      </c>
      <c r="K88" s="64"/>
      <c r="L88" s="64"/>
      <c r="M88" s="64"/>
      <c r="N88" s="70">
        <f t="shared" si="21"/>
        <v>21001563.23</v>
      </c>
      <c r="O88" s="94">
        <f t="shared" si="22"/>
        <v>0</v>
      </c>
    </row>
    <row r="89" spans="1:23">
      <c r="A89" s="61" t="s">
        <v>271</v>
      </c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70"/>
    </row>
    <row r="90" spans="1:23">
      <c r="A90" s="61" t="s">
        <v>272</v>
      </c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70"/>
    </row>
    <row r="91" spans="1:23">
      <c r="A91" s="61" t="s">
        <v>463</v>
      </c>
      <c r="B91" s="64">
        <f>SUM(B92:B94)+SUM(B95:B99)*0.4</f>
        <v>-1087414.7266704452</v>
      </c>
      <c r="C91" s="64">
        <f>SUM(C92:C94)+SUM(C95:C99)*0.4</f>
        <v>-1000321.9514231656</v>
      </c>
      <c r="D91" s="64">
        <f t="shared" ref="D91:I91" si="23">SUM(D92:D94)+SUM(D95:D99)*0.4</f>
        <v>-973204.05419299658</v>
      </c>
      <c r="E91" s="64">
        <f t="shared" si="23"/>
        <v>-891635.26988308935</v>
      </c>
      <c r="F91" s="64">
        <f t="shared" si="23"/>
        <v>-927114.74727259332</v>
      </c>
      <c r="G91" s="64">
        <f t="shared" si="23"/>
        <v>-1211044.1168135607</v>
      </c>
      <c r="H91" s="64">
        <f t="shared" si="23"/>
        <v>-1103956.6226471099</v>
      </c>
      <c r="I91" s="64">
        <f t="shared" si="23"/>
        <v>-1138841.1344412561</v>
      </c>
      <c r="J91" s="64">
        <f>SUM(J92:J94)+SUM(J95:J99)*0.4</f>
        <v>-969469.45801187702</v>
      </c>
      <c r="K91" s="64">
        <f>SUM(K92:K94)+SUM(K95:K99)*0.4</f>
        <v>0</v>
      </c>
      <c r="L91" s="64">
        <f>SUM(L92:L94)+SUM(L95:L99)*0.4</f>
        <v>0</v>
      </c>
      <c r="M91" s="64">
        <f>SUM(M92:M94)+SUM(M95:M99)*0.4</f>
        <v>0</v>
      </c>
      <c r="N91" s="70">
        <f>SUM(B91:M91)</f>
        <v>-9303002.0813560933</v>
      </c>
      <c r="Q91">
        <v>331.66</v>
      </c>
      <c r="R91">
        <v>331.15</v>
      </c>
      <c r="T91">
        <v>351.36</v>
      </c>
    </row>
    <row r="92" spans="1:23">
      <c r="A92" s="61" t="s">
        <v>275</v>
      </c>
      <c r="B92" s="64">
        <v>-242607.01270504482</v>
      </c>
      <c r="C92" s="64">
        <v>-209891.94231610344</v>
      </c>
      <c r="D92" s="64">
        <v>-96128.318284917739</v>
      </c>
      <c r="E92" s="64">
        <v>-111180.44801445532</v>
      </c>
      <c r="F92" s="64">
        <v>-108833.31088618121</v>
      </c>
      <c r="G92" s="64">
        <v>-93232.047477613582</v>
      </c>
      <c r="H92" s="64">
        <v>-91465.132090121391</v>
      </c>
      <c r="I92" s="64">
        <v>-88802.64715564069</v>
      </c>
      <c r="J92" s="64">
        <v>-6642.4978717550075</v>
      </c>
      <c r="K92" s="64"/>
      <c r="L92" s="64"/>
      <c r="M92" s="64"/>
      <c r="N92" s="70">
        <f t="shared" ref="N92:N99" si="24">SUM(B92:M92)</f>
        <v>-1048783.356801833</v>
      </c>
      <c r="O92" s="94">
        <f t="shared" ref="O92:O99" si="25">N92-SUM(B92:M92)</f>
        <v>0</v>
      </c>
      <c r="Q92" s="317">
        <v>-5.5495058960902304</v>
      </c>
      <c r="R92" s="317">
        <f>N91/1000000</f>
        <v>-9.3030020813560927</v>
      </c>
      <c r="S92" s="316"/>
      <c r="T92" s="317">
        <f>'Bütçe aylık-Eur'!N92/1000000</f>
        <v>-12.124533457740034</v>
      </c>
      <c r="V92" s="312">
        <f>(R92/Q92)-1</f>
        <v>0.67636583428270569</v>
      </c>
      <c r="W92" s="312">
        <f>(R92/T92)-1</f>
        <v>-0.23271257291823777</v>
      </c>
    </row>
    <row r="93" spans="1:23">
      <c r="A93" s="61" t="s">
        <v>276</v>
      </c>
      <c r="B93" s="64">
        <v>-57620.057316542741</v>
      </c>
      <c r="C93" s="64">
        <v>-56389.640153225329</v>
      </c>
      <c r="D93" s="64">
        <v>-87998.114493686779</v>
      </c>
      <c r="E93" s="64">
        <v>-89946.155391993729</v>
      </c>
      <c r="F93" s="64">
        <v>-71650.780615299678</v>
      </c>
      <c r="G93" s="64">
        <v>-104009.58350037511</v>
      </c>
      <c r="H93" s="64">
        <v>-65903.172853810553</v>
      </c>
      <c r="I93" s="64">
        <v>-63711.52262476438</v>
      </c>
      <c r="J93" s="64">
        <v>-113476.72583340833</v>
      </c>
      <c r="K93" s="64"/>
      <c r="L93" s="64"/>
      <c r="M93" s="64"/>
      <c r="N93" s="70">
        <f t="shared" si="24"/>
        <v>-710705.75278310652</v>
      </c>
      <c r="O93" s="94">
        <f t="shared" si="25"/>
        <v>0</v>
      </c>
      <c r="Q93" s="312">
        <f>Q92/Q91</f>
        <v>-1.6732514913134627E-2</v>
      </c>
      <c r="R93" s="312">
        <f>R92/R91</f>
        <v>-2.8093015495564228E-2</v>
      </c>
      <c r="S93" s="312"/>
      <c r="T93" s="312">
        <f>T92/T91</f>
        <v>-3.4507438119706378E-2</v>
      </c>
      <c r="V93" s="312">
        <f>R93-Q93</f>
        <v>-1.13605005824296E-2</v>
      </c>
      <c r="W93" s="312">
        <f>R93-T93</f>
        <v>6.4144226241421506E-3</v>
      </c>
    </row>
    <row r="94" spans="1:23">
      <c r="A94" s="61" t="s">
        <v>277</v>
      </c>
      <c r="B94" s="64">
        <v>-40504.931081618233</v>
      </c>
      <c r="C94" s="64">
        <v>-32876.327320966702</v>
      </c>
      <c r="D94" s="64">
        <v>-49523.999753915086</v>
      </c>
      <c r="E94" s="64">
        <v>-44029.696094025661</v>
      </c>
      <c r="F94" s="64">
        <v>-32551.980203327141</v>
      </c>
      <c r="G94" s="64">
        <v>-52124.594906473336</v>
      </c>
      <c r="H94" s="64">
        <v>-62430.769302702436</v>
      </c>
      <c r="I94" s="64">
        <v>-58507.703029035394</v>
      </c>
      <c r="J94" s="64">
        <v>-35659.124973235317</v>
      </c>
      <c r="K94" s="64"/>
      <c r="L94" s="64"/>
      <c r="M94" s="64"/>
      <c r="N94" s="70">
        <f t="shared" si="24"/>
        <v>-408209.12666529929</v>
      </c>
      <c r="O94" s="94">
        <f t="shared" si="25"/>
        <v>0</v>
      </c>
    </row>
    <row r="95" spans="1:23">
      <c r="A95" s="61" t="s">
        <v>278</v>
      </c>
      <c r="B95" s="64">
        <v>-1710891.8970401026</v>
      </c>
      <c r="C95" s="64">
        <v>-1524978.4150519331</v>
      </c>
      <c r="D95" s="64">
        <v>-1581941.9455844758</v>
      </c>
      <c r="E95" s="64">
        <v>-1540146.6383293241</v>
      </c>
      <c r="F95" s="64">
        <v>-1757779.0492950852</v>
      </c>
      <c r="G95" s="64">
        <v>-2130915.5236416305</v>
      </c>
      <c r="H95" s="64">
        <v>-2048675.4605799299</v>
      </c>
      <c r="I95" s="64">
        <v>-2188854.2347309282</v>
      </c>
      <c r="J95" s="64">
        <v>-1886416.8292201057</v>
      </c>
      <c r="K95" s="64"/>
      <c r="L95" s="64"/>
      <c r="M95" s="64"/>
      <c r="N95" s="70">
        <f t="shared" si="24"/>
        <v>-16370599.993473515</v>
      </c>
      <c r="O95" s="94">
        <f t="shared" si="25"/>
        <v>0</v>
      </c>
    </row>
    <row r="96" spans="1:23">
      <c r="A96" s="61" t="s">
        <v>279</v>
      </c>
      <c r="B96" s="64">
        <v>-131887.19687799565</v>
      </c>
      <c r="C96" s="64">
        <v>-129540.63903024189</v>
      </c>
      <c r="D96" s="64">
        <v>-121999.52856671652</v>
      </c>
      <c r="E96" s="64">
        <v>-110445.06762721285</v>
      </c>
      <c r="F96" s="64">
        <v>-107505.22962437769</v>
      </c>
      <c r="G96" s="64">
        <v>-195252.74368111585</v>
      </c>
      <c r="H96" s="64">
        <v>-181010.54042125968</v>
      </c>
      <c r="I96" s="64">
        <v>-203438.01934861043</v>
      </c>
      <c r="J96" s="64">
        <v>-194198.09411358985</v>
      </c>
      <c r="K96" s="64"/>
      <c r="L96" s="64"/>
      <c r="M96" s="64"/>
      <c r="N96" s="70">
        <f t="shared" si="24"/>
        <v>-1375277.0592911202</v>
      </c>
      <c r="O96" s="94">
        <f t="shared" si="25"/>
        <v>0</v>
      </c>
    </row>
    <row r="97" spans="1:15">
      <c r="A97" s="61" t="s">
        <v>280</v>
      </c>
      <c r="B97" s="64">
        <v>-43741.61</v>
      </c>
      <c r="C97" s="64">
        <v>-30844.819999999992</v>
      </c>
      <c r="D97" s="64">
        <v>-43626.55</v>
      </c>
      <c r="E97" s="64">
        <v>-35659.12999999999</v>
      </c>
      <c r="F97" s="64">
        <v>6277.4399999999741</v>
      </c>
      <c r="G97" s="64">
        <v>-122724.26999999999</v>
      </c>
      <c r="H97" s="64">
        <v>-80714.919999999984</v>
      </c>
      <c r="I97" s="64">
        <v>11818.349999999977</v>
      </c>
      <c r="J97" s="64">
        <v>-29009.289999999983</v>
      </c>
      <c r="K97" s="64"/>
      <c r="L97" s="64"/>
      <c r="M97" s="64"/>
      <c r="N97" s="70">
        <f t="shared" si="24"/>
        <v>-368224.8</v>
      </c>
      <c r="O97" s="94">
        <f t="shared" si="25"/>
        <v>0</v>
      </c>
    </row>
    <row r="98" spans="1:15">
      <c r="A98" s="61" t="s">
        <v>281</v>
      </c>
      <c r="B98" s="64">
        <v>86412.27</v>
      </c>
      <c r="C98" s="64">
        <v>21004.879999999986</v>
      </c>
      <c r="D98" s="64">
        <v>24203.059999999998</v>
      </c>
      <c r="E98" s="64">
        <v>82750.779999999984</v>
      </c>
      <c r="F98" s="64">
        <v>122414.72999999998</v>
      </c>
      <c r="G98" s="64">
        <v>104329.21000000002</v>
      </c>
      <c r="H98" s="64">
        <v>124811.72000000003</v>
      </c>
      <c r="I98" s="64">
        <v>9584.7399999999907</v>
      </c>
      <c r="J98" s="64">
        <v>61220.609999999986</v>
      </c>
      <c r="K98" s="64"/>
      <c r="L98" s="64"/>
      <c r="M98" s="64"/>
      <c r="N98" s="70">
        <f t="shared" si="24"/>
        <v>636732</v>
      </c>
      <c r="O98" s="94">
        <f t="shared" si="25"/>
        <v>0</v>
      </c>
    </row>
    <row r="99" spans="1:15">
      <c r="A99" s="61" t="s">
        <v>282</v>
      </c>
      <c r="B99" s="64">
        <v>-66598.38</v>
      </c>
      <c r="C99" s="64">
        <v>-88551.109999999986</v>
      </c>
      <c r="D99" s="64">
        <v>-125519.09000000003</v>
      </c>
      <c r="E99" s="64">
        <v>-12697.369999999995</v>
      </c>
      <c r="F99" s="64">
        <v>-48604.580000000009</v>
      </c>
      <c r="G99" s="64">
        <v>-59631.399999999965</v>
      </c>
      <c r="H99" s="64">
        <v>-24804.669999999987</v>
      </c>
      <c r="I99" s="64">
        <v>51341.009999999951</v>
      </c>
      <c r="J99" s="64">
        <v>14175.830000000016</v>
      </c>
      <c r="K99" s="64"/>
      <c r="L99" s="64"/>
      <c r="M99" s="64"/>
      <c r="N99" s="70">
        <f t="shared" si="24"/>
        <v>-360889.76</v>
      </c>
      <c r="O99" s="94">
        <f t="shared" si="25"/>
        <v>0</v>
      </c>
    </row>
    <row r="100" spans="1:15">
      <c r="A100" s="61" t="s">
        <v>283</v>
      </c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70"/>
    </row>
    <row r="101" spans="1:15">
      <c r="A101" s="61" t="s">
        <v>284</v>
      </c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70"/>
    </row>
    <row r="102" spans="1:15">
      <c r="A102" s="61" t="s">
        <v>464</v>
      </c>
      <c r="B102" s="64">
        <f t="shared" ref="B102:I102" si="26">SUM(B103:B105)+SUM(B106:B110)*0.4</f>
        <v>-628653.02296381816</v>
      </c>
      <c r="C102" s="64">
        <f t="shared" si="26"/>
        <v>167324.97788530236</v>
      </c>
      <c r="D102" s="64">
        <f t="shared" si="26"/>
        <v>-427407.14422828937</v>
      </c>
      <c r="E102" s="64">
        <f t="shared" si="26"/>
        <v>-1046337.8897489812</v>
      </c>
      <c r="F102" s="64">
        <f t="shared" si="26"/>
        <v>-621884.87871702248</v>
      </c>
      <c r="G102" s="64">
        <f t="shared" si="26"/>
        <v>-780419.901400464</v>
      </c>
      <c r="H102" s="64">
        <f t="shared" si="26"/>
        <v>-599853.48890101037</v>
      </c>
      <c r="I102" s="64">
        <f t="shared" si="26"/>
        <v>-512158.96124450903</v>
      </c>
      <c r="J102" s="64">
        <f>SUM(J103:J105)+SUM(J106:J110)*0.4</f>
        <v>-289292.28920474293</v>
      </c>
      <c r="K102" s="64">
        <f>SUM(K103:K105)+SUM(K106:K110)*0.4</f>
        <v>0</v>
      </c>
      <c r="L102" s="64">
        <f>SUM(L103:L105)+SUM(L106:L110)*0.4</f>
        <v>0</v>
      </c>
      <c r="M102" s="64">
        <f>SUM(M103:M105)+SUM(M106:M110)*0.4</f>
        <v>0</v>
      </c>
      <c r="N102" s="70">
        <f>SUM(B102:M102)</f>
        <v>-4738682.5985235348</v>
      </c>
    </row>
    <row r="103" spans="1:15">
      <c r="A103" s="61" t="s">
        <v>287</v>
      </c>
      <c r="B103" s="64">
        <v>49545.350766696167</v>
      </c>
      <c r="C103" s="64">
        <v>360244.54894324683</v>
      </c>
      <c r="D103" s="64">
        <v>583131.56820032606</v>
      </c>
      <c r="E103" s="64">
        <v>479847.15925763058</v>
      </c>
      <c r="F103" s="64">
        <v>-1005.3524036071913</v>
      </c>
      <c r="G103" s="64">
        <v>37540.419583653289</v>
      </c>
      <c r="H103" s="64">
        <v>-23063.636195487656</v>
      </c>
      <c r="I103" s="64">
        <v>89419.489733081005</v>
      </c>
      <c r="J103" s="64">
        <v>33711.395290884284</v>
      </c>
      <c r="K103" s="64"/>
      <c r="L103" s="64"/>
      <c r="M103" s="64"/>
      <c r="N103" s="70">
        <f t="shared" ref="N103:N110" si="27">SUM(B103:M103)</f>
        <v>1609370.9431764234</v>
      </c>
      <c r="O103" s="94">
        <f t="shared" ref="O103:O110" si="28">N103-SUM(B103:M103)</f>
        <v>0</v>
      </c>
    </row>
    <row r="104" spans="1:15">
      <c r="A104" s="61" t="s">
        <v>288</v>
      </c>
      <c r="B104" s="64">
        <v>-4925.4466741652714</v>
      </c>
      <c r="C104" s="64">
        <v>3305.1777088961744</v>
      </c>
      <c r="D104" s="64">
        <v>2694.9863924762776</v>
      </c>
      <c r="E104" s="64">
        <v>184030.01940407066</v>
      </c>
      <c r="F104" s="64">
        <v>-68199.518443522174</v>
      </c>
      <c r="G104" s="64">
        <v>-308671.66800693655</v>
      </c>
      <c r="H104" s="64">
        <v>-28918.640697872379</v>
      </c>
      <c r="I104" s="64">
        <v>-121451.80691168443</v>
      </c>
      <c r="J104" s="64">
        <v>-35751.177490977585</v>
      </c>
      <c r="K104" s="64"/>
      <c r="L104" s="64"/>
      <c r="M104" s="64"/>
      <c r="N104" s="70">
        <f t="shared" si="27"/>
        <v>-377888.07471971528</v>
      </c>
      <c r="O104" s="94">
        <f t="shared" si="28"/>
        <v>0</v>
      </c>
    </row>
    <row r="105" spans="1:15">
      <c r="A105" s="61" t="s">
        <v>289</v>
      </c>
      <c r="B105" s="64">
        <v>7862.573130522238</v>
      </c>
      <c r="C105" s="64">
        <v>3499.361988747507</v>
      </c>
      <c r="D105" s="64">
        <v>12268.044742120828</v>
      </c>
      <c r="E105" s="64">
        <v>5507.3237653661135</v>
      </c>
      <c r="F105" s="64">
        <v>10248.3456057001</v>
      </c>
      <c r="G105" s="64">
        <v>6960.7433224379747</v>
      </c>
      <c r="H105" s="64">
        <v>-2560.9939736254314</v>
      </c>
      <c r="I105" s="64">
        <v>7607.7786780309016</v>
      </c>
      <c r="J105" s="64">
        <v>8030.0467851863805</v>
      </c>
      <c r="K105" s="64"/>
      <c r="L105" s="64"/>
      <c r="M105" s="64"/>
      <c r="N105" s="70">
        <f t="shared" si="27"/>
        <v>59423.224044486611</v>
      </c>
      <c r="O105" s="94">
        <f t="shared" si="28"/>
        <v>0</v>
      </c>
    </row>
    <row r="106" spans="1:15">
      <c r="A106" s="61" t="s">
        <v>290</v>
      </c>
      <c r="B106" s="64">
        <v>-1010555.7127086548</v>
      </c>
      <c r="C106" s="64">
        <v>-890510.17292444839</v>
      </c>
      <c r="D106" s="64">
        <v>-2088729.1439721186</v>
      </c>
      <c r="E106" s="64">
        <v>-2603782.5832738574</v>
      </c>
      <c r="F106" s="64">
        <v>-912717.40522665996</v>
      </c>
      <c r="G106" s="64">
        <v>-61136.803945921056</v>
      </c>
      <c r="H106" s="64">
        <v>-806450.86421143683</v>
      </c>
      <c r="I106" s="64">
        <v>-437197.94211802981</v>
      </c>
      <c r="J106" s="64">
        <v>-641928.83528178174</v>
      </c>
      <c r="K106" s="64"/>
      <c r="L106" s="64"/>
      <c r="M106" s="64"/>
      <c r="N106" s="70">
        <f t="shared" si="27"/>
        <v>-9453009.4636629093</v>
      </c>
      <c r="O106" s="94">
        <f t="shared" si="28"/>
        <v>0</v>
      </c>
    </row>
    <row r="107" spans="1:15">
      <c r="A107" s="61" t="s">
        <v>291</v>
      </c>
      <c r="B107" s="64">
        <v>46095.972241476789</v>
      </c>
      <c r="C107" s="64">
        <v>78329.52603547812</v>
      </c>
      <c r="D107" s="64">
        <v>166270.85506408731</v>
      </c>
      <c r="E107" s="64">
        <v>123468.88283373644</v>
      </c>
      <c r="F107" s="64">
        <v>72175.771537676526</v>
      </c>
      <c r="G107" s="64">
        <v>98123.833196874184</v>
      </c>
      <c r="H107" s="64">
        <v>39436.869126375124</v>
      </c>
      <c r="I107" s="64">
        <v>45806.305258188244</v>
      </c>
      <c r="J107" s="64">
        <v>51909.960807191819</v>
      </c>
      <c r="K107" s="64"/>
      <c r="L107" s="64"/>
      <c r="M107" s="64"/>
      <c r="N107" s="70">
        <f t="shared" si="27"/>
        <v>721617.97610108461</v>
      </c>
      <c r="O107" s="94">
        <f t="shared" si="28"/>
        <v>0</v>
      </c>
    </row>
    <row r="108" spans="1:15">
      <c r="A108" s="61" t="s">
        <v>292</v>
      </c>
      <c r="B108" s="64">
        <v>-253203.69</v>
      </c>
      <c r="C108" s="64">
        <v>718767.83000000007</v>
      </c>
      <c r="D108" s="64">
        <v>-75471.19</v>
      </c>
      <c r="E108" s="64">
        <v>379643.49999999994</v>
      </c>
      <c r="F108" s="64">
        <v>-40782.959999999963</v>
      </c>
      <c r="G108" s="64">
        <v>-70874.780000000028</v>
      </c>
      <c r="H108" s="64">
        <v>-318564.02999999997</v>
      </c>
      <c r="I108" s="64">
        <v>-468742.33999999997</v>
      </c>
      <c r="J108" s="64">
        <v>65943.839999999997</v>
      </c>
      <c r="K108" s="64"/>
      <c r="L108" s="64"/>
      <c r="M108" s="64"/>
      <c r="N108" s="70">
        <f t="shared" si="27"/>
        <v>-63283.819999999978</v>
      </c>
      <c r="O108" s="94">
        <f t="shared" si="28"/>
        <v>0</v>
      </c>
    </row>
    <row r="109" spans="1:15">
      <c r="A109" s="61" t="s">
        <v>293</v>
      </c>
      <c r="B109" s="64">
        <v>-371625.15999999992</v>
      </c>
      <c r="C109" s="64">
        <v>-270671.61000000004</v>
      </c>
      <c r="D109" s="64">
        <v>-520100.80000000005</v>
      </c>
      <c r="E109" s="64">
        <v>-2217588.6100000003</v>
      </c>
      <c r="F109" s="64">
        <v>-355920.40999999968</v>
      </c>
      <c r="G109" s="64">
        <v>-1298123.5099999998</v>
      </c>
      <c r="H109" s="64">
        <v>-61873.270000000484</v>
      </c>
      <c r="I109" s="64">
        <v>-528909.25999999978</v>
      </c>
      <c r="J109" s="64">
        <v>-339392.79</v>
      </c>
      <c r="K109" s="64"/>
      <c r="L109" s="64"/>
      <c r="M109" s="64"/>
      <c r="N109" s="70">
        <f t="shared" si="27"/>
        <v>-5964205.4199999999</v>
      </c>
      <c r="O109" s="94">
        <f t="shared" si="28"/>
        <v>0</v>
      </c>
    </row>
    <row r="110" spans="1:15">
      <c r="A110" s="61" t="s">
        <v>294</v>
      </c>
      <c r="B110" s="64">
        <v>-113550.16</v>
      </c>
      <c r="C110" s="64">
        <v>-135225.85</v>
      </c>
      <c r="D110" s="64">
        <v>-45724.080000000016</v>
      </c>
      <c r="E110" s="64">
        <v>28952.830000000016</v>
      </c>
      <c r="F110" s="64">
        <v>-170075.87999999998</v>
      </c>
      <c r="G110" s="64">
        <v>41387.770000000019</v>
      </c>
      <c r="H110" s="64">
        <v>-215824.25000000003</v>
      </c>
      <c r="I110" s="64">
        <v>169707.18</v>
      </c>
      <c r="J110" s="64">
        <v>125261.44</v>
      </c>
      <c r="K110" s="64"/>
      <c r="L110" s="64"/>
      <c r="M110" s="64"/>
      <c r="N110" s="70">
        <f t="shared" si="27"/>
        <v>-315091</v>
      </c>
      <c r="O110" s="94">
        <f t="shared" si="28"/>
        <v>0</v>
      </c>
    </row>
    <row r="111" spans="1:15">
      <c r="A111" s="61" t="s">
        <v>295</v>
      </c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70"/>
    </row>
    <row r="112" spans="1:15">
      <c r="A112" s="61" t="s">
        <v>296</v>
      </c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70"/>
    </row>
    <row r="113" spans="1:17">
      <c r="A113" s="61" t="s">
        <v>297</v>
      </c>
      <c r="B113" s="64">
        <f t="shared" ref="B113:I113" si="29">SUM(B114:B116)+SUM(B117:B121)*0.4</f>
        <v>1058880.6053065835</v>
      </c>
      <c r="C113" s="64">
        <f t="shared" si="29"/>
        <v>1331864.8879759503</v>
      </c>
      <c r="D113" s="64">
        <f t="shared" si="29"/>
        <v>821824.32525720843</v>
      </c>
      <c r="E113" s="64">
        <f t="shared" si="29"/>
        <v>-273103.66830155905</v>
      </c>
      <c r="F113" s="64">
        <f t="shared" si="29"/>
        <v>1232867.288010342</v>
      </c>
      <c r="G113" s="64">
        <f t="shared" si="29"/>
        <v>-108112.22564987857</v>
      </c>
      <c r="H113" s="64">
        <f t="shared" si="29"/>
        <v>792897.68856094312</v>
      </c>
      <c r="I113" s="64">
        <f t="shared" si="29"/>
        <v>292051.5813304513</v>
      </c>
      <c r="J113" s="64">
        <f>SUM(J114:J116)+SUM(J117:J121)*0.4</f>
        <v>2736931.0917603425</v>
      </c>
      <c r="K113" s="64">
        <f>SUM(K114:K116)+SUM(K117:K121)*0.4</f>
        <v>0</v>
      </c>
      <c r="L113" s="64">
        <f>SUM(L114:L116)+SUM(L117:L121)*0.4</f>
        <v>0</v>
      </c>
      <c r="M113" s="64">
        <f>SUM(M114:M116)+SUM(M117:M121)*0.4</f>
        <v>0</v>
      </c>
      <c r="N113" s="70">
        <f>SUM(B113:M113)</f>
        <v>7886101.5742503833</v>
      </c>
    </row>
    <row r="114" spans="1:17">
      <c r="A114" s="61" t="s">
        <v>299</v>
      </c>
      <c r="B114" s="130">
        <v>182440.18016698389</v>
      </c>
      <c r="C114" s="130">
        <v>460659.27503749833</v>
      </c>
      <c r="D114" s="130">
        <v>826288.15879114019</v>
      </c>
      <c r="E114" s="130">
        <v>502661.62155100104</v>
      </c>
      <c r="F114" s="130">
        <v>313724.7976411134</v>
      </c>
      <c r="G114" s="130">
        <v>241908.51657659185</v>
      </c>
      <c r="H114" s="64">
        <v>233460.27436905447</v>
      </c>
      <c r="I114" s="64">
        <v>291437.69166018331</v>
      </c>
      <c r="J114" s="64">
        <v>505635.17008894664</v>
      </c>
      <c r="K114" s="64"/>
      <c r="L114" s="64"/>
      <c r="M114" s="64"/>
      <c r="N114" s="70">
        <f t="shared" ref="N114:N121" si="30">SUM(B114:M114)</f>
        <v>3558215.6858825134</v>
      </c>
      <c r="O114" s="94">
        <f t="shared" ref="O114:O121" si="31">N114-SUM(B114:M114)</f>
        <v>0</v>
      </c>
    </row>
    <row r="115" spans="1:17">
      <c r="A115" s="61" t="s">
        <v>300</v>
      </c>
      <c r="B115" s="64">
        <v>-73693.558753775273</v>
      </c>
      <c r="C115" s="64">
        <v>-14284.425780752606</v>
      </c>
      <c r="D115" s="64">
        <v>-64785.204386931269</v>
      </c>
      <c r="E115" s="64">
        <v>74571.804721224966</v>
      </c>
      <c r="F115" s="64">
        <v>-111559.94664623727</v>
      </c>
      <c r="G115" s="64">
        <v>-391406.15309792489</v>
      </c>
      <c r="H115" s="64">
        <v>-44812.39134643237</v>
      </c>
      <c r="I115" s="64">
        <v>-170226.16422108089</v>
      </c>
      <c r="J115" s="64">
        <v>-184219.13835952914</v>
      </c>
      <c r="K115" s="64"/>
      <c r="L115" s="64"/>
      <c r="M115" s="64"/>
      <c r="N115" s="70">
        <f t="shared" si="30"/>
        <v>-980415.17787143867</v>
      </c>
      <c r="O115" s="94">
        <f t="shared" si="31"/>
        <v>0</v>
      </c>
    </row>
    <row r="116" spans="1:17">
      <c r="A116" s="61" t="s">
        <v>301</v>
      </c>
      <c r="B116" s="64">
        <v>1204.6388247031234</v>
      </c>
      <c r="C116" s="64">
        <v>2124.3113969813785</v>
      </c>
      <c r="D116" s="64">
        <v>-28612.676084271119</v>
      </c>
      <c r="E116" s="64">
        <v>-16402.152361338933</v>
      </c>
      <c r="F116" s="64">
        <v>10491.387228827351</v>
      </c>
      <c r="G116" s="64">
        <v>-29402.344296718722</v>
      </c>
      <c r="H116" s="64">
        <v>-36457.358297812527</v>
      </c>
      <c r="I116" s="64">
        <v>-28825.672568065496</v>
      </c>
      <c r="J116" s="64">
        <v>27182.709976922895</v>
      </c>
      <c r="K116" s="64"/>
      <c r="L116" s="64"/>
      <c r="M116" s="64"/>
      <c r="N116" s="70">
        <f t="shared" si="30"/>
        <v>-98697.156180772057</v>
      </c>
      <c r="O116" s="94">
        <f t="shared" si="31"/>
        <v>0</v>
      </c>
    </row>
    <row r="117" spans="1:17">
      <c r="A117" s="61" t="s">
        <v>302</v>
      </c>
      <c r="B117" s="64">
        <v>-1621012.5429157447</v>
      </c>
      <c r="C117" s="64">
        <v>-1792344.4596753009</v>
      </c>
      <c r="D117" s="64">
        <v>-4215800.7710195491</v>
      </c>
      <c r="E117" s="64">
        <v>-4851270.4349214071</v>
      </c>
      <c r="F117" s="64">
        <v>-2949842.060921012</v>
      </c>
      <c r="G117" s="64">
        <v>-3072299.7573198969</v>
      </c>
      <c r="H117" s="64">
        <v>-3299335.7897881581</v>
      </c>
      <c r="I117" s="64">
        <v>-1941066.8998679286</v>
      </c>
      <c r="J117" s="64">
        <v>-2472812.337502066</v>
      </c>
      <c r="K117" s="64"/>
      <c r="L117" s="64"/>
      <c r="M117" s="64"/>
      <c r="N117" s="70">
        <f t="shared" si="30"/>
        <v>-26215785.053931061</v>
      </c>
      <c r="O117" s="94">
        <f t="shared" si="31"/>
        <v>0</v>
      </c>
    </row>
    <row r="118" spans="1:17">
      <c r="A118" s="61" t="s">
        <v>303</v>
      </c>
      <c r="B118" s="64">
        <v>163058.72558742377</v>
      </c>
      <c r="C118" s="64">
        <v>393505.09798085823</v>
      </c>
      <c r="D118" s="64">
        <v>488535.46836272586</v>
      </c>
      <c r="E118" s="64">
        <v>-102361.55060970777</v>
      </c>
      <c r="F118" s="64">
        <v>-9244.0546123921758</v>
      </c>
      <c r="G118" s="64">
        <v>-31469.54475967012</v>
      </c>
      <c r="H118" s="64">
        <v>156354.61937849349</v>
      </c>
      <c r="I118" s="64">
        <v>154972.13601646348</v>
      </c>
      <c r="J118" s="64">
        <v>254404.79263706881</v>
      </c>
      <c r="K118" s="64"/>
      <c r="L118" s="64"/>
      <c r="M118" s="64"/>
      <c r="N118" s="70">
        <f t="shared" si="30"/>
        <v>1467755.6899812631</v>
      </c>
      <c r="O118" s="94">
        <f t="shared" si="31"/>
        <v>0</v>
      </c>
    </row>
    <row r="119" spans="1:17">
      <c r="A119" s="61" t="s">
        <v>304</v>
      </c>
      <c r="B119" s="64">
        <v>933953.90000000014</v>
      </c>
      <c r="C119" s="64">
        <v>1435482.0399999998</v>
      </c>
      <c r="D119" s="64">
        <v>1583925.3000000003</v>
      </c>
      <c r="E119" s="64">
        <v>1664967.3399999999</v>
      </c>
      <c r="F119" s="64">
        <v>1533861.6600000001</v>
      </c>
      <c r="G119" s="64">
        <v>1415856.1400000006</v>
      </c>
      <c r="H119" s="64">
        <v>1036919.0599999987</v>
      </c>
      <c r="I119" s="64">
        <v>617136.6400000006</v>
      </c>
      <c r="J119" s="64">
        <v>2469432.16</v>
      </c>
      <c r="K119" s="64"/>
      <c r="L119" s="64"/>
      <c r="M119" s="64"/>
      <c r="N119" s="70">
        <f t="shared" si="30"/>
        <v>12691534.24</v>
      </c>
      <c r="O119" s="94">
        <f t="shared" si="31"/>
        <v>0</v>
      </c>
    </row>
    <row r="120" spans="1:17">
      <c r="A120" s="61" t="s">
        <v>305</v>
      </c>
      <c r="B120" s="64">
        <v>1072976.3999999999</v>
      </c>
      <c r="C120" s="64">
        <v>1698702.8000000003</v>
      </c>
      <c r="D120" s="64">
        <v>1307550.3899999997</v>
      </c>
      <c r="E120" s="64">
        <v>89525.740000000224</v>
      </c>
      <c r="F120" s="64">
        <v>1415439.5300000003</v>
      </c>
      <c r="G120" s="64">
        <v>406114.19999999925</v>
      </c>
      <c r="H120" s="64">
        <v>2206948.9700000007</v>
      </c>
      <c r="I120" s="64">
        <v>937116.21999999974</v>
      </c>
      <c r="J120" s="64">
        <v>2599868.7100000009</v>
      </c>
      <c r="K120" s="64"/>
      <c r="L120" s="64"/>
      <c r="M120" s="64"/>
      <c r="N120" s="70">
        <f t="shared" si="30"/>
        <v>11734242.960000001</v>
      </c>
      <c r="O120" s="94">
        <f t="shared" si="31"/>
        <v>0</v>
      </c>
    </row>
    <row r="121" spans="1:17">
      <c r="A121" s="61" t="s">
        <v>306</v>
      </c>
      <c r="B121" s="64">
        <v>1823346.88</v>
      </c>
      <c r="C121" s="64">
        <v>473068.84000000032</v>
      </c>
      <c r="D121" s="64">
        <v>1058124.73</v>
      </c>
      <c r="E121" s="64">
        <v>1114301.5499999998</v>
      </c>
      <c r="F121" s="64">
        <v>2560312.5499999998</v>
      </c>
      <c r="G121" s="64">
        <v>1458768.3500000003</v>
      </c>
      <c r="H121" s="64">
        <v>1500881.0499999989</v>
      </c>
      <c r="I121" s="64">
        <v>731006.22000000067</v>
      </c>
      <c r="J121" s="64">
        <v>3119937.5500000003</v>
      </c>
      <c r="K121" s="64"/>
      <c r="L121" s="64"/>
      <c r="M121" s="64"/>
      <c r="N121" s="70">
        <f t="shared" si="30"/>
        <v>13839747.720000001</v>
      </c>
      <c r="O121" s="94">
        <f t="shared" si="31"/>
        <v>0</v>
      </c>
    </row>
    <row r="122" spans="1:17">
      <c r="A122" s="61" t="s">
        <v>307</v>
      </c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70"/>
    </row>
    <row r="123" spans="1:17">
      <c r="A123" s="61" t="s">
        <v>308</v>
      </c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70"/>
    </row>
    <row r="124" spans="1:17">
      <c r="A124" s="61" t="s">
        <v>309</v>
      </c>
      <c r="B124" s="64">
        <f t="shared" ref="B124:I124" si="32">SUM(B125:B127)+SUM(B128:B132)*0.4</f>
        <v>-325659.88388312573</v>
      </c>
      <c r="C124" s="64">
        <f t="shared" si="32"/>
        <v>-783079.9759794299</v>
      </c>
      <c r="D124" s="64">
        <f t="shared" si="32"/>
        <v>-400365.7159369929</v>
      </c>
      <c r="E124" s="64">
        <f t="shared" si="32"/>
        <v>-400291.49585233437</v>
      </c>
      <c r="F124" s="64">
        <f t="shared" si="32"/>
        <v>-472516.19166238897</v>
      </c>
      <c r="G124" s="64">
        <f t="shared" si="32"/>
        <v>-286866.61987813452</v>
      </c>
      <c r="H124" s="64">
        <f t="shared" si="32"/>
        <v>288093.2139917413</v>
      </c>
      <c r="I124" s="64">
        <f t="shared" si="32"/>
        <v>-316596.54691141198</v>
      </c>
      <c r="J124" s="64">
        <f>SUM(J125:J127)+SUM(J128:J132)*0.4</f>
        <v>-224913.45416456435</v>
      </c>
      <c r="K124" s="64">
        <f>SUM(K125:K127)+SUM(K128:K132)*0.4</f>
        <v>0</v>
      </c>
      <c r="L124" s="64">
        <f>SUM(L125:L127)+SUM(L128:L132)*0.4</f>
        <v>0</v>
      </c>
      <c r="M124" s="64">
        <f>SUM(M125:M127)+SUM(M128:M132)*0.4</f>
        <v>0</v>
      </c>
      <c r="N124" s="70">
        <f>SUM(B124:M124)</f>
        <v>-2922196.6702766414</v>
      </c>
    </row>
    <row r="125" spans="1:17">
      <c r="A125" s="61" t="s">
        <v>311</v>
      </c>
      <c r="B125" s="130">
        <v>-45610.045041745972</v>
      </c>
      <c r="C125" s="130">
        <v>-115164.81875937458</v>
      </c>
      <c r="D125" s="130">
        <v>-206572.03969778505</v>
      </c>
      <c r="E125" s="130">
        <v>-125665.40538775609</v>
      </c>
      <c r="F125" s="130">
        <v>-78431.199410266898</v>
      </c>
      <c r="G125" s="130">
        <v>-60477.129144159007</v>
      </c>
      <c r="H125" s="64">
        <v>-58365.068592263531</v>
      </c>
      <c r="I125" s="64">
        <v>-72859.422915051109</v>
      </c>
      <c r="J125" s="64">
        <v>-126408.7925222315</v>
      </c>
      <c r="K125" s="64"/>
      <c r="L125" s="64"/>
      <c r="M125" s="64"/>
      <c r="N125" s="70">
        <f t="shared" ref="N125:N132" si="33">SUM(B125:M125)</f>
        <v>-889553.92147063371</v>
      </c>
      <c r="O125" s="94">
        <f t="shared" ref="O125:O132" si="34">N125-SUM(B125:M125)</f>
        <v>0</v>
      </c>
      <c r="Q125">
        <v>-1</v>
      </c>
    </row>
    <row r="126" spans="1:17">
      <c r="A126" s="61" t="s">
        <v>312</v>
      </c>
      <c r="B126" s="64">
        <v>4276.120109793047</v>
      </c>
      <c r="C126" s="64">
        <v>3598.6426987657378</v>
      </c>
      <c r="D126" s="64">
        <v>3776.270445789276</v>
      </c>
      <c r="E126" s="64">
        <v>4517.7253249719015</v>
      </c>
      <c r="F126" s="64">
        <v>-1363.4708168301297</v>
      </c>
      <c r="G126" s="64">
        <v>-6386.1180294561618</v>
      </c>
      <c r="H126" s="64">
        <v>-5582.4572461887174</v>
      </c>
      <c r="I126" s="64">
        <v>-16715.25386059198</v>
      </c>
      <c r="J126" s="64">
        <v>-20740.769244868679</v>
      </c>
      <c r="K126" s="64"/>
      <c r="L126" s="64"/>
      <c r="M126" s="64"/>
      <c r="N126" s="70">
        <f t="shared" si="33"/>
        <v>-34619.310618615709</v>
      </c>
      <c r="O126" s="94">
        <f t="shared" si="34"/>
        <v>0</v>
      </c>
    </row>
    <row r="127" spans="1:17">
      <c r="A127" s="61" t="s">
        <v>313</v>
      </c>
      <c r="B127" s="64">
        <v>-8.2083883787389311</v>
      </c>
      <c r="C127" s="64">
        <v>0</v>
      </c>
      <c r="D127" s="64">
        <v>0</v>
      </c>
      <c r="E127" s="64">
        <v>0</v>
      </c>
      <c r="F127" s="64">
        <v>0</v>
      </c>
      <c r="G127" s="64">
        <v>0</v>
      </c>
      <c r="H127" s="64">
        <v>0</v>
      </c>
      <c r="I127" s="64">
        <v>0</v>
      </c>
      <c r="J127" s="64">
        <v>0</v>
      </c>
      <c r="K127" s="64"/>
      <c r="L127" s="64"/>
      <c r="M127" s="64"/>
      <c r="N127" s="70">
        <f t="shared" si="33"/>
        <v>-8.2083883787389311</v>
      </c>
      <c r="O127" s="94">
        <f t="shared" si="34"/>
        <v>0</v>
      </c>
    </row>
    <row r="128" spans="1:17">
      <c r="A128" s="61" t="s">
        <v>314</v>
      </c>
      <c r="B128" s="64">
        <v>0</v>
      </c>
      <c r="C128" s="64">
        <v>0</v>
      </c>
      <c r="D128" s="64">
        <v>0</v>
      </c>
      <c r="E128" s="64">
        <v>0</v>
      </c>
      <c r="F128" s="64">
        <v>0</v>
      </c>
      <c r="G128" s="64">
        <v>0</v>
      </c>
      <c r="H128" s="64">
        <v>0</v>
      </c>
      <c r="I128" s="64">
        <v>0</v>
      </c>
      <c r="J128" s="64">
        <v>0</v>
      </c>
      <c r="K128" s="64"/>
      <c r="L128" s="64"/>
      <c r="M128" s="64"/>
      <c r="N128" s="70">
        <f t="shared" si="33"/>
        <v>0</v>
      </c>
      <c r="O128" s="94">
        <f t="shared" si="34"/>
        <v>0</v>
      </c>
    </row>
    <row r="129" spans="1:15">
      <c r="A129" s="61" t="s">
        <v>315</v>
      </c>
      <c r="B129" s="64">
        <v>89441.77359301495</v>
      </c>
      <c r="C129" s="64">
        <v>-172086.49979705291</v>
      </c>
      <c r="D129" s="64">
        <v>23705.143287507301</v>
      </c>
      <c r="E129" s="64">
        <v>16621.860526124419</v>
      </c>
      <c r="F129" s="64">
        <v>10331.696411770237</v>
      </c>
      <c r="G129" s="64">
        <v>-60927.141761298117</v>
      </c>
      <c r="H129" s="64">
        <v>-43665.540424516148</v>
      </c>
      <c r="I129" s="64">
        <v>-84318.755339422394</v>
      </c>
      <c r="J129" s="64">
        <v>12510.289006339741</v>
      </c>
      <c r="K129" s="64"/>
      <c r="L129" s="64"/>
      <c r="M129" s="64"/>
      <c r="N129" s="70">
        <f t="shared" si="33"/>
        <v>-208387.17449753289</v>
      </c>
      <c r="O129" s="94">
        <f t="shared" si="34"/>
        <v>0</v>
      </c>
    </row>
    <row r="130" spans="1:15">
      <c r="A130" s="61" t="s">
        <v>316</v>
      </c>
      <c r="B130" s="64">
        <v>-321620.92</v>
      </c>
      <c r="C130" s="64">
        <v>-439357.77999999997</v>
      </c>
      <c r="D130" s="64">
        <v>-627360.15000000014</v>
      </c>
      <c r="E130" s="64">
        <v>-412736.05999999982</v>
      </c>
      <c r="F130" s="64">
        <v>-624666.24</v>
      </c>
      <c r="G130" s="64">
        <v>-152797.79000000004</v>
      </c>
      <c r="H130" s="64">
        <v>231624.5299999998</v>
      </c>
      <c r="I130" s="64">
        <v>-321115.35999999987</v>
      </c>
      <c r="J130" s="64">
        <v>-373984.08000000007</v>
      </c>
      <c r="K130" s="64"/>
      <c r="L130" s="64"/>
      <c r="M130" s="64"/>
      <c r="N130" s="70">
        <f t="shared" si="33"/>
        <v>-3042013.85</v>
      </c>
      <c r="O130" s="94">
        <f t="shared" si="34"/>
        <v>0</v>
      </c>
    </row>
    <row r="131" spans="1:15">
      <c r="A131" s="61" t="s">
        <v>317</v>
      </c>
      <c r="B131" s="64">
        <v>-126395.68</v>
      </c>
      <c r="C131" s="64">
        <v>-895440.45</v>
      </c>
      <c r="D131" s="64">
        <v>224318.43000000008</v>
      </c>
      <c r="E131" s="64">
        <v>261739.78999999992</v>
      </c>
      <c r="F131" s="64">
        <v>66293.38</v>
      </c>
      <c r="G131" s="64">
        <v>-184803.34999999998</v>
      </c>
      <c r="H131" s="64">
        <v>292245.88</v>
      </c>
      <c r="I131" s="64">
        <v>-306563.31999999995</v>
      </c>
      <c r="J131" s="64">
        <v>-13928.150000000023</v>
      </c>
      <c r="K131" s="64"/>
      <c r="L131" s="64"/>
      <c r="M131" s="64"/>
      <c r="N131" s="70">
        <f t="shared" si="33"/>
        <v>-682533.46999999986</v>
      </c>
      <c r="O131" s="94">
        <f t="shared" si="34"/>
        <v>0</v>
      </c>
    </row>
    <row r="132" spans="1:15">
      <c r="A132" s="61" t="s">
        <v>318</v>
      </c>
      <c r="B132" s="64">
        <v>-352219.55</v>
      </c>
      <c r="C132" s="64">
        <v>-171899.77000000002</v>
      </c>
      <c r="D132" s="64">
        <v>-114588.28999999998</v>
      </c>
      <c r="E132" s="64">
        <v>-563485.13</v>
      </c>
      <c r="F132" s="64">
        <v>-433762.63999999996</v>
      </c>
      <c r="G132" s="64">
        <v>-151480.15000000014</v>
      </c>
      <c r="H132" s="64">
        <v>399896.98000000004</v>
      </c>
      <c r="I132" s="64">
        <v>144442.76</v>
      </c>
      <c r="J132" s="64">
        <v>180992.20999999996</v>
      </c>
      <c r="K132" s="64"/>
      <c r="L132" s="64"/>
      <c r="M132" s="64"/>
      <c r="N132" s="70">
        <f t="shared" si="33"/>
        <v>-1062103.58</v>
      </c>
      <c r="O132" s="94">
        <f t="shared" si="34"/>
        <v>0</v>
      </c>
    </row>
    <row r="133" spans="1:15">
      <c r="A133" s="61" t="s">
        <v>319</v>
      </c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70"/>
    </row>
    <row r="134" spans="1:15">
      <c r="A134" s="61" t="s">
        <v>320</v>
      </c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70"/>
    </row>
    <row r="135" spans="1:15">
      <c r="A135" s="61" t="s">
        <v>321</v>
      </c>
      <c r="B135" s="64">
        <f t="shared" ref="B135:I135" si="35">SUM(B136:B138)+SUM(B139:B143)*0.4</f>
        <v>733228.92984999483</v>
      </c>
      <c r="C135" s="64">
        <f t="shared" si="35"/>
        <v>548784.91195512319</v>
      </c>
      <c r="D135" s="64">
        <f t="shared" si="35"/>
        <v>421458.60932021582</v>
      </c>
      <c r="E135" s="64">
        <f t="shared" si="35"/>
        <v>-673395.16426097706</v>
      </c>
      <c r="F135" s="64">
        <f t="shared" si="35"/>
        <v>760351.09634793014</v>
      </c>
      <c r="G135" s="64">
        <f t="shared" si="35"/>
        <v>-394978.84552801284</v>
      </c>
      <c r="H135" s="64">
        <f t="shared" si="35"/>
        <v>1080988.0465526937</v>
      </c>
      <c r="I135" s="64">
        <f t="shared" si="35"/>
        <v>-24542.109580940061</v>
      </c>
      <c r="J135" s="64">
        <f>SUM(J136:J138)+SUM(J139:J143)*0.4</f>
        <v>2512017.6375957779</v>
      </c>
      <c r="K135" s="64">
        <f>SUM(K136:K138)+SUM(K139:K143)*0.4</f>
        <v>0</v>
      </c>
      <c r="L135" s="64">
        <f>SUM(L136:L138)+SUM(L139:L143)*0.4</f>
        <v>0</v>
      </c>
      <c r="M135" s="64">
        <f>SUM(M136:M138)+SUM(M139:M143)*0.4</f>
        <v>0</v>
      </c>
      <c r="N135" s="70">
        <f>SUM(B135:M135)</f>
        <v>4963913.1122518051</v>
      </c>
    </row>
    <row r="136" spans="1:15">
      <c r="A136" s="61" t="s">
        <v>323</v>
      </c>
      <c r="B136" s="130">
        <v>136830.13512523792</v>
      </c>
      <c r="C136" s="130">
        <v>345494.45627812383</v>
      </c>
      <c r="D136" s="130">
        <v>619716.11909335514</v>
      </c>
      <c r="E136" s="130">
        <v>376996.21616326831</v>
      </c>
      <c r="F136" s="130">
        <v>235293.59823082361</v>
      </c>
      <c r="G136" s="130">
        <v>181431.38743245494</v>
      </c>
      <c r="H136" s="64">
        <v>175095.20577679109</v>
      </c>
      <c r="I136" s="64">
        <v>218578.26874515333</v>
      </c>
      <c r="J136" s="64">
        <v>379226.37756671518</v>
      </c>
      <c r="K136" s="64"/>
      <c r="L136" s="64"/>
      <c r="M136" s="64"/>
      <c r="N136" s="70">
        <f t="shared" ref="N136:N143" si="36">SUM(B136:M136)</f>
        <v>2668661.7644119235</v>
      </c>
      <c r="O136" s="94">
        <f t="shared" ref="O136:O143" si="37">N136-SUM(B136:M136)</f>
        <v>0</v>
      </c>
    </row>
    <row r="137" spans="1:15">
      <c r="A137" s="61" t="s">
        <v>324</v>
      </c>
      <c r="B137" s="64">
        <v>-69417.438643982226</v>
      </c>
      <c r="C137" s="64">
        <v>-10685.783081986867</v>
      </c>
      <c r="D137" s="64">
        <v>-61008.933941141986</v>
      </c>
      <c r="E137" s="64">
        <v>79089.530046196873</v>
      </c>
      <c r="F137" s="64">
        <v>-112923.4174630674</v>
      </c>
      <c r="G137" s="64">
        <v>-397792.27112740319</v>
      </c>
      <c r="H137" s="64">
        <v>-50394.848592621085</v>
      </c>
      <c r="I137" s="64">
        <v>-186941.41808167283</v>
      </c>
      <c r="J137" s="64">
        <v>-204959.90760439777</v>
      </c>
      <c r="K137" s="64"/>
      <c r="L137" s="64"/>
      <c r="M137" s="64"/>
      <c r="N137" s="70">
        <f t="shared" si="36"/>
        <v>-1015034.4884900765</v>
      </c>
      <c r="O137" s="94">
        <f t="shared" si="37"/>
        <v>0</v>
      </c>
    </row>
    <row r="138" spans="1:15">
      <c r="A138" s="61" t="s">
        <v>325</v>
      </c>
      <c r="B138" s="64">
        <v>1204.6388628614277</v>
      </c>
      <c r="C138" s="64">
        <v>2124.3113555738496</v>
      </c>
      <c r="D138" s="64">
        <v>-28612.676084271119</v>
      </c>
      <c r="E138" s="64">
        <v>-16402.152468455402</v>
      </c>
      <c r="F138" s="64">
        <v>10491.387228827351</v>
      </c>
      <c r="G138" s="64">
        <v>-29402.344296718722</v>
      </c>
      <c r="H138" s="64">
        <v>-36457.358297812527</v>
      </c>
      <c r="I138" s="64">
        <v>-28825.672568065496</v>
      </c>
      <c r="J138" s="64">
        <v>27182.709976922895</v>
      </c>
      <c r="K138" s="64"/>
      <c r="L138" s="64"/>
      <c r="M138" s="64"/>
      <c r="N138" s="70">
        <f t="shared" si="36"/>
        <v>-98697.15629113774</v>
      </c>
      <c r="O138" s="94">
        <f t="shared" si="37"/>
        <v>0</v>
      </c>
    </row>
    <row r="139" spans="1:15">
      <c r="A139" s="61" t="s">
        <v>326</v>
      </c>
      <c r="B139" s="64">
        <v>-1621012.5429157447</v>
      </c>
      <c r="C139" s="64">
        <v>-1792344.4596753009</v>
      </c>
      <c r="D139" s="64">
        <v>-4215800.7710195491</v>
      </c>
      <c r="E139" s="64">
        <v>-4851270.4349214071</v>
      </c>
      <c r="F139" s="64">
        <v>-2949842.060921012</v>
      </c>
      <c r="G139" s="64">
        <v>-3072299.7573198969</v>
      </c>
      <c r="H139" s="64">
        <v>-3299335.7897881581</v>
      </c>
      <c r="I139" s="64">
        <v>-1941066.8998679286</v>
      </c>
      <c r="J139" s="64">
        <v>-2472812.337502066</v>
      </c>
      <c r="K139" s="64"/>
      <c r="L139" s="64"/>
      <c r="M139" s="64"/>
      <c r="N139" s="70">
        <f t="shared" si="36"/>
        <v>-26215785.053931061</v>
      </c>
      <c r="O139" s="94">
        <f t="shared" si="37"/>
        <v>0</v>
      </c>
    </row>
    <row r="140" spans="1:15">
      <c r="A140" s="61" t="s">
        <v>327</v>
      </c>
      <c r="B140" s="64">
        <v>252500.49918043872</v>
      </c>
      <c r="C140" s="64">
        <v>221418.59818383196</v>
      </c>
      <c r="D140" s="64">
        <v>512240.6116502331</v>
      </c>
      <c r="E140" s="64">
        <v>-85739.690083559923</v>
      </c>
      <c r="F140" s="64">
        <v>1087.6417993780603</v>
      </c>
      <c r="G140" s="64">
        <v>-92396.686520968244</v>
      </c>
      <c r="H140" s="64">
        <v>112689.07895399866</v>
      </c>
      <c r="I140" s="64">
        <v>70653.380677041088</v>
      </c>
      <c r="J140" s="64">
        <v>266915.08164340857</v>
      </c>
      <c r="K140" s="64"/>
      <c r="L140" s="64"/>
      <c r="M140" s="64"/>
      <c r="N140" s="70">
        <f t="shared" si="36"/>
        <v>1259368.515483802</v>
      </c>
      <c r="O140" s="94">
        <f t="shared" si="37"/>
        <v>0</v>
      </c>
    </row>
    <row r="141" spans="1:15">
      <c r="A141" s="61" t="s">
        <v>328</v>
      </c>
      <c r="B141" s="64">
        <v>612332.98</v>
      </c>
      <c r="C141" s="64">
        <v>996124.26</v>
      </c>
      <c r="D141" s="64">
        <v>956565.15000000014</v>
      </c>
      <c r="E141" s="64">
        <v>1252231.2799999998</v>
      </c>
      <c r="F141" s="64">
        <v>909195.41999999993</v>
      </c>
      <c r="G141" s="64">
        <v>1263058.3500000006</v>
      </c>
      <c r="H141" s="64">
        <v>1268543.5899999999</v>
      </c>
      <c r="I141" s="64">
        <v>296021.27999999933</v>
      </c>
      <c r="J141" s="64">
        <v>2095448.080000001</v>
      </c>
      <c r="K141" s="64"/>
      <c r="L141" s="64"/>
      <c r="M141" s="64"/>
      <c r="N141" s="70">
        <f t="shared" si="36"/>
        <v>9649520.3900000006</v>
      </c>
      <c r="O141" s="94">
        <f t="shared" si="37"/>
        <v>0</v>
      </c>
    </row>
    <row r="142" spans="1:15">
      <c r="A142" s="61" t="s">
        <v>329</v>
      </c>
      <c r="B142" s="64">
        <v>946580.72</v>
      </c>
      <c r="C142" s="64">
        <v>803262.35000000009</v>
      </c>
      <c r="D142" s="64">
        <v>1531868.82</v>
      </c>
      <c r="E142" s="64">
        <v>351265.52999999974</v>
      </c>
      <c r="F142" s="64">
        <v>1481732.9100000001</v>
      </c>
      <c r="G142" s="64">
        <v>221310.84999999963</v>
      </c>
      <c r="H142" s="64">
        <v>2499187.71</v>
      </c>
      <c r="I142" s="64">
        <v>630560.04</v>
      </c>
      <c r="J142" s="64">
        <v>2585940.5600000005</v>
      </c>
      <c r="K142" s="64"/>
      <c r="L142" s="64"/>
      <c r="M142" s="64"/>
      <c r="N142" s="70">
        <f t="shared" si="36"/>
        <v>11051709.49</v>
      </c>
      <c r="O142" s="94">
        <f t="shared" si="37"/>
        <v>0</v>
      </c>
    </row>
    <row r="143" spans="1:15">
      <c r="A143" s="61" t="s">
        <v>330</v>
      </c>
      <c r="B143" s="64">
        <v>1471127.33</v>
      </c>
      <c r="C143" s="64">
        <v>301169.06999999983</v>
      </c>
      <c r="D143" s="64">
        <v>943536.44</v>
      </c>
      <c r="E143" s="64">
        <v>550816.41999999993</v>
      </c>
      <c r="F143" s="64">
        <v>2126549.91</v>
      </c>
      <c r="G143" s="64">
        <v>1307288.2000000002</v>
      </c>
      <c r="H143" s="64">
        <v>1900778.0300000003</v>
      </c>
      <c r="I143" s="64">
        <v>875448.98000000045</v>
      </c>
      <c r="J143" s="64">
        <v>3300929.7600000002</v>
      </c>
      <c r="K143" s="64"/>
      <c r="L143" s="64"/>
      <c r="M143" s="64"/>
      <c r="N143" s="70">
        <f t="shared" si="36"/>
        <v>12777644.140000001</v>
      </c>
      <c r="O143" s="94">
        <f t="shared" si="37"/>
        <v>0</v>
      </c>
    </row>
    <row r="144" spans="1:15">
      <c r="A144" s="61" t="s">
        <v>331</v>
      </c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70"/>
    </row>
    <row r="145" spans="1:15">
      <c r="A145" s="61" t="s">
        <v>332</v>
      </c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70"/>
    </row>
    <row r="146" spans="1:15">
      <c r="A146" s="61" t="s">
        <v>465</v>
      </c>
      <c r="B146" s="64">
        <f t="shared" ref="B146:M146" si="38">SUM(B147:B149)+SUM(B150:B154)*0.4</f>
        <v>20036090.70777595</v>
      </c>
      <c r="C146" s="64">
        <f t="shared" si="38"/>
        <v>21119837.421659723</v>
      </c>
      <c r="D146" s="64">
        <f t="shared" si="38"/>
        <v>19130649.357705954</v>
      </c>
      <c r="E146" s="64">
        <f t="shared" si="38"/>
        <v>23829934.234262988</v>
      </c>
      <c r="F146" s="64">
        <f t="shared" si="38"/>
        <v>25781749.722575817</v>
      </c>
      <c r="G146" s="64">
        <f t="shared" si="38"/>
        <v>26660075.913163755</v>
      </c>
      <c r="H146" s="64">
        <f t="shared" si="38"/>
        <v>28016389.354621645</v>
      </c>
      <c r="I146" s="64">
        <f t="shared" si="38"/>
        <v>27637999.406422429</v>
      </c>
      <c r="J146" s="64">
        <f t="shared" si="38"/>
        <v>28489521.343984019</v>
      </c>
      <c r="K146" s="64">
        <f t="shared" si="38"/>
        <v>0</v>
      </c>
      <c r="L146" s="64">
        <f t="shared" si="38"/>
        <v>0</v>
      </c>
      <c r="M146" s="64">
        <f t="shared" si="38"/>
        <v>0</v>
      </c>
      <c r="N146" s="70">
        <f>SUM(B146:M146)</f>
        <v>220702247.46217227</v>
      </c>
    </row>
    <row r="147" spans="1:15">
      <c r="A147" s="61" t="s">
        <v>466</v>
      </c>
      <c r="B147" s="130">
        <v>0</v>
      </c>
      <c r="C147" s="130">
        <v>0</v>
      </c>
      <c r="D147" s="130">
        <v>0</v>
      </c>
      <c r="E147" s="130">
        <v>0</v>
      </c>
      <c r="F147" s="130">
        <v>0</v>
      </c>
      <c r="G147" s="130">
        <v>0</v>
      </c>
      <c r="H147" s="64">
        <v>0</v>
      </c>
      <c r="I147" s="64">
        <v>0</v>
      </c>
      <c r="J147" s="64">
        <v>0</v>
      </c>
      <c r="K147" s="64"/>
      <c r="L147" s="64"/>
      <c r="M147" s="64"/>
      <c r="N147" s="70">
        <f t="shared" ref="N147:N154" si="39">SUM(B147:M147)</f>
        <v>0</v>
      </c>
      <c r="O147" s="94"/>
    </row>
    <row r="148" spans="1:15">
      <c r="A148" s="61" t="s">
        <v>467</v>
      </c>
      <c r="B148" s="64">
        <v>1756795.941308721</v>
      </c>
      <c r="C148" s="64">
        <v>1780717.9823640564</v>
      </c>
      <c r="D148" s="64">
        <v>1751023.0414304982</v>
      </c>
      <c r="E148" s="64">
        <v>6647633.5834527463</v>
      </c>
      <c r="F148" s="64">
        <v>6543569.2963275844</v>
      </c>
      <c r="G148" s="64">
        <v>6336207.4717631238</v>
      </c>
      <c r="H148" s="64">
        <v>6284844.3992097229</v>
      </c>
      <c r="I148" s="64">
        <v>6303711.5810489263</v>
      </c>
      <c r="J148" s="64">
        <v>6436404.4776855726</v>
      </c>
      <c r="K148" s="64"/>
      <c r="L148" s="64"/>
      <c r="M148" s="64"/>
      <c r="N148" s="70">
        <f t="shared" si="39"/>
        <v>43840907.774590947</v>
      </c>
      <c r="O148" s="94"/>
    </row>
    <row r="149" spans="1:15">
      <c r="A149" s="61" t="s">
        <v>468</v>
      </c>
      <c r="B149" s="64">
        <v>0</v>
      </c>
      <c r="C149" s="64">
        <v>215461.67623099938</v>
      </c>
      <c r="D149" s="64">
        <v>0</v>
      </c>
      <c r="E149" s="64">
        <v>292683.98809604038</v>
      </c>
      <c r="F149" s="64">
        <v>415774.58580333221</v>
      </c>
      <c r="G149" s="64">
        <v>285252.68202306639</v>
      </c>
      <c r="H149" s="64">
        <v>480461.23221420875</v>
      </c>
      <c r="I149" s="64">
        <v>363212.17468634964</v>
      </c>
      <c r="J149" s="64">
        <v>246670.46265100857</v>
      </c>
      <c r="K149" s="64"/>
      <c r="L149" s="64"/>
      <c r="M149" s="64"/>
      <c r="N149" s="70">
        <f t="shared" si="39"/>
        <v>2299516.8017050051</v>
      </c>
      <c r="O149" s="94"/>
    </row>
    <row r="150" spans="1:15">
      <c r="A150" s="61" t="s">
        <v>469</v>
      </c>
      <c r="B150" s="64">
        <v>45698236.916168071</v>
      </c>
      <c r="C150" s="64">
        <v>47809144.407661669</v>
      </c>
      <c r="D150" s="64">
        <v>43449065.790688634</v>
      </c>
      <c r="E150" s="64">
        <v>42224041.656785503</v>
      </c>
      <c r="F150" s="64">
        <v>47056014.601112247</v>
      </c>
      <c r="G150" s="64">
        <v>50096539.398443907</v>
      </c>
      <c r="H150" s="64">
        <v>53127709.307994284</v>
      </c>
      <c r="I150" s="64">
        <v>52427689.12671788</v>
      </c>
      <c r="J150" s="64">
        <v>54516116.009118594</v>
      </c>
      <c r="K150" s="64"/>
      <c r="L150" s="64"/>
      <c r="M150" s="64"/>
      <c r="N150" s="70">
        <f t="shared" si="39"/>
        <v>436404557.21469086</v>
      </c>
      <c r="O150" s="94"/>
    </row>
    <row r="151" spans="1:15">
      <c r="A151" s="61" t="s">
        <v>470</v>
      </c>
      <c r="B151" s="64">
        <v>0</v>
      </c>
      <c r="C151" s="64">
        <v>0</v>
      </c>
      <c r="D151" s="64">
        <v>0</v>
      </c>
      <c r="E151" s="64">
        <v>0</v>
      </c>
      <c r="F151" s="64">
        <v>0</v>
      </c>
      <c r="G151" s="64">
        <v>0</v>
      </c>
      <c r="H151" s="64">
        <v>0</v>
      </c>
      <c r="I151" s="64">
        <v>0</v>
      </c>
      <c r="J151" s="64">
        <v>0</v>
      </c>
      <c r="K151" s="64"/>
      <c r="L151" s="64"/>
      <c r="M151" s="64"/>
      <c r="N151" s="70">
        <f t="shared" si="39"/>
        <v>0</v>
      </c>
      <c r="O151" s="94"/>
    </row>
    <row r="152" spans="1:15">
      <c r="A152" s="61" t="s">
        <v>471</v>
      </c>
      <c r="B152" s="64">
        <v>0</v>
      </c>
      <c r="C152" s="64">
        <v>0</v>
      </c>
      <c r="D152" s="64">
        <v>0</v>
      </c>
      <c r="E152" s="64">
        <v>0</v>
      </c>
      <c r="F152" s="64">
        <v>0</v>
      </c>
      <c r="G152" s="64">
        <v>0</v>
      </c>
      <c r="H152" s="64">
        <v>0</v>
      </c>
      <c r="I152" s="64">
        <v>0</v>
      </c>
      <c r="J152" s="64">
        <v>0</v>
      </c>
      <c r="K152" s="64"/>
      <c r="L152" s="64"/>
      <c r="M152" s="64"/>
      <c r="N152" s="70">
        <f t="shared" si="39"/>
        <v>0</v>
      </c>
      <c r="O152" s="94"/>
    </row>
    <row r="153" spans="1:15">
      <c r="A153" s="61" t="s">
        <v>472</v>
      </c>
      <c r="B153" s="64">
        <v>0</v>
      </c>
      <c r="C153" s="64">
        <v>0</v>
      </c>
      <c r="D153" s="64">
        <v>0</v>
      </c>
      <c r="E153" s="64">
        <v>0</v>
      </c>
      <c r="F153" s="64">
        <v>0</v>
      </c>
      <c r="G153" s="64">
        <v>0</v>
      </c>
      <c r="H153" s="64">
        <v>0</v>
      </c>
      <c r="I153" s="64">
        <v>0</v>
      </c>
      <c r="J153" s="64">
        <v>0</v>
      </c>
      <c r="K153" s="64"/>
      <c r="L153" s="64"/>
      <c r="M153" s="64"/>
      <c r="N153" s="70">
        <f t="shared" si="39"/>
        <v>0</v>
      </c>
      <c r="O153" s="94"/>
    </row>
    <row r="154" spans="1:15">
      <c r="A154" s="61" t="s">
        <v>473</v>
      </c>
      <c r="B154" s="64">
        <v>0</v>
      </c>
      <c r="C154" s="64">
        <v>0</v>
      </c>
      <c r="D154" s="64">
        <v>0</v>
      </c>
      <c r="E154" s="64">
        <v>0</v>
      </c>
      <c r="F154" s="64">
        <v>0</v>
      </c>
      <c r="G154" s="64">
        <v>0</v>
      </c>
      <c r="H154" s="64">
        <v>0</v>
      </c>
      <c r="I154" s="64">
        <v>0</v>
      </c>
      <c r="J154" s="64">
        <v>0</v>
      </c>
      <c r="K154" s="64"/>
      <c r="L154" s="64"/>
      <c r="M154" s="64"/>
      <c r="N154" s="70">
        <f t="shared" si="39"/>
        <v>0</v>
      </c>
      <c r="O154" s="94"/>
    </row>
    <row r="155" spans="1:15">
      <c r="A155" s="61" t="s">
        <v>474</v>
      </c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70"/>
    </row>
    <row r="156" spans="1:15">
      <c r="A156" s="61" t="s">
        <v>475</v>
      </c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70"/>
    </row>
    <row r="157" spans="1:15">
      <c r="A157" s="61" t="s">
        <v>476</v>
      </c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70"/>
    </row>
    <row r="158" spans="1:15">
      <c r="A158" s="61" t="s">
        <v>477</v>
      </c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70"/>
    </row>
    <row r="159" spans="1:15">
      <c r="A159" s="61" t="s">
        <v>478</v>
      </c>
      <c r="B159" s="64">
        <f t="shared" ref="B159:I159" si="40">SUM(B160:B162)+SUM(B163:B167)*0.4</f>
        <v>41319909.321248107</v>
      </c>
      <c r="C159" s="64">
        <f t="shared" si="40"/>
        <v>38936517.270258456</v>
      </c>
      <c r="D159" s="64">
        <f t="shared" si="40"/>
        <v>41084822.773632959</v>
      </c>
      <c r="E159" s="64">
        <f t="shared" si="40"/>
        <v>30731239.148120958</v>
      </c>
      <c r="F159" s="64">
        <f t="shared" si="40"/>
        <v>28707186.355845306</v>
      </c>
      <c r="G159" s="64">
        <f t="shared" si="40"/>
        <v>31088043.080712806</v>
      </c>
      <c r="H159" s="64">
        <f t="shared" si="40"/>
        <v>33100061.965776108</v>
      </c>
      <c r="I159" s="64">
        <f t="shared" si="40"/>
        <v>33849218.821108632</v>
      </c>
      <c r="J159" s="64">
        <f>SUM(J160:J162)+SUM(J163:J167)*0.4</f>
        <v>32990715.087046489</v>
      </c>
      <c r="K159" s="64">
        <f>SUM(K160:K162)+SUM(K163:K167)*0.4</f>
        <v>0</v>
      </c>
      <c r="L159" s="64">
        <f>SUM(L160:L162)+SUM(L163:L167)*0.4</f>
        <v>0</v>
      </c>
      <c r="M159" s="64">
        <f>SUM(M160:M162)+SUM(M163:M167)*0.4</f>
        <v>0</v>
      </c>
      <c r="N159" s="70">
        <f>SUM(B159:M159)</f>
        <v>311807713.82374984</v>
      </c>
      <c r="O159" s="52">
        <f>I159-I146</f>
        <v>6211219.414686203</v>
      </c>
    </row>
    <row r="160" spans="1:15">
      <c r="A160" s="61" t="s">
        <v>479</v>
      </c>
      <c r="B160" s="130">
        <v>25017917.400184136</v>
      </c>
      <c r="C160" s="130">
        <v>25516514.814845897</v>
      </c>
      <c r="D160" s="130">
        <v>23631542.238813836</v>
      </c>
      <c r="E160" s="130">
        <v>15093147.764769902</v>
      </c>
      <c r="F160" s="130">
        <v>15865222.325843653</v>
      </c>
      <c r="G160" s="130">
        <v>15508820.911184296</v>
      </c>
      <c r="H160" s="64">
        <v>18608467.26229687</v>
      </c>
      <c r="I160" s="64">
        <v>19135505.520218484</v>
      </c>
      <c r="J160" s="64">
        <v>17091703.990608908</v>
      </c>
      <c r="K160" s="64"/>
      <c r="L160" s="64"/>
      <c r="M160" s="64"/>
      <c r="N160" s="70">
        <f t="shared" ref="N160:N167" si="41">SUM(B160:M160)</f>
        <v>175468842.22876596</v>
      </c>
    </row>
    <row r="161" spans="1:16">
      <c r="A161" s="61" t="s">
        <v>480</v>
      </c>
      <c r="B161" s="64">
        <v>165537.13788578007</v>
      </c>
      <c r="C161" s="64">
        <v>39119.295874448879</v>
      </c>
      <c r="D161" s="64">
        <v>23666.651188273765</v>
      </c>
      <c r="E161" s="64">
        <v>958967.87743385718</v>
      </c>
      <c r="F161" s="64">
        <v>252698.49956856243</v>
      </c>
      <c r="G161" s="64">
        <v>61169.872789060122</v>
      </c>
      <c r="H161" s="64">
        <v>59625.146573327293</v>
      </c>
      <c r="I161" s="64">
        <v>32919.093223478099</v>
      </c>
      <c r="J161" s="64">
        <v>47905.157057139157</v>
      </c>
      <c r="K161" s="64"/>
      <c r="L161" s="64"/>
      <c r="M161" s="64"/>
      <c r="N161" s="70">
        <f t="shared" si="41"/>
        <v>1641608.7315939271</v>
      </c>
    </row>
    <row r="162" spans="1:16">
      <c r="A162" s="61" t="s">
        <v>481</v>
      </c>
      <c r="B162" s="64">
        <v>146950.95254999411</v>
      </c>
      <c r="C162" s="64">
        <v>92367.153054797396</v>
      </c>
      <c r="D162" s="64">
        <v>224751.57179394574</v>
      </c>
      <c r="E162" s="64">
        <v>70176.853806042243</v>
      </c>
      <c r="F162" s="64">
        <v>117389.84789002182</v>
      </c>
      <c r="G162" s="64">
        <v>74235.058836670782</v>
      </c>
      <c r="H162" s="64">
        <v>29679.206472746555</v>
      </c>
      <c r="I162" s="64">
        <v>152813.23703909878</v>
      </c>
      <c r="J162" s="64">
        <v>68368.295445435462</v>
      </c>
      <c r="K162" s="64"/>
      <c r="L162" s="64"/>
      <c r="M162" s="64"/>
      <c r="N162" s="70">
        <f t="shared" si="41"/>
        <v>976732.17688875296</v>
      </c>
    </row>
    <row r="163" spans="1:16">
      <c r="A163" s="61" t="s">
        <v>482</v>
      </c>
      <c r="B163" s="64">
        <v>7240613.4513989743</v>
      </c>
      <c r="C163" s="64">
        <v>4360779.1951501155</v>
      </c>
      <c r="D163" s="64">
        <v>2898925.4676919258</v>
      </c>
      <c r="E163" s="64">
        <v>3093956.2970908163</v>
      </c>
      <c r="F163" s="64">
        <v>3721611.6528757233</v>
      </c>
      <c r="G163" s="64">
        <v>1556714.726810103</v>
      </c>
      <c r="H163" s="64">
        <v>2231928.411795144</v>
      </c>
      <c r="I163" s="64">
        <v>3995914.256085183</v>
      </c>
      <c r="J163" s="64">
        <v>3471586.8174464465</v>
      </c>
      <c r="K163" s="64"/>
      <c r="L163" s="64"/>
      <c r="M163" s="64"/>
      <c r="N163" s="70">
        <f t="shared" si="41"/>
        <v>32572030.27634443</v>
      </c>
    </row>
    <row r="164" spans="1:16">
      <c r="A164" s="61" t="s">
        <v>483</v>
      </c>
      <c r="B164" s="64">
        <v>796564.25517152366</v>
      </c>
      <c r="C164" s="64">
        <v>645764.42105815664</v>
      </c>
      <c r="D164" s="64">
        <v>2363380.8719003289</v>
      </c>
      <c r="E164" s="64">
        <v>2506225.653187077</v>
      </c>
      <c r="F164" s="64">
        <v>1957287.4234819496</v>
      </c>
      <c r="G164" s="64">
        <v>1358723.2979468387</v>
      </c>
      <c r="H164" s="64">
        <v>2382930.2742877668</v>
      </c>
      <c r="I164" s="64">
        <v>2409644.8504837384</v>
      </c>
      <c r="J164" s="64">
        <v>1603079.2023910594</v>
      </c>
      <c r="K164" s="64"/>
      <c r="L164" s="64"/>
      <c r="M164" s="64"/>
      <c r="N164" s="70">
        <f t="shared" si="41"/>
        <v>16023600.249908442</v>
      </c>
    </row>
    <row r="165" spans="1:16">
      <c r="A165" s="61" t="s">
        <v>484</v>
      </c>
      <c r="B165" s="64">
        <v>8176307.5499999998</v>
      </c>
      <c r="C165" s="64">
        <v>5105706.58</v>
      </c>
      <c r="D165" s="64">
        <v>3716834.46</v>
      </c>
      <c r="E165" s="64">
        <v>5231278.49</v>
      </c>
      <c r="F165" s="64">
        <v>2386392.87</v>
      </c>
      <c r="G165" s="64">
        <v>3324160.27</v>
      </c>
      <c r="H165" s="64">
        <v>6850161.1400000006</v>
      </c>
      <c r="I165" s="64">
        <v>7307009.0199999996</v>
      </c>
      <c r="J165" s="64">
        <v>8134848</v>
      </c>
      <c r="K165" s="64"/>
      <c r="L165" s="64"/>
      <c r="M165" s="64"/>
      <c r="N165" s="70">
        <f t="shared" si="41"/>
        <v>50232698.379999995</v>
      </c>
    </row>
    <row r="166" spans="1:16">
      <c r="A166" s="61" t="s">
        <v>485</v>
      </c>
      <c r="B166" s="64">
        <v>15586616.51</v>
      </c>
      <c r="C166" s="64">
        <v>19661179.25</v>
      </c>
      <c r="D166" s="64">
        <v>16422110.949999999</v>
      </c>
      <c r="E166" s="64">
        <v>13817389.810000001</v>
      </c>
      <c r="F166" s="64">
        <v>14923552.49</v>
      </c>
      <c r="G166" s="64">
        <v>19032801.07</v>
      </c>
      <c r="H166" s="64">
        <v>12734684.58</v>
      </c>
      <c r="I166" s="64">
        <v>11336876.699999999</v>
      </c>
      <c r="J166" s="64">
        <v>14279442.130000001</v>
      </c>
      <c r="K166" s="64"/>
      <c r="L166" s="64"/>
      <c r="M166" s="64"/>
      <c r="N166" s="70">
        <f t="shared" si="41"/>
        <v>137794653.48999998</v>
      </c>
    </row>
    <row r="167" spans="1:16">
      <c r="A167" s="61" t="s">
        <v>486</v>
      </c>
      <c r="B167" s="64">
        <v>8173657.8099999996</v>
      </c>
      <c r="C167" s="64">
        <v>3447860.5700000003</v>
      </c>
      <c r="D167" s="64">
        <v>17610904.030000001</v>
      </c>
      <c r="E167" s="64">
        <v>11873516.379999999</v>
      </c>
      <c r="F167" s="64">
        <v>8190844.7699999996</v>
      </c>
      <c r="G167" s="64">
        <v>13337143.73</v>
      </c>
      <c r="H167" s="64">
        <v>11806021.470000001</v>
      </c>
      <c r="I167" s="64">
        <v>11270507.6</v>
      </c>
      <c r="J167" s="64">
        <v>11967887.960000001</v>
      </c>
      <c r="K167" s="64"/>
      <c r="L167" s="64"/>
      <c r="M167" s="64"/>
      <c r="N167" s="70">
        <f t="shared" si="41"/>
        <v>97678344.319999993</v>
      </c>
    </row>
    <row r="168" spans="1:16">
      <c r="A168" s="61" t="s">
        <v>487</v>
      </c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70"/>
    </row>
    <row r="169" spans="1:16">
      <c r="A169" s="61" t="s">
        <v>488</v>
      </c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70"/>
    </row>
    <row r="170" spans="1:16">
      <c r="A170" s="61" t="s">
        <v>489</v>
      </c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70"/>
    </row>
    <row r="171" spans="1:16">
      <c r="A171" s="61" t="s">
        <v>490</v>
      </c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70"/>
    </row>
    <row r="172" spans="1:16">
      <c r="A172" s="61" t="s">
        <v>491</v>
      </c>
      <c r="B172" s="64">
        <f t="shared" ref="B172:I172" si="42">SUM(B173:B175)+SUM(B176:B180)*0.4</f>
        <v>21283818.613472164</v>
      </c>
      <c r="C172" s="64">
        <f t="shared" si="42"/>
        <v>17816679.84859873</v>
      </c>
      <c r="D172" s="64">
        <f t="shared" si="42"/>
        <v>21954173.415927008</v>
      </c>
      <c r="E172" s="64">
        <f t="shared" si="42"/>
        <v>6901304.9138579722</v>
      </c>
      <c r="F172" s="64">
        <f t="shared" si="42"/>
        <v>2925436.6332694888</v>
      </c>
      <c r="G172" s="64">
        <f t="shared" si="42"/>
        <v>4427967.1675490495</v>
      </c>
      <c r="H172" s="64">
        <f t="shared" si="42"/>
        <v>5083672.6111544641</v>
      </c>
      <c r="I172" s="64">
        <f t="shared" si="42"/>
        <v>6211219.4146861956</v>
      </c>
      <c r="J172" s="64">
        <f>SUM(J173:J175)+SUM(J176:J180)*0.4</f>
        <v>4501193.7430624655</v>
      </c>
      <c r="K172" s="64">
        <f>SUM(K173:K175)+SUM(K176:K180)*0.4</f>
        <v>0</v>
      </c>
      <c r="L172" s="64">
        <f>SUM(L173:L175)+SUM(L176:L180)*0.4</f>
        <v>0</v>
      </c>
      <c r="M172" s="64">
        <f>SUM(M173:M175)+SUM(M176:M180)*0.4</f>
        <v>0</v>
      </c>
      <c r="N172" s="70">
        <f>SUM(B172:M172)</f>
        <v>91105466.361577541</v>
      </c>
    </row>
    <row r="173" spans="1:16">
      <c r="A173" s="61" t="s">
        <v>492</v>
      </c>
      <c r="B173" s="130">
        <v>25017917.400184136</v>
      </c>
      <c r="C173" s="130">
        <v>25516514.814845897</v>
      </c>
      <c r="D173" s="130">
        <v>23631542.238813836</v>
      </c>
      <c r="E173" s="130">
        <v>15093147.764769902</v>
      </c>
      <c r="F173" s="130">
        <v>15865222.325843653</v>
      </c>
      <c r="G173" s="130">
        <v>15508820.911184296</v>
      </c>
      <c r="H173" s="64">
        <v>18608467.26229687</v>
      </c>
      <c r="I173" s="64">
        <v>19135505.520218484</v>
      </c>
      <c r="J173" s="64">
        <v>17091703.990608908</v>
      </c>
      <c r="K173" s="64"/>
      <c r="L173" s="64"/>
      <c r="M173" s="64"/>
      <c r="N173" s="70">
        <f t="shared" ref="N173:N180" si="43">SUM(B173:M173)</f>
        <v>175468842.22876596</v>
      </c>
      <c r="P173" s="52">
        <f t="shared" ref="P173:P180" si="44">I160-I147</f>
        <v>19135505.520218484</v>
      </c>
    </row>
    <row r="174" spans="1:16">
      <c r="A174" s="61" t="s">
        <v>493</v>
      </c>
      <c r="B174" s="64">
        <v>-1591258.8034229409</v>
      </c>
      <c r="C174" s="64">
        <v>-1741598.6864896074</v>
      </c>
      <c r="D174" s="64">
        <v>-1727356.3902422246</v>
      </c>
      <c r="E174" s="64">
        <v>-5688665.7060188893</v>
      </c>
      <c r="F174" s="64">
        <v>-6290870.7967590224</v>
      </c>
      <c r="G174" s="64">
        <v>-6275037.598974064</v>
      </c>
      <c r="H174" s="64">
        <v>-6225219.2526363954</v>
      </c>
      <c r="I174" s="64">
        <v>-6270792.4878254486</v>
      </c>
      <c r="J174" s="64">
        <v>-6388499.3206284335</v>
      </c>
      <c r="K174" s="64"/>
      <c r="L174" s="64"/>
      <c r="M174" s="64"/>
      <c r="N174" s="70">
        <f t="shared" si="43"/>
        <v>-42199299.042997025</v>
      </c>
      <c r="P174" s="52">
        <f t="shared" si="44"/>
        <v>-6270792.4878254486</v>
      </c>
    </row>
    <row r="175" spans="1:16">
      <c r="A175" s="61" t="s">
        <v>494</v>
      </c>
      <c r="B175" s="64">
        <v>146950.95254999411</v>
      </c>
      <c r="C175" s="64">
        <v>-123094.52317620198</v>
      </c>
      <c r="D175" s="64">
        <v>224751.57179394574</v>
      </c>
      <c r="E175" s="64">
        <v>-222507.13428999815</v>
      </c>
      <c r="F175" s="64">
        <v>-298384.73791331041</v>
      </c>
      <c r="G175" s="64">
        <v>-211017.62318639562</v>
      </c>
      <c r="H175" s="64">
        <v>-450782.02574146219</v>
      </c>
      <c r="I175" s="64">
        <v>-210398.93764725086</v>
      </c>
      <c r="J175" s="64">
        <v>-178302.16720557312</v>
      </c>
      <c r="K175" s="64"/>
      <c r="L175" s="64"/>
      <c r="M175" s="64"/>
      <c r="N175" s="70">
        <f t="shared" si="43"/>
        <v>-1322784.6248162524</v>
      </c>
      <c r="P175" s="52">
        <f t="shared" si="44"/>
        <v>-210398.93764725086</v>
      </c>
    </row>
    <row r="176" spans="1:16">
      <c r="A176" s="61" t="s">
        <v>495</v>
      </c>
      <c r="B176" s="64">
        <v>-38457623.464769095</v>
      </c>
      <c r="C176" s="64">
        <v>-43448365.212511547</v>
      </c>
      <c r="D176" s="64">
        <v>-40550140.322996713</v>
      </c>
      <c r="E176" s="64">
        <v>-39130085.359694682</v>
      </c>
      <c r="F176" s="64">
        <v>-43334402.948236525</v>
      </c>
      <c r="G176" s="64">
        <v>-48539824.67163381</v>
      </c>
      <c r="H176" s="64">
        <v>-50895780.896199137</v>
      </c>
      <c r="I176" s="64">
        <v>-48431774.870632701</v>
      </c>
      <c r="J176" s="64">
        <v>-51044529.191672146</v>
      </c>
      <c r="K176" s="64"/>
      <c r="L176" s="64"/>
      <c r="M176" s="64"/>
      <c r="N176" s="70">
        <f t="shared" si="43"/>
        <v>-403832526.93834639</v>
      </c>
      <c r="P176" s="52">
        <f t="shared" si="44"/>
        <v>-48431774.870632701</v>
      </c>
    </row>
    <row r="177" spans="1:16">
      <c r="A177" s="61" t="s">
        <v>496</v>
      </c>
      <c r="B177" s="64">
        <v>796564.25517152366</v>
      </c>
      <c r="C177" s="64">
        <v>645764.42105815664</v>
      </c>
      <c r="D177" s="64">
        <v>2363380.8719003289</v>
      </c>
      <c r="E177" s="64">
        <v>2506225.653187077</v>
      </c>
      <c r="F177" s="64">
        <v>1957287.4234819496</v>
      </c>
      <c r="G177" s="64">
        <v>1358723.2979468387</v>
      </c>
      <c r="H177" s="64">
        <v>2382930.2742877668</v>
      </c>
      <c r="I177" s="64">
        <v>2409644.8504837384</v>
      </c>
      <c r="J177" s="64">
        <v>1603079.2023910594</v>
      </c>
      <c r="K177" s="64"/>
      <c r="L177" s="64"/>
      <c r="M177" s="64"/>
      <c r="N177" s="70">
        <f t="shared" si="43"/>
        <v>16023600.249908442</v>
      </c>
      <c r="P177" s="52">
        <f t="shared" si="44"/>
        <v>2409644.8504837384</v>
      </c>
    </row>
    <row r="178" spans="1:16">
      <c r="A178" s="61" t="s">
        <v>497</v>
      </c>
      <c r="B178" s="64">
        <v>8176307.5499999998</v>
      </c>
      <c r="C178" s="64">
        <v>5105706.58</v>
      </c>
      <c r="D178" s="64">
        <v>3716834.46</v>
      </c>
      <c r="E178" s="64">
        <v>5231278.49</v>
      </c>
      <c r="F178" s="64">
        <v>2386392.87</v>
      </c>
      <c r="G178" s="64">
        <v>3324160.27</v>
      </c>
      <c r="H178" s="64">
        <v>6850161.1400000006</v>
      </c>
      <c r="I178" s="64">
        <v>7307009.0199999996</v>
      </c>
      <c r="J178" s="64">
        <v>8134848</v>
      </c>
      <c r="K178" s="64"/>
      <c r="L178" s="64"/>
      <c r="M178" s="64"/>
      <c r="N178" s="70">
        <f t="shared" si="43"/>
        <v>50232698.379999995</v>
      </c>
      <c r="P178" s="52">
        <f t="shared" si="44"/>
        <v>7307009.0199999996</v>
      </c>
    </row>
    <row r="179" spans="1:16">
      <c r="A179" s="61" t="s">
        <v>498</v>
      </c>
      <c r="B179" s="64">
        <v>15586616.51</v>
      </c>
      <c r="C179" s="64">
        <v>19661179.25</v>
      </c>
      <c r="D179" s="64">
        <v>16422110.949999999</v>
      </c>
      <c r="E179" s="64">
        <v>13817389.810000001</v>
      </c>
      <c r="F179" s="64">
        <v>14923552.49</v>
      </c>
      <c r="G179" s="64">
        <v>19032801.07</v>
      </c>
      <c r="H179" s="64">
        <v>12734684.58</v>
      </c>
      <c r="I179" s="64">
        <v>11336876.699999999</v>
      </c>
      <c r="J179" s="64">
        <v>14279442.130000001</v>
      </c>
      <c r="K179" s="64"/>
      <c r="L179" s="64"/>
      <c r="M179" s="64"/>
      <c r="N179" s="70">
        <f t="shared" si="43"/>
        <v>137794653.48999998</v>
      </c>
      <c r="P179" s="52">
        <f t="shared" si="44"/>
        <v>11336876.699999999</v>
      </c>
    </row>
    <row r="180" spans="1:16">
      <c r="A180" s="61" t="s">
        <v>499</v>
      </c>
      <c r="B180" s="64">
        <v>8173657.8099999996</v>
      </c>
      <c r="C180" s="64">
        <v>3447860.5700000003</v>
      </c>
      <c r="D180" s="64">
        <v>17610904.030000001</v>
      </c>
      <c r="E180" s="64">
        <v>11873516.379999999</v>
      </c>
      <c r="F180" s="64">
        <v>8190844.7699999996</v>
      </c>
      <c r="G180" s="64">
        <v>13337143.73</v>
      </c>
      <c r="H180" s="64">
        <v>11806021.470000001</v>
      </c>
      <c r="I180" s="64">
        <v>11270507.6</v>
      </c>
      <c r="J180" s="64">
        <v>11967887.960000001</v>
      </c>
      <c r="K180" s="64"/>
      <c r="L180" s="64"/>
      <c r="M180" s="64"/>
      <c r="N180" s="70">
        <f t="shared" si="43"/>
        <v>97678344.319999993</v>
      </c>
      <c r="P180" s="52">
        <f t="shared" si="44"/>
        <v>11270507.6</v>
      </c>
    </row>
    <row r="181" spans="1:16">
      <c r="A181" s="61" t="s">
        <v>500</v>
      </c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70"/>
    </row>
    <row r="182" spans="1:16">
      <c r="A182" s="61" t="s">
        <v>501</v>
      </c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70"/>
    </row>
    <row r="183" spans="1:16">
      <c r="A183" s="61" t="s">
        <v>502</v>
      </c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70"/>
    </row>
    <row r="184" spans="1:16">
      <c r="A184" s="61" t="s">
        <v>503</v>
      </c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70"/>
    </row>
    <row r="185" spans="1:16">
      <c r="A185" s="61" t="s">
        <v>504</v>
      </c>
      <c r="B185" s="64">
        <f t="shared" ref="B185:I185" si="45">SUM(B186:B188)+SUM(B189:B193)*0.4</f>
        <v>265319.59503838257</v>
      </c>
      <c r="C185" s="64">
        <f t="shared" si="45"/>
        <v>199068.32305337428</v>
      </c>
      <c r="D185" s="64">
        <f t="shared" si="45"/>
        <v>356252.81075079081</v>
      </c>
      <c r="E185" s="64">
        <f t="shared" si="45"/>
        <v>1784760.3515097918</v>
      </c>
      <c r="F185" s="64">
        <f t="shared" si="45"/>
        <v>871924.4678367005</v>
      </c>
      <c r="G185" s="64">
        <f t="shared" si="45"/>
        <v>419162.45136574481</v>
      </c>
      <c r="H185" s="64">
        <f t="shared" si="45"/>
        <v>-1615220.4149439465</v>
      </c>
      <c r="I185" s="64">
        <f t="shared" si="45"/>
        <v>1048585.7471440821</v>
      </c>
      <c r="J185" s="64">
        <f>SUM(J186:J188)+SUM(J189:J193)*0.4</f>
        <v>478457.11821343744</v>
      </c>
      <c r="K185" s="64">
        <f>SUM(K186:K188)+SUM(K189:K193)*0.4</f>
        <v>0</v>
      </c>
      <c r="L185" s="64">
        <f>SUM(L186:L188)+SUM(L189:L193)*0.4</f>
        <v>0</v>
      </c>
      <c r="M185" s="64">
        <f>SUM(M186:M188)+SUM(M189:M193)*0.4</f>
        <v>0</v>
      </c>
      <c r="N185" s="70">
        <f>SUM(B185:M185)</f>
        <v>3808310.4499683576</v>
      </c>
    </row>
    <row r="186" spans="1:16">
      <c r="A186" s="61" t="s">
        <v>505</v>
      </c>
      <c r="B186" s="130">
        <v>0</v>
      </c>
      <c r="C186" s="130">
        <v>410.26079482154972</v>
      </c>
      <c r="D186" s="130">
        <v>0</v>
      </c>
      <c r="E186" s="130">
        <v>0</v>
      </c>
      <c r="F186" s="130">
        <v>0</v>
      </c>
      <c r="G186" s="130">
        <v>7134.7757246135679</v>
      </c>
      <c r="H186" s="64">
        <v>0</v>
      </c>
      <c r="I186" s="64">
        <v>0</v>
      </c>
      <c r="J186" s="64">
        <v>0</v>
      </c>
      <c r="K186" s="64"/>
      <c r="L186" s="64"/>
      <c r="M186" s="64"/>
      <c r="N186" s="70">
        <f t="shared" ref="N186:N193" si="46">SUM(B186:M186)</f>
        <v>7545.036519435118</v>
      </c>
      <c r="O186" s="52">
        <f>N186-SUM(B186:L186)</f>
        <v>0</v>
      </c>
    </row>
    <row r="187" spans="1:16">
      <c r="A187" s="61" t="s">
        <v>506</v>
      </c>
      <c r="B187" s="64">
        <v>53252.056358936352</v>
      </c>
      <c r="C187" s="64">
        <v>65645.940839924267</v>
      </c>
      <c r="D187" s="64">
        <v>81363.299836644946</v>
      </c>
      <c r="E187" s="64">
        <v>59406.170292923292</v>
      </c>
      <c r="F187" s="64">
        <v>50725.201978158992</v>
      </c>
      <c r="G187" s="64">
        <v>65019.624911640582</v>
      </c>
      <c r="H187" s="64">
        <v>50764.068714587032</v>
      </c>
      <c r="I187" s="64">
        <v>52567.510403356486</v>
      </c>
      <c r="J187" s="64">
        <v>50745.987366034351</v>
      </c>
      <c r="K187" s="64"/>
      <c r="L187" s="64"/>
      <c r="M187" s="64"/>
      <c r="N187" s="70">
        <f t="shared" si="46"/>
        <v>529489.86070220626</v>
      </c>
      <c r="O187" s="52">
        <f t="shared" ref="O187:O193" si="47">N187-SUM(B187:L187)</f>
        <v>0</v>
      </c>
    </row>
    <row r="188" spans="1:16">
      <c r="A188" s="61" t="s">
        <v>507</v>
      </c>
      <c r="B188" s="64">
        <v>0</v>
      </c>
      <c r="C188" s="64">
        <v>0</v>
      </c>
      <c r="D188" s="64">
        <v>0</v>
      </c>
      <c r="E188" s="64">
        <v>0</v>
      </c>
      <c r="F188" s="64">
        <v>0</v>
      </c>
      <c r="G188" s="64">
        <v>0</v>
      </c>
      <c r="H188" s="64">
        <v>0</v>
      </c>
      <c r="I188" s="64">
        <v>0</v>
      </c>
      <c r="J188" s="64">
        <v>0</v>
      </c>
      <c r="K188" s="64"/>
      <c r="L188" s="64"/>
      <c r="M188" s="64"/>
      <c r="N188" s="70">
        <f t="shared" si="46"/>
        <v>0</v>
      </c>
      <c r="O188" s="52">
        <f t="shared" si="47"/>
        <v>0</v>
      </c>
    </row>
    <row r="189" spans="1:16">
      <c r="A189" s="61" t="s">
        <v>508</v>
      </c>
      <c r="B189" s="64">
        <v>179430.80014359477</v>
      </c>
      <c r="C189" s="64">
        <v>92513.503465865666</v>
      </c>
      <c r="D189" s="64">
        <v>166931.4097750751</v>
      </c>
      <c r="E189" s="64">
        <v>0</v>
      </c>
      <c r="F189" s="64">
        <v>0</v>
      </c>
      <c r="G189" s="64">
        <v>0</v>
      </c>
      <c r="H189" s="64">
        <v>0</v>
      </c>
      <c r="I189" s="64">
        <v>720963.55453987001</v>
      </c>
      <c r="J189" s="64">
        <v>267455.90700474475</v>
      </c>
      <c r="K189" s="64"/>
      <c r="L189" s="64"/>
      <c r="M189" s="64"/>
      <c r="N189" s="70">
        <f t="shared" si="46"/>
        <v>1427295.1749291504</v>
      </c>
      <c r="O189" s="52">
        <f t="shared" si="47"/>
        <v>0</v>
      </c>
    </row>
    <row r="190" spans="1:16">
      <c r="A190" s="61" t="s">
        <v>509</v>
      </c>
      <c r="B190" s="64">
        <v>112475.8565550208</v>
      </c>
      <c r="C190" s="64">
        <v>106041.13190970558</v>
      </c>
      <c r="D190" s="64">
        <v>333927.85137928952</v>
      </c>
      <c r="E190" s="64">
        <v>31662.420179171113</v>
      </c>
      <c r="F190" s="64">
        <v>29497.478695353188</v>
      </c>
      <c r="G190" s="64">
        <v>106308.17288972721</v>
      </c>
      <c r="H190" s="64">
        <v>373105.67062566639</v>
      </c>
      <c r="I190" s="64">
        <v>12172.617545943305</v>
      </c>
      <c r="J190" s="64">
        <v>61132.343634763165</v>
      </c>
      <c r="K190" s="64"/>
      <c r="L190" s="64"/>
      <c r="M190" s="64"/>
      <c r="N190" s="70">
        <f t="shared" si="46"/>
        <v>1166323.5434146402</v>
      </c>
      <c r="O190" s="52">
        <f t="shared" si="47"/>
        <v>0</v>
      </c>
    </row>
    <row r="191" spans="1:16">
      <c r="A191" s="61" t="s">
        <v>510</v>
      </c>
      <c r="B191" s="64">
        <v>126976.17</v>
      </c>
      <c r="C191" s="64">
        <v>45072.268170999982</v>
      </c>
      <c r="D191" s="64">
        <v>25424.380599000026</v>
      </c>
      <c r="E191" s="64">
        <v>248423.15372199999</v>
      </c>
      <c r="F191" s="64">
        <v>268609.79399899999</v>
      </c>
      <c r="G191" s="64">
        <v>196786.09893400004</v>
      </c>
      <c r="H191" s="64">
        <v>-95078.014813999995</v>
      </c>
      <c r="I191" s="64">
        <v>1310961.7293890002</v>
      </c>
      <c r="J191" s="64">
        <v>295406.81999999983</v>
      </c>
      <c r="K191" s="64"/>
      <c r="L191" s="64"/>
      <c r="M191" s="64"/>
      <c r="N191" s="70">
        <f t="shared" si="46"/>
        <v>2422582.4</v>
      </c>
      <c r="O191" s="52">
        <f t="shared" si="47"/>
        <v>0</v>
      </c>
    </row>
    <row r="192" spans="1:16">
      <c r="A192" s="61" t="s">
        <v>511</v>
      </c>
      <c r="B192" s="64">
        <v>9435.4500000000007</v>
      </c>
      <c r="C192" s="64">
        <v>20371.95</v>
      </c>
      <c r="D192" s="64">
        <v>5431.965532000002</v>
      </c>
      <c r="E192" s="64">
        <v>3212165.0591409998</v>
      </c>
      <c r="F192" s="64">
        <v>1498202.7919520002</v>
      </c>
      <c r="G192" s="64">
        <v>459659.44499999937</v>
      </c>
      <c r="H192" s="64">
        <v>-4568188.7342349999</v>
      </c>
      <c r="I192" s="64">
        <v>153333.27537599998</v>
      </c>
      <c r="J192" s="64">
        <v>250000</v>
      </c>
      <c r="K192" s="64"/>
      <c r="L192" s="64"/>
      <c r="M192" s="64"/>
      <c r="N192" s="70">
        <f t="shared" si="46"/>
        <v>1040411.2027659998</v>
      </c>
      <c r="O192" s="52">
        <f t="shared" si="47"/>
        <v>0</v>
      </c>
    </row>
    <row r="193" spans="1:15">
      <c r="A193" s="61" t="s">
        <v>512</v>
      </c>
      <c r="B193" s="64">
        <v>101850.57</v>
      </c>
      <c r="C193" s="64">
        <v>68531.449999999983</v>
      </c>
      <c r="D193" s="64">
        <v>155508.17000000001</v>
      </c>
      <c r="E193" s="64">
        <v>821134.82000000018</v>
      </c>
      <c r="F193" s="64">
        <v>256688.10000000012</v>
      </c>
      <c r="G193" s="64">
        <v>104766.40999999992</v>
      </c>
      <c r="H193" s="64">
        <v>125199.86927699996</v>
      </c>
      <c r="I193" s="64">
        <v>292614.41500100004</v>
      </c>
      <c r="J193" s="64">
        <v>195282.75647899997</v>
      </c>
      <c r="K193" s="64"/>
      <c r="L193" s="64"/>
      <c r="M193" s="64"/>
      <c r="N193" s="70">
        <f t="shared" si="46"/>
        <v>2121576.560757</v>
      </c>
      <c r="O193" s="52">
        <f t="shared" si="47"/>
        <v>0</v>
      </c>
    </row>
    <row r="194" spans="1:15">
      <c r="A194" s="61" t="s">
        <v>513</v>
      </c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70"/>
    </row>
    <row r="195" spans="1:15">
      <c r="A195" s="61" t="s">
        <v>514</v>
      </c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71"/>
    </row>
    <row r="197" spans="1:15">
      <c r="K197">
        <v>29.538</v>
      </c>
      <c r="L197">
        <v>29.97</v>
      </c>
      <c r="M197">
        <v>30.347999999999999</v>
      </c>
    </row>
    <row r="198" spans="1:15">
      <c r="B198">
        <v>207024.94</v>
      </c>
      <c r="C198">
        <v>94770.789999999979</v>
      </c>
      <c r="D198">
        <v>202903.62</v>
      </c>
      <c r="E198">
        <v>231037.62000000002</v>
      </c>
      <c r="F198">
        <v>296743.89</v>
      </c>
      <c r="G198">
        <v>564587.84</v>
      </c>
      <c r="H198">
        <v>377027.31568100001</v>
      </c>
      <c r="I198">
        <v>254555.52431900011</v>
      </c>
      <c r="J198">
        <v>557927.07835099986</v>
      </c>
      <c r="K198">
        <v>737807.12721633341</v>
      </c>
      <c r="L198">
        <v>737807.12721633341</v>
      </c>
      <c r="M198">
        <v>737807.12721633341</v>
      </c>
    </row>
    <row r="199" spans="1:15">
      <c r="B199" s="94">
        <f>B198*B3</f>
        <v>7595592.1172733558</v>
      </c>
      <c r="C199" s="94">
        <f t="shared" ref="C199:J199" si="48">C198*C3</f>
        <v>3561268.9923172141</v>
      </c>
      <c r="D199" s="94">
        <f t="shared" si="48"/>
        <v>8085683.0758877434</v>
      </c>
      <c r="E199" s="94">
        <f t="shared" si="48"/>
        <v>9859109.1749061961</v>
      </c>
      <c r="F199" s="94">
        <f t="shared" si="48"/>
        <v>12946745.430267384</v>
      </c>
      <c r="G199" s="94">
        <f t="shared" si="48"/>
        <v>25534732.803126398</v>
      </c>
      <c r="H199" s="94">
        <f t="shared" si="48"/>
        <v>17687937.325755868</v>
      </c>
      <c r="I199" s="94">
        <f t="shared" si="48"/>
        <v>12041114.331393214</v>
      </c>
      <c r="J199" s="94">
        <f t="shared" si="48"/>
        <v>26969051.216976713</v>
      </c>
      <c r="K199" s="94">
        <f>K198*K197</f>
        <v>21793346.923716057</v>
      </c>
      <c r="L199" s="94">
        <f>L198*L197</f>
        <v>22112079.602673512</v>
      </c>
      <c r="M199" s="94">
        <f>M198*M197</f>
        <v>22390970.696761284</v>
      </c>
    </row>
    <row r="201" spans="1:15">
      <c r="K201">
        <f>K198/3</f>
        <v>245935.70907211115</v>
      </c>
    </row>
    <row r="205" spans="1:15">
      <c r="G205">
        <f>'gerç aylık-tl'!G60/'gerç aylık-eur'!G60</f>
        <v>45.227209999999999</v>
      </c>
    </row>
    <row r="206" spans="1:15">
      <c r="G206">
        <f>'gerç aylık-tl'!G61/'gerç aylık-eur'!G61</f>
        <v>45.22720999999995</v>
      </c>
    </row>
    <row r="207" spans="1:15">
      <c r="G207">
        <f>'gerç aylık-tl'!G62/'gerç aylık-eur'!G62</f>
        <v>45.227210000000056</v>
      </c>
    </row>
    <row r="208" spans="1:15">
      <c r="G208">
        <f>'gerç aylık-tl'!G63/'gerç aylık-eur'!G63</f>
        <v>45.227210000000092</v>
      </c>
    </row>
    <row r="209" spans="7:7">
      <c r="G209">
        <f>'gerç aylık-tl'!G64/'gerç aylık-eur'!G64</f>
        <v>45.227210000000255</v>
      </c>
    </row>
    <row r="210" spans="7:7">
      <c r="G210">
        <f>'gerç aylık-tl'!G65/'gerç aylık-eur'!G65</f>
        <v>45.227210000000092</v>
      </c>
    </row>
    <row r="211" spans="7:7">
      <c r="G211">
        <f>'gerç aylık-tl'!G66/'gerç aylık-eur'!G66</f>
        <v>45.227209999999999</v>
      </c>
    </row>
  </sheetData>
  <pageMargins left="0.7" right="0.7" top="0.75" bottom="0.75" header="0.3" footer="0.3"/>
  <customProperties>
    <customPr name="_pios_id" r:id="rId1"/>
    <customPr name="CofWorksheetType" r:id="rId2"/>
    <customPr name="EpmWorksheetKeyString_GUID" r:id="rId3"/>
  </customPropertie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D282F-DA56-4F26-9AB2-EED23AE23685}">
  <sheetPr>
    <tabColor rgb="FF0070C0"/>
  </sheetPr>
  <dimension ref="A1:X195"/>
  <sheetViews>
    <sheetView showGridLines="0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9" sqref="B9"/>
    </sheetView>
  </sheetViews>
  <sheetFormatPr defaultRowHeight="14.5"/>
  <cols>
    <col min="1" max="1" width="28.453125" bestFit="1" customWidth="1"/>
    <col min="2" max="8" width="15.453125" bestFit="1" customWidth="1"/>
    <col min="9" max="11" width="14.7265625" bestFit="1" customWidth="1"/>
    <col min="12" max="13" width="15.453125" bestFit="1" customWidth="1"/>
    <col min="14" max="14" width="14.1796875" bestFit="1" customWidth="1"/>
    <col min="16" max="16" width="13.453125" bestFit="1" customWidth="1"/>
    <col min="17" max="17" width="14.26953125" bestFit="1" customWidth="1"/>
  </cols>
  <sheetData>
    <row r="1" spans="1:14">
      <c r="A1" s="60" t="s">
        <v>449</v>
      </c>
      <c r="B1" s="61" t="s">
        <v>450</v>
      </c>
      <c r="C1" s="61" t="s">
        <v>451</v>
      </c>
      <c r="D1" s="61" t="s">
        <v>452</v>
      </c>
      <c r="E1" s="61" t="s">
        <v>453</v>
      </c>
      <c r="F1" s="61" t="s">
        <v>454</v>
      </c>
      <c r="G1" s="61" t="s">
        <v>455</v>
      </c>
      <c r="H1" s="61" t="s">
        <v>456</v>
      </c>
      <c r="I1" s="61" t="s">
        <v>457</v>
      </c>
      <c r="J1" s="61" t="s">
        <v>458</v>
      </c>
      <c r="K1" s="61" t="s">
        <v>459</v>
      </c>
      <c r="L1" s="61" t="s">
        <v>460</v>
      </c>
      <c r="M1" s="61" t="s">
        <v>461</v>
      </c>
      <c r="N1" s="68" t="s">
        <v>462</v>
      </c>
    </row>
    <row r="2" spans="1:14">
      <c r="A2" s="61" t="s">
        <v>175</v>
      </c>
      <c r="B2" s="62">
        <f>'gerç aylık-eur'!B2</f>
        <v>37.184399999999997</v>
      </c>
      <c r="C2" s="62">
        <f>'gerç aylık-eur'!C2</f>
        <v>38.103999999999999</v>
      </c>
      <c r="D2" s="62">
        <f>'gerç aylık-eur'!D2</f>
        <v>40.701900000000002</v>
      </c>
      <c r="E2" s="62">
        <f>'gerç aylık-eur'!E2</f>
        <v>43.6858</v>
      </c>
      <c r="F2" s="62">
        <f>'gerç aylık-eur'!F2</f>
        <v>44.270600000000002</v>
      </c>
      <c r="G2" s="62">
        <f>'gerç aylık-eur'!G2</f>
        <v>46.552599999999998</v>
      </c>
      <c r="H2" s="62">
        <f>'gerç aylık-eur'!H2</f>
        <v>46.7684</v>
      </c>
      <c r="I2" s="62">
        <f>'gerç aylık-eur'!I2</f>
        <v>47.784100000000002</v>
      </c>
      <c r="J2" s="62">
        <f>'gerç aylık-eur'!J2</f>
        <v>48.647899999999993</v>
      </c>
      <c r="K2" s="62" t="e">
        <f>'gerç aylık-eur'!K2</f>
        <v>#DIV/0!</v>
      </c>
      <c r="L2" s="62" t="e">
        <f>'gerç aylık-eur'!L2</f>
        <v>#DIV/0!</v>
      </c>
      <c r="M2" s="62" t="e">
        <f>'gerç aylık-eur'!M2</f>
        <v>#DIV/0!</v>
      </c>
      <c r="N2" s="69"/>
    </row>
    <row r="3" spans="1:14">
      <c r="A3" s="61" t="s">
        <v>176</v>
      </c>
      <c r="B3" s="62">
        <f>'gerç aylık-eur'!B3</f>
        <v>36.689261290322584</v>
      </c>
      <c r="C3" s="62">
        <f>'gerç aylık-eur'!C3</f>
        <v>37.57770714285715</v>
      </c>
      <c r="D3" s="62">
        <f>'gerç aylık-eur'!D3</f>
        <v>39.849870967741943</v>
      </c>
      <c r="E3" s="62">
        <f>'gerç aylık-eur'!E3</f>
        <v>42.673176666666649</v>
      </c>
      <c r="F3" s="62">
        <f>'gerç aylık-eur'!F3</f>
        <v>43.629358064516119</v>
      </c>
      <c r="G3" s="62">
        <f>'gerç aylık-eur'!G3</f>
        <v>45.227209999999999</v>
      </c>
      <c r="H3" s="62">
        <f>'gerç aylık-eur'!H3</f>
        <v>46.914206451612912</v>
      </c>
      <c r="I3" s="62">
        <f>'gerç aylık-eur'!I3</f>
        <v>47.302506451612928</v>
      </c>
      <c r="J3" s="62">
        <f>'gerç aylık-eur'!J3</f>
        <v>48.337949999999999</v>
      </c>
      <c r="K3" s="62" t="e">
        <f>'gerç aylık-eur'!K3</f>
        <v>#DIV/0!</v>
      </c>
      <c r="L3" s="62" t="e">
        <f>'gerç aylık-eur'!L3</f>
        <v>#DIV/0!</v>
      </c>
      <c r="M3" s="62" t="e">
        <f>'gerç aylık-eur'!M3</f>
        <v>#DIV/0!</v>
      </c>
      <c r="N3" s="69"/>
    </row>
    <row r="4" spans="1:14">
      <c r="A4" s="61" t="s">
        <v>178</v>
      </c>
      <c r="B4" s="64">
        <f>SUM(B5:B7)+SUM(B8:B12)*0.4</f>
        <v>1108323900.5098851</v>
      </c>
      <c r="C4" s="64">
        <f>SUM(C5:C7)+SUM(C8:C12)*0.4</f>
        <v>1018036724.3288656</v>
      </c>
      <c r="D4" s="64">
        <f t="shared" ref="D4:I4" si="0">SUM(D5:D7)+SUM(D8:D12)*0.4</f>
        <v>1116680625.327153</v>
      </c>
      <c r="E4" s="64">
        <f t="shared" si="0"/>
        <v>1135215925.4054241</v>
      </c>
      <c r="F4" s="64">
        <f t="shared" si="0"/>
        <v>1234686963.0705419</v>
      </c>
      <c r="G4" s="64">
        <f t="shared" si="0"/>
        <v>1072721651.3164947</v>
      </c>
      <c r="H4" s="64">
        <f t="shared" si="0"/>
        <v>1276100809.988601</v>
      </c>
      <c r="I4" s="64">
        <f t="shared" si="0"/>
        <v>1036995077.4614034</v>
      </c>
      <c r="J4" s="64">
        <f>SUM(J5:J7)+SUM(J8:J12)*0.4</f>
        <v>1264247222.1315184</v>
      </c>
      <c r="K4" s="64">
        <f>SUM(K5:K7)+SUM(K8:K12)*0.4</f>
        <v>0</v>
      </c>
      <c r="L4" s="64">
        <f>SUM(L5:L7)+SUM(L8:L12)*0.4</f>
        <v>0</v>
      </c>
      <c r="M4" s="64">
        <f>SUM(M5:M7)+SUM(M8:M12)*0.4</f>
        <v>0</v>
      </c>
      <c r="N4" s="70">
        <f>SUM(B4:M4)</f>
        <v>10263008899.539886</v>
      </c>
    </row>
    <row r="5" spans="1:14">
      <c r="A5" s="61" t="s">
        <v>179</v>
      </c>
      <c r="B5" s="23">
        <v>27685618.760000002</v>
      </c>
      <c r="C5" s="23">
        <v>27240937.43</v>
      </c>
      <c r="D5" s="23">
        <v>31535255.789999999</v>
      </c>
      <c r="E5" s="23">
        <v>29402553.02</v>
      </c>
      <c r="F5" s="23">
        <v>33960256.899999999</v>
      </c>
      <c r="G5" s="23">
        <v>30228396.75</v>
      </c>
      <c r="H5" s="23">
        <v>34244104.310000002</v>
      </c>
      <c r="I5" s="23">
        <v>28560673.09</v>
      </c>
      <c r="J5" s="23">
        <v>38184861.780000001</v>
      </c>
      <c r="K5" s="23"/>
      <c r="L5" s="23"/>
      <c r="M5" s="23"/>
      <c r="N5" s="70">
        <f t="shared" ref="N5:N12" si="1">SUM(B5:M5)</f>
        <v>281042657.82999998</v>
      </c>
    </row>
    <row r="6" spans="1:14">
      <c r="A6" s="61" t="s">
        <v>180</v>
      </c>
      <c r="B6" s="23">
        <v>32357755.789999999</v>
      </c>
      <c r="C6" s="23">
        <v>35193652.340000004</v>
      </c>
      <c r="D6" s="23">
        <v>27740792.986951999</v>
      </c>
      <c r="E6" s="23">
        <v>19929064.649999999</v>
      </c>
      <c r="F6" s="23">
        <v>30761832.024137001</v>
      </c>
      <c r="G6" s="23">
        <v>28657698.271554999</v>
      </c>
      <c r="H6" s="23">
        <v>32542328.115862999</v>
      </c>
      <c r="I6" s="23">
        <v>23673542.793625001</v>
      </c>
      <c r="J6" s="23">
        <v>21918891.565492999</v>
      </c>
      <c r="K6" s="23"/>
      <c r="L6" s="23"/>
      <c r="M6" s="23"/>
      <c r="N6" s="70">
        <f t="shared" si="1"/>
        <v>252775558.53762498</v>
      </c>
    </row>
    <row r="7" spans="1:14">
      <c r="A7" s="61" t="s">
        <v>181</v>
      </c>
      <c r="B7" s="23">
        <v>35513406</v>
      </c>
      <c r="C7" s="23">
        <v>39038405.439999998</v>
      </c>
      <c r="D7" s="23">
        <v>60533764.219999999</v>
      </c>
      <c r="E7" s="23">
        <v>53992372.090000004</v>
      </c>
      <c r="F7" s="23">
        <v>32613902.629999999</v>
      </c>
      <c r="G7" s="23">
        <v>40687120</v>
      </c>
      <c r="H7" s="23">
        <v>43498745.082999997</v>
      </c>
      <c r="I7" s="23">
        <v>39339382.658</v>
      </c>
      <c r="J7" s="23">
        <v>43053392</v>
      </c>
      <c r="K7" s="23"/>
      <c r="L7" s="23"/>
      <c r="M7" s="23"/>
      <c r="N7" s="70">
        <f t="shared" si="1"/>
        <v>388270490.12099999</v>
      </c>
    </row>
    <row r="8" spans="1:14">
      <c r="A8" s="61" t="s">
        <v>182</v>
      </c>
      <c r="B8" s="23">
        <v>782938063.39272201</v>
      </c>
      <c r="C8" s="23">
        <v>568538272.47659802</v>
      </c>
      <c r="D8" s="23">
        <v>508107712.36039102</v>
      </c>
      <c r="E8" s="23">
        <v>530641674.386563</v>
      </c>
      <c r="F8" s="23">
        <v>622131820.50458097</v>
      </c>
      <c r="G8" s="23">
        <v>392537865.89451092</v>
      </c>
      <c r="H8" s="23">
        <v>768493134.594257</v>
      </c>
      <c r="I8" s="23">
        <v>676204104.31007099</v>
      </c>
      <c r="J8" s="23">
        <v>520131339.97574103</v>
      </c>
      <c r="K8" s="23"/>
      <c r="L8" s="23"/>
      <c r="M8" s="23"/>
      <c r="N8" s="70">
        <f t="shared" si="1"/>
        <v>5369723987.8954344</v>
      </c>
    </row>
    <row r="9" spans="1:14">
      <c r="A9" s="61" t="s">
        <v>183</v>
      </c>
      <c r="B9" s="23">
        <v>220670632.91999999</v>
      </c>
      <c r="C9" s="23">
        <v>213814573.56</v>
      </c>
      <c r="D9" s="23">
        <v>256039547.94408</v>
      </c>
      <c r="E9" s="23">
        <v>217190611.34000003</v>
      </c>
      <c r="F9" s="23">
        <v>245295850.72999999</v>
      </c>
      <c r="G9" s="23">
        <v>197850836.74000001</v>
      </c>
      <c r="H9" s="23">
        <v>248473969.84</v>
      </c>
      <c r="I9" s="23">
        <v>216259699.13000003</v>
      </c>
      <c r="J9" s="23">
        <v>261201150.17999902</v>
      </c>
      <c r="K9" s="23"/>
      <c r="L9" s="23"/>
      <c r="M9" s="23"/>
      <c r="N9" s="70">
        <f t="shared" si="1"/>
        <v>2076796872.3840792</v>
      </c>
    </row>
    <row r="10" spans="1:14">
      <c r="A10" s="61" t="s">
        <v>184</v>
      </c>
      <c r="B10" s="23">
        <v>425797958.99209809</v>
      </c>
      <c r="C10" s="23">
        <v>433764461.23906916</v>
      </c>
      <c r="D10" s="23">
        <v>495059691.95639431</v>
      </c>
      <c r="E10" s="23">
        <v>516055035.604424</v>
      </c>
      <c r="F10" s="23">
        <v>552264529.50169766</v>
      </c>
      <c r="G10" s="23">
        <v>564304126.55731869</v>
      </c>
      <c r="H10" s="23">
        <v>505302493.35364908</v>
      </c>
      <c r="I10" s="23">
        <v>452429420.28705376</v>
      </c>
      <c r="J10" s="23">
        <v>571097340.53259325</v>
      </c>
      <c r="K10" s="23"/>
      <c r="L10" s="23"/>
      <c r="M10" s="23"/>
      <c r="N10" s="70">
        <f t="shared" si="1"/>
        <v>4516075058.0242977</v>
      </c>
    </row>
    <row r="11" spans="1:14">
      <c r="A11" s="61" t="s">
        <v>185</v>
      </c>
      <c r="B11" s="23">
        <v>287297253.8614369</v>
      </c>
      <c r="C11" s="23">
        <v>328159694.0726437</v>
      </c>
      <c r="D11" s="23">
        <v>356633680.54717755</v>
      </c>
      <c r="E11" s="23">
        <v>374518592.54713416</v>
      </c>
      <c r="F11" s="23">
        <v>353121421.86434257</v>
      </c>
      <c r="G11" s="23">
        <v>327589214.14316642</v>
      </c>
      <c r="H11" s="23">
        <v>377541295.76695955</v>
      </c>
      <c r="I11" s="23">
        <v>306178248.94203234</v>
      </c>
      <c r="J11" s="23">
        <v>463530310.19122338</v>
      </c>
      <c r="K11" s="23"/>
      <c r="L11" s="23"/>
      <c r="M11" s="23"/>
      <c r="N11" s="70">
        <f t="shared" si="1"/>
        <v>3174569711.9361172</v>
      </c>
    </row>
    <row r="12" spans="1:14">
      <c r="A12" s="61" t="s">
        <v>186</v>
      </c>
      <c r="B12" s="23">
        <v>815213890.73345566</v>
      </c>
      <c r="C12" s="23">
        <v>747132321.44885278</v>
      </c>
      <c r="D12" s="23">
        <v>876336398.01745975</v>
      </c>
      <c r="E12" s="23">
        <v>941323925.23543894</v>
      </c>
      <c r="F12" s="23">
        <v>1070563806.1903912</v>
      </c>
      <c r="G12" s="23">
        <v>950589047.40235293</v>
      </c>
      <c r="H12" s="23">
        <v>1014728187.6444793</v>
      </c>
      <c r="I12" s="23">
        <v>712482224.6302886</v>
      </c>
      <c r="J12" s="23">
        <v>1086765051.0855064</v>
      </c>
      <c r="K12" s="23"/>
      <c r="L12" s="23"/>
      <c r="M12" s="23"/>
      <c r="N12" s="70">
        <f t="shared" si="1"/>
        <v>8215134852.3882256</v>
      </c>
    </row>
    <row r="13" spans="1:14">
      <c r="A13" s="61" t="s">
        <v>187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70"/>
    </row>
    <row r="14" spans="1:14">
      <c r="A14" s="61" t="s">
        <v>188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70"/>
    </row>
    <row r="15" spans="1:14">
      <c r="A15" s="61" t="s">
        <v>190</v>
      </c>
      <c r="B15" s="23">
        <f t="shared" ref="B15:M15" si="2">SUM(B16:B18)+SUM(B19:B23)*0.4</f>
        <v>-916411931.44896662</v>
      </c>
      <c r="C15" s="23">
        <f t="shared" si="2"/>
        <v>-820665589.25922298</v>
      </c>
      <c r="D15" s="23">
        <f t="shared" si="2"/>
        <v>-913483734.52400446</v>
      </c>
      <c r="E15" s="23">
        <f t="shared" si="2"/>
        <v>-933323447.61904085</v>
      </c>
      <c r="F15" s="23">
        <f t="shared" si="2"/>
        <v>-987341140.50344527</v>
      </c>
      <c r="G15" s="23">
        <f t="shared" si="2"/>
        <v>-875585772.93423545</v>
      </c>
      <c r="H15" s="23">
        <f t="shared" si="2"/>
        <v>-1042668316.8876371</v>
      </c>
      <c r="I15" s="23">
        <f t="shared" si="2"/>
        <v>-839888610.40502715</v>
      </c>
      <c r="J15" s="23">
        <f t="shared" si="2"/>
        <v>-957188852.91998076</v>
      </c>
      <c r="K15" s="23">
        <f t="shared" si="2"/>
        <v>0</v>
      </c>
      <c r="L15" s="23">
        <f t="shared" si="2"/>
        <v>0</v>
      </c>
      <c r="M15" s="23">
        <f t="shared" si="2"/>
        <v>0</v>
      </c>
      <c r="N15" s="70">
        <f>SUM(B15:M15)</f>
        <v>-8286557396.5015612</v>
      </c>
    </row>
    <row r="16" spans="1:14">
      <c r="A16" s="61" t="s">
        <v>191</v>
      </c>
      <c r="B16" s="23">
        <v>0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/>
      <c r="L16" s="23"/>
      <c r="M16" s="23"/>
      <c r="N16" s="70">
        <f t="shared" ref="N16:N23" si="3">SUM(B16:M16)</f>
        <v>0</v>
      </c>
    </row>
    <row r="17" spans="1:14">
      <c r="A17" s="61" t="s">
        <v>192</v>
      </c>
      <c r="B17" s="23">
        <v>-28145427.663504999</v>
      </c>
      <c r="C17" s="23">
        <v>-27637679.955736998</v>
      </c>
      <c r="D17" s="23">
        <v>-20405832.244677</v>
      </c>
      <c r="E17" s="23">
        <v>-14859398.46407</v>
      </c>
      <c r="F17" s="23">
        <v>-23048734.322161</v>
      </c>
      <c r="G17" s="23">
        <v>-20451302.711984001</v>
      </c>
      <c r="H17" s="23">
        <v>-23495814.940000001</v>
      </c>
      <c r="I17" s="23">
        <v>-17601703.486033</v>
      </c>
      <c r="J17" s="23">
        <v>-16906119.841513999</v>
      </c>
      <c r="K17" s="23"/>
      <c r="L17" s="23"/>
      <c r="M17" s="23"/>
      <c r="N17" s="70">
        <f t="shared" si="3"/>
        <v>-192552013.62968096</v>
      </c>
    </row>
    <row r="18" spans="1:14">
      <c r="A18" s="61" t="s">
        <v>193</v>
      </c>
      <c r="B18" s="23">
        <v>-29799025.010000002</v>
      </c>
      <c r="C18" s="23">
        <v>-33355665.670000002</v>
      </c>
      <c r="D18" s="23">
        <v>-53126185.159999996</v>
      </c>
      <c r="E18" s="23">
        <v>-47001658.439999998</v>
      </c>
      <c r="F18" s="23">
        <v>-25833389.530000001</v>
      </c>
      <c r="G18" s="23">
        <v>-34239881</v>
      </c>
      <c r="H18" s="23">
        <v>-35406733.210000001</v>
      </c>
      <c r="I18" s="23">
        <v>-33172102.399999999</v>
      </c>
      <c r="J18" s="23">
        <v>-34819707.119999997</v>
      </c>
      <c r="K18" s="23"/>
      <c r="L18" s="23"/>
      <c r="M18" s="23"/>
      <c r="N18" s="70">
        <f t="shared" si="3"/>
        <v>-326754347.54000002</v>
      </c>
    </row>
    <row r="19" spans="1:14">
      <c r="A19" s="61" t="s">
        <v>194</v>
      </c>
      <c r="B19" s="23">
        <v>-666190015.047032</v>
      </c>
      <c r="C19" s="23">
        <v>-459718299.60278398</v>
      </c>
      <c r="D19" s="23">
        <v>-438170602.69104898</v>
      </c>
      <c r="E19" s="23">
        <v>-472543625.13543904</v>
      </c>
      <c r="F19" s="23">
        <v>-545847960.83401597</v>
      </c>
      <c r="G19" s="23">
        <v>-352697394.24279201</v>
      </c>
      <c r="H19" s="23">
        <v>-710616409.28406203</v>
      </c>
      <c r="I19" s="23">
        <v>-564060295.86965001</v>
      </c>
      <c r="J19" s="23">
        <v>-440498387.943268</v>
      </c>
      <c r="K19" s="23"/>
      <c r="L19" s="23"/>
      <c r="M19" s="23"/>
      <c r="N19" s="70">
        <f t="shared" si="3"/>
        <v>-4650342990.6500921</v>
      </c>
    </row>
    <row r="20" spans="1:14">
      <c r="A20" s="61" t="s">
        <v>195</v>
      </c>
      <c r="B20" s="23">
        <v>-176362588.123723</v>
      </c>
      <c r="C20" s="23">
        <v>-164018741.737308</v>
      </c>
      <c r="D20" s="23">
        <v>-208744127.58930504</v>
      </c>
      <c r="E20" s="23">
        <v>-176072076.21628696</v>
      </c>
      <c r="F20" s="23">
        <v>-190890318.036138</v>
      </c>
      <c r="G20" s="23">
        <v>-154659360.07896501</v>
      </c>
      <c r="H20" s="23">
        <v>-197030848.58944699</v>
      </c>
      <c r="I20" s="23">
        <v>-163807983.36896199</v>
      </c>
      <c r="J20" s="23">
        <v>-204016322.431611</v>
      </c>
      <c r="K20" s="23"/>
      <c r="L20" s="23"/>
      <c r="M20" s="23"/>
      <c r="N20" s="70">
        <f t="shared" si="3"/>
        <v>-1635602366.171746</v>
      </c>
    </row>
    <row r="21" spans="1:14">
      <c r="A21" s="61" t="s">
        <v>196</v>
      </c>
      <c r="B21" s="23">
        <v>-374585522.18539393</v>
      </c>
      <c r="C21" s="23">
        <v>-355948727.91529727</v>
      </c>
      <c r="D21" s="23">
        <v>-399311973.01710588</v>
      </c>
      <c r="E21" s="23">
        <v>-419492967.63277692</v>
      </c>
      <c r="F21" s="23">
        <v>-447779191.96265525</v>
      </c>
      <c r="G21" s="23">
        <v>-463117633.35111469</v>
      </c>
      <c r="H21" s="23">
        <v>-409545085.09750736</v>
      </c>
      <c r="I21" s="23">
        <v>-380473959.55478638</v>
      </c>
      <c r="J21" s="23">
        <v>-424774954.67346221</v>
      </c>
      <c r="K21" s="23"/>
      <c r="L21" s="23"/>
      <c r="M21" s="23"/>
      <c r="N21" s="70">
        <f t="shared" si="3"/>
        <v>-3675030015.3901</v>
      </c>
    </row>
    <row r="22" spans="1:14">
      <c r="A22" s="61" t="s">
        <v>197</v>
      </c>
      <c r="B22" s="23">
        <v>-222371738.22628587</v>
      </c>
      <c r="C22" s="23">
        <v>-236616864.53773275</v>
      </c>
      <c r="D22" s="23">
        <v>-265758520.09874335</v>
      </c>
      <c r="E22" s="23">
        <v>-258686527.350647</v>
      </c>
      <c r="F22" s="23">
        <v>-259743178.67586017</v>
      </c>
      <c r="G22" s="23">
        <v>-237824515.87974787</v>
      </c>
      <c r="H22" s="23">
        <v>-255685636.90786409</v>
      </c>
      <c r="I22" s="23">
        <v>-220955376.9429912</v>
      </c>
      <c r="J22" s="23">
        <v>-299184208.9876141</v>
      </c>
      <c r="K22" s="23"/>
      <c r="L22" s="23"/>
      <c r="M22" s="23"/>
      <c r="N22" s="70">
        <f t="shared" si="3"/>
        <v>-2256826567.6074862</v>
      </c>
    </row>
    <row r="23" spans="1:14">
      <c r="A23" s="61" t="s">
        <v>198</v>
      </c>
      <c r="B23" s="23">
        <v>-706658833.35621905</v>
      </c>
      <c r="C23" s="23">
        <v>-682877975.29059303</v>
      </c>
      <c r="D23" s="23">
        <v>-787894069.40211499</v>
      </c>
      <c r="E23" s="23">
        <v>-851860780.45227706</v>
      </c>
      <c r="F23" s="23">
        <v>-901886892.11954117</v>
      </c>
      <c r="G23" s="23">
        <v>-843937569.50300872</v>
      </c>
      <c r="H23" s="23">
        <v>-886536441.96521223</v>
      </c>
      <c r="I23" s="23">
        <v>-643489395.56109583</v>
      </c>
      <c r="J23" s="23">
        <v>-895183690.86021137</v>
      </c>
      <c r="K23" s="23"/>
      <c r="L23" s="23"/>
      <c r="M23" s="23"/>
      <c r="N23" s="70">
        <f t="shared" si="3"/>
        <v>-7200325648.510273</v>
      </c>
    </row>
    <row r="24" spans="1:14">
      <c r="A24" s="61" t="s">
        <v>199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70"/>
    </row>
    <row r="25" spans="1:14">
      <c r="A25" s="61" t="s">
        <v>200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70"/>
    </row>
    <row r="26" spans="1:14">
      <c r="A26" s="61" t="s">
        <v>202</v>
      </c>
      <c r="B26" s="23">
        <f t="shared" ref="B26:M26" si="4">SUM(B27:B29)+SUM(B30:B34)*0.4</f>
        <v>191911969.06091854</v>
      </c>
      <c r="C26" s="23">
        <f t="shared" si="4"/>
        <v>197371135.06964248</v>
      </c>
      <c r="D26" s="23">
        <f t="shared" si="4"/>
        <v>203196890.80314875</v>
      </c>
      <c r="E26" s="23">
        <f t="shared" si="4"/>
        <v>201892477.78638327</v>
      </c>
      <c r="F26" s="23">
        <f t="shared" si="4"/>
        <v>247345822.5670968</v>
      </c>
      <c r="G26" s="23">
        <f t="shared" si="4"/>
        <v>197135878.38225931</v>
      </c>
      <c r="H26" s="23">
        <f t="shared" si="4"/>
        <v>233432493.10096386</v>
      </c>
      <c r="I26" s="23">
        <f t="shared" si="4"/>
        <v>197106467.05637613</v>
      </c>
      <c r="J26" s="23">
        <f t="shared" si="4"/>
        <v>307058369.21153766</v>
      </c>
      <c r="K26" s="23">
        <f t="shared" si="4"/>
        <v>0</v>
      </c>
      <c r="L26" s="23">
        <f t="shared" si="4"/>
        <v>0</v>
      </c>
      <c r="M26" s="23">
        <f t="shared" si="4"/>
        <v>0</v>
      </c>
      <c r="N26" s="70">
        <f>SUM(B26:M26)</f>
        <v>1976451503.0383267</v>
      </c>
    </row>
    <row r="27" spans="1:14">
      <c r="A27" s="61" t="s">
        <v>203</v>
      </c>
      <c r="B27" s="23">
        <v>27685618.760000002</v>
      </c>
      <c r="C27" s="23">
        <v>27240937.43</v>
      </c>
      <c r="D27" s="23">
        <v>31535255.789999999</v>
      </c>
      <c r="E27" s="23">
        <v>29402553.02</v>
      </c>
      <c r="F27" s="23">
        <v>33960256.899999999</v>
      </c>
      <c r="G27" s="23">
        <v>30228396.75</v>
      </c>
      <c r="H27" s="23">
        <v>34244104.310000002</v>
      </c>
      <c r="I27" s="23">
        <v>28560673.09</v>
      </c>
      <c r="J27" s="23">
        <v>38184861.780000001</v>
      </c>
      <c r="K27" s="23"/>
      <c r="L27" s="23"/>
      <c r="M27" s="23"/>
      <c r="N27" s="70">
        <f t="shared" ref="N27:N34" si="5">SUM(B27:M27)</f>
        <v>281042657.82999998</v>
      </c>
    </row>
    <row r="28" spans="1:14">
      <c r="A28" s="61" t="s">
        <v>204</v>
      </c>
      <c r="B28" s="23">
        <v>4212328.126495</v>
      </c>
      <c r="C28" s="23">
        <v>7555972.3842630051</v>
      </c>
      <c r="D28" s="23">
        <v>7334960.7422749996</v>
      </c>
      <c r="E28" s="23">
        <v>5069666.1859299988</v>
      </c>
      <c r="F28" s="23">
        <v>7713097.7019760013</v>
      </c>
      <c r="G28" s="23">
        <v>8206395.559570998</v>
      </c>
      <c r="H28" s="23">
        <v>9046513.1758629978</v>
      </c>
      <c r="I28" s="23">
        <v>6071839.3075920008</v>
      </c>
      <c r="J28" s="23">
        <v>5012771.723979</v>
      </c>
      <c r="K28" s="23"/>
      <c r="L28" s="23"/>
      <c r="M28" s="23"/>
      <c r="N28" s="70">
        <f t="shared" si="5"/>
        <v>60223544.907943994</v>
      </c>
    </row>
    <row r="29" spans="1:14">
      <c r="A29" s="61" t="s">
        <v>205</v>
      </c>
      <c r="B29" s="23">
        <v>5714380.9899999984</v>
      </c>
      <c r="C29" s="23">
        <v>5682739.7699999958</v>
      </c>
      <c r="D29" s="23">
        <v>7407579.0600000024</v>
      </c>
      <c r="E29" s="23">
        <v>6990713.650000006</v>
      </c>
      <c r="F29" s="23">
        <v>6780513.0999999978</v>
      </c>
      <c r="G29" s="23">
        <v>6447239</v>
      </c>
      <c r="H29" s="23">
        <v>8092011.8729999959</v>
      </c>
      <c r="I29" s="23">
        <v>6167280.2580000013</v>
      </c>
      <c r="J29" s="23">
        <v>8233684.8800000027</v>
      </c>
      <c r="K29" s="23"/>
      <c r="L29" s="23"/>
      <c r="M29" s="23"/>
      <c r="N29" s="70">
        <f t="shared" si="5"/>
        <v>61516142.581</v>
      </c>
    </row>
    <row r="30" spans="1:14">
      <c r="A30" s="61" t="s">
        <v>206</v>
      </c>
      <c r="B30" s="23">
        <v>116748048.34569</v>
      </c>
      <c r="C30" s="23">
        <v>108819972.87381403</v>
      </c>
      <c r="D30" s="23">
        <v>69937109.669342041</v>
      </c>
      <c r="E30" s="23">
        <v>58098049.251123965</v>
      </c>
      <c r="F30" s="23">
        <v>76283859.670565054</v>
      </c>
      <c r="G30" s="23">
        <v>39840471.651718915</v>
      </c>
      <c r="H30" s="23">
        <v>57876725.310194939</v>
      </c>
      <c r="I30" s="23">
        <v>112143808.440421</v>
      </c>
      <c r="J30" s="23">
        <v>79632952.032473013</v>
      </c>
      <c r="K30" s="23"/>
      <c r="L30" s="23"/>
      <c r="M30" s="23"/>
      <c r="N30" s="70">
        <f t="shared" si="5"/>
        <v>719380997.24534285</v>
      </c>
    </row>
    <row r="31" spans="1:14">
      <c r="A31" s="61" t="s">
        <v>207</v>
      </c>
      <c r="B31" s="23">
        <v>44308044.796276987</v>
      </c>
      <c r="C31" s="23">
        <v>49795831.822692022</v>
      </c>
      <c r="D31" s="23">
        <v>47295420.354774967</v>
      </c>
      <c r="E31" s="23">
        <v>41118535.123713054</v>
      </c>
      <c r="F31" s="23">
        <v>54405532.693861984</v>
      </c>
      <c r="G31" s="23">
        <v>43191476.661035009</v>
      </c>
      <c r="H31" s="23">
        <v>51443121.250553019</v>
      </c>
      <c r="I31" s="23">
        <v>52451715.761038028</v>
      </c>
      <c r="J31" s="23">
        <v>57184827.748388015</v>
      </c>
      <c r="K31" s="23"/>
      <c r="L31" s="23"/>
      <c r="M31" s="23"/>
      <c r="N31" s="70">
        <f t="shared" si="5"/>
        <v>441194506.21233302</v>
      </c>
    </row>
    <row r="32" spans="1:14">
      <c r="A32" s="61" t="s">
        <v>208</v>
      </c>
      <c r="B32" s="23">
        <v>51212436.806704178</v>
      </c>
      <c r="C32" s="23">
        <v>77815733.323771879</v>
      </c>
      <c r="D32" s="23">
        <v>95747718.939288408</v>
      </c>
      <c r="E32" s="23">
        <v>96562067.971647084</v>
      </c>
      <c r="F32" s="23">
        <v>104485337.53904246</v>
      </c>
      <c r="G32" s="23">
        <v>101186493.20620403</v>
      </c>
      <c r="H32" s="23">
        <v>95757408.256141692</v>
      </c>
      <c r="I32" s="23">
        <v>71955460.732267424</v>
      </c>
      <c r="J32" s="23">
        <v>146322385.85913107</v>
      </c>
      <c r="K32" s="23"/>
      <c r="L32" s="23"/>
      <c r="M32" s="23"/>
      <c r="N32" s="70">
        <f t="shared" si="5"/>
        <v>841045042.63419819</v>
      </c>
    </row>
    <row r="33" spans="1:16">
      <c r="A33" s="61" t="s">
        <v>209</v>
      </c>
      <c r="B33" s="23">
        <v>64925515.635151044</v>
      </c>
      <c r="C33" s="23">
        <v>91542829.534910947</v>
      </c>
      <c r="D33" s="23">
        <v>90875160.448434204</v>
      </c>
      <c r="E33" s="23">
        <v>115832065.19648716</v>
      </c>
      <c r="F33" s="23">
        <v>93378243.188482448</v>
      </c>
      <c r="G33" s="23">
        <v>89764698.263418555</v>
      </c>
      <c r="H33" s="23">
        <v>121855658.85909545</v>
      </c>
      <c r="I33" s="23">
        <v>85222871.99904114</v>
      </c>
      <c r="J33" s="23">
        <v>164346101.20360929</v>
      </c>
      <c r="K33" s="23"/>
      <c r="L33" s="23"/>
      <c r="M33" s="23"/>
      <c r="N33" s="70">
        <f t="shared" si="5"/>
        <v>917743144.32863021</v>
      </c>
    </row>
    <row r="34" spans="1:16">
      <c r="A34" s="61" t="s">
        <v>210</v>
      </c>
      <c r="B34" s="23">
        <v>108555057.37723663</v>
      </c>
      <c r="C34" s="23">
        <v>64254346.158259809</v>
      </c>
      <c r="D34" s="23">
        <v>88442328.615344763</v>
      </c>
      <c r="E34" s="23">
        <v>89463144.783161879</v>
      </c>
      <c r="F34" s="23">
        <v>168676914.07085001</v>
      </c>
      <c r="G34" s="23">
        <v>106651477.89934427</v>
      </c>
      <c r="H34" s="23">
        <v>128191745.67926705</v>
      </c>
      <c r="I34" s="23">
        <v>68992829.069192782</v>
      </c>
      <c r="J34" s="23">
        <v>191581360.22529513</v>
      </c>
      <c r="K34" s="23"/>
      <c r="L34" s="23"/>
      <c r="M34" s="23"/>
      <c r="N34" s="70">
        <f t="shared" si="5"/>
        <v>1014809203.8779523</v>
      </c>
    </row>
    <row r="35" spans="1:16">
      <c r="A35" s="61" t="s">
        <v>211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70"/>
    </row>
    <row r="36" spans="1:16">
      <c r="A36" s="61" t="s">
        <v>212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70"/>
    </row>
    <row r="37" spans="1:16">
      <c r="A37" s="61" t="s">
        <v>214</v>
      </c>
      <c r="B37" s="23">
        <f t="shared" ref="B37:M37" si="6">SUM(B38:B40)+SUM(B41:B45)*0.4</f>
        <v>-97550806.001764342</v>
      </c>
      <c r="C37" s="23">
        <f t="shared" si="6"/>
        <v>-108438424.62902758</v>
      </c>
      <c r="D37" s="23">
        <f t="shared" si="6"/>
        <v>-111710424.20477255</v>
      </c>
      <c r="E37" s="23">
        <f t="shared" si="6"/>
        <v>-134399466.20880485</v>
      </c>
      <c r="F37" s="23">
        <f t="shared" si="6"/>
        <v>-124511943.98803662</v>
      </c>
      <c r="G37" s="23">
        <f t="shared" si="6"/>
        <v>-112324350.26512168</v>
      </c>
      <c r="H37" s="23">
        <f t="shared" si="6"/>
        <v>-116346706.95936537</v>
      </c>
      <c r="I37" s="23">
        <f t="shared" si="6"/>
        <v>-105255287.38514695</v>
      </c>
      <c r="J37" s="23">
        <f t="shared" si="6"/>
        <v>-114050393.46244103</v>
      </c>
      <c r="K37" s="23">
        <f t="shared" si="6"/>
        <v>0</v>
      </c>
      <c r="L37" s="23">
        <f t="shared" si="6"/>
        <v>0</v>
      </c>
      <c r="M37" s="23">
        <f t="shared" si="6"/>
        <v>0</v>
      </c>
      <c r="N37" s="70">
        <f>SUM(B37:M37)</f>
        <v>-1024587803.104481</v>
      </c>
    </row>
    <row r="38" spans="1:16">
      <c r="A38" s="61" t="s">
        <v>215</v>
      </c>
      <c r="B38" s="23">
        <v>-13908733.560000001</v>
      </c>
      <c r="C38" s="23">
        <v>-15580324.32</v>
      </c>
      <c r="D38" s="23">
        <v>-18014795.949999999</v>
      </c>
      <c r="E38" s="23">
        <v>-23684564.539999999</v>
      </c>
      <c r="F38" s="23">
        <v>-15480455</v>
      </c>
      <c r="G38" s="23">
        <v>-16768772.52</v>
      </c>
      <c r="H38" s="23">
        <v>-17918474.52</v>
      </c>
      <c r="I38" s="23">
        <v>-14804118</v>
      </c>
      <c r="J38" s="23">
        <v>-15051949.220000001</v>
      </c>
      <c r="K38" s="23"/>
      <c r="L38" s="23"/>
      <c r="M38" s="23"/>
      <c r="N38" s="70">
        <f t="shared" ref="N38:N45" si="7">SUM(B38:M38)</f>
        <v>-151212187.63</v>
      </c>
      <c r="P38" s="137"/>
    </row>
    <row r="39" spans="1:16">
      <c r="A39" s="61" t="s">
        <v>216</v>
      </c>
      <c r="B39" s="23">
        <v>-4636262.4038039995</v>
      </c>
      <c r="C39" s="23">
        <v>-6112877.9729800001</v>
      </c>
      <c r="D39" s="23">
        <v>-6517322.3891009996</v>
      </c>
      <c r="E39" s="23">
        <v>-5902307.9965620004</v>
      </c>
      <c r="F39" s="23">
        <v>-6478808.8957679998</v>
      </c>
      <c r="G39" s="23">
        <v>-7244181.688023</v>
      </c>
      <c r="H39" s="23">
        <v>-6700360.818</v>
      </c>
      <c r="I39" s="23">
        <v>-5365273.8788930001</v>
      </c>
      <c r="J39" s="23">
        <v>-6704177.40515</v>
      </c>
      <c r="K39" s="23"/>
      <c r="L39" s="23"/>
      <c r="M39" s="23"/>
      <c r="N39" s="70">
        <f t="shared" si="7"/>
        <v>-55661573.448281005</v>
      </c>
    </row>
    <row r="40" spans="1:16">
      <c r="A40" s="61" t="s">
        <v>217</v>
      </c>
      <c r="B40" s="23">
        <v>-4472559.76</v>
      </c>
      <c r="C40" s="23">
        <v>-4498993.4677440003</v>
      </c>
      <c r="D40" s="23">
        <v>-7063145.6799999997</v>
      </c>
      <c r="E40" s="23">
        <v>-6046773.5954290004</v>
      </c>
      <c r="F40" s="23">
        <v>-5349688.6291410001</v>
      </c>
      <c r="G40" s="23">
        <v>-5734390</v>
      </c>
      <c r="H40" s="23">
        <v>-6753341.6704639997</v>
      </c>
      <c r="I40" s="23">
        <v>-5123112.1229229998</v>
      </c>
      <c r="J40" s="23">
        <v>-5584196.2629709998</v>
      </c>
      <c r="K40" s="23"/>
      <c r="L40" s="23"/>
      <c r="M40" s="23"/>
      <c r="N40" s="70">
        <f t="shared" si="7"/>
        <v>-50626201.188671999</v>
      </c>
    </row>
    <row r="41" spans="1:16">
      <c r="A41" s="61" t="s">
        <v>218</v>
      </c>
      <c r="B41" s="23">
        <v>-76373898.645620003</v>
      </c>
      <c r="C41" s="23">
        <v>-85403645.312724978</v>
      </c>
      <c r="D41" s="23">
        <v>-91660457.136327997</v>
      </c>
      <c r="E41" s="23">
        <v>-88282545.810666993</v>
      </c>
      <c r="F41" s="23">
        <v>-84747557.155908003</v>
      </c>
      <c r="G41" s="23">
        <v>-79651607.008184001</v>
      </c>
      <c r="H41" s="23">
        <v>-78716459.858815998</v>
      </c>
      <c r="I41" s="23">
        <v>-79742287.956765994</v>
      </c>
      <c r="J41" s="23">
        <v>-76948584.848621994</v>
      </c>
      <c r="K41" s="23"/>
      <c r="L41" s="23"/>
      <c r="M41" s="23"/>
      <c r="N41" s="70">
        <f t="shared" si="7"/>
        <v>-741527043.7336359</v>
      </c>
    </row>
    <row r="42" spans="1:16">
      <c r="A42" s="61" t="s">
        <v>219</v>
      </c>
      <c r="B42" s="23">
        <v>-35177923.950428002</v>
      </c>
      <c r="C42" s="23">
        <v>-33084416.284969002</v>
      </c>
      <c r="D42" s="23">
        <v>-29591551.625847001</v>
      </c>
      <c r="E42" s="23">
        <v>-46042395.223936997</v>
      </c>
      <c r="F42" s="23">
        <v>-53267443.285424002</v>
      </c>
      <c r="G42" s="23">
        <v>-40221886.738943003</v>
      </c>
      <c r="H42" s="23">
        <v>-37466051.914126001</v>
      </c>
      <c r="I42" s="23">
        <v>-37664770.124558002</v>
      </c>
      <c r="J42" s="23">
        <v>-38009504.928778999</v>
      </c>
      <c r="K42" s="23"/>
      <c r="L42" s="23"/>
      <c r="M42" s="23"/>
      <c r="N42" s="70">
        <f t="shared" si="7"/>
        <v>-350525944.07701099</v>
      </c>
    </row>
    <row r="43" spans="1:16">
      <c r="A43" s="61" t="s">
        <v>220</v>
      </c>
      <c r="B43" s="23">
        <v>-24638458.787337583</v>
      </c>
      <c r="C43" s="23">
        <v>-30731461.880430076</v>
      </c>
      <c r="D43" s="23">
        <v>-28209914.937445167</v>
      </c>
      <c r="E43" s="23">
        <v>-40639912.028954618</v>
      </c>
      <c r="F43" s="23">
        <v>-36125734.558707573</v>
      </c>
      <c r="G43" s="23">
        <v>-29313373.93511799</v>
      </c>
      <c r="H43" s="23">
        <v>-28492184.038345683</v>
      </c>
      <c r="I43" s="23">
        <v>-21300127.553035237</v>
      </c>
      <c r="J43" s="23">
        <v>-28760614.27216202</v>
      </c>
      <c r="K43" s="23"/>
      <c r="L43" s="23"/>
      <c r="M43" s="23"/>
      <c r="N43" s="70">
        <f t="shared" si="7"/>
        <v>-268211781.99153593</v>
      </c>
    </row>
    <row r="44" spans="1:16">
      <c r="A44" s="61" t="s">
        <v>221</v>
      </c>
      <c r="B44" s="23">
        <v>-15094553.892623326</v>
      </c>
      <c r="C44" s="23">
        <v>-18327569.930504721</v>
      </c>
      <c r="D44" s="23">
        <v>-11133611.614819357</v>
      </c>
      <c r="E44" s="23">
        <v>-29343667.132026128</v>
      </c>
      <c r="F44" s="23">
        <v>-21435510.679007515</v>
      </c>
      <c r="G44" s="23">
        <v>-17405300.553133484</v>
      </c>
      <c r="H44" s="23">
        <v>-21271441.656819619</v>
      </c>
      <c r="I44" s="23">
        <v>-16329236.75890292</v>
      </c>
      <c r="J44" s="23">
        <v>-25227849.697797008</v>
      </c>
      <c r="K44" s="23"/>
      <c r="L44" s="23"/>
      <c r="M44" s="23"/>
      <c r="N44" s="70">
        <f t="shared" si="7"/>
        <v>-175568741.91563407</v>
      </c>
    </row>
    <row r="45" spans="1:16">
      <c r="A45" s="61" t="s">
        <v>222</v>
      </c>
      <c r="B45" s="23">
        <v>-35048290.418891974</v>
      </c>
      <c r="C45" s="23">
        <v>-38068478.762130149</v>
      </c>
      <c r="D45" s="23">
        <v>-39692365.149739355</v>
      </c>
      <c r="E45" s="23">
        <v>-42606029.996449895</v>
      </c>
      <c r="F45" s="23">
        <v>-47431232.978771895</v>
      </c>
      <c r="G45" s="23">
        <v>-39850346.907368198</v>
      </c>
      <c r="H45" s="23">
        <v>-46490187.409146078</v>
      </c>
      <c r="I45" s="23">
        <v>-44870536.065065213</v>
      </c>
      <c r="J45" s="23">
        <v>-47828622.68844001</v>
      </c>
      <c r="K45" s="23"/>
      <c r="L45" s="23"/>
      <c r="M45" s="23"/>
      <c r="N45" s="70">
        <f t="shared" si="7"/>
        <v>-381886090.37600279</v>
      </c>
    </row>
    <row r="46" spans="1:16">
      <c r="A46" s="61" t="s">
        <v>223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70"/>
    </row>
    <row r="47" spans="1:16">
      <c r="A47" s="61" t="s">
        <v>224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70"/>
    </row>
    <row r="48" spans="1:16">
      <c r="A48" s="61" t="s">
        <v>226</v>
      </c>
      <c r="B48" s="23">
        <f t="shared" ref="B48:M48" si="8">SUM(B49:B51)+SUM(B52:B56)*0.4</f>
        <v>2836.666925922581</v>
      </c>
      <c r="C48" s="23">
        <f t="shared" si="8"/>
        <v>14764.431447257146</v>
      </c>
      <c r="D48" s="23">
        <f t="shared" si="8"/>
        <v>227053.24741083878</v>
      </c>
      <c r="E48" s="23">
        <f t="shared" si="8"/>
        <v>-705764.32910361327</v>
      </c>
      <c r="F48" s="23">
        <f t="shared" si="8"/>
        <v>-26775.511561625826</v>
      </c>
      <c r="G48" s="23">
        <f t="shared" si="8"/>
        <v>-149139.61951643997</v>
      </c>
      <c r="H48" s="23">
        <f t="shared" si="8"/>
        <v>1611432.9956168775</v>
      </c>
      <c r="I48" s="23">
        <f t="shared" si="8"/>
        <v>60170.680306709692</v>
      </c>
      <c r="J48" s="23">
        <f t="shared" si="8"/>
        <v>135760.99961100004</v>
      </c>
      <c r="K48" s="23">
        <f t="shared" si="8"/>
        <v>0</v>
      </c>
      <c r="L48" s="23">
        <f t="shared" si="8"/>
        <v>0</v>
      </c>
      <c r="M48" s="23">
        <f t="shared" si="8"/>
        <v>0</v>
      </c>
      <c r="N48" s="70">
        <f>SUM(B48:M48)</f>
        <v>1170339.5611369265</v>
      </c>
    </row>
    <row r="49" spans="1:14">
      <c r="A49" s="61" t="s">
        <v>227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/>
      <c r="L49" s="23"/>
      <c r="M49" s="23"/>
      <c r="N49" s="70">
        <f t="shared" ref="N49:N56" si="9">SUM(B49:M49)</f>
        <v>0</v>
      </c>
    </row>
    <row r="50" spans="1:14">
      <c r="A50" s="61" t="s">
        <v>228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/>
      <c r="L50" s="23"/>
      <c r="M50" s="23"/>
      <c r="N50" s="70">
        <f t="shared" si="9"/>
        <v>0</v>
      </c>
    </row>
    <row r="51" spans="1:14">
      <c r="A51" s="61" t="s">
        <v>229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/>
      <c r="L51" s="23"/>
      <c r="M51" s="23"/>
      <c r="N51" s="70">
        <f t="shared" si="9"/>
        <v>0</v>
      </c>
    </row>
    <row r="52" spans="1:14">
      <c r="A52" s="61" t="s">
        <v>230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/>
      <c r="L52" s="23"/>
      <c r="M52" s="23"/>
      <c r="N52" s="70">
        <f t="shared" si="9"/>
        <v>0</v>
      </c>
    </row>
    <row r="53" spans="1:14">
      <c r="A53" s="61" t="s">
        <v>231</v>
      </c>
      <c r="B53" s="23">
        <v>0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/>
      <c r="L53" s="23"/>
      <c r="M53" s="23"/>
      <c r="N53" s="70">
        <f t="shared" si="9"/>
        <v>0</v>
      </c>
    </row>
    <row r="54" spans="1:14">
      <c r="A54" s="61" t="s">
        <v>232</v>
      </c>
      <c r="B54" s="23">
        <v>7091.6673148064519</v>
      </c>
      <c r="C54" s="23">
        <v>36911.078618142863</v>
      </c>
      <c r="D54" s="23">
        <v>327444.39724838716</v>
      </c>
      <c r="E54" s="23">
        <v>-1249999.3334588998</v>
      </c>
      <c r="F54" s="23">
        <v>-67250.292520645206</v>
      </c>
      <c r="G54" s="23">
        <v>-918048.59263389988</v>
      </c>
      <c r="H54" s="23">
        <v>4029252.4239103226</v>
      </c>
      <c r="I54" s="23">
        <v>150426.70076677421</v>
      </c>
      <c r="J54" s="23">
        <v>20176.26033000007</v>
      </c>
      <c r="K54" s="23"/>
      <c r="L54" s="23"/>
      <c r="M54" s="23"/>
      <c r="N54" s="70">
        <f t="shared" si="9"/>
        <v>2336004.3095749887</v>
      </c>
    </row>
    <row r="55" spans="1:14">
      <c r="A55" s="61" t="s">
        <v>233</v>
      </c>
      <c r="B55" s="23">
        <v>0</v>
      </c>
      <c r="C55" s="23">
        <v>0</v>
      </c>
      <c r="D55" s="23">
        <v>0</v>
      </c>
      <c r="E55" s="23">
        <v>0</v>
      </c>
      <c r="F55" s="23">
        <v>311.51361658064508</v>
      </c>
      <c r="G55" s="23">
        <v>0</v>
      </c>
      <c r="H55" s="23">
        <v>-669.93486812903234</v>
      </c>
      <c r="I55" s="23">
        <v>0</v>
      </c>
      <c r="J55" s="23">
        <v>690.26592599999992</v>
      </c>
      <c r="K55" s="23"/>
      <c r="L55" s="23"/>
      <c r="M55" s="23"/>
      <c r="N55" s="70">
        <f t="shared" si="9"/>
        <v>331.84467445161266</v>
      </c>
    </row>
    <row r="56" spans="1:14">
      <c r="A56" s="61" t="s">
        <v>234</v>
      </c>
      <c r="B56" s="23">
        <v>0</v>
      </c>
      <c r="C56" s="23">
        <v>0</v>
      </c>
      <c r="D56" s="23">
        <v>240188.72127870974</v>
      </c>
      <c r="E56" s="23">
        <v>-514411.48930013325</v>
      </c>
      <c r="F56" s="23">
        <v>0</v>
      </c>
      <c r="G56" s="23">
        <v>545199.54384279996</v>
      </c>
      <c r="H56" s="23">
        <v>0</v>
      </c>
      <c r="I56" s="23">
        <v>0</v>
      </c>
      <c r="J56" s="23">
        <v>318535.9727715</v>
      </c>
      <c r="K56" s="23"/>
      <c r="L56" s="23"/>
      <c r="M56" s="23"/>
      <c r="N56" s="70">
        <f t="shared" si="9"/>
        <v>589512.74859287648</v>
      </c>
    </row>
    <row r="57" spans="1:14">
      <c r="A57" s="61" t="s">
        <v>235</v>
      </c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70"/>
    </row>
    <row r="58" spans="1:14">
      <c r="A58" s="61" t="s">
        <v>236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70"/>
    </row>
    <row r="59" spans="1:14">
      <c r="A59" s="61" t="s">
        <v>238</v>
      </c>
      <c r="B59" s="23">
        <f t="shared" ref="B59:M59" si="10">SUM(B60:B62)+SUM(B63:B67)*0.4</f>
        <v>94361163.059154183</v>
      </c>
      <c r="C59" s="23">
        <f t="shared" si="10"/>
        <v>88932710.440614909</v>
      </c>
      <c r="D59" s="23">
        <f t="shared" si="10"/>
        <v>91486466.5983762</v>
      </c>
      <c r="E59" s="23">
        <f t="shared" si="10"/>
        <v>67493011.577578396</v>
      </c>
      <c r="F59" s="23">
        <f t="shared" si="10"/>
        <v>122833878.57906018</v>
      </c>
      <c r="G59" s="23">
        <f t="shared" si="10"/>
        <v>84811528.117137641</v>
      </c>
      <c r="H59" s="23">
        <f t="shared" si="10"/>
        <v>117085786.14159849</v>
      </c>
      <c r="I59" s="23">
        <f t="shared" si="10"/>
        <v>91851179.671229199</v>
      </c>
      <c r="J59" s="23">
        <f t="shared" si="10"/>
        <v>193007975.7490966</v>
      </c>
      <c r="K59" s="23">
        <f t="shared" si="10"/>
        <v>0</v>
      </c>
      <c r="L59" s="23">
        <f t="shared" si="10"/>
        <v>0</v>
      </c>
      <c r="M59" s="23">
        <f t="shared" si="10"/>
        <v>0</v>
      </c>
      <c r="N59" s="70">
        <f>SUM(B59:M59)</f>
        <v>951863699.93384588</v>
      </c>
    </row>
    <row r="60" spans="1:14">
      <c r="A60" s="61" t="s">
        <v>239</v>
      </c>
      <c r="B60" s="23">
        <v>13776885.200000001</v>
      </c>
      <c r="C60" s="23">
        <v>11660613.109999999</v>
      </c>
      <c r="D60" s="23">
        <v>13520459.84</v>
      </c>
      <c r="E60" s="23">
        <v>5717988.4800000004</v>
      </c>
      <c r="F60" s="23">
        <v>18479801.899999999</v>
      </c>
      <c r="G60" s="23">
        <v>13459624.23</v>
      </c>
      <c r="H60" s="23">
        <v>16325629.790000003</v>
      </c>
      <c r="I60" s="23">
        <v>13756555.09</v>
      </c>
      <c r="J60" s="23">
        <v>23132912.560000002</v>
      </c>
      <c r="K60" s="23"/>
      <c r="L60" s="23"/>
      <c r="M60" s="23"/>
      <c r="N60" s="70">
        <f t="shared" ref="N60:N67" si="11">SUM(B60:M60)</f>
        <v>129830470.20000002</v>
      </c>
    </row>
    <row r="61" spans="1:14">
      <c r="A61" s="61" t="s">
        <v>240</v>
      </c>
      <c r="B61" s="23">
        <v>-423934.27730899956</v>
      </c>
      <c r="C61" s="23">
        <v>1443094.411283005</v>
      </c>
      <c r="D61" s="23">
        <v>817638.35317400005</v>
      </c>
      <c r="E61" s="23">
        <v>-832641.81063200161</v>
      </c>
      <c r="F61" s="23">
        <v>1234288.8062080014</v>
      </c>
      <c r="G61" s="23">
        <v>962213.87154799793</v>
      </c>
      <c r="H61" s="23">
        <v>2346152.3578629978</v>
      </c>
      <c r="I61" s="23">
        <v>706565.42869900074</v>
      </c>
      <c r="J61" s="23">
        <v>-1691405.681171</v>
      </c>
      <c r="K61" s="23"/>
      <c r="L61" s="23"/>
      <c r="M61" s="23"/>
      <c r="N61" s="70">
        <f t="shared" si="11"/>
        <v>4561971.4596630018</v>
      </c>
    </row>
    <row r="62" spans="1:14">
      <c r="A62" s="61" t="s">
        <v>241</v>
      </c>
      <c r="B62" s="23">
        <v>1241821.2299999986</v>
      </c>
      <c r="C62" s="23">
        <v>1183746.3022559956</v>
      </c>
      <c r="D62" s="23">
        <v>344433.38000000268</v>
      </c>
      <c r="E62" s="23">
        <v>943940.05457100552</v>
      </c>
      <c r="F62" s="23">
        <v>1430824.4708589977</v>
      </c>
      <c r="G62" s="23">
        <v>712849</v>
      </c>
      <c r="H62" s="23">
        <v>1338670.2025359962</v>
      </c>
      <c r="I62" s="23">
        <v>1044168.1350770015</v>
      </c>
      <c r="J62" s="23">
        <v>2649488.6170290029</v>
      </c>
      <c r="K62" s="23"/>
      <c r="L62" s="23"/>
      <c r="M62" s="23"/>
      <c r="N62" s="70">
        <f t="shared" si="11"/>
        <v>10889941.392328002</v>
      </c>
    </row>
    <row r="63" spans="1:14">
      <c r="A63" s="61" t="s">
        <v>242</v>
      </c>
      <c r="B63" s="23">
        <v>40374149.700069986</v>
      </c>
      <c r="C63" s="23">
        <v>23416327.561089043</v>
      </c>
      <c r="D63" s="23">
        <v>-21723347.466985956</v>
      </c>
      <c r="E63" s="23">
        <v>-30184496.559543032</v>
      </c>
      <c r="F63" s="23">
        <v>-8463697.4853429571</v>
      </c>
      <c r="G63" s="23">
        <v>-39811135.356465094</v>
      </c>
      <c r="H63" s="23">
        <v>-20839734.548621066</v>
      </c>
      <c r="I63" s="23">
        <v>32401520.483654998</v>
      </c>
      <c r="J63" s="23">
        <v>2684367.183851013</v>
      </c>
      <c r="K63" s="23"/>
      <c r="L63" s="23"/>
      <c r="M63" s="23"/>
      <c r="N63" s="70">
        <f t="shared" si="11"/>
        <v>-22146046.488293059</v>
      </c>
    </row>
    <row r="64" spans="1:14">
      <c r="A64" s="61" t="s">
        <v>243</v>
      </c>
      <c r="B64" s="23">
        <v>9130120.8458489832</v>
      </c>
      <c r="C64" s="23">
        <v>16711415.537723023</v>
      </c>
      <c r="D64" s="23">
        <v>17703868.728927962</v>
      </c>
      <c r="E64" s="23">
        <v>-4923860.1002239436</v>
      </c>
      <c r="F64" s="23">
        <v>1138089.4084379822</v>
      </c>
      <c r="G64" s="23">
        <v>2969589.9220920028</v>
      </c>
      <c r="H64" s="23">
        <v>13977069.336427016</v>
      </c>
      <c r="I64" s="23">
        <v>14786945.636480022</v>
      </c>
      <c r="J64" s="23">
        <v>19175322.819609012</v>
      </c>
      <c r="K64" s="23"/>
      <c r="L64" s="23"/>
      <c r="M64" s="23"/>
      <c r="N64" s="70">
        <f t="shared" si="11"/>
        <v>90668562.135322064</v>
      </c>
    </row>
    <row r="65" spans="1:14">
      <c r="A65" s="61" t="s">
        <v>244</v>
      </c>
      <c r="B65" s="23">
        <v>26573978.019366592</v>
      </c>
      <c r="C65" s="23">
        <v>47084271.443341799</v>
      </c>
      <c r="D65" s="23">
        <v>67537804.001843229</v>
      </c>
      <c r="E65" s="23">
        <v>55922155.942692459</v>
      </c>
      <c r="F65" s="23">
        <v>68359602.980334878</v>
      </c>
      <c r="G65" s="23">
        <v>71873119.271086037</v>
      </c>
      <c r="H65" s="23">
        <v>67265224.217795998</v>
      </c>
      <c r="I65" s="23">
        <v>50655333.17923218</v>
      </c>
      <c r="J65" s="23">
        <v>117561771.58696905</v>
      </c>
      <c r="K65" s="23"/>
      <c r="L65" s="23"/>
      <c r="M65" s="23"/>
      <c r="N65" s="70">
        <f t="shared" si="11"/>
        <v>572833260.64266229</v>
      </c>
    </row>
    <row r="66" spans="1:14">
      <c r="A66" s="61" t="s">
        <v>245</v>
      </c>
      <c r="B66" s="23">
        <v>49830961.742527716</v>
      </c>
      <c r="C66" s="23">
        <v>73215259.604406238</v>
      </c>
      <c r="D66" s="23">
        <v>79741548.833614841</v>
      </c>
      <c r="E66" s="23">
        <v>86488398.064461023</v>
      </c>
      <c r="F66" s="23">
        <v>71942732.509474933</v>
      </c>
      <c r="G66" s="23">
        <v>72359397.710285068</v>
      </c>
      <c r="H66" s="23">
        <v>100584217.20227584</v>
      </c>
      <c r="I66" s="23">
        <v>68893635.240138218</v>
      </c>
      <c r="J66" s="23">
        <v>139118251.50581229</v>
      </c>
      <c r="K66" s="23"/>
      <c r="L66" s="23"/>
      <c r="M66" s="23"/>
      <c r="N66" s="70">
        <f t="shared" si="11"/>
        <v>742174402.41299605</v>
      </c>
    </row>
    <row r="67" spans="1:14">
      <c r="A67" s="61" t="s">
        <v>246</v>
      </c>
      <c r="B67" s="23">
        <v>73506766.958344653</v>
      </c>
      <c r="C67" s="23">
        <v>26185867.396129657</v>
      </c>
      <c r="D67" s="23">
        <v>48749963.465605401</v>
      </c>
      <c r="E67" s="23">
        <v>46857114.786711976</v>
      </c>
      <c r="F67" s="23">
        <v>121245681.09207812</v>
      </c>
      <c r="G67" s="23">
        <v>66801130.99197606</v>
      </c>
      <c r="H67" s="23">
        <v>81701558.270120963</v>
      </c>
      <c r="I67" s="23">
        <v>24122293.004127562</v>
      </c>
      <c r="J67" s="23">
        <v>143752737.5368551</v>
      </c>
      <c r="K67" s="23"/>
      <c r="L67" s="23"/>
      <c r="M67" s="23"/>
      <c r="N67" s="70">
        <f t="shared" si="11"/>
        <v>632923113.50194955</v>
      </c>
    </row>
    <row r="68" spans="1:14">
      <c r="A68" s="61" t="s">
        <v>247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70"/>
    </row>
    <row r="69" spans="1:14">
      <c r="A69" s="61" t="s">
        <v>248</v>
      </c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70"/>
    </row>
    <row r="70" spans="1:14">
      <c r="A70" s="61" t="s">
        <v>250</v>
      </c>
      <c r="B70" s="23">
        <f t="shared" ref="B70:M70" si="12">SUM(B71:B73)+SUM(B74:B78)*0.4</f>
        <v>27032811.087285705</v>
      </c>
      <c r="C70" s="23">
        <f t="shared" si="12"/>
        <v>26106313.921988033</v>
      </c>
      <c r="D70" s="23">
        <f t="shared" si="12"/>
        <v>29872204.268164169</v>
      </c>
      <c r="E70" s="23">
        <f t="shared" si="12"/>
        <v>32076065.102982979</v>
      </c>
      <c r="F70" s="23">
        <f t="shared" si="12"/>
        <v>32598058.835017629</v>
      </c>
      <c r="G70" s="23">
        <f t="shared" si="12"/>
        <v>32703811.052093156</v>
      </c>
      <c r="H70" s="23">
        <f t="shared" si="12"/>
        <v>34932163.643586107</v>
      </c>
      <c r="I70" s="23">
        <f t="shared" si="12"/>
        <v>35694185.295436405</v>
      </c>
      <c r="J70" s="23">
        <f t="shared" si="12"/>
        <v>35082223.810715012</v>
      </c>
      <c r="K70" s="23">
        <f t="shared" si="12"/>
        <v>0</v>
      </c>
      <c r="L70" s="23">
        <f t="shared" si="12"/>
        <v>0</v>
      </c>
      <c r="M70" s="23">
        <f t="shared" si="12"/>
        <v>0</v>
      </c>
      <c r="N70" s="70">
        <f>SUM(B70:M70)</f>
        <v>286097837.01726919</v>
      </c>
    </row>
    <row r="71" spans="1:14">
      <c r="A71" s="61" t="s">
        <v>251</v>
      </c>
      <c r="B71" s="23">
        <v>179966.64</v>
      </c>
      <c r="C71" s="23">
        <v>179966.45</v>
      </c>
      <c r="D71" s="23">
        <v>180737.64</v>
      </c>
      <c r="E71" s="23">
        <v>179485.58</v>
      </c>
      <c r="F71" s="23">
        <v>179605</v>
      </c>
      <c r="G71" s="23">
        <v>277371</v>
      </c>
      <c r="H71" s="23">
        <v>177285</v>
      </c>
      <c r="I71" s="23">
        <v>236339.69</v>
      </c>
      <c r="J71" s="23">
        <v>193360</v>
      </c>
      <c r="K71" s="23"/>
      <c r="L71" s="23"/>
      <c r="M71" s="23"/>
      <c r="N71" s="70">
        <f t="shared" ref="N71:N78" si="13">SUM(B71:M71)</f>
        <v>1784117</v>
      </c>
    </row>
    <row r="72" spans="1:14">
      <c r="A72" s="61" t="s">
        <v>252</v>
      </c>
      <c r="B72" s="23">
        <v>322126.51</v>
      </c>
      <c r="C72" s="23">
        <v>490681.51</v>
      </c>
      <c r="D72" s="23">
        <v>407949.34</v>
      </c>
      <c r="E72" s="23">
        <v>884472.15</v>
      </c>
      <c r="F72" s="23">
        <v>559902.5</v>
      </c>
      <c r="G72" s="23">
        <v>554910.15</v>
      </c>
      <c r="H72" s="23">
        <v>553177.30000000005</v>
      </c>
      <c r="I72" s="23">
        <v>578531.62</v>
      </c>
      <c r="J72" s="23">
        <v>559856.92000000004</v>
      </c>
      <c r="K72" s="23"/>
      <c r="L72" s="23"/>
      <c r="M72" s="23"/>
      <c r="N72" s="70">
        <f t="shared" si="13"/>
        <v>4911608</v>
      </c>
    </row>
    <row r="73" spans="1:14">
      <c r="A73" s="61" t="s">
        <v>253</v>
      </c>
      <c r="B73" s="23">
        <v>9795.17</v>
      </c>
      <c r="C73" s="23">
        <v>9795.17</v>
      </c>
      <c r="D73" s="23">
        <v>63368.67</v>
      </c>
      <c r="E73" s="23">
        <v>27673</v>
      </c>
      <c r="F73" s="23">
        <v>33382</v>
      </c>
      <c r="G73" s="23">
        <v>29737</v>
      </c>
      <c r="H73" s="23">
        <v>20299</v>
      </c>
      <c r="I73" s="23">
        <v>20299</v>
      </c>
      <c r="J73" s="23">
        <v>20299</v>
      </c>
      <c r="K73" s="23"/>
      <c r="L73" s="23"/>
      <c r="M73" s="23"/>
      <c r="N73" s="70">
        <f t="shared" si="13"/>
        <v>234648.01</v>
      </c>
    </row>
    <row r="74" spans="1:14">
      <c r="A74" s="61" t="s">
        <v>254</v>
      </c>
      <c r="B74" s="23">
        <v>7280065.1743449997</v>
      </c>
      <c r="C74" s="23">
        <v>8290751.2440170003</v>
      </c>
      <c r="D74" s="23">
        <v>8309417.4758150009</v>
      </c>
      <c r="E74" s="23">
        <v>10765191.211967999</v>
      </c>
      <c r="F74" s="23">
        <v>8728009.7279739995</v>
      </c>
      <c r="G74" s="23">
        <v>8365634.483829001</v>
      </c>
      <c r="H74" s="23">
        <v>9669988.7636799999</v>
      </c>
      <c r="I74" s="23">
        <v>9089615.2309700008</v>
      </c>
      <c r="J74" s="23">
        <v>10577123.280655</v>
      </c>
      <c r="K74" s="23"/>
      <c r="L74" s="23"/>
      <c r="M74" s="23"/>
      <c r="N74" s="70">
        <f t="shared" si="13"/>
        <v>81075796.593252987</v>
      </c>
    </row>
    <row r="75" spans="1:14">
      <c r="A75" s="61" t="s">
        <v>255</v>
      </c>
      <c r="B75" s="23">
        <v>6123574.9267919995</v>
      </c>
      <c r="C75" s="23">
        <v>6057176.5303689996</v>
      </c>
      <c r="D75" s="23">
        <v>6930701.226338</v>
      </c>
      <c r="E75" s="23">
        <v>7476711.0002239998</v>
      </c>
      <c r="F75" s="23">
        <v>8284659.1304620001</v>
      </c>
      <c r="G75" s="23">
        <v>9259443.4579080008</v>
      </c>
      <c r="H75" s="23">
        <v>9491974.7135729995</v>
      </c>
      <c r="I75" s="23">
        <v>10457719.63352</v>
      </c>
      <c r="J75" s="23">
        <v>10136844.614538999</v>
      </c>
      <c r="K75" s="23"/>
      <c r="L75" s="23"/>
      <c r="M75" s="23"/>
      <c r="N75" s="70">
        <f t="shared" si="13"/>
        <v>74218805.233724996</v>
      </c>
    </row>
    <row r="76" spans="1:14">
      <c r="A76" s="61" t="s">
        <v>256</v>
      </c>
      <c r="B76" s="23">
        <v>16254062.594919421</v>
      </c>
      <c r="C76" s="23">
        <v>14894812.938845363</v>
      </c>
      <c r="D76" s="23">
        <v>17565371.225043871</v>
      </c>
      <c r="E76" s="23">
        <v>18228620.651127867</v>
      </c>
      <c r="F76" s="23">
        <v>19169024.863482874</v>
      </c>
      <c r="G76" s="23">
        <v>19144853.474574793</v>
      </c>
      <c r="H76" s="23">
        <v>20649952.74398284</v>
      </c>
      <c r="I76" s="23">
        <v>20895179.309754144</v>
      </c>
      <c r="J76" s="23">
        <v>20956194.603388488</v>
      </c>
      <c r="K76" s="23"/>
      <c r="L76" s="23"/>
      <c r="M76" s="23"/>
      <c r="N76" s="70">
        <f t="shared" si="13"/>
        <v>167758072.40511966</v>
      </c>
    </row>
    <row r="77" spans="1:14">
      <c r="A77" s="61" t="s">
        <v>257</v>
      </c>
      <c r="B77" s="23">
        <v>9218556.6330479048</v>
      </c>
      <c r="C77" s="23">
        <v>8527095.3513729312</v>
      </c>
      <c r="D77" s="23">
        <v>10070748.209827745</v>
      </c>
      <c r="E77" s="23">
        <v>10444226.704088863</v>
      </c>
      <c r="F77" s="23">
        <v>11017443.000434218</v>
      </c>
      <c r="G77" s="23">
        <v>10916123.980482705</v>
      </c>
      <c r="H77" s="23">
        <v>11783988.723240901</v>
      </c>
      <c r="I77" s="23">
        <v>11878829.634009618</v>
      </c>
      <c r="J77" s="23">
        <v>11551013.932276508</v>
      </c>
      <c r="K77" s="23"/>
      <c r="L77" s="23"/>
      <c r="M77" s="23"/>
      <c r="N77" s="70">
        <f t="shared" si="13"/>
        <v>95408026.168781385</v>
      </c>
    </row>
    <row r="78" spans="1:14">
      <c r="A78" s="61" t="s">
        <v>258</v>
      </c>
      <c r="B78" s="23">
        <v>27426047.589109939</v>
      </c>
      <c r="C78" s="23">
        <v>25794840.915365789</v>
      </c>
      <c r="D78" s="23">
        <v>30174133.408385813</v>
      </c>
      <c r="E78" s="23">
        <v>30546336.365048729</v>
      </c>
      <c r="F78" s="23">
        <v>32363786.615190972</v>
      </c>
      <c r="G78" s="23">
        <v>31918426.858438384</v>
      </c>
      <c r="H78" s="23">
        <v>33857600.914488539</v>
      </c>
      <c r="I78" s="23">
        <v>34826193.655337252</v>
      </c>
      <c r="J78" s="23">
        <v>32550593.295928523</v>
      </c>
      <c r="K78" s="23"/>
      <c r="L78" s="23"/>
      <c r="M78" s="23"/>
      <c r="N78" s="70">
        <f t="shared" si="13"/>
        <v>279457959.61729389</v>
      </c>
    </row>
    <row r="79" spans="1:14">
      <c r="A79" s="61" t="s">
        <v>259</v>
      </c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70"/>
    </row>
    <row r="80" spans="1:14">
      <c r="A80" s="61" t="s">
        <v>262</v>
      </c>
      <c r="B80" s="23">
        <f t="shared" ref="B80:M80" si="14">SUM(B81:B83)+SUM(B84:B88)*0.4</f>
        <v>121411731.27519275</v>
      </c>
      <c r="C80" s="23">
        <f t="shared" si="14"/>
        <v>115068710.24694331</v>
      </c>
      <c r="D80" s="23">
        <f t="shared" si="14"/>
        <v>118435973.12087819</v>
      </c>
      <c r="E80" s="23">
        <f t="shared" si="14"/>
        <v>103121335.03347376</v>
      </c>
      <c r="F80" s="23">
        <f t="shared" si="14"/>
        <v>153969126.50571123</v>
      </c>
      <c r="G80" s="23">
        <f t="shared" si="14"/>
        <v>117882816.4160914</v>
      </c>
      <c r="H80" s="23">
        <f t="shared" si="14"/>
        <v>152062826.86633369</v>
      </c>
      <c r="I80" s="23">
        <f t="shared" si="14"/>
        <v>127605534.87927175</v>
      </c>
      <c r="J80" s="23">
        <f t="shared" si="14"/>
        <v>228225824.47654146</v>
      </c>
      <c r="K80" s="23">
        <f t="shared" si="14"/>
        <v>0</v>
      </c>
      <c r="L80" s="23">
        <f t="shared" si="14"/>
        <v>0</v>
      </c>
      <c r="M80" s="23">
        <f t="shared" si="14"/>
        <v>0</v>
      </c>
      <c r="N80" s="70">
        <f>SUM(B80:M80)</f>
        <v>1237783878.8204377</v>
      </c>
    </row>
    <row r="81" spans="1:24">
      <c r="A81" s="61" t="s">
        <v>263</v>
      </c>
      <c r="B81" s="23">
        <v>13956851.84</v>
      </c>
      <c r="C81" s="23">
        <v>11840579.560000001</v>
      </c>
      <c r="D81" s="23">
        <v>13701197.48</v>
      </c>
      <c r="E81" s="23">
        <v>5897474.0599999996</v>
      </c>
      <c r="F81" s="23">
        <v>18659406.899999999</v>
      </c>
      <c r="G81" s="23">
        <v>13736995.23</v>
      </c>
      <c r="H81" s="23">
        <v>16502914.789999999</v>
      </c>
      <c r="I81" s="23">
        <v>13992894.779999999</v>
      </c>
      <c r="J81" s="23">
        <v>23326272.559999999</v>
      </c>
      <c r="K81" s="23"/>
      <c r="L81" s="23"/>
      <c r="M81" s="23"/>
      <c r="N81" s="70">
        <f t="shared" ref="N81:N88" si="15">SUM(B81:M81)</f>
        <v>131614587.19999999</v>
      </c>
    </row>
    <row r="82" spans="1:24">
      <c r="A82" s="61" t="s">
        <v>264</v>
      </c>
      <c r="B82" s="23">
        <v>-86887.384082000004</v>
      </c>
      <c r="C82" s="23">
        <v>1948697.924876</v>
      </c>
      <c r="D82" s="23">
        <v>1225585.95254</v>
      </c>
      <c r="E82" s="23">
        <v>51830.596750999997</v>
      </c>
      <c r="F82" s="23">
        <v>1794192.41518</v>
      </c>
      <c r="G82" s="23">
        <v>1517123.4935320001</v>
      </c>
      <c r="H82" s="23">
        <v>2899329.6578629999</v>
      </c>
      <c r="I82" s="23">
        <v>1285096.9786990001</v>
      </c>
      <c r="J82" s="23">
        <v>-1131547.6495670001</v>
      </c>
      <c r="K82" s="23"/>
      <c r="L82" s="23"/>
      <c r="M82" s="23"/>
      <c r="N82" s="70">
        <f t="shared" si="15"/>
        <v>9503421.9857919998</v>
      </c>
    </row>
    <row r="83" spans="1:24">
      <c r="A83" s="61" t="s">
        <v>265</v>
      </c>
      <c r="B83" s="23">
        <v>1251616.4786</v>
      </c>
      <c r="C83" s="23">
        <v>1193540.9215559999</v>
      </c>
      <c r="D83" s="23">
        <v>407802.22</v>
      </c>
      <c r="E83" s="23">
        <v>971613.05457100004</v>
      </c>
      <c r="F83" s="23">
        <v>1464207.741959</v>
      </c>
      <c r="G83" s="23">
        <v>742586</v>
      </c>
      <c r="H83" s="23">
        <v>1358967.9661359999</v>
      </c>
      <c r="I83" s="23">
        <v>1064466.437377</v>
      </c>
      <c r="J83" s="23">
        <v>2669788.4757289998</v>
      </c>
      <c r="K83" s="23"/>
      <c r="L83" s="23"/>
      <c r="M83" s="23"/>
      <c r="N83" s="70">
        <f t="shared" si="15"/>
        <v>11124589.295928</v>
      </c>
    </row>
    <row r="84" spans="1:24">
      <c r="A84" s="61" t="s">
        <v>266</v>
      </c>
      <c r="B84" s="23">
        <v>47654214.874415003</v>
      </c>
      <c r="C84" s="23">
        <v>31707078.805106003</v>
      </c>
      <c r="D84" s="23">
        <v>-13413929.99117</v>
      </c>
      <c r="E84" s="23">
        <v>-19419305.347573999</v>
      </c>
      <c r="F84" s="23">
        <v>-3459659.757369</v>
      </c>
      <c r="G84" s="23">
        <v>-31445500.872637</v>
      </c>
      <c r="H84" s="23">
        <v>-11169745.784941001</v>
      </c>
      <c r="I84" s="23">
        <v>41491135.714625001</v>
      </c>
      <c r="J84" s="23">
        <v>13261490.464506</v>
      </c>
      <c r="K84" s="23"/>
      <c r="L84" s="23"/>
      <c r="M84" s="23"/>
      <c r="N84" s="70">
        <f t="shared" si="15"/>
        <v>55205778.104961015</v>
      </c>
    </row>
    <row r="85" spans="1:24">
      <c r="A85" s="61" t="s">
        <v>267</v>
      </c>
      <c r="B85" s="23">
        <v>15253695.772640999</v>
      </c>
      <c r="C85" s="23">
        <v>22768592.068091996</v>
      </c>
      <c r="D85" s="23">
        <v>24634569.955267001</v>
      </c>
      <c r="E85" s="23">
        <v>2552850.9</v>
      </c>
      <c r="F85" s="23">
        <v>9422748.5388999991</v>
      </c>
      <c r="G85" s="23">
        <v>12229033.380000001</v>
      </c>
      <c r="H85" s="23">
        <v>23469044.050000001</v>
      </c>
      <c r="I85" s="23">
        <v>25244665.27</v>
      </c>
      <c r="J85" s="23">
        <v>29312167.434147999</v>
      </c>
      <c r="K85" s="23"/>
      <c r="L85" s="23"/>
      <c r="M85" s="23"/>
      <c r="N85" s="70">
        <f t="shared" si="15"/>
        <v>164887367.369048</v>
      </c>
    </row>
    <row r="86" spans="1:24">
      <c r="A86" s="61" t="s">
        <v>268</v>
      </c>
      <c r="B86" s="23">
        <v>42835132.281600773</v>
      </c>
      <c r="C86" s="23">
        <v>62015995.460805297</v>
      </c>
      <c r="D86" s="23">
        <v>85430619.624135509</v>
      </c>
      <c r="E86" s="23">
        <v>74599160.303595871</v>
      </c>
      <c r="F86" s="23">
        <v>87595878.136338264</v>
      </c>
      <c r="G86" s="23">
        <v>91936021.338294715</v>
      </c>
      <c r="H86" s="23">
        <v>88028042.690518454</v>
      </c>
      <c r="I86" s="23">
        <v>71700939.189752564</v>
      </c>
      <c r="J86" s="23">
        <v>138538142.45068803</v>
      </c>
      <c r="K86" s="23"/>
      <c r="L86" s="23"/>
      <c r="M86" s="23"/>
      <c r="N86" s="70">
        <f t="shared" si="15"/>
        <v>742679931.47572935</v>
      </c>
    </row>
    <row r="87" spans="1:24">
      <c r="A87" s="61" t="s">
        <v>269</v>
      </c>
      <c r="B87" s="23">
        <v>59049518.375575617</v>
      </c>
      <c r="C87" s="23">
        <v>81742354.95577918</v>
      </c>
      <c r="D87" s="23">
        <v>81937923.487343237</v>
      </c>
      <c r="E87" s="23">
        <v>105364886.2975962</v>
      </c>
      <c r="F87" s="23">
        <v>82959863.996292919</v>
      </c>
      <c r="G87" s="23">
        <v>83276167.535326511</v>
      </c>
      <c r="H87" s="23">
        <v>112367535.99064864</v>
      </c>
      <c r="I87" s="23">
        <v>80772464.874147639</v>
      </c>
      <c r="J87" s="23">
        <v>150669610.57105201</v>
      </c>
      <c r="K87" s="23"/>
      <c r="L87" s="23"/>
      <c r="M87" s="23"/>
      <c r="N87" s="70">
        <f t="shared" si="15"/>
        <v>838140326.08376193</v>
      </c>
    </row>
    <row r="88" spans="1:24">
      <c r="A88" s="61" t="s">
        <v>270</v>
      </c>
      <c r="B88" s="23">
        <v>100932814.54745452</v>
      </c>
      <c r="C88" s="23">
        <v>51980708.311495796</v>
      </c>
      <c r="D88" s="23">
        <v>79164285.59526968</v>
      </c>
      <c r="E88" s="23">
        <v>77403451.151761308</v>
      </c>
      <c r="F88" s="23">
        <v>153609467.70726833</v>
      </c>
      <c r="G88" s="23">
        <v>98719557.850414261</v>
      </c>
      <c r="H88" s="23">
        <v>115559159.18461065</v>
      </c>
      <c r="I88" s="23">
        <v>58948486.659464091</v>
      </c>
      <c r="J88" s="23">
        <v>176621866.80555457</v>
      </c>
      <c r="K88" s="23"/>
      <c r="L88" s="23"/>
      <c r="M88" s="23"/>
      <c r="N88" s="70">
        <f t="shared" si="15"/>
        <v>912939797.81329322</v>
      </c>
    </row>
    <row r="89" spans="1:24">
      <c r="A89" s="61" t="s">
        <v>271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70"/>
    </row>
    <row r="90" spans="1:24">
      <c r="A90" s="61" t="s">
        <v>272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70"/>
      <c r="P90">
        <v>8469</v>
      </c>
      <c r="Q90">
        <v>11742</v>
      </c>
      <c r="S90">
        <v>13418</v>
      </c>
    </row>
    <row r="91" spans="1:24">
      <c r="A91" s="61" t="s">
        <v>274</v>
      </c>
      <c r="B91" s="23">
        <f t="shared" ref="B91:M91" si="16">SUM(B92:B94)+SUM(B95:B99)*0.4</f>
        <v>-39896443.037756674</v>
      </c>
      <c r="C91" s="23">
        <f t="shared" si="16"/>
        <v>-37589805.339151084</v>
      </c>
      <c r="D91" s="23">
        <f t="shared" si="16"/>
        <v>-38782055.984874249</v>
      </c>
      <c r="E91" s="23">
        <f t="shared" si="16"/>
        <v>-38048909.393952087</v>
      </c>
      <c r="F91" s="23">
        <f t="shared" si="16"/>
        <v>-40449421.275649339</v>
      </c>
      <c r="G91" s="23">
        <f t="shared" si="16"/>
        <v>-54772146.590391442</v>
      </c>
      <c r="H91" s="23">
        <f t="shared" si="16"/>
        <v>-51791248.908491865</v>
      </c>
      <c r="I91" s="23">
        <f t="shared" si="16"/>
        <v>-53870040.109269701</v>
      </c>
      <c r="J91" s="23">
        <f t="shared" si="16"/>
        <v>-46862166.1879052</v>
      </c>
      <c r="K91" s="23">
        <f t="shared" si="16"/>
        <v>0</v>
      </c>
      <c r="L91" s="23">
        <f t="shared" si="16"/>
        <v>0</v>
      </c>
      <c r="M91" s="23">
        <f t="shared" si="16"/>
        <v>0</v>
      </c>
      <c r="N91" s="70">
        <f>SUM(B91:M91)</f>
        <v>-402062236.82744157</v>
      </c>
      <c r="P91" s="311">
        <f>-146890404.369238/1000000</f>
        <v>-146.89040436923798</v>
      </c>
      <c r="Q91" s="311">
        <f>N91/1000000</f>
        <v>-402.06223682744155</v>
      </c>
      <c r="S91" s="311">
        <v>-336.31019173210331</v>
      </c>
      <c r="V91" s="312">
        <f>(Q91/P91)-1</f>
        <v>1.7371579413504703</v>
      </c>
      <c r="X91" s="312">
        <f>(Q91/S91)-1</f>
        <v>0.19551011748021829</v>
      </c>
    </row>
    <row r="92" spans="1:24">
      <c r="A92" s="61" t="s">
        <v>275</v>
      </c>
      <c r="B92" s="23">
        <v>-8901072.0800000001</v>
      </c>
      <c r="C92" s="23">
        <v>-7887257.9400000004</v>
      </c>
      <c r="D92" s="23">
        <v>-3830701.08</v>
      </c>
      <c r="E92" s="23">
        <v>-4744422.8999999994</v>
      </c>
      <c r="F92" s="23">
        <v>-4748327.49</v>
      </c>
      <c r="G92" s="23">
        <v>-4216625.3900000006</v>
      </c>
      <c r="H92" s="23">
        <v>-4291014.09</v>
      </c>
      <c r="I92" s="23">
        <v>-4200587.79</v>
      </c>
      <c r="J92" s="23">
        <v>-321084.73</v>
      </c>
      <c r="K92" s="23"/>
      <c r="L92" s="23"/>
      <c r="M92" s="23"/>
      <c r="N92" s="70">
        <f t="shared" ref="N92:N99" si="17">SUM(B92:M92)</f>
        <v>-43141093.489999995</v>
      </c>
    </row>
    <row r="93" spans="1:24">
      <c r="A93" s="61" t="s">
        <v>276</v>
      </c>
      <c r="B93" s="23">
        <v>-2114037.3384500002</v>
      </c>
      <c r="C93" s="23">
        <v>-2118993.3835689998</v>
      </c>
      <c r="D93" s="23">
        <v>-3506713.5079780002</v>
      </c>
      <c r="E93" s="23">
        <v>-3838288.1795299998</v>
      </c>
      <c r="F93" s="23">
        <v>-3126077.5630669999</v>
      </c>
      <c r="G93" s="23">
        <v>-4704063.2749840003</v>
      </c>
      <c r="H93" s="23">
        <v>-3091795.0570800002</v>
      </c>
      <c r="I93" s="23">
        <v>-3013714.71</v>
      </c>
      <c r="J93" s="23">
        <v>-5485232.2994990004</v>
      </c>
      <c r="K93" s="23"/>
      <c r="L93" s="23"/>
      <c r="M93" s="23"/>
      <c r="N93" s="70">
        <f t="shared" si="17"/>
        <v>-30998915.314157005</v>
      </c>
      <c r="P93" s="312">
        <f>P91/P90</f>
        <v>-1.7344480383662531E-2</v>
      </c>
      <c r="Q93" s="312">
        <f>Q91/Q90</f>
        <v>-3.4241375985985485E-2</v>
      </c>
      <c r="R93" s="312"/>
      <c r="S93" s="312">
        <f>S91/S90</f>
        <v>-2.5064107298561879E-2</v>
      </c>
      <c r="V93" s="315">
        <f>Q93-P93</f>
        <v>-1.6896895602322954E-2</v>
      </c>
      <c r="W93" s="314"/>
      <c r="X93" s="315">
        <f>Q93-S93</f>
        <v>-9.1772686874236065E-3</v>
      </c>
    </row>
    <row r="94" spans="1:24">
      <c r="A94" s="61" t="s">
        <v>277</v>
      </c>
      <c r="B94" s="23">
        <v>-1486096</v>
      </c>
      <c r="C94" s="23">
        <v>-1235417</v>
      </c>
      <c r="D94" s="23">
        <v>-1973525</v>
      </c>
      <c r="E94" s="23">
        <v>-1878887</v>
      </c>
      <c r="F94" s="23">
        <v>-1420222</v>
      </c>
      <c r="G94" s="23">
        <v>-2357450</v>
      </c>
      <c r="H94" s="23">
        <v>-2928890</v>
      </c>
      <c r="I94" s="23">
        <v>-2767561</v>
      </c>
      <c r="J94" s="23">
        <v>-1723689</v>
      </c>
      <c r="K94" s="23"/>
      <c r="L94" s="23"/>
      <c r="M94" s="23"/>
      <c r="N94" s="70">
        <f t="shared" si="17"/>
        <v>-17771737</v>
      </c>
      <c r="P94" s="314"/>
      <c r="Q94" s="314"/>
      <c r="R94" s="314"/>
      <c r="S94" s="314"/>
    </row>
    <row r="95" spans="1:24">
      <c r="A95" s="61" t="s">
        <v>278</v>
      </c>
      <c r="B95" s="23">
        <v>-62771359.850000001</v>
      </c>
      <c r="C95" s="23">
        <v>-57305192.280000001</v>
      </c>
      <c r="D95" s="23">
        <v>-63040182.410000004</v>
      </c>
      <c r="E95" s="23">
        <v>-65722949.590000004</v>
      </c>
      <c r="F95" s="23">
        <v>-76690771.540000007</v>
      </c>
      <c r="G95" s="23">
        <v>-96375363.879999995</v>
      </c>
      <c r="H95" s="23">
        <v>-96111983.510000005</v>
      </c>
      <c r="I95" s="23">
        <v>-103538291.56</v>
      </c>
      <c r="J95" s="23">
        <v>-91185522.370000005</v>
      </c>
      <c r="K95" s="23"/>
      <c r="L95" s="23"/>
      <c r="M95" s="23"/>
      <c r="N95" s="70">
        <f t="shared" si="17"/>
        <v>-712741616.99000001</v>
      </c>
    </row>
    <row r="96" spans="1:24">
      <c r="A96" s="61" t="s">
        <v>279</v>
      </c>
      <c r="B96" s="23">
        <v>-4838843.8271049997</v>
      </c>
      <c r="C96" s="23">
        <v>-4867840.1965770004</v>
      </c>
      <c r="D96" s="23">
        <v>-4861665.4715090003</v>
      </c>
      <c r="E96" s="23">
        <v>-4713041.8828180004</v>
      </c>
      <c r="F96" s="23">
        <v>-4690384.1570899999</v>
      </c>
      <c r="G96" s="23">
        <v>-8830736.841542</v>
      </c>
      <c r="H96" s="23">
        <v>-8491965.8632410001</v>
      </c>
      <c r="I96" s="23">
        <v>-9623128.2227410004</v>
      </c>
      <c r="J96" s="23">
        <v>-9387137.7633580007</v>
      </c>
      <c r="K96" s="23"/>
      <c r="L96" s="23"/>
      <c r="M96" s="23"/>
      <c r="N96" s="70">
        <f t="shared" si="17"/>
        <v>-60304744.225980997</v>
      </c>
    </row>
    <row r="97" spans="1:14">
      <c r="A97" s="61" t="s">
        <v>280</v>
      </c>
      <c r="B97" s="23">
        <v>-1604847.3585493874</v>
      </c>
      <c r="C97" s="23">
        <v>-1159077.6128341428</v>
      </c>
      <c r="D97" s="23">
        <v>-1738512.3882677425</v>
      </c>
      <c r="E97" s="23">
        <v>-1521688.3542696324</v>
      </c>
      <c r="F97" s="23">
        <v>273880.67748851492</v>
      </c>
      <c r="G97" s="23">
        <v>-5550476.3313866993</v>
      </c>
      <c r="H97" s="23">
        <v>-3786676.4206054192</v>
      </c>
      <c r="I97" s="23">
        <v>559037.57712241856</v>
      </c>
      <c r="J97" s="23">
        <v>-1402249.6095554989</v>
      </c>
      <c r="K97" s="23"/>
      <c r="L97" s="23"/>
      <c r="M97" s="23"/>
      <c r="N97" s="70">
        <f t="shared" si="17"/>
        <v>-15930609.82085759</v>
      </c>
    </row>
    <row r="98" spans="1:14">
      <c r="A98" s="61" t="s">
        <v>281</v>
      </c>
      <c r="B98" s="23">
        <v>3170402.3527199035</v>
      </c>
      <c r="C98" s="23">
        <v>789315.22921085707</v>
      </c>
      <c r="D98" s="23">
        <v>964488.81802451622</v>
      </c>
      <c r="E98" s="23">
        <v>3531238.6542444658</v>
      </c>
      <c r="F98" s="23">
        <v>5340876.0875410615</v>
      </c>
      <c r="G98" s="23">
        <v>4718519.0898041008</v>
      </c>
      <c r="H98" s="23">
        <v>5855442.7996609062</v>
      </c>
      <c r="I98" s="23">
        <v>453382.22568703204</v>
      </c>
      <c r="J98" s="23">
        <v>2959278.7851494993</v>
      </c>
      <c r="K98" s="23"/>
      <c r="L98" s="23"/>
      <c r="M98" s="23"/>
      <c r="N98" s="70">
        <f t="shared" si="17"/>
        <v>27782944.042042341</v>
      </c>
    </row>
    <row r="99" spans="1:14">
      <c r="A99" s="61" t="s">
        <v>282</v>
      </c>
      <c r="B99" s="23">
        <v>-2443445.3653321941</v>
      </c>
      <c r="C99" s="23">
        <v>-3327547.6787549285</v>
      </c>
      <c r="D99" s="23">
        <v>-5001919.5404883893</v>
      </c>
      <c r="E99" s="23">
        <v>-541837.11321203294</v>
      </c>
      <c r="F99" s="23">
        <v>-2120586.6243954194</v>
      </c>
      <c r="G99" s="23">
        <v>-2696961.850393998</v>
      </c>
      <c r="H99" s="23">
        <v>-1163691.4093441286</v>
      </c>
      <c r="I99" s="23">
        <v>2428558.4567573215</v>
      </c>
      <c r="J99" s="23">
        <v>685230.56174850068</v>
      </c>
      <c r="K99" s="23"/>
      <c r="L99" s="23"/>
      <c r="M99" s="23"/>
      <c r="N99" s="70">
        <f t="shared" si="17"/>
        <v>-14182200.563415267</v>
      </c>
    </row>
    <row r="100" spans="1:14">
      <c r="A100" s="61" t="s">
        <v>283</v>
      </c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70"/>
    </row>
    <row r="101" spans="1:14">
      <c r="A101" s="61" t="s">
        <v>284</v>
      </c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70"/>
    </row>
    <row r="102" spans="1:14">
      <c r="A102" s="61" t="s">
        <v>286</v>
      </c>
      <c r="B102" s="23">
        <f t="shared" ref="B102:M102" si="18">SUM(B103:B105)+SUM(B106:B110)*0.4</f>
        <v>-23064815.020470686</v>
      </c>
      <c r="C102" s="23">
        <f t="shared" si="18"/>
        <v>6287689.0166589441</v>
      </c>
      <c r="D102" s="23">
        <f t="shared" si="18"/>
        <v>-17032119.548188403</v>
      </c>
      <c r="E102" s="23">
        <f t="shared" si="18"/>
        <v>-44650561.622285455</v>
      </c>
      <c r="F102" s="23">
        <f t="shared" si="18"/>
        <v>-27132438.048453156</v>
      </c>
      <c r="G102" s="23">
        <f t="shared" si="18"/>
        <v>-35296214.768818073</v>
      </c>
      <c r="H102" s="23">
        <f t="shared" si="18"/>
        <v>-28141650.419022296</v>
      </c>
      <c r="I102" s="23">
        <f t="shared" si="18"/>
        <v>-24226402.568519764</v>
      </c>
      <c r="J102" s="23">
        <f t="shared" si="18"/>
        <v>-13983796.210964404</v>
      </c>
      <c r="K102" s="23">
        <f t="shared" si="18"/>
        <v>0</v>
      </c>
      <c r="L102" s="23">
        <f t="shared" si="18"/>
        <v>0</v>
      </c>
      <c r="M102" s="23">
        <f t="shared" si="18"/>
        <v>0</v>
      </c>
      <c r="N102" s="70">
        <f>SUM(B102:M102)</f>
        <v>-207240309.1900633</v>
      </c>
    </row>
    <row r="103" spans="1:14">
      <c r="A103" s="61" t="s">
        <v>287</v>
      </c>
      <c r="B103" s="23">
        <v>1817782.32</v>
      </c>
      <c r="C103" s="23">
        <v>13537164.16</v>
      </c>
      <c r="D103" s="23">
        <v>23237717.75</v>
      </c>
      <c r="E103" s="23">
        <v>20476602.599998999</v>
      </c>
      <c r="F103" s="23">
        <v>-43862.879998000048</v>
      </c>
      <c r="G103" s="23">
        <v>1697848.4399980002</v>
      </c>
      <c r="H103" s="23">
        <v>-1082012.19</v>
      </c>
      <c r="I103" s="23">
        <v>4229765.989999</v>
      </c>
      <c r="J103" s="23">
        <v>1629539.740001</v>
      </c>
      <c r="K103" s="23"/>
      <c r="L103" s="23"/>
      <c r="M103" s="23"/>
      <c r="N103" s="70">
        <f t="shared" ref="N103:N110" si="19">SUM(B103:M103)</f>
        <v>65500545.929999001</v>
      </c>
    </row>
    <row r="104" spans="1:14">
      <c r="A104" s="61" t="s">
        <v>288</v>
      </c>
      <c r="B104" s="23">
        <v>-180711</v>
      </c>
      <c r="C104" s="23">
        <v>124201</v>
      </c>
      <c r="D104" s="23">
        <v>107394.86</v>
      </c>
      <c r="E104" s="23">
        <v>7853145.5300000003</v>
      </c>
      <c r="F104" s="23">
        <v>-2975501.21</v>
      </c>
      <c r="G104" s="23">
        <v>-13960358.35</v>
      </c>
      <c r="H104" s="23">
        <v>-1356695.08</v>
      </c>
      <c r="I104" s="23">
        <v>-5744974.8799999999</v>
      </c>
      <c r="J104" s="23">
        <v>-1728138.63</v>
      </c>
      <c r="K104" s="23"/>
      <c r="L104" s="23"/>
      <c r="M104" s="23"/>
      <c r="N104" s="70">
        <f t="shared" si="19"/>
        <v>-17861637.759999998</v>
      </c>
    </row>
    <row r="105" spans="1:14">
      <c r="A105" s="61" t="s">
        <v>289</v>
      </c>
      <c r="B105" s="23">
        <v>288472</v>
      </c>
      <c r="C105" s="23">
        <v>131498</v>
      </c>
      <c r="D105" s="23">
        <v>488880</v>
      </c>
      <c r="E105" s="23">
        <v>235015</v>
      </c>
      <c r="F105" s="23">
        <v>447128.74</v>
      </c>
      <c r="G105" s="23">
        <v>314815</v>
      </c>
      <c r="H105" s="23">
        <v>-120147</v>
      </c>
      <c r="I105" s="23">
        <v>359867</v>
      </c>
      <c r="J105" s="23">
        <v>388156</v>
      </c>
      <c r="K105" s="23"/>
      <c r="L105" s="23"/>
      <c r="M105" s="23"/>
      <c r="N105" s="70">
        <f t="shared" si="19"/>
        <v>2533684.7400000002</v>
      </c>
    </row>
    <row r="106" spans="1:14">
      <c r="A106" s="61" t="s">
        <v>290</v>
      </c>
      <c r="B106" s="23">
        <v>-37076542.591995999</v>
      </c>
      <c r="C106" s="23">
        <v>-33463330.485890005</v>
      </c>
      <c r="D106" s="23">
        <v>-83235586.873851001</v>
      </c>
      <c r="E106" s="23">
        <v>-111111674.17763501</v>
      </c>
      <c r="F106" s="23">
        <v>-39821274.484350003</v>
      </c>
      <c r="G106" s="23">
        <v>-2765047.070791</v>
      </c>
      <c r="H106" s="23">
        <v>-37834002.336696997</v>
      </c>
      <c r="I106" s="23">
        <v>-20680558.477669999</v>
      </c>
      <c r="J106" s="23">
        <v>-31029523.943409</v>
      </c>
      <c r="K106" s="23"/>
      <c r="L106" s="23"/>
      <c r="M106" s="23"/>
      <c r="N106" s="70">
        <f t="shared" si="19"/>
        <v>-397017540.44228905</v>
      </c>
    </row>
    <row r="107" spans="1:14">
      <c r="A107" s="61" t="s">
        <v>291</v>
      </c>
      <c r="B107" s="23">
        <v>1691227.1699989997</v>
      </c>
      <c r="C107" s="23">
        <v>2943443.9900000012</v>
      </c>
      <c r="D107" s="23">
        <v>6625872.1199999992</v>
      </c>
      <c r="E107" s="23">
        <v>5268809.4500000011</v>
      </c>
      <c r="F107" s="23">
        <v>3148982.58</v>
      </c>
      <c r="G107" s="23">
        <v>4437867.21</v>
      </c>
      <c r="H107" s="23">
        <v>1850149.4200000009</v>
      </c>
      <c r="I107" s="23">
        <v>2166753.0500000007</v>
      </c>
      <c r="J107" s="23">
        <v>2509221.09</v>
      </c>
      <c r="K107" s="23"/>
      <c r="L107" s="23"/>
      <c r="M107" s="23"/>
      <c r="N107" s="70">
        <f t="shared" si="19"/>
        <v>30642326.079999004</v>
      </c>
    </row>
    <row r="108" spans="1:14">
      <c r="A108" s="61" t="s">
        <v>292</v>
      </c>
      <c r="B108" s="23">
        <v>-9289856.3420838397</v>
      </c>
      <c r="C108" s="23">
        <v>27009647.019446939</v>
      </c>
      <c r="D108" s="23">
        <v>-3007517.1832819362</v>
      </c>
      <c r="E108" s="23">
        <v>16200594.145851661</v>
      </c>
      <c r="F108" s="23">
        <v>-1779334.3647708367</v>
      </c>
      <c r="G108" s="23">
        <v>-3205468.5587638011</v>
      </c>
      <c r="H108" s="23">
        <v>-14945178.67147781</v>
      </c>
      <c r="I108" s="23">
        <v>-22172687.561994139</v>
      </c>
      <c r="J108" s="23">
        <v>3187590.0407280005</v>
      </c>
      <c r="K108" s="23"/>
      <c r="L108" s="23"/>
      <c r="M108" s="23"/>
      <c r="N108" s="70">
        <f t="shared" si="19"/>
        <v>-8002211.4763457645</v>
      </c>
    </row>
    <row r="109" spans="1:14">
      <c r="A109" s="61" t="s">
        <v>293</v>
      </c>
      <c r="B109" s="23">
        <v>-13634652.597297935</v>
      </c>
      <c r="C109" s="23">
        <v>-10171218.492465647</v>
      </c>
      <c r="D109" s="23">
        <v>-20725949.77021936</v>
      </c>
      <c r="E109" s="23">
        <v>-94631550.528517753</v>
      </c>
      <c r="F109" s="23">
        <v>-15528579.010359369</v>
      </c>
      <c r="G109" s="23">
        <v>-58710504.59270709</v>
      </c>
      <c r="H109" s="23">
        <v>-2902735.3626164105</v>
      </c>
      <c r="I109" s="23">
        <v>-25018733.683467809</v>
      </c>
      <c r="J109" s="23">
        <v>-16405551.713380501</v>
      </c>
      <c r="K109" s="23"/>
      <c r="L109" s="23"/>
      <c r="M109" s="23"/>
      <c r="N109" s="70">
        <f t="shared" si="19"/>
        <v>-257729475.75103188</v>
      </c>
    </row>
    <row r="110" spans="1:14">
      <c r="A110" s="61" t="s">
        <v>294</v>
      </c>
      <c r="B110" s="23">
        <v>-4166071.4897979358</v>
      </c>
      <c r="C110" s="23">
        <v>-5081477.3894439302</v>
      </c>
      <c r="D110" s="23">
        <v>-1822098.6881187106</v>
      </c>
      <c r="E110" s="23">
        <v>1235509.2295899671</v>
      </c>
      <c r="F110" s="23">
        <v>-7420301.4666576758</v>
      </c>
      <c r="G110" s="23">
        <v>1871853.3652217011</v>
      </c>
      <c r="H110" s="23">
        <v>-10125223.421764517</v>
      </c>
      <c r="I110" s="23">
        <v>8027574.9768350367</v>
      </c>
      <c r="J110" s="23">
        <v>6054881.2236479996</v>
      </c>
      <c r="K110" s="23"/>
      <c r="L110" s="23"/>
      <c r="M110" s="23"/>
      <c r="N110" s="70">
        <f t="shared" si="19"/>
        <v>-11425353.660488065</v>
      </c>
    </row>
    <row r="111" spans="1:14">
      <c r="A111" s="61" t="s">
        <v>295</v>
      </c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70"/>
    </row>
    <row r="112" spans="1:14">
      <c r="A112" s="61" t="s">
        <v>296</v>
      </c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70"/>
    </row>
    <row r="113" spans="1:14">
      <c r="A113" s="61" t="s">
        <v>298</v>
      </c>
      <c r="B113" s="23">
        <f t="shared" ref="B113:M113" si="20">SUM(B114:B116)+SUM(B117:B121)*0.4</f>
        <v>38849547.203348182</v>
      </c>
      <c r="C113" s="23">
        <f t="shared" si="20"/>
        <v>50048428.714214519</v>
      </c>
      <c r="D113" s="23">
        <f t="shared" si="20"/>
        <v>32749593.319651347</v>
      </c>
      <c r="E113" s="23">
        <f t="shared" si="20"/>
        <v>-11654201.085747167</v>
      </c>
      <c r="F113" s="23">
        <f t="shared" si="20"/>
        <v>53789208.354632132</v>
      </c>
      <c r="G113" s="23">
        <f t="shared" si="20"/>
        <v>-4889614.333034439</v>
      </c>
      <c r="H113" s="23">
        <f t="shared" si="20"/>
        <v>37198165.856154747</v>
      </c>
      <c r="I113" s="23">
        <f t="shared" si="20"/>
        <v>13814771.810087427</v>
      </c>
      <c r="J113" s="23">
        <f t="shared" si="20"/>
        <v>132297638.26695687</v>
      </c>
      <c r="K113" s="23">
        <f t="shared" si="20"/>
        <v>0</v>
      </c>
      <c r="L113" s="23">
        <f t="shared" si="20"/>
        <v>0</v>
      </c>
      <c r="M113" s="23">
        <f t="shared" si="20"/>
        <v>0</v>
      </c>
      <c r="N113" s="70">
        <f>SUM(B113:M113)</f>
        <v>342203538.10626364</v>
      </c>
    </row>
    <row r="114" spans="1:14">
      <c r="A114" s="61" t="s">
        <v>299</v>
      </c>
      <c r="B114" s="23">
        <v>6693595.4400000004</v>
      </c>
      <c r="C114" s="23">
        <v>17310519.329999998</v>
      </c>
      <c r="D114" s="23">
        <v>32927476.510000002</v>
      </c>
      <c r="E114" s="23">
        <v>21450168.179999001</v>
      </c>
      <c r="F114" s="23">
        <v>13687611.530002</v>
      </c>
      <c r="G114" s="23">
        <v>10940847.279998001</v>
      </c>
      <c r="H114" s="23">
        <v>10952603.510000005</v>
      </c>
      <c r="I114" s="23">
        <v>13785733.289999001</v>
      </c>
      <c r="J114" s="23">
        <v>24441367.570000999</v>
      </c>
      <c r="K114" s="23"/>
      <c r="L114" s="23"/>
      <c r="M114" s="23"/>
      <c r="N114" s="70">
        <f t="shared" ref="N114:N121" si="21">SUM(B114:M114)</f>
        <v>152189922.639999</v>
      </c>
    </row>
    <row r="115" spans="1:14">
      <c r="A115" s="61" t="s">
        <v>300</v>
      </c>
      <c r="B115" s="23">
        <v>-2703762.2325309999</v>
      </c>
      <c r="C115" s="23">
        <v>-536775.96869300003</v>
      </c>
      <c r="D115" s="23">
        <v>-2581682.0354380002</v>
      </c>
      <c r="E115" s="23">
        <v>3182215.7972209998</v>
      </c>
      <c r="F115" s="23">
        <v>-4867288.8578869998</v>
      </c>
      <c r="G115" s="23">
        <v>-17702208.281452</v>
      </c>
      <c r="H115" s="23">
        <v>-2102337.7792170001</v>
      </c>
      <c r="I115" s="23">
        <v>-8052124.2313010003</v>
      </c>
      <c r="J115" s="23">
        <v>-8904775.4990660008</v>
      </c>
      <c r="K115" s="23"/>
      <c r="L115" s="23"/>
      <c r="M115" s="23"/>
      <c r="N115" s="70">
        <f t="shared" si="21"/>
        <v>-44268739.088364005</v>
      </c>
    </row>
    <row r="116" spans="1:14">
      <c r="A116" s="61" t="s">
        <v>301</v>
      </c>
      <c r="B116" s="23">
        <v>44197.308599999997</v>
      </c>
      <c r="C116" s="23">
        <v>79826.751556000003</v>
      </c>
      <c r="D116" s="23">
        <v>-1140211.45</v>
      </c>
      <c r="E116" s="23">
        <v>-699931.94542899996</v>
      </c>
      <c r="F116" s="23">
        <v>457732.49</v>
      </c>
      <c r="G116" s="23">
        <v>-1329786</v>
      </c>
      <c r="H116" s="23">
        <v>-1710368.0338640001</v>
      </c>
      <c r="I116" s="23">
        <v>-1363526.562623</v>
      </c>
      <c r="J116" s="23">
        <v>1313956.4757290001</v>
      </c>
      <c r="K116" s="23"/>
      <c r="L116" s="23"/>
      <c r="M116" s="23"/>
      <c r="N116" s="70">
        <f t="shared" si="21"/>
        <v>-4348110.966031</v>
      </c>
    </row>
    <row r="117" spans="1:14">
      <c r="A117" s="61" t="s">
        <v>302</v>
      </c>
      <c r="B117" s="23">
        <v>-59473752.741926</v>
      </c>
      <c r="C117" s="23">
        <v>-67352195.204800993</v>
      </c>
      <c r="D117" s="23">
        <v>-167999116.75083601</v>
      </c>
      <c r="E117" s="23">
        <v>-207019120.327178</v>
      </c>
      <c r="F117" s="23">
        <v>-128699715.509693</v>
      </c>
      <c r="G117" s="23">
        <v>-138951546.30725601</v>
      </c>
      <c r="H117" s="23">
        <v>-154785720.39531699</v>
      </c>
      <c r="I117" s="23">
        <v>-91817329.554014996</v>
      </c>
      <c r="J117" s="23">
        <v>-119530679.129558</v>
      </c>
      <c r="K117" s="23"/>
      <c r="L117" s="23"/>
      <c r="M117" s="23"/>
      <c r="N117" s="70">
        <f t="shared" si="21"/>
        <v>-1135629175.9205799</v>
      </c>
    </row>
    <row r="118" spans="1:14">
      <c r="A118" s="61" t="s">
        <v>303</v>
      </c>
      <c r="B118" s="23">
        <v>5982504.1887440002</v>
      </c>
      <c r="C118" s="23">
        <v>14787019.331146</v>
      </c>
      <c r="D118" s="23">
        <v>19468075.377420001</v>
      </c>
      <c r="E118" s="23">
        <v>-4368092.5330419997</v>
      </c>
      <c r="F118" s="23">
        <v>-403312.16865200002</v>
      </c>
      <c r="G118" s="23">
        <v>-1423279.70945</v>
      </c>
      <c r="H118" s="23">
        <v>7335252.8931860002</v>
      </c>
      <c r="I118" s="23">
        <v>7330570.4637390003</v>
      </c>
      <c r="J118" s="23">
        <v>12297406.146251</v>
      </c>
      <c r="K118" s="23"/>
      <c r="L118" s="23"/>
      <c r="M118" s="23"/>
      <c r="N118" s="70">
        <f t="shared" si="21"/>
        <v>61006143.989342012</v>
      </c>
    </row>
    <row r="119" spans="1:14">
      <c r="A119" s="61" t="s">
        <v>304</v>
      </c>
      <c r="B119" s="23">
        <v>34266078.670215808</v>
      </c>
      <c r="C119" s="23">
        <v>53942123.707951158</v>
      </c>
      <c r="D119" s="23">
        <v>63119218.827541955</v>
      </c>
      <c r="E119" s="23">
        <v>71049445.444050044</v>
      </c>
      <c r="F119" s="23">
        <v>66921399.585573085</v>
      </c>
      <c r="G119" s="23">
        <v>64035222.973569423</v>
      </c>
      <c r="H119" s="23">
        <v>48646234.854452334</v>
      </c>
      <c r="I119" s="23">
        <v>29192109.895126753</v>
      </c>
      <c r="J119" s="23">
        <v>119367288.27847201</v>
      </c>
      <c r="K119" s="23"/>
      <c r="L119" s="23"/>
      <c r="M119" s="23"/>
      <c r="N119" s="70">
        <f t="shared" si="21"/>
        <v>550539122.23695254</v>
      </c>
    </row>
    <row r="120" spans="1:14">
      <c r="A120" s="61" t="s">
        <v>305</v>
      </c>
      <c r="B120" s="23">
        <v>39366711.497949675</v>
      </c>
      <c r="C120" s="23">
        <v>63833356.341151454</v>
      </c>
      <c r="D120" s="23">
        <v>52105714.325320646</v>
      </c>
      <c r="E120" s="23">
        <v>3820347.7192340754</v>
      </c>
      <c r="F120" s="23">
        <v>61754718.073040418</v>
      </c>
      <c r="G120" s="23">
        <v>18367412.207381967</v>
      </c>
      <c r="H120" s="23">
        <v>103537259.6067545</v>
      </c>
      <c r="I120" s="23">
        <v>44327946.042461105</v>
      </c>
      <c r="J120" s="23">
        <v>125672323.71054456</v>
      </c>
      <c r="K120" s="23"/>
      <c r="L120" s="23"/>
      <c r="M120" s="23"/>
      <c r="N120" s="70">
        <f t="shared" si="21"/>
        <v>512785789.5238384</v>
      </c>
    </row>
    <row r="121" spans="1:14">
      <c r="A121" s="61" t="s">
        <v>306</v>
      </c>
      <c r="B121" s="23">
        <v>66897250.103214458</v>
      </c>
      <c r="C121" s="23">
        <v>17776842.327931158</v>
      </c>
      <c r="D121" s="23">
        <v>42166133.958276778</v>
      </c>
      <c r="E121" s="23">
        <v>47550786.903090477</v>
      </c>
      <c r="F121" s="23">
        <v>111704793.00102432</v>
      </c>
      <c r="G121" s="23">
        <v>65976022.506803535</v>
      </c>
      <c r="H121" s="23">
        <v>70412643.439013511</v>
      </c>
      <c r="I121" s="23">
        <v>34578426.437719211</v>
      </c>
      <c r="J121" s="23">
        <v>150811385.29502255</v>
      </c>
      <c r="K121" s="23"/>
      <c r="L121" s="23"/>
      <c r="M121" s="23"/>
      <c r="N121" s="70">
        <f t="shared" si="21"/>
        <v>607874283.97209597</v>
      </c>
    </row>
    <row r="122" spans="1:14">
      <c r="A122" s="61" t="s">
        <v>307</v>
      </c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70"/>
    </row>
    <row r="123" spans="1:14">
      <c r="A123" s="61" t="s">
        <v>308</v>
      </c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70"/>
    </row>
    <row r="124" spans="1:14">
      <c r="A124" s="61" t="s">
        <v>310</v>
      </c>
      <c r="B124" s="23">
        <f t="shared" ref="B124:M124" si="22">SUM(B125:B127)+SUM(B128:B132)*0.4</f>
        <v>-8601422.8515641093</v>
      </c>
      <c r="C124" s="23">
        <f t="shared" si="22"/>
        <v>-20771090.341790631</v>
      </c>
      <c r="D124" s="23">
        <f t="shared" si="22"/>
        <v>509216.13500321005</v>
      </c>
      <c r="E124" s="23">
        <f t="shared" si="22"/>
        <v>-6356625.6306709293</v>
      </c>
      <c r="F124" s="23">
        <f t="shared" si="22"/>
        <v>-13771772.352319891</v>
      </c>
      <c r="G124" s="23">
        <f t="shared" si="22"/>
        <v>-7503753.2192185624</v>
      </c>
      <c r="H124" s="23">
        <f t="shared" si="22"/>
        <v>18991966.273517247</v>
      </c>
      <c r="I124" s="23">
        <f t="shared" si="22"/>
        <v>-8082943.5578354402</v>
      </c>
      <c r="J124" s="23">
        <f t="shared" si="22"/>
        <v>1348828.4832659988</v>
      </c>
      <c r="K124" s="23">
        <f t="shared" si="22"/>
        <v>0</v>
      </c>
      <c r="L124" s="23">
        <f t="shared" si="22"/>
        <v>0</v>
      </c>
      <c r="M124" s="23">
        <f t="shared" si="22"/>
        <v>0</v>
      </c>
      <c r="N124" s="70">
        <f>SUM(B124:M124)</f>
        <v>-44237597.061613105</v>
      </c>
    </row>
    <row r="125" spans="1:14">
      <c r="A125" s="61" t="s">
        <v>311</v>
      </c>
      <c r="B125" s="23">
        <v>1673398.86</v>
      </c>
      <c r="C125" s="23">
        <v>4327629.8324999996</v>
      </c>
      <c r="D125" s="23">
        <v>8231869.1275000004</v>
      </c>
      <c r="E125" s="23">
        <v>5362542.0449999999</v>
      </c>
      <c r="F125" s="23">
        <v>3421902.8824999998</v>
      </c>
      <c r="G125" s="23">
        <v>2735211.82</v>
      </c>
      <c r="H125" s="23">
        <v>2738150.8774999999</v>
      </c>
      <c r="I125" s="23">
        <v>3446433.3224999998</v>
      </c>
      <c r="J125" s="23">
        <v>6110341.8925000001</v>
      </c>
      <c r="K125" s="23"/>
      <c r="L125" s="23"/>
      <c r="M125" s="23"/>
      <c r="N125" s="70">
        <f t="shared" ref="N125:N132" si="23">SUM(B125:M125)</f>
        <v>38047480.660000004</v>
      </c>
    </row>
    <row r="126" spans="1:14">
      <c r="A126" s="61" t="s">
        <v>312</v>
      </c>
      <c r="B126" s="23">
        <v>156887.68801700001</v>
      </c>
      <c r="C126" s="23">
        <v>135228.741446</v>
      </c>
      <c r="D126" s="23">
        <v>150483.89000399999</v>
      </c>
      <c r="E126" s="23">
        <v>192785.69092399999</v>
      </c>
      <c r="F126" s="23">
        <v>-59487.356478000002</v>
      </c>
      <c r="G126" s="23">
        <v>-288826.30120300001</v>
      </c>
      <c r="H126" s="23">
        <v>-261896.55175499999</v>
      </c>
      <c r="I126" s="23">
        <v>-790673.40358100005</v>
      </c>
      <c r="J126" s="23">
        <v>-1002566.26672</v>
      </c>
      <c r="K126" s="23"/>
      <c r="L126" s="23"/>
      <c r="M126" s="23"/>
      <c r="N126" s="70">
        <f t="shared" si="23"/>
        <v>-1768063.8693460003</v>
      </c>
    </row>
    <row r="127" spans="1:14">
      <c r="A127" s="61" t="s">
        <v>313</v>
      </c>
      <c r="B127" s="23">
        <v>-301.15970600000003</v>
      </c>
      <c r="C127" s="23">
        <v>0</v>
      </c>
      <c r="D127" s="23">
        <v>0</v>
      </c>
      <c r="E127" s="23">
        <v>0</v>
      </c>
      <c r="F127" s="23">
        <v>0</v>
      </c>
      <c r="G127" s="23">
        <v>0</v>
      </c>
      <c r="H127" s="23">
        <v>0</v>
      </c>
      <c r="I127" s="23">
        <v>0</v>
      </c>
      <c r="J127" s="23">
        <v>0</v>
      </c>
      <c r="K127" s="23"/>
      <c r="L127" s="23"/>
      <c r="M127" s="23"/>
      <c r="N127" s="70">
        <f t="shared" si="23"/>
        <v>-301.15970600000003</v>
      </c>
    </row>
    <row r="128" spans="1:14">
      <c r="A128" s="61" t="s">
        <v>314</v>
      </c>
      <c r="B128" s="23">
        <v>0</v>
      </c>
      <c r="C128" s="23">
        <v>0</v>
      </c>
      <c r="D128" s="23">
        <v>0</v>
      </c>
      <c r="E128" s="23">
        <v>0</v>
      </c>
      <c r="F128" s="23">
        <v>0</v>
      </c>
      <c r="G128" s="23">
        <v>0</v>
      </c>
      <c r="H128" s="23">
        <v>0</v>
      </c>
      <c r="I128" s="23">
        <v>0</v>
      </c>
      <c r="J128" s="23">
        <v>0</v>
      </c>
      <c r="K128" s="23"/>
      <c r="L128" s="23"/>
      <c r="M128" s="23"/>
      <c r="N128" s="70">
        <f t="shared" si="23"/>
        <v>0</v>
      </c>
    </row>
    <row r="129" spans="1:14">
      <c r="A129" s="61" t="s">
        <v>315</v>
      </c>
      <c r="B129" s="23">
        <v>3281552.6016239999</v>
      </c>
      <c r="C129" s="23">
        <v>-6466616.0926130004</v>
      </c>
      <c r="D129" s="23">
        <v>944646.90127899998</v>
      </c>
      <c r="E129" s="23">
        <v>709307.59075999993</v>
      </c>
      <c r="F129" s="23">
        <v>450765.28216300008</v>
      </c>
      <c r="G129" s="23">
        <v>-2755564.6351379999</v>
      </c>
      <c r="H129" s="23">
        <v>-2048534.178297</v>
      </c>
      <c r="I129" s="23">
        <v>-3988488.4684350002</v>
      </c>
      <c r="J129" s="23">
        <v>604721.72447400005</v>
      </c>
      <c r="K129" s="23"/>
      <c r="L129" s="23"/>
      <c r="M129" s="23"/>
      <c r="N129" s="70">
        <f t="shared" si="23"/>
        <v>-9268209.2741830014</v>
      </c>
    </row>
    <row r="130" spans="1:14">
      <c r="A130" s="61" t="s">
        <v>316</v>
      </c>
      <c r="B130" s="23">
        <v>-11800033.970313935</v>
      </c>
      <c r="C130" s="23">
        <v>-16510057.987775858</v>
      </c>
      <c r="D130" s="23">
        <v>-25000221.027803235</v>
      </c>
      <c r="E130" s="23">
        <v>-17612758.805083923</v>
      </c>
      <c r="F130" s="23">
        <v>-27253787.055774964</v>
      </c>
      <c r="G130" s="23">
        <v>-6910617.7358659012</v>
      </c>
      <c r="H130" s="23">
        <v>10866481.019677799</v>
      </c>
      <c r="I130" s="23">
        <v>-15189561.388112001</v>
      </c>
      <c r="J130" s="23">
        <v>-18077623.759836003</v>
      </c>
      <c r="K130" s="23"/>
      <c r="L130" s="23"/>
      <c r="M130" s="23"/>
      <c r="N130" s="70">
        <f t="shared" si="23"/>
        <v>-127488180.71088801</v>
      </c>
    </row>
    <row r="131" spans="1:14">
      <c r="A131" s="61" t="s">
        <v>317</v>
      </c>
      <c r="B131" s="23">
        <v>-4637364.1294879997</v>
      </c>
      <c r="C131" s="23">
        <v>-33648598.993968219</v>
      </c>
      <c r="D131" s="23">
        <v>8939060.4911864549</v>
      </c>
      <c r="E131" s="23">
        <v>11169268.299366226</v>
      </c>
      <c r="F131" s="23">
        <v>2892337.613327032</v>
      </c>
      <c r="G131" s="23">
        <v>-8358139.9191534985</v>
      </c>
      <c r="H131" s="23">
        <v>13710483.548953293</v>
      </c>
      <c r="I131" s="23">
        <v>-14501213.422127878</v>
      </c>
      <c r="J131" s="23">
        <v>-673258.21829250117</v>
      </c>
      <c r="K131" s="23"/>
      <c r="L131" s="23"/>
      <c r="M131" s="23"/>
      <c r="N131" s="70">
        <f t="shared" si="23"/>
        <v>-25107424.730197087</v>
      </c>
    </row>
    <row r="132" spans="1:14">
      <c r="A132" s="61" t="s">
        <v>318</v>
      </c>
      <c r="B132" s="23">
        <v>-12922675.101509839</v>
      </c>
      <c r="C132" s="23">
        <v>-6459599.2149845017</v>
      </c>
      <c r="D132" s="23">
        <v>-4566328.570914194</v>
      </c>
      <c r="E132" s="23">
        <v>-24045700.501529623</v>
      </c>
      <c r="F132" s="23">
        <v>-18924785.535569798</v>
      </c>
      <c r="G132" s="23">
        <v>-6851024.5548815066</v>
      </c>
      <c r="H132" s="23">
        <v>18760849.479096521</v>
      </c>
      <c r="I132" s="23">
        <v>6832504.5867887791</v>
      </c>
      <c r="J132" s="23">
        <v>8748792.3973694984</v>
      </c>
      <c r="K132" s="23"/>
      <c r="L132" s="23"/>
      <c r="M132" s="23"/>
      <c r="N132" s="70">
        <f t="shared" si="23"/>
        <v>-39427967.016134679</v>
      </c>
    </row>
    <row r="133" spans="1:14">
      <c r="A133" s="61" t="s">
        <v>319</v>
      </c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70"/>
    </row>
    <row r="134" spans="1:14">
      <c r="A134" s="61" t="s">
        <v>320</v>
      </c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70"/>
    </row>
    <row r="135" spans="1:14">
      <c r="A135" s="61" t="s">
        <v>322</v>
      </c>
      <c r="B135" s="23">
        <f t="shared" ref="B135:M135" si="24">SUM(B136:B138)+SUM(B139:B143)*0.4</f>
        <v>26901627.792890068</v>
      </c>
      <c r="C135" s="23">
        <f t="shared" si="24"/>
        <v>20622078.70586827</v>
      </c>
      <c r="D135" s="23">
        <f t="shared" si="24"/>
        <v>16795071.199654564</v>
      </c>
      <c r="E135" s="23">
        <f t="shared" si="24"/>
        <v>-28735910.810987707</v>
      </c>
      <c r="F135" s="23">
        <f t="shared" si="24"/>
        <v>33173630.237311244</v>
      </c>
      <c r="G135" s="23">
        <f t="shared" si="24"/>
        <v>-17863791.192253001</v>
      </c>
      <c r="H135" s="23">
        <f t="shared" si="24"/>
        <v>50713696.387698814</v>
      </c>
      <c r="I135" s="23">
        <f t="shared" si="24"/>
        <v>-1160903.296788607</v>
      </c>
      <c r="J135" s="23">
        <f t="shared" si="24"/>
        <v>121425782.96522285</v>
      </c>
      <c r="K135" s="23">
        <f t="shared" si="24"/>
        <v>0</v>
      </c>
      <c r="L135" s="23">
        <f t="shared" si="24"/>
        <v>0</v>
      </c>
      <c r="M135" s="23">
        <f t="shared" si="24"/>
        <v>0</v>
      </c>
      <c r="N135" s="70">
        <f>SUM(B135:M135)</f>
        <v>221871281.98861653</v>
      </c>
    </row>
    <row r="136" spans="1:14">
      <c r="A136" s="61" t="s">
        <v>323</v>
      </c>
      <c r="B136" s="23">
        <v>5020196.58</v>
      </c>
      <c r="C136" s="23">
        <v>12982889.497500001</v>
      </c>
      <c r="D136" s="23">
        <v>24695607.3825</v>
      </c>
      <c r="E136" s="23">
        <v>16087626.135</v>
      </c>
      <c r="F136" s="23">
        <v>10265708.647500999</v>
      </c>
      <c r="G136" s="23">
        <v>8205635.4599989997</v>
      </c>
      <c r="H136" s="23">
        <v>8214452.6325000077</v>
      </c>
      <c r="I136" s="23">
        <v>10339299.967499999</v>
      </c>
      <c r="J136" s="23">
        <v>18331025.677501</v>
      </c>
      <c r="K136" s="23"/>
      <c r="L136" s="23"/>
      <c r="M136" s="23"/>
      <c r="N136" s="70">
        <f t="shared" ref="N136:N143" si="25">SUM(B136:M136)</f>
        <v>114142441.980001</v>
      </c>
    </row>
    <row r="137" spans="1:14">
      <c r="A137" s="61" t="s">
        <v>324</v>
      </c>
      <c r="B137" s="23">
        <v>-2546874.544514</v>
      </c>
      <c r="C137" s="23">
        <v>-401547.22724699997</v>
      </c>
      <c r="D137" s="23">
        <v>-2431198.1454340001</v>
      </c>
      <c r="E137" s="23">
        <v>3375001.4881449998</v>
      </c>
      <c r="F137" s="23">
        <v>-4926776.2143649999</v>
      </c>
      <c r="G137" s="23">
        <v>-17991034.582656</v>
      </c>
      <c r="H137" s="23">
        <v>-2364234.330972</v>
      </c>
      <c r="I137" s="23">
        <v>-8842797.6348819993</v>
      </c>
      <c r="J137" s="23">
        <v>-9907341.7657859996</v>
      </c>
      <c r="K137" s="23"/>
      <c r="L137" s="23"/>
      <c r="M137" s="23"/>
      <c r="N137" s="70">
        <f t="shared" si="25"/>
        <v>-46036802.957711004</v>
      </c>
    </row>
    <row r="138" spans="1:14">
      <c r="A138" s="61" t="s">
        <v>325</v>
      </c>
      <c r="B138" s="23">
        <v>44197.31</v>
      </c>
      <c r="C138" s="23">
        <v>79826.75</v>
      </c>
      <c r="D138" s="23">
        <v>-1140211.45</v>
      </c>
      <c r="E138" s="23">
        <v>-699931.95</v>
      </c>
      <c r="F138" s="23">
        <v>457732.49</v>
      </c>
      <c r="G138" s="23">
        <v>-1329786</v>
      </c>
      <c r="H138" s="23">
        <v>-1710368.0338640001</v>
      </c>
      <c r="I138" s="23">
        <v>-1363526.562623</v>
      </c>
      <c r="J138" s="23">
        <v>1313956.4757290001</v>
      </c>
      <c r="K138" s="23"/>
      <c r="L138" s="23"/>
      <c r="M138" s="23"/>
      <c r="N138" s="70">
        <f t="shared" si="25"/>
        <v>-4348110.9707579995</v>
      </c>
    </row>
    <row r="139" spans="1:14">
      <c r="A139" s="61" t="s">
        <v>326</v>
      </c>
      <c r="B139" s="23">
        <v>-59473752.741926</v>
      </c>
      <c r="C139" s="23">
        <v>-67352195.204800993</v>
      </c>
      <c r="D139" s="23">
        <v>-167999116.75083601</v>
      </c>
      <c r="E139" s="23">
        <v>-207019120.327178</v>
      </c>
      <c r="F139" s="23">
        <v>-128699715.509693</v>
      </c>
      <c r="G139" s="23">
        <v>-138951546.30725601</v>
      </c>
      <c r="H139" s="23">
        <v>-154785720.39531699</v>
      </c>
      <c r="I139" s="23">
        <v>-91817329.554014996</v>
      </c>
      <c r="J139" s="23">
        <v>-119530679.129558</v>
      </c>
      <c r="K139" s="23"/>
      <c r="L139" s="23"/>
      <c r="M139" s="23"/>
      <c r="N139" s="70">
        <f t="shared" si="25"/>
        <v>-1135629175.9205799</v>
      </c>
    </row>
    <row r="140" spans="1:14">
      <c r="A140" s="61" t="s">
        <v>327</v>
      </c>
      <c r="B140" s="23">
        <v>9264056.790368</v>
      </c>
      <c r="C140" s="23">
        <v>8320403.2385340007</v>
      </c>
      <c r="D140" s="23">
        <v>20412722.278698999</v>
      </c>
      <c r="E140" s="23">
        <v>-3658784.9422809999</v>
      </c>
      <c r="F140" s="23">
        <v>47453.113510999996</v>
      </c>
      <c r="G140" s="23">
        <v>-4178844.3445879999</v>
      </c>
      <c r="H140" s="23">
        <v>5286718.7148900004</v>
      </c>
      <c r="I140" s="23">
        <v>3342081.9953040001</v>
      </c>
      <c r="J140" s="23">
        <v>12902127.870725002</v>
      </c>
      <c r="K140" s="23"/>
      <c r="L140" s="23"/>
      <c r="M140" s="23"/>
      <c r="N140" s="70">
        <f t="shared" si="25"/>
        <v>51737934.715162009</v>
      </c>
    </row>
    <row r="141" spans="1:14">
      <c r="A141" s="61" t="s">
        <v>328</v>
      </c>
      <c r="B141" s="23">
        <v>22466044.699901871</v>
      </c>
      <c r="C141" s="23">
        <v>37432065.720175296</v>
      </c>
      <c r="D141" s="23">
        <v>38118997.79973872</v>
      </c>
      <c r="E141" s="23">
        <v>53436686.638966113</v>
      </c>
      <c r="F141" s="23">
        <v>39667612.529798113</v>
      </c>
      <c r="G141" s="23">
        <v>57124605.237703525</v>
      </c>
      <c r="H141" s="23">
        <v>59512715.874130204</v>
      </c>
      <c r="I141" s="23">
        <v>14002548.507014684</v>
      </c>
      <c r="J141" s="23">
        <v>101289664.51863605</v>
      </c>
      <c r="K141" s="23"/>
      <c r="L141" s="23"/>
      <c r="M141" s="23"/>
      <c r="N141" s="70">
        <f t="shared" si="25"/>
        <v>423050941.52606457</v>
      </c>
    </row>
    <row r="142" spans="1:14">
      <c r="A142" s="61" t="s">
        <v>329</v>
      </c>
      <c r="B142" s="23">
        <v>34729347.368461676</v>
      </c>
      <c r="C142" s="23">
        <v>30184757.347183228</v>
      </c>
      <c r="D142" s="23">
        <v>61044774.816507109</v>
      </c>
      <c r="E142" s="23">
        <v>14989616.018600287</v>
      </c>
      <c r="F142" s="23">
        <v>64647055.686367452</v>
      </c>
      <c r="G142" s="23">
        <v>10009272.288228484</v>
      </c>
      <c r="H142" s="23">
        <v>117247408.1882737</v>
      </c>
      <c r="I142" s="23">
        <v>29827070.360229306</v>
      </c>
      <c r="J142" s="23">
        <v>124999065.49225204</v>
      </c>
      <c r="K142" s="23"/>
      <c r="L142" s="23"/>
      <c r="M142" s="23"/>
      <c r="N142" s="70">
        <f t="shared" si="25"/>
        <v>487678367.56610334</v>
      </c>
    </row>
    <row r="143" spans="1:14">
      <c r="A143" s="61" t="s">
        <v>330</v>
      </c>
      <c r="B143" s="23">
        <v>53974575.001704618</v>
      </c>
      <c r="C143" s="23">
        <v>11317243.112946639</v>
      </c>
      <c r="D143" s="23">
        <v>37599805.387362584</v>
      </c>
      <c r="E143" s="23">
        <v>23505086.401560858</v>
      </c>
      <c r="F143" s="23">
        <v>92780007.465454534</v>
      </c>
      <c r="G143" s="23">
        <v>59124997.951922007</v>
      </c>
      <c r="H143" s="23">
        <v>89173492.918110088</v>
      </c>
      <c r="I143" s="23">
        <v>41410931.024507977</v>
      </c>
      <c r="J143" s="23">
        <v>159560177.69239199</v>
      </c>
      <c r="K143" s="23"/>
      <c r="L143" s="23"/>
      <c r="M143" s="23"/>
      <c r="N143" s="70">
        <f t="shared" si="25"/>
        <v>568446316.95596123</v>
      </c>
    </row>
    <row r="144" spans="1:14">
      <c r="A144" s="61" t="s">
        <v>331</v>
      </c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70"/>
    </row>
    <row r="145" spans="1:14">
      <c r="A145" s="61" t="s">
        <v>332</v>
      </c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70"/>
    </row>
    <row r="146" spans="1:14">
      <c r="A146" s="61" t="s">
        <v>515</v>
      </c>
      <c r="B146" s="23">
        <f t="shared" ref="B146:M146" si="26">SUM(B147:B149)+SUM(B150:B154)*0.4</f>
        <v>745030011.314224</v>
      </c>
      <c r="C146" s="23">
        <f t="shared" si="26"/>
        <v>804750285.11492205</v>
      </c>
      <c r="D146" s="23">
        <f t="shared" si="26"/>
        <v>778653777.09241199</v>
      </c>
      <c r="E146" s="23">
        <f t="shared" si="26"/>
        <v>1041029740.9711661</v>
      </c>
      <c r="F146" s="23">
        <f t="shared" si="26"/>
        <v>1141373529.268265</v>
      </c>
      <c r="G146" s="23">
        <f t="shared" si="26"/>
        <v>1241095849.955147</v>
      </c>
      <c r="H146" s="23">
        <f t="shared" si="26"/>
        <v>1310281703.8926871</v>
      </c>
      <c r="I146" s="23">
        <f t="shared" si="26"/>
        <v>1320656927.43643</v>
      </c>
      <c r="J146" s="23">
        <f t="shared" si="26"/>
        <v>1385955385.3899999</v>
      </c>
      <c r="K146" s="23">
        <f t="shared" si="26"/>
        <v>0</v>
      </c>
      <c r="L146" s="23">
        <f t="shared" si="26"/>
        <v>0</v>
      </c>
      <c r="M146" s="23">
        <f t="shared" si="26"/>
        <v>0</v>
      </c>
      <c r="N146" s="70">
        <f>SUM(B146:M146)</f>
        <v>9768827210.4352531</v>
      </c>
    </row>
    <row r="147" spans="1:14">
      <c r="A147" s="61" t="s">
        <v>466</v>
      </c>
      <c r="B147" s="23">
        <v>0</v>
      </c>
      <c r="C147" s="23">
        <v>0</v>
      </c>
      <c r="D147" s="23">
        <v>0</v>
      </c>
      <c r="E147" s="23">
        <v>0</v>
      </c>
      <c r="F147" s="23">
        <v>0</v>
      </c>
      <c r="G147" s="23">
        <v>0</v>
      </c>
      <c r="H147" s="23">
        <v>0</v>
      </c>
      <c r="I147" s="23">
        <v>0</v>
      </c>
      <c r="J147" s="23">
        <v>0</v>
      </c>
      <c r="K147" s="23"/>
      <c r="L147" s="23"/>
      <c r="M147" s="23"/>
      <c r="N147" s="70">
        <f t="shared" ref="N147:N154" si="27">SUM(B147:M147)</f>
        <v>0</v>
      </c>
    </row>
    <row r="148" spans="1:14">
      <c r="A148" s="61" t="s">
        <v>467</v>
      </c>
      <c r="B148" s="23">
        <v>65325403</v>
      </c>
      <c r="C148" s="23">
        <v>67852478</v>
      </c>
      <c r="D148" s="23">
        <v>71269964.730000004</v>
      </c>
      <c r="E148" s="23">
        <v>290407191.19999999</v>
      </c>
      <c r="F148" s="23">
        <v>289687738.88999999</v>
      </c>
      <c r="G148" s="23">
        <v>294966931.94999999</v>
      </c>
      <c r="H148" s="23">
        <v>293932116.80000001</v>
      </c>
      <c r="I148" s="23">
        <v>301217184.56</v>
      </c>
      <c r="J148" s="23">
        <v>313117561.38999999</v>
      </c>
      <c r="K148" s="23"/>
      <c r="L148" s="23"/>
      <c r="M148" s="23"/>
      <c r="N148" s="70">
        <f t="shared" si="27"/>
        <v>1987776570.52</v>
      </c>
    </row>
    <row r="149" spans="1:14">
      <c r="A149" s="61" t="s">
        <v>468</v>
      </c>
      <c r="B149" s="23">
        <v>0</v>
      </c>
      <c r="C149" s="23">
        <v>8209951.7111060005</v>
      </c>
      <c r="D149" s="23">
        <v>0</v>
      </c>
      <c r="E149" s="23">
        <v>12786134.167166</v>
      </c>
      <c r="F149" s="23">
        <v>18406590.378265001</v>
      </c>
      <c r="G149" s="23">
        <v>13279254.005147001</v>
      </c>
      <c r="H149" s="23">
        <v>22470403.092687</v>
      </c>
      <c r="I149" s="23">
        <v>17355766.876430001</v>
      </c>
      <c r="J149" s="23">
        <v>12000000</v>
      </c>
      <c r="K149" s="23"/>
      <c r="L149" s="23"/>
      <c r="M149" s="23"/>
      <c r="N149" s="70">
        <f t="shared" si="27"/>
        <v>104508100.23080102</v>
      </c>
    </row>
    <row r="150" spans="1:14">
      <c r="A150" s="61" t="s">
        <v>469</v>
      </c>
      <c r="B150" s="23">
        <v>1699261520.7855599</v>
      </c>
      <c r="C150" s="23">
        <v>1821719638.5095401</v>
      </c>
      <c r="D150" s="23">
        <v>1768459530.9060299</v>
      </c>
      <c r="E150" s="23">
        <v>1844591039.0100002</v>
      </c>
      <c r="F150" s="23">
        <v>2083198000</v>
      </c>
      <c r="G150" s="23">
        <v>2332124160</v>
      </c>
      <c r="H150" s="23">
        <v>2484697960</v>
      </c>
      <c r="I150" s="23">
        <v>2505209940</v>
      </c>
      <c r="J150" s="23">
        <v>2652094560</v>
      </c>
      <c r="K150" s="23"/>
      <c r="L150" s="23"/>
      <c r="M150" s="23"/>
      <c r="N150" s="70">
        <f t="shared" si="27"/>
        <v>19191356349.211128</v>
      </c>
    </row>
    <row r="151" spans="1:14">
      <c r="A151" s="61" t="s">
        <v>470</v>
      </c>
      <c r="B151" s="23">
        <v>0</v>
      </c>
      <c r="C151" s="23">
        <v>0</v>
      </c>
      <c r="D151" s="23">
        <v>0</v>
      </c>
      <c r="E151" s="23">
        <v>0</v>
      </c>
      <c r="F151" s="23">
        <v>0</v>
      </c>
      <c r="G151" s="23">
        <v>0</v>
      </c>
      <c r="H151" s="23">
        <v>0</v>
      </c>
      <c r="I151" s="23">
        <v>0</v>
      </c>
      <c r="J151" s="23">
        <v>0</v>
      </c>
      <c r="K151" s="23"/>
      <c r="L151" s="23"/>
      <c r="M151" s="23"/>
      <c r="N151" s="70">
        <f t="shared" si="27"/>
        <v>0</v>
      </c>
    </row>
    <row r="152" spans="1:14">
      <c r="A152" s="61" t="s">
        <v>471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/>
      <c r="L152" s="23"/>
      <c r="M152" s="23"/>
      <c r="N152" s="70">
        <f t="shared" si="27"/>
        <v>0</v>
      </c>
    </row>
    <row r="153" spans="1:14">
      <c r="A153" s="61" t="s">
        <v>472</v>
      </c>
      <c r="B153" s="23">
        <v>0</v>
      </c>
      <c r="C153" s="23">
        <v>0</v>
      </c>
      <c r="D153" s="23">
        <v>0</v>
      </c>
      <c r="E153" s="23">
        <v>0</v>
      </c>
      <c r="F153" s="23">
        <v>0</v>
      </c>
      <c r="G153" s="23">
        <v>0</v>
      </c>
      <c r="H153" s="23">
        <v>0</v>
      </c>
      <c r="I153" s="23">
        <v>0</v>
      </c>
      <c r="J153" s="23">
        <v>0</v>
      </c>
      <c r="K153" s="23"/>
      <c r="L153" s="23"/>
      <c r="M153" s="23"/>
      <c r="N153" s="70">
        <f t="shared" si="27"/>
        <v>0</v>
      </c>
    </row>
    <row r="154" spans="1:14">
      <c r="A154" s="61" t="s">
        <v>473</v>
      </c>
      <c r="B154" s="23">
        <v>0</v>
      </c>
      <c r="C154" s="23">
        <v>0</v>
      </c>
      <c r="D154" s="23">
        <v>0</v>
      </c>
      <c r="E154" s="23">
        <v>0</v>
      </c>
      <c r="F154" s="23">
        <v>0</v>
      </c>
      <c r="G154" s="23">
        <v>0</v>
      </c>
      <c r="H154" s="23">
        <v>0</v>
      </c>
      <c r="I154" s="23">
        <v>0</v>
      </c>
      <c r="J154" s="23">
        <v>0</v>
      </c>
      <c r="K154" s="23"/>
      <c r="L154" s="23"/>
      <c r="M154" s="23"/>
      <c r="N154" s="70">
        <f t="shared" si="27"/>
        <v>0</v>
      </c>
    </row>
    <row r="155" spans="1:14">
      <c r="A155" s="61" t="s">
        <v>474</v>
      </c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70"/>
    </row>
    <row r="156" spans="1:14">
      <c r="A156" s="61" t="s">
        <v>475</v>
      </c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70"/>
    </row>
    <row r="157" spans="1:14">
      <c r="A157" s="61" t="s">
        <v>476</v>
      </c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70"/>
    </row>
    <row r="158" spans="1:14">
      <c r="A158" s="61" t="s">
        <v>477</v>
      </c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70"/>
    </row>
    <row r="159" spans="1:14">
      <c r="A159" s="61" t="s">
        <v>516</v>
      </c>
      <c r="B159" s="23">
        <f t="shared" ref="B159:M159" si="28">SUM(B160:B162)+SUM(B163:B167)*0.4</f>
        <v>1536456036.1650181</v>
      </c>
      <c r="C159" s="23">
        <f t="shared" si="28"/>
        <v>1483637054.065928</v>
      </c>
      <c r="D159" s="23">
        <f t="shared" si="28"/>
        <v>1672230348.0501313</v>
      </c>
      <c r="E159" s="23">
        <f t="shared" si="28"/>
        <v>1342518767.1769826</v>
      </c>
      <c r="F159" s="23">
        <f t="shared" si="28"/>
        <v>1270884364.2850852</v>
      </c>
      <c r="G159" s="23">
        <f t="shared" si="28"/>
        <v>1447229234.319191</v>
      </c>
      <c r="H159" s="23">
        <f t="shared" si="28"/>
        <v>1548036938.0402036</v>
      </c>
      <c r="I159" s="23">
        <f t="shared" si="28"/>
        <v>1617454457.0697367</v>
      </c>
      <c r="J159" s="23">
        <f t="shared" si="28"/>
        <v>1604929008.4831285</v>
      </c>
      <c r="K159" s="23">
        <f t="shared" si="28"/>
        <v>0</v>
      </c>
      <c r="L159" s="23">
        <f t="shared" si="28"/>
        <v>0</v>
      </c>
      <c r="M159" s="23">
        <f t="shared" si="28"/>
        <v>0</v>
      </c>
      <c r="N159" s="70">
        <f>SUM(B159:M159)</f>
        <v>13523376207.655403</v>
      </c>
    </row>
    <row r="160" spans="1:14">
      <c r="A160" s="61" t="s">
        <v>479</v>
      </c>
      <c r="B160" s="23">
        <v>930276247.77540696</v>
      </c>
      <c r="C160" s="23">
        <v>972281280.50488806</v>
      </c>
      <c r="D160" s="23">
        <v>961848669.04997694</v>
      </c>
      <c r="E160" s="23">
        <v>659356234.62218499</v>
      </c>
      <c r="F160" s="23">
        <v>702362911.49849403</v>
      </c>
      <c r="G160" s="23">
        <v>721975936.349998</v>
      </c>
      <c r="H160" s="23">
        <v>870288240.31000495</v>
      </c>
      <c r="I160" s="23">
        <v>914372909.32867205</v>
      </c>
      <c r="J160" s="23">
        <v>831475506.56474304</v>
      </c>
      <c r="K160" s="23"/>
      <c r="L160" s="23"/>
      <c r="M160" s="23"/>
      <c r="N160" s="70">
        <f t="shared" ref="N160:N167" si="29">SUM(B160:M160)</f>
        <v>7564237936.0043697</v>
      </c>
    </row>
    <row r="161" spans="1:16">
      <c r="A161" s="61" t="s">
        <v>480</v>
      </c>
      <c r="B161" s="23">
        <v>6155399.1500000004</v>
      </c>
      <c r="C161" s="23">
        <v>1490601.65</v>
      </c>
      <c r="D161" s="23">
        <v>963277.67</v>
      </c>
      <c r="E161" s="23">
        <v>41893278.899999999</v>
      </c>
      <c r="F161" s="23">
        <v>11187114.195</v>
      </c>
      <c r="G161" s="23">
        <v>2847616.62</v>
      </c>
      <c r="H161" s="23">
        <v>2788572.7050000001</v>
      </c>
      <c r="I161" s="23">
        <v>1573009.2424999999</v>
      </c>
      <c r="J161" s="23">
        <v>2330485.29</v>
      </c>
      <c r="K161" s="23"/>
      <c r="L161" s="23"/>
      <c r="M161" s="23"/>
      <c r="N161" s="70">
        <f t="shared" si="29"/>
        <v>71229355.422500014</v>
      </c>
    </row>
    <row r="162" spans="1:16">
      <c r="A162" s="61" t="s">
        <v>481</v>
      </c>
      <c r="B162" s="23">
        <v>5464283</v>
      </c>
      <c r="C162" s="23">
        <v>3519558</v>
      </c>
      <c r="D162" s="23">
        <v>9147816</v>
      </c>
      <c r="E162" s="23">
        <v>3065732</v>
      </c>
      <c r="F162" s="23">
        <v>5196919</v>
      </c>
      <c r="G162" s="23">
        <v>3455835</v>
      </c>
      <c r="H162" s="23">
        <v>1388049</v>
      </c>
      <c r="I162" s="23">
        <v>7302043</v>
      </c>
      <c r="J162" s="23">
        <v>3325974</v>
      </c>
      <c r="K162" s="23"/>
      <c r="L162" s="23"/>
      <c r="M162" s="23"/>
      <c r="N162" s="70">
        <f t="shared" si="29"/>
        <v>41866209</v>
      </c>
    </row>
    <row r="163" spans="1:16">
      <c r="A163" s="61" t="s">
        <v>482</v>
      </c>
      <c r="B163" s="23">
        <v>269237866.8222</v>
      </c>
      <c r="C163" s="23">
        <v>166163130.45199999</v>
      </c>
      <c r="D163" s="23">
        <v>117991774.49345</v>
      </c>
      <c r="E163" s="23">
        <v>135161956.00345001</v>
      </c>
      <c r="F163" s="23">
        <v>164757980.8398</v>
      </c>
      <c r="G163" s="23">
        <v>72469117.991300002</v>
      </c>
      <c r="H163" s="23">
        <v>104383720.7342</v>
      </c>
      <c r="I163" s="23">
        <v>190941166.40419999</v>
      </c>
      <c r="J163" s="23">
        <v>168885408.33645299</v>
      </c>
      <c r="K163" s="23"/>
      <c r="L163" s="23"/>
      <c r="M163" s="23"/>
      <c r="N163" s="70">
        <f t="shared" si="29"/>
        <v>1389992122.0770531</v>
      </c>
    </row>
    <row r="164" spans="1:16">
      <c r="A164" s="61" t="s">
        <v>483</v>
      </c>
      <c r="B164" s="23">
        <v>29619763.890000004</v>
      </c>
      <c r="C164" s="23">
        <v>24606207.5</v>
      </c>
      <c r="D164" s="23">
        <v>96194091.909999996</v>
      </c>
      <c r="E164" s="23">
        <v>109486472.64</v>
      </c>
      <c r="F164" s="23">
        <v>86650288.609999985</v>
      </c>
      <c r="G164" s="23">
        <v>63252102.200000003</v>
      </c>
      <c r="H164" s="23">
        <v>111445836.23999999</v>
      </c>
      <c r="I164" s="23">
        <v>115142710.5</v>
      </c>
      <c r="J164" s="23">
        <v>77986436.730000004</v>
      </c>
      <c r="K164" s="23"/>
      <c r="L164" s="23"/>
      <c r="M164" s="23"/>
      <c r="N164" s="70">
        <f t="shared" si="29"/>
        <v>714383910.22000003</v>
      </c>
    </row>
    <row r="165" spans="1:16">
      <c r="A165" s="61" t="s">
        <v>484</v>
      </c>
      <c r="B165" s="23">
        <v>304031090.46221995</v>
      </c>
      <c r="C165" s="23">
        <v>194547843.52432001</v>
      </c>
      <c r="D165" s="23">
        <v>151282224.50747401</v>
      </c>
      <c r="E165" s="23">
        <v>228532585.85844204</v>
      </c>
      <c r="F165" s="23">
        <v>105647044.190622</v>
      </c>
      <c r="G165" s="23">
        <v>154748303.38520199</v>
      </c>
      <c r="H165" s="23">
        <v>320371076.25997597</v>
      </c>
      <c r="I165" s="23">
        <v>349158849.71258199</v>
      </c>
      <c r="J165" s="23">
        <v>395743272.01920003</v>
      </c>
      <c r="K165" s="23"/>
      <c r="L165" s="23"/>
      <c r="M165" s="23"/>
      <c r="N165" s="70">
        <f t="shared" si="29"/>
        <v>2204062289.9200377</v>
      </c>
    </row>
    <row r="166" spans="1:16">
      <c r="A166" s="61" t="s">
        <v>485</v>
      </c>
      <c r="B166" s="23">
        <v>579578982.95444393</v>
      </c>
      <c r="C166" s="23">
        <v>749169574.14199984</v>
      </c>
      <c r="D166" s="23">
        <v>668411117.67580497</v>
      </c>
      <c r="E166" s="23">
        <v>603623727.76169801</v>
      </c>
      <c r="F166" s="23">
        <v>660674622.86379409</v>
      </c>
      <c r="G166" s="23">
        <v>886026375.09128213</v>
      </c>
      <c r="H166" s="23">
        <v>595580822.31127203</v>
      </c>
      <c r="I166" s="23">
        <v>541722449.92047</v>
      </c>
      <c r="J166" s="23">
        <v>694664872.79602706</v>
      </c>
      <c r="K166" s="23"/>
      <c r="L166" s="23"/>
      <c r="M166" s="23"/>
      <c r="N166" s="70">
        <f t="shared" si="29"/>
        <v>5979452545.5167923</v>
      </c>
    </row>
    <row r="167" spans="1:16">
      <c r="A167" s="61" t="s">
        <v>486</v>
      </c>
      <c r="B167" s="23">
        <v>303932561.47016394</v>
      </c>
      <c r="C167" s="23">
        <v>131377279.15927999</v>
      </c>
      <c r="D167" s="23">
        <v>716797254.73865712</v>
      </c>
      <c r="E167" s="23">
        <v>518704061.87340409</v>
      </c>
      <c r="F167" s="23">
        <v>362613612.47476202</v>
      </c>
      <c r="G167" s="23">
        <v>620878717.20519805</v>
      </c>
      <c r="H167" s="23">
        <v>552148734.51754808</v>
      </c>
      <c r="I167" s="23">
        <v>538551062.20915997</v>
      </c>
      <c r="J167" s="23">
        <v>582212616.68928409</v>
      </c>
      <c r="K167" s="23"/>
      <c r="L167" s="23"/>
      <c r="M167" s="23"/>
      <c r="N167" s="70">
        <f t="shared" si="29"/>
        <v>4327215900.3374567</v>
      </c>
    </row>
    <row r="168" spans="1:16">
      <c r="A168" s="61" t="s">
        <v>487</v>
      </c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70"/>
    </row>
    <row r="169" spans="1:16">
      <c r="A169" s="61" t="s">
        <v>488</v>
      </c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70"/>
    </row>
    <row r="170" spans="1:16">
      <c r="A170" s="61" t="s">
        <v>489</v>
      </c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70"/>
    </row>
    <row r="171" spans="1:16">
      <c r="A171" s="61" t="s">
        <v>490</v>
      </c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70"/>
    </row>
    <row r="172" spans="1:16">
      <c r="A172" s="61" t="s">
        <v>517</v>
      </c>
      <c r="B172" s="23">
        <f t="shared" ref="B172:M172" si="30">SUM(B173:B175)+SUM(B176:B180)*0.4</f>
        <v>791426024.8507942</v>
      </c>
      <c r="C172" s="23">
        <f t="shared" si="30"/>
        <v>678886768.95100594</v>
      </c>
      <c r="D172" s="23">
        <f t="shared" si="30"/>
        <v>893576570.95771933</v>
      </c>
      <c r="E172" s="23">
        <f t="shared" si="30"/>
        <v>301489026.20581675</v>
      </c>
      <c r="F172" s="23">
        <f t="shared" si="30"/>
        <v>129510835.01682025</v>
      </c>
      <c r="G172" s="23">
        <f t="shared" si="30"/>
        <v>206133384.36404383</v>
      </c>
      <c r="H172" s="23">
        <f t="shared" si="30"/>
        <v>237755234.14751625</v>
      </c>
      <c r="I172" s="23">
        <f t="shared" si="30"/>
        <v>296797529.63330686</v>
      </c>
      <c r="J172" s="23">
        <f t="shared" si="30"/>
        <v>218973623.09312868</v>
      </c>
      <c r="K172" s="23">
        <f t="shared" si="30"/>
        <v>0</v>
      </c>
      <c r="L172" s="23">
        <f t="shared" si="30"/>
        <v>0</v>
      </c>
      <c r="M172" s="23">
        <f t="shared" si="30"/>
        <v>0</v>
      </c>
      <c r="N172" s="70">
        <f>SUM(B172:M172)</f>
        <v>3754548997.2201524</v>
      </c>
    </row>
    <row r="173" spans="1:16">
      <c r="A173" s="61" t="s">
        <v>492</v>
      </c>
      <c r="B173" s="23">
        <v>930276247.77540696</v>
      </c>
      <c r="C173" s="23">
        <v>972281280.50488806</v>
      </c>
      <c r="D173" s="23">
        <v>961848669.04997694</v>
      </c>
      <c r="E173" s="23">
        <v>659356234.62218499</v>
      </c>
      <c r="F173" s="23">
        <v>702362911.49849403</v>
      </c>
      <c r="G173" s="23">
        <v>721975936.349998</v>
      </c>
      <c r="H173" s="23">
        <v>870288240.31000495</v>
      </c>
      <c r="I173" s="23">
        <v>914372909.32867205</v>
      </c>
      <c r="J173" s="23">
        <v>831475506.56474304</v>
      </c>
      <c r="K173" s="23"/>
      <c r="L173" s="23"/>
      <c r="M173" s="23"/>
      <c r="N173" s="70">
        <f t="shared" ref="N173:N180" si="31">SUM(B173:M173)</f>
        <v>7564237936.0043697</v>
      </c>
      <c r="P173" s="52">
        <f t="shared" ref="P173:P180" si="32">I160-I147</f>
        <v>914372909.32867205</v>
      </c>
    </row>
    <row r="174" spans="1:16">
      <c r="A174" s="61" t="s">
        <v>493</v>
      </c>
      <c r="B174" s="23">
        <v>-59170003.850000001</v>
      </c>
      <c r="C174" s="23">
        <v>-66361876.350000001</v>
      </c>
      <c r="D174" s="23">
        <v>-70306687.060000002</v>
      </c>
      <c r="E174" s="23">
        <v>-248513912.29999998</v>
      </c>
      <c r="F174" s="23">
        <v>-278500624.69499999</v>
      </c>
      <c r="G174" s="23">
        <v>-292119315.32999998</v>
      </c>
      <c r="H174" s="23">
        <v>-291143544.09500003</v>
      </c>
      <c r="I174" s="23">
        <v>-299644175.3175</v>
      </c>
      <c r="J174" s="23">
        <v>-310787076.09999996</v>
      </c>
      <c r="K174" s="23"/>
      <c r="L174" s="23"/>
      <c r="M174" s="23"/>
      <c r="N174" s="70">
        <f t="shared" si="31"/>
        <v>-1916547215.0974998</v>
      </c>
      <c r="P174" s="52">
        <f t="shared" si="32"/>
        <v>-299644175.3175</v>
      </c>
    </row>
    <row r="175" spans="1:16">
      <c r="A175" s="61" t="s">
        <v>494</v>
      </c>
      <c r="B175" s="23">
        <v>5464283</v>
      </c>
      <c r="C175" s="23">
        <v>-4690393.7111060005</v>
      </c>
      <c r="D175" s="23">
        <v>9147816</v>
      </c>
      <c r="E175" s="23">
        <v>-9720402.1671660002</v>
      </c>
      <c r="F175" s="23">
        <v>-13209671.378265001</v>
      </c>
      <c r="G175" s="23">
        <v>-9823419.0051470008</v>
      </c>
      <c r="H175" s="23">
        <v>-21082354.092687</v>
      </c>
      <c r="I175" s="23">
        <v>-10053723.876430001</v>
      </c>
      <c r="J175" s="23">
        <v>-8674026</v>
      </c>
      <c r="K175" s="23"/>
      <c r="L175" s="23"/>
      <c r="M175" s="23"/>
      <c r="N175" s="70">
        <f t="shared" si="31"/>
        <v>-62641891.230801001</v>
      </c>
      <c r="P175" s="52">
        <f t="shared" si="32"/>
        <v>-10053723.876430001</v>
      </c>
    </row>
    <row r="176" spans="1:16">
      <c r="A176" s="61" t="s">
        <v>495</v>
      </c>
      <c r="B176" s="23">
        <v>-1430023653.9633598</v>
      </c>
      <c r="C176" s="23">
        <v>-1655556508.0575402</v>
      </c>
      <c r="D176" s="23">
        <v>-1650467756.41258</v>
      </c>
      <c r="E176" s="23">
        <v>-1709429083.0065501</v>
      </c>
      <c r="F176" s="23">
        <v>-1918440019.1601999</v>
      </c>
      <c r="G176" s="23">
        <v>-2259655042.0086999</v>
      </c>
      <c r="H176" s="23">
        <v>-2380314239.2658</v>
      </c>
      <c r="I176" s="23">
        <v>-2314268773.5957999</v>
      </c>
      <c r="J176" s="23">
        <v>-2483209151.663547</v>
      </c>
      <c r="K176" s="23"/>
      <c r="L176" s="23"/>
      <c r="M176" s="23"/>
      <c r="N176" s="70">
        <f t="shared" si="31"/>
        <v>-17801364227.134075</v>
      </c>
      <c r="P176" s="52">
        <f t="shared" si="32"/>
        <v>-2314268773.5957999</v>
      </c>
    </row>
    <row r="177" spans="1:16">
      <c r="A177" s="61" t="s">
        <v>496</v>
      </c>
      <c r="B177" s="23">
        <v>29619763.890000004</v>
      </c>
      <c r="C177" s="23">
        <v>24606207.5</v>
      </c>
      <c r="D177" s="23">
        <v>96194091.909999996</v>
      </c>
      <c r="E177" s="23">
        <v>109486472.64</v>
      </c>
      <c r="F177" s="23">
        <v>86650288.609999985</v>
      </c>
      <c r="G177" s="23">
        <v>63252102.200000003</v>
      </c>
      <c r="H177" s="23">
        <v>111445836.23999999</v>
      </c>
      <c r="I177" s="23">
        <v>115142710.5</v>
      </c>
      <c r="J177" s="23">
        <v>77986436.730000004</v>
      </c>
      <c r="K177" s="23"/>
      <c r="L177" s="23"/>
      <c r="M177" s="23"/>
      <c r="N177" s="70">
        <f t="shared" si="31"/>
        <v>714383910.22000003</v>
      </c>
      <c r="P177" s="52">
        <f t="shared" si="32"/>
        <v>115142710.5</v>
      </c>
    </row>
    <row r="178" spans="1:16">
      <c r="A178" s="61" t="s">
        <v>497</v>
      </c>
      <c r="B178" s="23">
        <v>304031090.46221995</v>
      </c>
      <c r="C178" s="23">
        <v>194547843.52432001</v>
      </c>
      <c r="D178" s="23">
        <v>151282224.50747401</v>
      </c>
      <c r="E178" s="23">
        <v>228532585.85844204</v>
      </c>
      <c r="F178" s="23">
        <v>105647044.190622</v>
      </c>
      <c r="G178" s="23">
        <v>154748303.38520199</v>
      </c>
      <c r="H178" s="23">
        <v>320371076.25997597</v>
      </c>
      <c r="I178" s="23">
        <v>349158849.71258199</v>
      </c>
      <c r="J178" s="23">
        <v>395743272.01920003</v>
      </c>
      <c r="K178" s="23"/>
      <c r="L178" s="23"/>
      <c r="M178" s="23"/>
      <c r="N178" s="70">
        <f t="shared" si="31"/>
        <v>2204062289.9200377</v>
      </c>
      <c r="P178" s="52">
        <f t="shared" si="32"/>
        <v>349158849.71258199</v>
      </c>
    </row>
    <row r="179" spans="1:16">
      <c r="A179" s="61" t="s">
        <v>498</v>
      </c>
      <c r="B179" s="23">
        <v>579578982.95444393</v>
      </c>
      <c r="C179" s="23">
        <v>749169574.14199984</v>
      </c>
      <c r="D179" s="23">
        <v>668411117.67580497</v>
      </c>
      <c r="E179" s="23">
        <v>603623727.76169801</v>
      </c>
      <c r="F179" s="23">
        <v>660674622.86379409</v>
      </c>
      <c r="G179" s="23">
        <v>886026375.09128213</v>
      </c>
      <c r="H179" s="23">
        <v>595580822.31127203</v>
      </c>
      <c r="I179" s="23">
        <v>541722449.92047</v>
      </c>
      <c r="J179" s="23">
        <v>694664872.79602706</v>
      </c>
      <c r="K179" s="23"/>
      <c r="L179" s="23"/>
      <c r="M179" s="23"/>
      <c r="N179" s="70">
        <f t="shared" si="31"/>
        <v>5979452545.5167923</v>
      </c>
      <c r="P179" s="52">
        <f t="shared" si="32"/>
        <v>541722449.92047</v>
      </c>
    </row>
    <row r="180" spans="1:16">
      <c r="A180" s="61" t="s">
        <v>499</v>
      </c>
      <c r="B180" s="23">
        <v>303932561.47016394</v>
      </c>
      <c r="C180" s="23">
        <v>131377279.15927999</v>
      </c>
      <c r="D180" s="23">
        <v>716797254.73865712</v>
      </c>
      <c r="E180" s="23">
        <v>518704061.87340409</v>
      </c>
      <c r="F180" s="23">
        <v>362613612.47476202</v>
      </c>
      <c r="G180" s="23">
        <v>620878717.20519805</v>
      </c>
      <c r="H180" s="23">
        <v>552148734.51754808</v>
      </c>
      <c r="I180" s="23">
        <v>538551062.20915997</v>
      </c>
      <c r="J180" s="23">
        <v>582212616.68928409</v>
      </c>
      <c r="K180" s="23"/>
      <c r="L180" s="23"/>
      <c r="M180" s="23"/>
      <c r="N180" s="70">
        <f t="shared" si="31"/>
        <v>4327215900.3374567</v>
      </c>
      <c r="P180" s="52">
        <f t="shared" si="32"/>
        <v>538551062.20915997</v>
      </c>
    </row>
    <row r="181" spans="1:16">
      <c r="A181" s="61" t="s">
        <v>500</v>
      </c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70"/>
    </row>
    <row r="182" spans="1:16">
      <c r="A182" s="61" t="s">
        <v>501</v>
      </c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70"/>
    </row>
    <row r="183" spans="1:16">
      <c r="A183" s="61" t="s">
        <v>502</v>
      </c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70"/>
    </row>
    <row r="184" spans="1:16">
      <c r="A184" s="61" t="s">
        <v>503</v>
      </c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70"/>
    </row>
    <row r="185" spans="1:16">
      <c r="A185" s="61" t="s">
        <v>518</v>
      </c>
      <c r="B185" s="23">
        <f t="shared" ref="B185:M185" si="33">SUM(B186:B188)+SUM(B189:B193)*0.4</f>
        <v>9734379.947805794</v>
      </c>
      <c r="C185" s="23">
        <f t="shared" si="33"/>
        <v>7480531.1451193783</v>
      </c>
      <c r="D185" s="23">
        <f t="shared" si="33"/>
        <v>14196628.540314406</v>
      </c>
      <c r="E185" s="23">
        <f t="shared" si="33"/>
        <v>76161393.787639424</v>
      </c>
      <c r="F185" s="23">
        <f t="shared" si="33"/>
        <v>38041504.812460072</v>
      </c>
      <c r="G185" s="23">
        <f t="shared" si="33"/>
        <v>18957548.212033324</v>
      </c>
      <c r="H185" s="23">
        <f t="shared" si="33"/>
        <v>-75776784.011540189</v>
      </c>
      <c r="I185" s="23">
        <f t="shared" si="33"/>
        <v>49600734.069352299</v>
      </c>
      <c r="J185" s="23">
        <f t="shared" si="33"/>
        <v>23127636.257345229</v>
      </c>
      <c r="K185" s="23">
        <f t="shared" si="33"/>
        <v>0</v>
      </c>
      <c r="L185" s="23">
        <f t="shared" si="33"/>
        <v>0</v>
      </c>
      <c r="M185" s="23">
        <f t="shared" si="33"/>
        <v>0</v>
      </c>
      <c r="N185" s="70">
        <f>SUM(B185:M185)</f>
        <v>161523572.76052973</v>
      </c>
    </row>
    <row r="186" spans="1:16">
      <c r="A186" s="61" t="s">
        <v>505</v>
      </c>
      <c r="B186" s="23">
        <v>0</v>
      </c>
      <c r="C186" s="23">
        <v>15416.66</v>
      </c>
      <c r="D186" s="23">
        <v>0</v>
      </c>
      <c r="E186" s="23">
        <v>0</v>
      </c>
      <c r="F186" s="23">
        <v>0</v>
      </c>
      <c r="G186" s="23">
        <v>322686</v>
      </c>
      <c r="H186" s="23">
        <v>0</v>
      </c>
      <c r="I186" s="23">
        <v>0</v>
      </c>
      <c r="J186" s="23">
        <v>0</v>
      </c>
      <c r="K186" s="23"/>
      <c r="L186" s="23"/>
      <c r="M186" s="23"/>
      <c r="N186" s="70">
        <f t="shared" ref="N186:N193" si="34">SUM(B186:M186)</f>
        <v>338102.66</v>
      </c>
    </row>
    <row r="187" spans="1:16">
      <c r="A187" s="61" t="s">
        <v>506</v>
      </c>
      <c r="B187" s="23">
        <v>1953778.61</v>
      </c>
      <c r="C187" s="23">
        <v>2466823.94</v>
      </c>
      <c r="D187" s="23">
        <v>3242317</v>
      </c>
      <c r="E187" s="23">
        <v>2535050</v>
      </c>
      <c r="F187" s="23">
        <v>2213108</v>
      </c>
      <c r="G187" s="23">
        <v>2940656.23</v>
      </c>
      <c r="H187" s="23">
        <v>2381556</v>
      </c>
      <c r="I187" s="23">
        <v>2486575</v>
      </c>
      <c r="J187" s="23">
        <v>2452957</v>
      </c>
      <c r="K187" s="23"/>
      <c r="L187" s="23"/>
      <c r="M187" s="23"/>
      <c r="N187" s="70">
        <f t="shared" si="34"/>
        <v>22672821.780000001</v>
      </c>
    </row>
    <row r="188" spans="1:16">
      <c r="A188" s="61" t="s">
        <v>507</v>
      </c>
      <c r="B188" s="23">
        <v>0</v>
      </c>
      <c r="C188" s="23">
        <v>0</v>
      </c>
      <c r="D188" s="23">
        <v>0</v>
      </c>
      <c r="E188" s="23">
        <v>0</v>
      </c>
      <c r="F188" s="23">
        <v>0</v>
      </c>
      <c r="G188" s="23">
        <v>0</v>
      </c>
      <c r="H188" s="23">
        <v>0</v>
      </c>
      <c r="I188" s="23">
        <v>0</v>
      </c>
      <c r="J188" s="23">
        <v>0</v>
      </c>
      <c r="K188" s="23"/>
      <c r="L188" s="23"/>
      <c r="M188" s="23"/>
      <c r="N188" s="70">
        <f t="shared" si="34"/>
        <v>0</v>
      </c>
    </row>
    <row r="189" spans="1:16">
      <c r="A189" s="61" t="s">
        <v>508</v>
      </c>
      <c r="B189" s="23">
        <v>6583183.5099999998</v>
      </c>
      <c r="C189" s="23">
        <v>3476445.34</v>
      </c>
      <c r="D189" s="23">
        <v>6652195.1399999997</v>
      </c>
      <c r="E189" s="23">
        <v>0</v>
      </c>
      <c r="F189" s="23">
        <v>0</v>
      </c>
      <c r="G189" s="23">
        <v>0</v>
      </c>
      <c r="H189" s="23">
        <v>0</v>
      </c>
      <c r="I189" s="23">
        <v>34103383.189999998</v>
      </c>
      <c r="J189" s="23">
        <v>12928270.26</v>
      </c>
      <c r="K189" s="23"/>
      <c r="L189" s="23"/>
      <c r="M189" s="23"/>
      <c r="N189" s="70">
        <f t="shared" si="34"/>
        <v>63743477.43999999</v>
      </c>
    </row>
    <row r="190" spans="1:16">
      <c r="A190" s="61" t="s">
        <v>509</v>
      </c>
      <c r="B190" s="23">
        <v>4126656.09</v>
      </c>
      <c r="C190" s="23">
        <v>3984782.6</v>
      </c>
      <c r="D190" s="23">
        <v>13306981.789999999</v>
      </c>
      <c r="E190" s="23">
        <v>1351136.05</v>
      </c>
      <c r="F190" s="23">
        <v>1286956.06</v>
      </c>
      <c r="G190" s="23">
        <v>4808022.0599999996</v>
      </c>
      <c r="H190" s="23">
        <v>17503956.460000001</v>
      </c>
      <c r="I190" s="23">
        <v>575795.31999999995</v>
      </c>
      <c r="J190" s="23">
        <v>2955012.17</v>
      </c>
      <c r="K190" s="23"/>
      <c r="L190" s="23"/>
      <c r="M190" s="23"/>
      <c r="N190" s="70">
        <f t="shared" si="34"/>
        <v>49899298.600000001</v>
      </c>
    </row>
    <row r="191" spans="1:16">
      <c r="A191" s="61" t="s">
        <v>510</v>
      </c>
      <c r="B191" s="23">
        <v>4658661.8787744194</v>
      </c>
      <c r="C191" s="23">
        <v>1693712.4935941596</v>
      </c>
      <c r="D191" s="23">
        <v>1013158.2863049128</v>
      </c>
      <c r="E191" s="23">
        <v>10601005.126869392</v>
      </c>
      <c r="F191" s="23">
        <v>11719272.882018281</v>
      </c>
      <c r="G191" s="23">
        <v>8900086.2215687949</v>
      </c>
      <c r="H191" s="23">
        <v>-4460509.6159935063</v>
      </c>
      <c r="I191" s="23">
        <v>62011775.662240833</v>
      </c>
      <c r="J191" s="23">
        <v>14279360.094818994</v>
      </c>
      <c r="K191" s="23"/>
      <c r="L191" s="23"/>
      <c r="M191" s="23"/>
      <c r="N191" s="70">
        <f t="shared" si="34"/>
        <v>110416523.03019628</v>
      </c>
    </row>
    <row r="192" spans="1:16">
      <c r="A192" s="61" t="s">
        <v>511</v>
      </c>
      <c r="B192" s="23">
        <v>346179.69044177426</v>
      </c>
      <c r="C192" s="23">
        <v>765531.17102892871</v>
      </c>
      <c r="D192" s="23">
        <v>216463.12555142184</v>
      </c>
      <c r="E192" s="23">
        <v>137073287.05121765</v>
      </c>
      <c r="F192" s="23">
        <v>65365626.063331574</v>
      </c>
      <c r="G192" s="23">
        <v>20789114.247498423</v>
      </c>
      <c r="H192" s="23">
        <v>-214312949.38783306</v>
      </c>
      <c r="I192" s="23">
        <v>7253048.2477201801</v>
      </c>
      <c r="J192" s="23">
        <v>12084487.5</v>
      </c>
      <c r="K192" s="23"/>
      <c r="L192" s="23"/>
      <c r="M192" s="23"/>
      <c r="N192" s="70">
        <f t="shared" si="34"/>
        <v>29580787.708956897</v>
      </c>
    </row>
    <row r="193" spans="1:14">
      <c r="A193" s="61" t="s">
        <v>512</v>
      </c>
      <c r="B193" s="23">
        <v>3736822.1752982913</v>
      </c>
      <c r="C193" s="23">
        <v>2575254.7581753568</v>
      </c>
      <c r="D193" s="23">
        <v>6196980.5089296792</v>
      </c>
      <c r="E193" s="23">
        <v>35040431.24101153</v>
      </c>
      <c r="F193" s="23">
        <v>11199137.025800323</v>
      </c>
      <c r="G193" s="23">
        <v>4738292.426016096</v>
      </c>
      <c r="H193" s="23">
        <v>5873652.5149761252</v>
      </c>
      <c r="I193" s="23">
        <v>13841395.253419748</v>
      </c>
      <c r="J193" s="23">
        <v>9439568.1185440775</v>
      </c>
      <c r="K193" s="23"/>
      <c r="L193" s="23"/>
      <c r="M193" s="23"/>
      <c r="N193" s="70">
        <f t="shared" si="34"/>
        <v>92641534.022171229</v>
      </c>
    </row>
    <row r="194" spans="1:14">
      <c r="A194" s="61" t="s">
        <v>513</v>
      </c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70"/>
    </row>
    <row r="195" spans="1:14">
      <c r="A195" s="61" t="s">
        <v>514</v>
      </c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71"/>
    </row>
  </sheetData>
  <pageMargins left="0.7" right="0.7" top="0.75" bottom="0.75" header="0.3" footer="0.3"/>
  <customProperties>
    <customPr name="_pios_id" r:id="rId1"/>
    <customPr name="CofWorksheetType" r:id="rId2"/>
    <customPr name="EpmWorksheetKeyString_GUID" r:id="rId3"/>
  </customPropertie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31CD5-6F5A-4CEC-B7B4-003CDBBC0414}">
  <sheetPr>
    <tabColor rgb="FF00B0F0"/>
  </sheetPr>
  <dimension ref="A1:AA37"/>
  <sheetViews>
    <sheetView zoomScale="85" zoomScaleNormal="85" workbookViewId="0">
      <selection activeCell="B16" sqref="B16"/>
    </sheetView>
  </sheetViews>
  <sheetFormatPr defaultColWidth="8.81640625" defaultRowHeight="14.5"/>
  <cols>
    <col min="1" max="1" width="24.54296875" customWidth="1"/>
    <col min="2" max="3" width="12" style="94" bestFit="1" customWidth="1"/>
    <col min="4" max="6" width="12" bestFit="1" customWidth="1"/>
    <col min="7" max="7" width="12.1796875" bestFit="1" customWidth="1"/>
    <col min="8" max="11" width="12" bestFit="1" customWidth="1"/>
    <col min="12" max="12" width="11.1796875" bestFit="1" customWidth="1"/>
    <col min="13" max="13" width="12.1796875" bestFit="1" customWidth="1"/>
    <col min="14" max="14" width="10.54296875" bestFit="1" customWidth="1"/>
    <col min="15" max="15" width="13.453125" bestFit="1" customWidth="1"/>
    <col min="16" max="16" width="11.54296875" bestFit="1" customWidth="1"/>
    <col min="17" max="18" width="12.81640625" bestFit="1" customWidth="1"/>
    <col min="19" max="19" width="12.1796875" bestFit="1" customWidth="1"/>
    <col min="20" max="20" width="12.81640625" bestFit="1" customWidth="1"/>
    <col min="21" max="27" width="13.26953125" bestFit="1" customWidth="1"/>
  </cols>
  <sheetData>
    <row r="1" spans="1:27">
      <c r="A1" s="60" t="s">
        <v>165</v>
      </c>
      <c r="B1" s="106" t="s">
        <v>168</v>
      </c>
      <c r="C1" s="106" t="s">
        <v>167</v>
      </c>
      <c r="D1" s="61" t="s">
        <v>129</v>
      </c>
      <c r="E1" s="61" t="s">
        <v>130</v>
      </c>
      <c r="F1" s="61" t="s">
        <v>131</v>
      </c>
      <c r="G1" s="61" t="s">
        <v>101</v>
      </c>
      <c r="H1" s="61" t="s">
        <v>102</v>
      </c>
      <c r="I1" s="61" t="s">
        <v>103</v>
      </c>
      <c r="J1" s="61" t="s">
        <v>104</v>
      </c>
      <c r="K1" s="61" t="s">
        <v>105</v>
      </c>
      <c r="L1" s="61" t="s">
        <v>106</v>
      </c>
      <c r="M1" s="61" t="s">
        <v>343</v>
      </c>
    </row>
    <row r="2" spans="1:27">
      <c r="A2" s="61" t="s">
        <v>519</v>
      </c>
      <c r="B2" s="107">
        <f t="shared" ref="B2:M2" si="0">SUM(B3:B5)+SUM(B6:B10)*0.4</f>
        <v>-2420699.2818680145</v>
      </c>
      <c r="C2" s="107">
        <f t="shared" si="0"/>
        <v>-1787206.0525159326</v>
      </c>
      <c r="D2" s="107">
        <f t="shared" si="0"/>
        <v>7190577.4689554805</v>
      </c>
      <c r="E2" s="107">
        <f t="shared" si="0"/>
        <v>-7282359.4415887091</v>
      </c>
      <c r="F2" s="107">
        <f t="shared" si="0"/>
        <v>-3181613.3513675076</v>
      </c>
      <c r="G2" s="107">
        <f t="shared" si="0"/>
        <v>11614610.570748121</v>
      </c>
      <c r="H2" s="64">
        <f t="shared" si="0"/>
        <v>9254334.4096636269</v>
      </c>
      <c r="I2" s="64">
        <f t="shared" si="0"/>
        <v>3074697.0438685846</v>
      </c>
      <c r="J2" s="64">
        <f t="shared" si="0"/>
        <v>4075848.3260691799</v>
      </c>
      <c r="K2" s="64">
        <f t="shared" si="0"/>
        <v>0</v>
      </c>
      <c r="L2" s="64">
        <f t="shared" si="0"/>
        <v>0</v>
      </c>
      <c r="M2" s="64">
        <f t="shared" si="0"/>
        <v>0</v>
      </c>
      <c r="N2" s="91">
        <f>SUM(B2:M2)</f>
        <v>20538189.691964827</v>
      </c>
      <c r="O2" s="94"/>
    </row>
    <row r="3" spans="1:27">
      <c r="A3" s="61" t="s">
        <v>335</v>
      </c>
      <c r="B3" s="23">
        <v>342118.89949938818</v>
      </c>
      <c r="C3" s="23">
        <v>1070955.8844503204</v>
      </c>
      <c r="D3" s="23">
        <v>-261949.87675399799</v>
      </c>
      <c r="E3" s="23">
        <v>-8033285.2641261537</v>
      </c>
      <c r="F3" s="23">
        <v>691097.66326761805</v>
      </c>
      <c r="G3" s="23">
        <v>421756.98801394459</v>
      </c>
      <c r="H3" s="23">
        <v>7666788.7516475562</v>
      </c>
      <c r="I3" s="23">
        <v>755966.10789024504</v>
      </c>
      <c r="J3" s="23">
        <v>-322349.66380113084</v>
      </c>
      <c r="K3" s="23"/>
      <c r="L3" s="23"/>
      <c r="M3" s="23"/>
      <c r="N3" s="52">
        <f>SUM(B3:M3)</f>
        <v>2331099.4900877899</v>
      </c>
      <c r="O3" s="94">
        <v>1965725.7342201564</v>
      </c>
      <c r="P3" s="136">
        <f>N3-O3</f>
        <v>365373.7558676335</v>
      </c>
    </row>
    <row r="4" spans="1:27">
      <c r="A4" s="61" t="s">
        <v>336</v>
      </c>
      <c r="B4" s="23">
        <v>-276093.95271020074</v>
      </c>
      <c r="C4" s="23">
        <v>7219.3251082545612</v>
      </c>
      <c r="D4" s="23">
        <v>193962.18158600113</v>
      </c>
      <c r="E4" s="23">
        <v>-71078.759231534903</v>
      </c>
      <c r="F4" s="23">
        <v>-144760.2274653067</v>
      </c>
      <c r="G4" s="23">
        <v>41437.23701629843</v>
      </c>
      <c r="H4" s="23">
        <v>228580.9279335418</v>
      </c>
      <c r="I4" s="23">
        <v>-67380.831496365077</v>
      </c>
      <c r="J4" s="23">
        <v>182563.56303267097</v>
      </c>
      <c r="K4" s="23"/>
      <c r="L4" s="23"/>
      <c r="M4" s="23"/>
      <c r="N4" s="52">
        <f t="shared" ref="N4:N19" si="1">SUM(B4:M4)</f>
        <v>94449.463773359457</v>
      </c>
      <c r="O4">
        <v>852981.59245192714</v>
      </c>
      <c r="P4" s="136">
        <f>N4-O4</f>
        <v>-758532.12867856771</v>
      </c>
    </row>
    <row r="5" spans="1:27">
      <c r="A5" s="61" t="s">
        <v>337</v>
      </c>
      <c r="B5" s="23">
        <v>-17760.80919464046</v>
      </c>
      <c r="C5" s="23">
        <v>-118975.78555186067</v>
      </c>
      <c r="D5" s="23">
        <v>492519.46298552735</v>
      </c>
      <c r="E5" s="23">
        <v>-444223.82641633903</v>
      </c>
      <c r="F5" s="23">
        <v>50891.621773610124</v>
      </c>
      <c r="G5" s="23">
        <v>65184.108733921719</v>
      </c>
      <c r="H5" s="23">
        <v>-280550.89854121441</v>
      </c>
      <c r="I5" s="23">
        <v>317624.42144830502</v>
      </c>
      <c r="J5" s="23">
        <v>58366.544396283076</v>
      </c>
      <c r="K5" s="23"/>
      <c r="L5" s="23"/>
      <c r="M5" s="23"/>
      <c r="N5" s="52">
        <f t="shared" si="1"/>
        <v>123074.83963359272</v>
      </c>
      <c r="O5">
        <v>559626.56207641459</v>
      </c>
      <c r="P5" s="136">
        <f>N5-O5</f>
        <v>-436551.72244282183</v>
      </c>
    </row>
    <row r="6" spans="1:27">
      <c r="A6" s="61" t="s">
        <v>520</v>
      </c>
      <c r="B6" s="23">
        <v>-3437595.3209682051</v>
      </c>
      <c r="C6" s="23">
        <v>-4567902.9894374926</v>
      </c>
      <c r="D6" s="23">
        <v>3656377.7574260756</v>
      </c>
      <c r="E6" s="23">
        <v>3813299.4986363524</v>
      </c>
      <c r="F6" s="23">
        <v>-7900173.6720866952</v>
      </c>
      <c r="G6" s="23">
        <v>8125622.9124264345</v>
      </c>
      <c r="H6" s="23">
        <v>-1502286.8105942244</v>
      </c>
      <c r="I6" s="23">
        <v>1252547.7341590959</v>
      </c>
      <c r="J6" s="23">
        <v>3176511.2462106133</v>
      </c>
      <c r="K6" s="23"/>
      <c r="L6" s="23"/>
      <c r="M6" s="23"/>
      <c r="N6" s="52">
        <f t="shared" si="1"/>
        <v>2616400.3557719542</v>
      </c>
    </row>
    <row r="7" spans="1:27">
      <c r="A7" s="61" t="s">
        <v>339</v>
      </c>
      <c r="B7" s="23">
        <v>334452.51804979035</v>
      </c>
      <c r="C7" s="23">
        <v>58516.362392885785</v>
      </c>
      <c r="D7" s="23">
        <v>2247776.4854188072</v>
      </c>
      <c r="E7" s="23">
        <v>794247.70182694308</v>
      </c>
      <c r="F7" s="23">
        <v>-715001.18027189327</v>
      </c>
      <c r="G7" s="23">
        <v>898950.89131446928</v>
      </c>
      <c r="H7" s="23">
        <v>1334692.5708726011</v>
      </c>
      <c r="I7" s="23">
        <v>309085.93090686854</v>
      </c>
      <c r="J7" s="23">
        <v>-182646.57010723185</v>
      </c>
      <c r="K7" s="23"/>
      <c r="L7" s="23"/>
      <c r="M7" s="23"/>
      <c r="N7" s="52">
        <f t="shared" si="1"/>
        <v>5080074.7104032403</v>
      </c>
    </row>
    <row r="8" spans="1:27">
      <c r="A8" s="61" t="s">
        <v>340</v>
      </c>
      <c r="B8" s="23">
        <v>1559763.9099999962</v>
      </c>
      <c r="C8" s="23">
        <v>-2443800.6900000004</v>
      </c>
      <c r="D8" s="23">
        <v>-549028.33999999613</v>
      </c>
      <c r="E8" s="23">
        <v>44180.729999994393</v>
      </c>
      <c r="F8" s="23">
        <v>-687900.63999998965</v>
      </c>
      <c r="G8" s="23">
        <v>3450818.4599999874</v>
      </c>
      <c r="H8" s="23">
        <v>4367757.1199999973</v>
      </c>
      <c r="I8" s="23">
        <v>3355490.1400000043</v>
      </c>
      <c r="J8" s="23">
        <v>-970021.50999999791</v>
      </c>
      <c r="K8" s="23"/>
      <c r="L8" s="23"/>
      <c r="M8" s="23"/>
      <c r="N8" s="52">
        <f t="shared" si="1"/>
        <v>8127259.179999996</v>
      </c>
      <c r="O8">
        <f>B8*0.4</f>
        <v>623905.5639999985</v>
      </c>
      <c r="Q8" s="94">
        <f>B8</f>
        <v>1559763.9099999962</v>
      </c>
      <c r="R8" s="94">
        <f t="shared" ref="R8:AA10" si="2">Q8+C8</f>
        <v>-884036.78000000422</v>
      </c>
      <c r="S8" s="94">
        <f t="shared" si="2"/>
        <v>-1433065.1200000003</v>
      </c>
      <c r="T8" s="94">
        <f t="shared" si="2"/>
        <v>-1388884.390000006</v>
      </c>
      <c r="U8" s="94">
        <f t="shared" si="2"/>
        <v>-2076785.0299999956</v>
      </c>
      <c r="V8" s="94">
        <f t="shared" si="2"/>
        <v>1374033.4299999918</v>
      </c>
      <c r="W8" s="94">
        <f t="shared" si="2"/>
        <v>5741790.5499999896</v>
      </c>
      <c r="X8" s="94">
        <f t="shared" si="2"/>
        <v>9097280.6899999939</v>
      </c>
      <c r="Y8" s="94">
        <f t="shared" si="2"/>
        <v>8127259.179999996</v>
      </c>
      <c r="Z8" s="94">
        <f t="shared" si="2"/>
        <v>8127259.179999996</v>
      </c>
      <c r="AA8" s="94">
        <f t="shared" si="2"/>
        <v>8127259.179999996</v>
      </c>
    </row>
    <row r="9" spans="1:27">
      <c r="A9" s="61" t="s">
        <v>341</v>
      </c>
      <c r="B9" s="23">
        <v>275897.4500000017</v>
      </c>
      <c r="C9" s="23">
        <v>-1130999.5200000033</v>
      </c>
      <c r="D9" s="23">
        <v>3831069.2199999969</v>
      </c>
      <c r="E9" s="23">
        <v>1994219.7800000072</v>
      </c>
      <c r="F9" s="23">
        <v>696446.36999999173</v>
      </c>
      <c r="G9" s="23">
        <v>5571952.8087190008</v>
      </c>
      <c r="H9" s="23">
        <v>697757.68128099479</v>
      </c>
      <c r="I9" s="23">
        <v>-705888.20999999344</v>
      </c>
      <c r="J9" s="23">
        <v>4336146.4300000072</v>
      </c>
      <c r="K9" s="23"/>
      <c r="L9" s="23"/>
      <c r="M9" s="23"/>
      <c r="N9" s="52">
        <f t="shared" si="1"/>
        <v>15566602.010000004</v>
      </c>
      <c r="Q9" s="94">
        <f>B9</f>
        <v>275897.4500000017</v>
      </c>
      <c r="R9" s="94">
        <f t="shared" si="2"/>
        <v>-855102.07000000158</v>
      </c>
      <c r="S9" s="94">
        <f t="shared" si="2"/>
        <v>2975967.1499999953</v>
      </c>
      <c r="T9" s="94">
        <f t="shared" si="2"/>
        <v>4970186.9300000025</v>
      </c>
      <c r="U9" s="94">
        <f t="shared" si="2"/>
        <v>5666633.2999999942</v>
      </c>
      <c r="V9" s="94">
        <f t="shared" si="2"/>
        <v>11238586.108718995</v>
      </c>
      <c r="W9" s="94">
        <f t="shared" si="2"/>
        <v>11936343.78999999</v>
      </c>
      <c r="X9" s="94">
        <f t="shared" si="2"/>
        <v>11230455.579999996</v>
      </c>
      <c r="Y9" s="94">
        <f t="shared" si="2"/>
        <v>15566602.010000004</v>
      </c>
      <c r="Z9" s="94">
        <f t="shared" si="2"/>
        <v>15566602.010000004</v>
      </c>
      <c r="AA9" s="94">
        <f t="shared" si="2"/>
        <v>15566602.010000004</v>
      </c>
    </row>
    <row r="10" spans="1:27">
      <c r="A10" s="61" t="s">
        <v>342</v>
      </c>
      <c r="B10" s="23">
        <v>-4904927.105737987</v>
      </c>
      <c r="C10" s="23">
        <v>1218173.1457379945</v>
      </c>
      <c r="D10" s="23">
        <v>7728919.1299999887</v>
      </c>
      <c r="E10" s="23">
        <v>-3480376.6900000009</v>
      </c>
      <c r="F10" s="23">
        <v>-840476.89999998547</v>
      </c>
      <c r="G10" s="23">
        <v>9668235.5199999958</v>
      </c>
      <c r="H10" s="23">
        <v>-799131.49000001326</v>
      </c>
      <c r="I10" s="23">
        <v>959982.77000002377</v>
      </c>
      <c r="J10" s="23">
        <v>4033180.1100000013</v>
      </c>
      <c r="K10" s="23"/>
      <c r="L10" s="23"/>
      <c r="M10" s="23"/>
      <c r="N10" s="52">
        <f t="shared" si="1"/>
        <v>13583578.490000017</v>
      </c>
      <c r="Q10" s="94">
        <f>B10</f>
        <v>-4904927.105737987</v>
      </c>
      <c r="R10" s="94">
        <f t="shared" si="2"/>
        <v>-3686753.9599999925</v>
      </c>
      <c r="S10" s="94">
        <f t="shared" si="2"/>
        <v>4042165.1699999962</v>
      </c>
      <c r="T10" s="94">
        <f t="shared" si="2"/>
        <v>561788.47999999532</v>
      </c>
      <c r="U10" s="94">
        <f t="shared" si="2"/>
        <v>-278688.41999999015</v>
      </c>
      <c r="V10" s="94">
        <f t="shared" si="2"/>
        <v>9389547.1000000052</v>
      </c>
      <c r="W10" s="94">
        <f t="shared" si="2"/>
        <v>8590415.609999992</v>
      </c>
      <c r="X10" s="94">
        <f t="shared" si="2"/>
        <v>9550398.3800000157</v>
      </c>
      <c r="Y10" s="94">
        <f t="shared" si="2"/>
        <v>13583578.490000017</v>
      </c>
      <c r="Z10" s="94">
        <f t="shared" si="2"/>
        <v>13583578.490000017</v>
      </c>
      <c r="AA10" s="94">
        <f t="shared" si="2"/>
        <v>13583578.490000017</v>
      </c>
    </row>
    <row r="11" spans="1:27">
      <c r="A11" s="61" t="s">
        <v>521</v>
      </c>
      <c r="B11" s="107">
        <f t="shared" ref="B11:M11" si="3">SUM(B12:B14)+SUM(B15:B19)*0.4</f>
        <v>-2686018.8769063978</v>
      </c>
      <c r="C11" s="107">
        <f t="shared" si="3"/>
        <v>-1986274.3755693072</v>
      </c>
      <c r="D11" s="107">
        <f t="shared" si="3"/>
        <v>6834324.6582046906</v>
      </c>
      <c r="E11" s="107">
        <f t="shared" si="3"/>
        <v>-9067119.7930985</v>
      </c>
      <c r="F11" s="107">
        <f t="shared" si="3"/>
        <v>-4053537.8192042084</v>
      </c>
      <c r="G11" s="107">
        <f t="shared" si="3"/>
        <v>11195448.119382374</v>
      </c>
      <c r="H11" s="64">
        <f t="shared" si="3"/>
        <v>7138941.4253683733</v>
      </c>
      <c r="I11" s="64">
        <f t="shared" si="3"/>
        <v>2026111.2967245022</v>
      </c>
      <c r="J11" s="64">
        <f t="shared" si="3"/>
        <v>3597391.207855742</v>
      </c>
      <c r="K11" s="64">
        <f t="shared" si="3"/>
        <v>0</v>
      </c>
      <c r="L11" s="64">
        <f t="shared" si="3"/>
        <v>0</v>
      </c>
      <c r="M11" s="64">
        <f t="shared" si="3"/>
        <v>0</v>
      </c>
      <c r="N11" s="52">
        <f t="shared" si="1"/>
        <v>12999265.84275727</v>
      </c>
      <c r="Q11" s="94"/>
      <c r="R11" s="94"/>
      <c r="S11" s="94"/>
      <c r="T11" s="94"/>
      <c r="U11" s="94"/>
      <c r="V11" s="94"/>
      <c r="W11" s="94"/>
      <c r="X11" s="94"/>
    </row>
    <row r="12" spans="1:27">
      <c r="A12" s="61" t="s">
        <v>522</v>
      </c>
      <c r="B12" s="23">
        <v>342118.89949938818</v>
      </c>
      <c r="C12" s="23">
        <v>1070545.6236554987</v>
      </c>
      <c r="D12" s="23">
        <v>-261949.87675399799</v>
      </c>
      <c r="E12" s="23">
        <v>-8033285.2641261537</v>
      </c>
      <c r="F12" s="23">
        <v>691097.66326761805</v>
      </c>
      <c r="G12" s="23">
        <v>414622.21228933055</v>
      </c>
      <c r="H12" s="23">
        <v>7666788.7516475562</v>
      </c>
      <c r="I12" s="23">
        <v>755966.10789024504</v>
      </c>
      <c r="J12" s="23">
        <v>-322349.66380113084</v>
      </c>
      <c r="K12" s="23"/>
      <c r="L12" s="23"/>
      <c r="M12" s="23"/>
      <c r="N12" s="52">
        <f t="shared" si="1"/>
        <v>2323554.4535683547</v>
      </c>
      <c r="Q12" s="94"/>
      <c r="R12" s="94"/>
      <c r="S12" s="94"/>
      <c r="T12" s="94"/>
      <c r="U12" s="94"/>
      <c r="V12" s="94"/>
      <c r="W12" s="94"/>
      <c r="X12" s="94"/>
    </row>
    <row r="13" spans="1:27">
      <c r="A13" s="61" t="s">
        <v>523</v>
      </c>
      <c r="B13" s="23">
        <v>-329346.0090691371</v>
      </c>
      <c r="C13" s="23">
        <v>-58426.615731669706</v>
      </c>
      <c r="D13" s="23">
        <v>112598.88174935617</v>
      </c>
      <c r="E13" s="23">
        <v>-130484.92952445819</v>
      </c>
      <c r="F13" s="23">
        <v>-195485.42944346566</v>
      </c>
      <c r="G13" s="23">
        <v>-23582.387895342195</v>
      </c>
      <c r="H13" s="23">
        <v>177816.85921895475</v>
      </c>
      <c r="I13" s="23">
        <v>-119948.34189972159</v>
      </c>
      <c r="J13" s="23">
        <v>131817.57566663669</v>
      </c>
      <c r="K13" s="23"/>
      <c r="L13" s="23"/>
      <c r="M13" s="23"/>
      <c r="N13" s="52">
        <f t="shared" si="1"/>
        <v>-435040.39692884684</v>
      </c>
    </row>
    <row r="14" spans="1:27">
      <c r="A14" s="61" t="s">
        <v>524</v>
      </c>
      <c r="B14" s="23">
        <v>-17760.80919464046</v>
      </c>
      <c r="C14" s="23">
        <v>-118975.78555186067</v>
      </c>
      <c r="D14" s="23">
        <v>492519.46298552735</v>
      </c>
      <c r="E14" s="23">
        <v>-444223.82641633903</v>
      </c>
      <c r="F14" s="23">
        <v>50891.621773610124</v>
      </c>
      <c r="G14" s="23">
        <v>65184.108733921719</v>
      </c>
      <c r="H14" s="23">
        <v>-280550.89854121441</v>
      </c>
      <c r="I14" s="23">
        <v>317624.42144830502</v>
      </c>
      <c r="J14" s="23">
        <v>58366.544396283076</v>
      </c>
      <c r="K14" s="23"/>
      <c r="L14" s="23"/>
      <c r="M14" s="23"/>
      <c r="N14" s="52">
        <f t="shared" si="1"/>
        <v>123074.83963359272</v>
      </c>
    </row>
    <row r="15" spans="1:27">
      <c r="A15" s="61" t="s">
        <v>525</v>
      </c>
      <c r="B15" s="23">
        <v>-3617026.1211118</v>
      </c>
      <c r="C15" s="23">
        <v>-4660416.4929033592</v>
      </c>
      <c r="D15" s="23">
        <v>3489446.3476510011</v>
      </c>
      <c r="E15" s="23">
        <v>3813299.4986363528</v>
      </c>
      <c r="F15" s="23">
        <v>-7900173.6720866952</v>
      </c>
      <c r="G15" s="23">
        <v>8125622.9124264335</v>
      </c>
      <c r="H15" s="23">
        <v>-1502286.8105942244</v>
      </c>
      <c r="I15" s="23">
        <v>531584.17961922591</v>
      </c>
      <c r="J15" s="23">
        <v>2909055.339205869</v>
      </c>
      <c r="K15" s="23"/>
      <c r="L15" s="23"/>
      <c r="M15" s="23"/>
      <c r="N15" s="52">
        <f t="shared" si="1"/>
        <v>1189105.1808428036</v>
      </c>
    </row>
    <row r="16" spans="1:27">
      <c r="A16" s="61" t="s">
        <v>526</v>
      </c>
      <c r="B16" s="23">
        <v>221976.66149476956</v>
      </c>
      <c r="C16" s="23">
        <v>-47524.769516819797</v>
      </c>
      <c r="D16" s="23">
        <v>1913848.634039518</v>
      </c>
      <c r="E16" s="23">
        <v>762585.28164777183</v>
      </c>
      <c r="F16" s="23">
        <v>-744498.6589672463</v>
      </c>
      <c r="G16" s="23">
        <v>792642.71842474164</v>
      </c>
      <c r="H16" s="23">
        <v>961586.90024693497</v>
      </c>
      <c r="I16" s="23">
        <v>296913.31336092483</v>
      </c>
      <c r="J16" s="23">
        <v>-243778.91374199511</v>
      </c>
      <c r="K16" s="23"/>
      <c r="L16" s="23"/>
      <c r="M16" s="23"/>
      <c r="N16" s="52">
        <f t="shared" si="1"/>
        <v>3913751.1669885996</v>
      </c>
    </row>
    <row r="17" spans="1:27">
      <c r="A17" s="61" t="s">
        <v>527</v>
      </c>
      <c r="B17" s="23">
        <v>1432787.7399999963</v>
      </c>
      <c r="C17" s="23">
        <v>-2488872.9581710007</v>
      </c>
      <c r="D17" s="23">
        <v>-574452.72059899615</v>
      </c>
      <c r="E17" s="23">
        <v>-204242.42372200545</v>
      </c>
      <c r="F17" s="23">
        <v>-956510.43399898941</v>
      </c>
      <c r="G17" s="23">
        <v>3254032.361065987</v>
      </c>
      <c r="H17" s="23">
        <v>4272679.1051859986</v>
      </c>
      <c r="I17" s="23">
        <v>2044528.4106110036</v>
      </c>
      <c r="J17" s="23">
        <v>-1265428.3299999982</v>
      </c>
      <c r="K17" s="23"/>
      <c r="L17" s="23"/>
      <c r="M17" s="23"/>
      <c r="N17" s="52">
        <f t="shared" si="1"/>
        <v>5514520.7503719963</v>
      </c>
      <c r="Q17" s="94">
        <f>B17</f>
        <v>1432787.7399999963</v>
      </c>
      <c r="R17" s="94">
        <f t="shared" ref="R17:Y19" si="4">Q17+C17</f>
        <v>-1056085.2181710044</v>
      </c>
      <c r="S17" s="94">
        <f t="shared" si="4"/>
        <v>-1630537.9387700006</v>
      </c>
      <c r="T17" s="94">
        <f t="shared" si="4"/>
        <v>-1834780.362492006</v>
      </c>
      <c r="U17" s="94">
        <f t="shared" si="4"/>
        <v>-2791290.7964909952</v>
      </c>
      <c r="V17" s="94">
        <f t="shared" si="4"/>
        <v>462741.56457499182</v>
      </c>
      <c r="W17" s="94">
        <f t="shared" si="4"/>
        <v>4735420.6697609909</v>
      </c>
      <c r="X17" s="94">
        <f t="shared" si="4"/>
        <v>6779949.0803719945</v>
      </c>
      <c r="Y17" s="94">
        <f t="shared" si="4"/>
        <v>5514520.7503719963</v>
      </c>
      <c r="Z17" s="94">
        <f t="shared" ref="Z17:AA19" si="5">Y17+K17</f>
        <v>5514520.7503719963</v>
      </c>
      <c r="AA17" s="94">
        <f t="shared" si="5"/>
        <v>5514520.7503719963</v>
      </c>
    </row>
    <row r="18" spans="1:27">
      <c r="A18" s="61" t="s">
        <v>528</v>
      </c>
      <c r="B18" s="23">
        <v>266462.00000000169</v>
      </c>
      <c r="C18" s="23">
        <v>-1151371.4700000035</v>
      </c>
      <c r="D18" s="23">
        <v>3825637.2544679968</v>
      </c>
      <c r="E18" s="23">
        <v>-1217945.2791409919</v>
      </c>
      <c r="F18" s="23">
        <v>-801756.42195200897</v>
      </c>
      <c r="G18" s="23">
        <v>5112293.3637190033</v>
      </c>
      <c r="H18" s="23">
        <v>-3870431.052954006</v>
      </c>
      <c r="I18" s="23">
        <v>-859221.48537599249</v>
      </c>
      <c r="J18" s="23">
        <v>4086146.4300000058</v>
      </c>
      <c r="K18" s="23"/>
      <c r="L18" s="23"/>
      <c r="M18" s="23"/>
      <c r="N18" s="52">
        <f t="shared" si="1"/>
        <v>5389813.3387640044</v>
      </c>
      <c r="Q18" s="94">
        <f>B18</f>
        <v>266462.00000000169</v>
      </c>
      <c r="R18" s="94">
        <f t="shared" si="4"/>
        <v>-884909.47000000183</v>
      </c>
      <c r="S18" s="94">
        <f t="shared" si="4"/>
        <v>2940727.7844679952</v>
      </c>
      <c r="T18" s="94">
        <f t="shared" si="4"/>
        <v>1722782.5053270033</v>
      </c>
      <c r="U18" s="94">
        <f t="shared" si="4"/>
        <v>921026.08337499434</v>
      </c>
      <c r="V18" s="94">
        <f t="shared" si="4"/>
        <v>6033319.4470939972</v>
      </c>
      <c r="W18" s="94">
        <f t="shared" si="4"/>
        <v>2162888.3941399911</v>
      </c>
      <c r="X18" s="94">
        <f t="shared" si="4"/>
        <v>1303666.9087639987</v>
      </c>
      <c r="Y18" s="94">
        <f t="shared" si="4"/>
        <v>5389813.3387640044</v>
      </c>
      <c r="Z18" s="94">
        <f t="shared" si="5"/>
        <v>5389813.3387640044</v>
      </c>
      <c r="AA18" s="94">
        <f t="shared" si="5"/>
        <v>5389813.3387640044</v>
      </c>
    </row>
    <row r="19" spans="1:27">
      <c r="A19" s="61" t="s">
        <v>529</v>
      </c>
      <c r="B19" s="23">
        <v>-5006777.6757379873</v>
      </c>
      <c r="C19" s="23">
        <v>1149641.6957379952</v>
      </c>
      <c r="D19" s="23">
        <v>7573410.9599999888</v>
      </c>
      <c r="E19" s="23">
        <v>-4301511.5100000016</v>
      </c>
      <c r="F19" s="23">
        <v>-1097164.9999999856</v>
      </c>
      <c r="G19" s="23">
        <v>9563469.1099999957</v>
      </c>
      <c r="H19" s="23">
        <v>-924331.35927701369</v>
      </c>
      <c r="I19" s="23">
        <v>667368.35499902256</v>
      </c>
      <c r="J19" s="23">
        <v>3837897.3535210006</v>
      </c>
      <c r="K19" s="23"/>
      <c r="L19" s="23"/>
      <c r="M19" s="23"/>
      <c r="N19" s="52">
        <f t="shared" si="1"/>
        <v>11462001.929243015</v>
      </c>
      <c r="Q19" s="94">
        <f>B19</f>
        <v>-5006777.6757379873</v>
      </c>
      <c r="R19" s="94">
        <f t="shared" si="4"/>
        <v>-3857135.9799999921</v>
      </c>
      <c r="S19" s="94">
        <f t="shared" si="4"/>
        <v>3716274.9799999967</v>
      </c>
      <c r="T19" s="94">
        <f t="shared" si="4"/>
        <v>-585236.53000000492</v>
      </c>
      <c r="U19" s="94">
        <f t="shared" si="4"/>
        <v>-1682401.5299999905</v>
      </c>
      <c r="V19" s="94">
        <f t="shared" si="4"/>
        <v>7881067.5800000057</v>
      </c>
      <c r="W19" s="94">
        <f t="shared" si="4"/>
        <v>6956736.220722992</v>
      </c>
      <c r="X19" s="94">
        <f t="shared" si="4"/>
        <v>7624104.5757220145</v>
      </c>
      <c r="Y19" s="94">
        <f t="shared" si="4"/>
        <v>11462001.929243015</v>
      </c>
      <c r="Z19" s="94">
        <f t="shared" si="5"/>
        <v>11462001.929243015</v>
      </c>
      <c r="AA19" s="94">
        <f t="shared" si="5"/>
        <v>11462001.929243015</v>
      </c>
    </row>
    <row r="25" spans="1:27">
      <c r="H25" s="94"/>
    </row>
    <row r="26" spans="1:27">
      <c r="G26" s="94"/>
      <c r="H26" s="123"/>
    </row>
    <row r="27" spans="1:27">
      <c r="H27" s="94"/>
    </row>
    <row r="28" spans="1:27">
      <c r="H28" s="94"/>
    </row>
    <row r="30" spans="1:27">
      <c r="D30" s="94"/>
      <c r="E30" s="94"/>
      <c r="F30" s="94"/>
      <c r="G30" s="94"/>
      <c r="H30" s="94"/>
      <c r="I30" s="94"/>
      <c r="J30" s="94"/>
      <c r="K30" s="94"/>
    </row>
    <row r="31" spans="1:27">
      <c r="D31" s="94"/>
      <c r="E31" s="94"/>
      <c r="F31" s="94"/>
      <c r="G31" s="94"/>
      <c r="H31" s="94"/>
      <c r="I31" s="94"/>
      <c r="J31" s="94"/>
      <c r="K31" s="94"/>
    </row>
    <row r="32" spans="1:27">
      <c r="D32" s="94"/>
      <c r="E32" s="94"/>
      <c r="F32" s="94"/>
      <c r="G32" s="94"/>
      <c r="H32" s="94"/>
      <c r="I32" s="94"/>
      <c r="J32" s="94"/>
      <c r="K32" s="94"/>
    </row>
    <row r="33" spans="4:11">
      <c r="D33" s="94"/>
      <c r="E33" s="94"/>
      <c r="F33" s="94"/>
      <c r="G33" s="94"/>
      <c r="H33" s="94"/>
      <c r="I33" s="94"/>
      <c r="J33" s="94"/>
      <c r="K33" s="94"/>
    </row>
    <row r="34" spans="4:11">
      <c r="D34" s="94"/>
      <c r="E34" s="94"/>
      <c r="F34" s="94"/>
      <c r="G34" s="94"/>
      <c r="H34" s="94"/>
      <c r="I34" s="94"/>
      <c r="J34" s="94"/>
      <c r="K34" s="94"/>
    </row>
    <row r="35" spans="4:11">
      <c r="D35" s="94"/>
      <c r="E35" s="94"/>
      <c r="F35" s="94"/>
      <c r="G35" s="94"/>
      <c r="H35" s="94"/>
      <c r="I35" s="94"/>
      <c r="J35" s="94"/>
      <c r="K35" s="94"/>
    </row>
    <row r="36" spans="4:11">
      <c r="D36" s="94"/>
      <c r="E36" s="94"/>
      <c r="F36" s="94"/>
      <c r="G36" s="94"/>
      <c r="H36" s="94"/>
      <c r="I36" s="94"/>
      <c r="J36" s="94"/>
      <c r="K36" s="94"/>
    </row>
    <row r="37" spans="4:11">
      <c r="D37" s="94"/>
      <c r="E37" s="94"/>
      <c r="F37" s="94"/>
      <c r="G37" s="94"/>
      <c r="H37" s="94"/>
      <c r="I37" s="94"/>
      <c r="J37" s="94"/>
      <c r="K37" s="94"/>
    </row>
  </sheetData>
  <pageMargins left="0.7" right="0.7" top="0.75" bottom="0.75" header="0.3" footer="0.3"/>
  <customProperties>
    <customPr name="_pios_id" r:id="rId1"/>
    <customPr name="CofWorksheetType" r:id="rId2"/>
    <customPr name="EpmWorksheetKeyString_GUID" r:id="rId3"/>
  </customPropertie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4C263-2E25-47D7-AFFC-64A988895B95}">
  <sheetPr>
    <tabColor rgb="FF0070C0"/>
  </sheetPr>
  <dimension ref="A1:AD63"/>
  <sheetViews>
    <sheetView zoomScale="70" zoomScaleNormal="70" workbookViewId="0">
      <selection activeCell="J16" sqref="J16"/>
    </sheetView>
  </sheetViews>
  <sheetFormatPr defaultColWidth="8.81640625" defaultRowHeight="14.5"/>
  <cols>
    <col min="1" max="1" width="23.54296875" bestFit="1" customWidth="1"/>
    <col min="2" max="2" width="13.1796875" customWidth="1"/>
    <col min="3" max="4" width="13.26953125" bestFit="1" customWidth="1"/>
    <col min="5" max="5" width="13.1796875" bestFit="1" customWidth="1"/>
    <col min="6" max="7" width="12.54296875" bestFit="1" customWidth="1"/>
    <col min="8" max="10" width="13.26953125" bestFit="1" customWidth="1"/>
    <col min="11" max="12" width="12.54296875" bestFit="1" customWidth="1"/>
    <col min="13" max="13" width="14" bestFit="1" customWidth="1"/>
    <col min="14" max="14" width="11.54296875" bestFit="1" customWidth="1"/>
    <col min="15" max="16" width="13.453125" bestFit="1" customWidth="1"/>
    <col min="17" max="17" width="13.1796875" bestFit="1" customWidth="1"/>
    <col min="18" max="18" width="13.453125" bestFit="1" customWidth="1"/>
    <col min="19" max="19" width="13.1796875" bestFit="1" customWidth="1"/>
    <col min="20" max="20" width="14.1796875" bestFit="1" customWidth="1"/>
    <col min="21" max="27" width="13.453125" bestFit="1" customWidth="1"/>
    <col min="29" max="30" width="13.1796875" bestFit="1" customWidth="1"/>
  </cols>
  <sheetData>
    <row r="1" spans="1:30">
      <c r="A1" s="60" t="s">
        <v>165</v>
      </c>
      <c r="B1" s="61" t="s">
        <v>168</v>
      </c>
      <c r="C1" s="61" t="s">
        <v>167</v>
      </c>
      <c r="D1" s="61" t="s">
        <v>129</v>
      </c>
      <c r="E1" s="61" t="s">
        <v>130</v>
      </c>
      <c r="F1" s="61" t="s">
        <v>131</v>
      </c>
      <c r="G1" s="61" t="s">
        <v>101</v>
      </c>
      <c r="H1" s="61" t="s">
        <v>102</v>
      </c>
      <c r="I1" s="61" t="s">
        <v>103</v>
      </c>
      <c r="J1" s="61" t="s">
        <v>104</v>
      </c>
      <c r="K1" s="61" t="s">
        <v>105</v>
      </c>
      <c r="L1" s="61" t="s">
        <v>106</v>
      </c>
      <c r="M1" s="61" t="s">
        <v>343</v>
      </c>
    </row>
    <row r="2" spans="1:30">
      <c r="A2" s="61" t="s">
        <v>334</v>
      </c>
      <c r="B2" s="64">
        <f>SUM(B3:B5)+SUM(B6:B10)*0.4</f>
        <v>-106356016.2250239</v>
      </c>
      <c r="C2" s="64">
        <f t="shared" ref="C2:I2" si="0">SUM(C3:C5)+SUM(C6:C10)*0.4</f>
        <v>-105233956.98123461</v>
      </c>
      <c r="D2" s="64">
        <f t="shared" si="0"/>
        <v>178336636.68069059</v>
      </c>
      <c r="E2" s="64">
        <f t="shared" si="0"/>
        <v>-435262533.77684349</v>
      </c>
      <c r="F2" s="64">
        <f t="shared" si="0"/>
        <v>-170794032.5280571</v>
      </c>
      <c r="G2" s="64">
        <f t="shared" si="0"/>
        <v>414207127.4635821</v>
      </c>
      <c r="H2" s="64">
        <f t="shared" si="0"/>
        <v>423661181.05977303</v>
      </c>
      <c r="I2" s="64">
        <f t="shared" si="0"/>
        <v>106107469.24027756</v>
      </c>
      <c r="J2" s="64">
        <f>SUM(J3:J5)+SUM(J6:J10)*0.4</f>
        <v>163753260.29331017</v>
      </c>
      <c r="K2" s="64">
        <f>SUM(K3:K5)+SUM(K6:K10)*0.4</f>
        <v>0</v>
      </c>
      <c r="L2" s="64">
        <f>SUM(L3:L5)+SUM(L6:L10)*0.4</f>
        <v>0</v>
      </c>
      <c r="M2" s="64">
        <f>SUM(M3:M5)+SUM(M6:M10)*0.4</f>
        <v>0</v>
      </c>
      <c r="N2" s="91">
        <f t="shared" ref="N2:N19" si="1">SUM(B2:M2)</f>
        <v>468419135.22647429</v>
      </c>
      <c r="O2" s="94"/>
      <c r="P2" s="94"/>
    </row>
    <row r="3" spans="1:30">
      <c r="A3" s="61" t="s">
        <v>335</v>
      </c>
      <c r="B3" s="107">
        <v>11764788.871667001</v>
      </c>
      <c r="C3" s="107">
        <v>39061794.447500005</v>
      </c>
      <c r="D3" s="107">
        <v>-13150954.107500009</v>
      </c>
      <c r="E3" s="107">
        <v>-354868970.31499898</v>
      </c>
      <c r="F3" s="107">
        <v>24898723.947498977</v>
      </c>
      <c r="G3" s="107">
        <v>-1263665.8099989891</v>
      </c>
      <c r="H3" s="107">
        <v>356699031.32249999</v>
      </c>
      <c r="I3" s="107">
        <v>34528405.397501007</v>
      </c>
      <c r="J3" s="107">
        <v>-16596551.69249998</v>
      </c>
      <c r="K3" s="107"/>
      <c r="L3" s="23"/>
      <c r="M3" s="23"/>
      <c r="N3" s="91">
        <f t="shared" si="1"/>
        <v>81072602.061669022</v>
      </c>
      <c r="O3" s="94">
        <v>28595743.627499938</v>
      </c>
      <c r="P3" s="94">
        <f>O3-N3</f>
        <v>-52476858.434169084</v>
      </c>
      <c r="Q3" s="94">
        <f>B3</f>
        <v>11764788.871667001</v>
      </c>
      <c r="R3" s="94">
        <f t="shared" ref="R3:AA8" si="2">Q3+C3</f>
        <v>50826583.319167003</v>
      </c>
      <c r="S3" s="94">
        <f t="shared" si="2"/>
        <v>37675629.211666994</v>
      </c>
      <c r="T3" s="94">
        <f t="shared" si="2"/>
        <v>-317193341.10333198</v>
      </c>
      <c r="U3" s="94">
        <f t="shared" si="2"/>
        <v>-292294617.15583301</v>
      </c>
      <c r="V3" s="94">
        <f t="shared" si="2"/>
        <v>-293558282.965832</v>
      </c>
      <c r="W3" s="94">
        <f t="shared" si="2"/>
        <v>63140748.356667995</v>
      </c>
      <c r="X3" s="94">
        <f t="shared" si="2"/>
        <v>97669153.754169002</v>
      </c>
      <c r="Y3" s="94">
        <f t="shared" si="2"/>
        <v>81072602.061669022</v>
      </c>
      <c r="Z3" s="94">
        <f t="shared" si="2"/>
        <v>81072602.061669022</v>
      </c>
      <c r="AA3" s="94">
        <f t="shared" si="2"/>
        <v>81072602.061669022</v>
      </c>
    </row>
    <row r="4" spans="1:30">
      <c r="A4" s="61" t="s">
        <v>336</v>
      </c>
      <c r="B4" s="107">
        <v>-10731909.891733989</v>
      </c>
      <c r="C4" s="107">
        <v>-977255.68986701779</v>
      </c>
      <c r="D4" s="107">
        <v>4284882.123626003</v>
      </c>
      <c r="E4" s="107">
        <v>-6747507.343747979</v>
      </c>
      <c r="F4" s="107">
        <v>-7191750.6800250169</v>
      </c>
      <c r="G4" s="107">
        <v>-1484485.5944549851</v>
      </c>
      <c r="H4" s="107">
        <v>10382245.267048987</v>
      </c>
      <c r="I4" s="107">
        <v>-4538493.2260999959</v>
      </c>
      <c r="J4" s="107">
        <v>7710529.4009269979</v>
      </c>
      <c r="K4" s="107"/>
      <c r="L4" s="23"/>
      <c r="M4" s="23"/>
      <c r="N4" s="91">
        <f t="shared" si="1"/>
        <v>-9293745.6343269963</v>
      </c>
      <c r="O4" s="94">
        <v>833528.50945301598</v>
      </c>
      <c r="P4" s="94">
        <f>O4-N4</f>
        <v>10127274.143780012</v>
      </c>
      <c r="Q4" s="94">
        <f>B4</f>
        <v>-10731909.891733989</v>
      </c>
      <c r="R4" s="94">
        <f t="shared" si="2"/>
        <v>-11709165.581601007</v>
      </c>
      <c r="S4" s="94">
        <f t="shared" si="2"/>
        <v>-7424283.4579750039</v>
      </c>
      <c r="T4" s="94">
        <f t="shared" si="2"/>
        <v>-14171790.801722983</v>
      </c>
      <c r="U4" s="94">
        <f t="shared" si="2"/>
        <v>-21363541.481748</v>
      </c>
      <c r="V4" s="94">
        <f t="shared" si="2"/>
        <v>-22848027.076202985</v>
      </c>
      <c r="W4" s="94">
        <f t="shared" si="2"/>
        <v>-12465781.809153998</v>
      </c>
      <c r="X4" s="94">
        <f t="shared" si="2"/>
        <v>-17004275.035253994</v>
      </c>
      <c r="Y4" s="94">
        <f t="shared" si="2"/>
        <v>-9293745.6343269963</v>
      </c>
      <c r="Z4" s="94">
        <f t="shared" si="2"/>
        <v>-9293745.6343269963</v>
      </c>
      <c r="AA4" s="94">
        <f t="shared" si="2"/>
        <v>-9293745.6343269963</v>
      </c>
    </row>
    <row r="5" spans="1:30">
      <c r="A5" s="61" t="s">
        <v>337</v>
      </c>
      <c r="B5" s="107">
        <v>-1118153.8424719735</v>
      </c>
      <c r="C5" s="107">
        <v>-5516093.8865520209</v>
      </c>
      <c r="D5" s="107">
        <v>16917389.02712401</v>
      </c>
      <c r="E5" s="107">
        <v>-21574235.20924399</v>
      </c>
      <c r="F5" s="107">
        <v>1538015.6108590122</v>
      </c>
      <c r="G5" s="107">
        <v>346240.01924398541</v>
      </c>
      <c r="H5" s="107">
        <v>-13358329.112595994</v>
      </c>
      <c r="I5" s="107">
        <v>13714880.290464997</v>
      </c>
      <c r="J5" s="107">
        <v>1842638.5475290027</v>
      </c>
      <c r="K5" s="107"/>
      <c r="L5" s="23"/>
      <c r="M5" s="23"/>
      <c r="N5" s="91">
        <f t="shared" si="1"/>
        <v>-7207648.5556429718</v>
      </c>
      <c r="O5" s="94">
        <v>7766985.8019530363</v>
      </c>
      <c r="P5" s="94">
        <f>O5-N5</f>
        <v>14974634.357596008</v>
      </c>
      <c r="Q5" s="94">
        <f>B5</f>
        <v>-1118153.8424719735</v>
      </c>
      <c r="R5" s="94">
        <f t="shared" si="2"/>
        <v>-6634247.7290239949</v>
      </c>
      <c r="S5" s="94">
        <f t="shared" si="2"/>
        <v>10283141.298100015</v>
      </c>
      <c r="T5" s="94">
        <f t="shared" si="2"/>
        <v>-11291093.911143975</v>
      </c>
      <c r="U5" s="94">
        <f t="shared" si="2"/>
        <v>-9753078.3002849631</v>
      </c>
      <c r="V5" s="94">
        <f t="shared" si="2"/>
        <v>-9406838.2810409777</v>
      </c>
      <c r="W5" s="94">
        <f t="shared" si="2"/>
        <v>-22765167.393636972</v>
      </c>
      <c r="X5" s="94">
        <f t="shared" si="2"/>
        <v>-9050287.1031719744</v>
      </c>
      <c r="Y5" s="94">
        <f t="shared" si="2"/>
        <v>-7207648.5556429718</v>
      </c>
      <c r="Z5" s="94">
        <f t="shared" si="2"/>
        <v>-7207648.5556429718</v>
      </c>
      <c r="AA5" s="94">
        <f t="shared" si="2"/>
        <v>-7207648.5556429718</v>
      </c>
    </row>
    <row r="6" spans="1:30">
      <c r="A6" s="61" t="s">
        <v>520</v>
      </c>
      <c r="B6" s="107">
        <v>-138737083.28825036</v>
      </c>
      <c r="C6" s="107">
        <v>-200244483.73803404</v>
      </c>
      <c r="D6" s="107">
        <v>62318762.897729158</v>
      </c>
      <c r="E6" s="107">
        <v>79277646.154689044</v>
      </c>
      <c r="F6" s="107">
        <v>-364454825.28201866</v>
      </c>
      <c r="G6" s="107">
        <v>303764683.30126375</v>
      </c>
      <c r="H6" s="107">
        <v>-75523434.887791038</v>
      </c>
      <c r="I6" s="107">
        <v>33533402.820255041</v>
      </c>
      <c r="J6" s="107">
        <v>132746608.76641619</v>
      </c>
      <c r="K6" s="107"/>
      <c r="L6" s="23"/>
      <c r="M6" s="23"/>
      <c r="N6" s="91">
        <f t="shared" si="1"/>
        <v>-167318723.25574094</v>
      </c>
      <c r="O6" s="94">
        <v>702677369.68148196</v>
      </c>
      <c r="P6" s="94">
        <f>O6-N6</f>
        <v>869996092.93722296</v>
      </c>
      <c r="Q6" s="94">
        <f>B6</f>
        <v>-138737083.28825036</v>
      </c>
      <c r="R6" s="94">
        <f t="shared" si="2"/>
        <v>-338981567.0262844</v>
      </c>
      <c r="S6" s="94">
        <f t="shared" si="2"/>
        <v>-276662804.12855524</v>
      </c>
      <c r="T6" s="94">
        <f t="shared" si="2"/>
        <v>-197385157.97386619</v>
      </c>
      <c r="U6" s="94">
        <f t="shared" si="2"/>
        <v>-561839983.25588489</v>
      </c>
      <c r="V6" s="94">
        <f t="shared" si="2"/>
        <v>-258075299.95462114</v>
      </c>
      <c r="W6" s="94">
        <f t="shared" si="2"/>
        <v>-333598734.84241217</v>
      </c>
      <c r="X6" s="94">
        <f t="shared" si="2"/>
        <v>-300065332.02215713</v>
      </c>
      <c r="Y6" s="94">
        <f t="shared" si="2"/>
        <v>-167318723.25574094</v>
      </c>
      <c r="Z6" s="94">
        <f t="shared" si="2"/>
        <v>-167318723.25574094</v>
      </c>
      <c r="AA6" s="94">
        <f t="shared" si="2"/>
        <v>-167318723.25574094</v>
      </c>
    </row>
    <row r="7" spans="1:30">
      <c r="A7" s="61" t="s">
        <v>339</v>
      </c>
      <c r="B7" s="107">
        <v>9715952.3099149019</v>
      </c>
      <c r="C7" s="107">
        <v>-3301056.2043199548</v>
      </c>
      <c r="D7" s="107">
        <v>74987276.779570043</v>
      </c>
      <c r="E7" s="107">
        <v>21086596.21076104</v>
      </c>
      <c r="F7" s="107">
        <v>-34031209.418937102</v>
      </c>
      <c r="G7" s="107">
        <v>30710940.984862089</v>
      </c>
      <c r="H7" s="107">
        <v>61609818.111704022</v>
      </c>
      <c r="I7" s="107">
        <v>11311510.411565036</v>
      </c>
      <c r="J7" s="107">
        <v>-11955080.135525048</v>
      </c>
      <c r="K7" s="107"/>
      <c r="L7" s="23"/>
      <c r="M7" s="23"/>
      <c r="N7" s="91">
        <f t="shared" si="1"/>
        <v>160134749.04959503</v>
      </c>
      <c r="Q7" s="94">
        <f>B7</f>
        <v>9715952.3099149019</v>
      </c>
      <c r="R7" s="94">
        <f t="shared" si="2"/>
        <v>6414896.105594947</v>
      </c>
      <c r="S7" s="94">
        <f t="shared" si="2"/>
        <v>81402172.885164991</v>
      </c>
      <c r="T7" s="94">
        <f t="shared" si="2"/>
        <v>102488769.09592603</v>
      </c>
      <c r="U7" s="94">
        <f t="shared" si="2"/>
        <v>68457559.67698893</v>
      </c>
      <c r="V7" s="94">
        <f t="shared" si="2"/>
        <v>99168500.661851019</v>
      </c>
      <c r="W7" s="94">
        <f t="shared" si="2"/>
        <v>160778318.77355504</v>
      </c>
      <c r="X7" s="94">
        <f t="shared" si="2"/>
        <v>172089829.18512008</v>
      </c>
      <c r="Y7" s="94">
        <f t="shared" si="2"/>
        <v>160134749.04959503</v>
      </c>
      <c r="Z7" s="94">
        <f t="shared" si="2"/>
        <v>160134749.04959503</v>
      </c>
      <c r="AA7" s="94">
        <f t="shared" si="2"/>
        <v>160134749.04959503</v>
      </c>
      <c r="AC7" s="94">
        <v>-37833543</v>
      </c>
      <c r="AD7" s="94">
        <f>AC7/0.4</f>
        <v>-94583857.5</v>
      </c>
    </row>
    <row r="8" spans="1:30">
      <c r="A8" s="61" t="s">
        <v>340</v>
      </c>
      <c r="B8" s="107">
        <v>50521899.707458742</v>
      </c>
      <c r="C8" s="107">
        <v>-107800359.28823262</v>
      </c>
      <c r="D8" s="107">
        <v>-72801244.996531814</v>
      </c>
      <c r="E8" s="107">
        <v>-62025625.881037995</v>
      </c>
      <c r="F8" s="107">
        <v>-44360056.737018853</v>
      </c>
      <c r="G8" s="107">
        <v>102649339.43785661</v>
      </c>
      <c r="H8" s="107">
        <v>199672088.46526653</v>
      </c>
      <c r="I8" s="107">
        <v>138962924.77071217</v>
      </c>
      <c r="J8" s="107">
        <v>-63783837.687127292</v>
      </c>
      <c r="K8" s="107"/>
      <c r="L8" s="23"/>
      <c r="M8" s="23"/>
      <c r="N8" s="91">
        <f t="shared" si="1"/>
        <v>141035127.79134548</v>
      </c>
      <c r="Q8" s="94">
        <f>B8*0.4</f>
        <v>20208759.882983498</v>
      </c>
      <c r="R8" s="94">
        <f t="shared" si="2"/>
        <v>-87591599.405249119</v>
      </c>
      <c r="S8" s="94">
        <f t="shared" si="2"/>
        <v>-160392844.40178093</v>
      </c>
      <c r="T8" s="94">
        <f t="shared" si="2"/>
        <v>-222418470.28281891</v>
      </c>
      <c r="U8" s="94">
        <f t="shared" si="2"/>
        <v>-266778527.01983777</v>
      </c>
      <c r="V8" s="94">
        <f t="shared" si="2"/>
        <v>-164129187.58198115</v>
      </c>
      <c r="W8" s="94">
        <f t="shared" si="2"/>
        <v>35542900.883285373</v>
      </c>
      <c r="X8" s="94">
        <f t="shared" si="2"/>
        <v>174505825.65399754</v>
      </c>
      <c r="Y8" s="94">
        <f t="shared" si="2"/>
        <v>110721987.96687025</v>
      </c>
      <c r="Z8" s="94">
        <f t="shared" si="2"/>
        <v>110721987.96687025</v>
      </c>
      <c r="AA8" s="94">
        <f t="shared" si="2"/>
        <v>110721987.96687025</v>
      </c>
    </row>
    <row r="9" spans="1:30">
      <c r="A9" s="61" t="s">
        <v>341</v>
      </c>
      <c r="B9" s="107">
        <v>3022198.1972638797</v>
      </c>
      <c r="C9" s="107">
        <v>-58423470.297457457</v>
      </c>
      <c r="D9" s="107">
        <v>106158408.74094419</v>
      </c>
      <c r="E9" s="107">
        <v>33847347.950094864</v>
      </c>
      <c r="F9" s="107">
        <v>19317335.412938073</v>
      </c>
      <c r="G9" s="107">
        <v>214283331.57605466</v>
      </c>
      <c r="H9" s="107">
        <v>29811972.663416028</v>
      </c>
      <c r="I9" s="107">
        <v>-51547838.822771311</v>
      </c>
      <c r="J9" s="107">
        <v>193583545.21014255</v>
      </c>
      <c r="K9" s="107"/>
      <c r="L9" s="23"/>
      <c r="M9" s="23"/>
      <c r="N9" s="91">
        <f t="shared" si="1"/>
        <v>490052830.63062549</v>
      </c>
    </row>
    <row r="10" spans="1:30">
      <c r="A10" s="61" t="s">
        <v>342</v>
      </c>
      <c r="B10" s="107">
        <v>-190199820.33259952</v>
      </c>
      <c r="C10" s="107">
        <v>25263364.897255212</v>
      </c>
      <c r="D10" s="107">
        <v>255050095.6718899</v>
      </c>
      <c r="E10" s="107">
        <v>-202365516.70663819</v>
      </c>
      <c r="F10" s="107">
        <v>-51568797.490938678</v>
      </c>
      <c r="G10" s="107">
        <v>390114301.82194304</v>
      </c>
      <c r="H10" s="107">
        <v>-40724860.395545512</v>
      </c>
      <c r="I10" s="107">
        <v>23746692.766267955</v>
      </c>
      <c r="J10" s="107">
        <v>176400373.93947896</v>
      </c>
      <c r="K10" s="107"/>
      <c r="L10" s="23"/>
      <c r="M10" s="23"/>
      <c r="N10" s="91">
        <f t="shared" si="1"/>
        <v>385715834.17111319</v>
      </c>
    </row>
    <row r="11" spans="1:30">
      <c r="A11" s="61" t="s">
        <v>530</v>
      </c>
      <c r="B11" s="64">
        <f t="shared" ref="B11:M11" si="3">SUM(B12:B14)+SUM(B15:B19)*0.4</f>
        <v>-116090396.1728297</v>
      </c>
      <c r="C11" s="64">
        <f t="shared" si="3"/>
        <v>-112714488.12635395</v>
      </c>
      <c r="D11" s="64">
        <f t="shared" si="3"/>
        <v>164140008.14037615</v>
      </c>
      <c r="E11" s="64">
        <f t="shared" si="3"/>
        <v>-511423927.56448287</v>
      </c>
      <c r="F11" s="64">
        <f t="shared" si="3"/>
        <v>-208835537.34051722</v>
      </c>
      <c r="G11" s="64">
        <f t="shared" si="3"/>
        <v>395249579.25154877</v>
      </c>
      <c r="H11" s="64">
        <f t="shared" si="3"/>
        <v>324419197.86825204</v>
      </c>
      <c r="I11" s="64">
        <f t="shared" si="3"/>
        <v>56506735.170925282</v>
      </c>
      <c r="J11" s="64">
        <f t="shared" si="3"/>
        <v>140625624.03596491</v>
      </c>
      <c r="K11" s="64">
        <f t="shared" si="3"/>
        <v>0</v>
      </c>
      <c r="L11" s="64">
        <f t="shared" si="3"/>
        <v>0</v>
      </c>
      <c r="M11" s="64">
        <f t="shared" si="3"/>
        <v>0</v>
      </c>
      <c r="N11" s="91">
        <f t="shared" si="1"/>
        <v>131876795.26288328</v>
      </c>
      <c r="O11" s="52">
        <f>N2-N11</f>
        <v>336542339.96359098</v>
      </c>
    </row>
    <row r="12" spans="1:30">
      <c r="A12" s="61" t="s">
        <v>522</v>
      </c>
      <c r="B12" s="107">
        <v>11764788.871667001</v>
      </c>
      <c r="C12" s="107">
        <v>39046377.787500009</v>
      </c>
      <c r="D12" s="107">
        <v>-13150954.107500009</v>
      </c>
      <c r="E12" s="107">
        <v>-354868970.31499898</v>
      </c>
      <c r="F12" s="107">
        <v>24898723.947498977</v>
      </c>
      <c r="G12" s="107">
        <v>-1586351.8099989891</v>
      </c>
      <c r="H12" s="107">
        <v>356699031.32249999</v>
      </c>
      <c r="I12" s="107">
        <v>34528405.397501007</v>
      </c>
      <c r="J12" s="107">
        <v>-16596551.69249998</v>
      </c>
      <c r="K12" s="107"/>
      <c r="L12" s="23"/>
      <c r="M12" s="23"/>
      <c r="N12" s="91">
        <f t="shared" si="1"/>
        <v>80734499.401668996</v>
      </c>
      <c r="O12" s="52">
        <f t="shared" ref="O12:O19" si="4">N3-N12</f>
        <v>338102.66000002623</v>
      </c>
      <c r="Q12" s="94">
        <f>B12</f>
        <v>11764788.871667001</v>
      </c>
      <c r="R12" s="94">
        <f t="shared" ref="R12:Y16" si="5">Q12+C12</f>
        <v>50811166.659167007</v>
      </c>
      <c r="S12" s="94">
        <f t="shared" si="5"/>
        <v>37660212.551666997</v>
      </c>
      <c r="T12" s="94">
        <f t="shared" si="5"/>
        <v>-317208757.76333201</v>
      </c>
      <c r="U12" s="94">
        <f t="shared" si="5"/>
        <v>-292310033.81583303</v>
      </c>
      <c r="V12" s="94">
        <f t="shared" si="5"/>
        <v>-293896385.62583202</v>
      </c>
      <c r="W12" s="94">
        <f t="shared" si="5"/>
        <v>62802645.696667969</v>
      </c>
      <c r="X12" s="94">
        <f t="shared" si="5"/>
        <v>97331051.094168976</v>
      </c>
      <c r="Y12" s="94">
        <f t="shared" si="5"/>
        <v>80734499.401668996</v>
      </c>
      <c r="Z12" s="94">
        <f t="shared" ref="Z12:AA16" si="6">Y12+K12</f>
        <v>80734499.401668996</v>
      </c>
      <c r="AA12" s="94">
        <f t="shared" si="6"/>
        <v>80734499.401668996</v>
      </c>
    </row>
    <row r="13" spans="1:30">
      <c r="A13" s="61" t="s">
        <v>523</v>
      </c>
      <c r="B13" s="107">
        <v>-12685688.501733989</v>
      </c>
      <c r="C13" s="107">
        <v>-3444079.6298670173</v>
      </c>
      <c r="D13" s="107">
        <v>1042565.1236260012</v>
      </c>
      <c r="E13" s="107">
        <v>-9282557.3437479809</v>
      </c>
      <c r="F13" s="107">
        <v>-9404858.6800250113</v>
      </c>
      <c r="G13" s="107">
        <v>-4425141.824454993</v>
      </c>
      <c r="H13" s="107">
        <v>8000689.2670489922</v>
      </c>
      <c r="I13" s="107">
        <v>-7025068.2260999978</v>
      </c>
      <c r="J13" s="107">
        <v>5257572.4009269997</v>
      </c>
      <c r="K13" s="107"/>
      <c r="L13" s="23"/>
      <c r="M13" s="23"/>
      <c r="N13" s="91">
        <f t="shared" si="1"/>
        <v>-31966567.414326996</v>
      </c>
      <c r="O13" s="52">
        <f t="shared" si="4"/>
        <v>22672821.780000001</v>
      </c>
      <c r="Q13" s="94">
        <f>B13</f>
        <v>-12685688.501733989</v>
      </c>
      <c r="R13" s="94">
        <f t="shared" si="5"/>
        <v>-16129768.131601006</v>
      </c>
      <c r="S13" s="94">
        <f t="shared" si="5"/>
        <v>-15087203.007975005</v>
      </c>
      <c r="T13" s="94">
        <f t="shared" si="5"/>
        <v>-24369760.351722986</v>
      </c>
      <c r="U13" s="94">
        <f t="shared" si="5"/>
        <v>-33774619.031747997</v>
      </c>
      <c r="V13" s="94">
        <f t="shared" si="5"/>
        <v>-38199760.85620299</v>
      </c>
      <c r="W13" s="94">
        <f t="shared" si="5"/>
        <v>-30199071.589153998</v>
      </c>
      <c r="X13" s="94">
        <f t="shared" si="5"/>
        <v>-37224139.815253995</v>
      </c>
      <c r="Y13" s="94">
        <f t="shared" si="5"/>
        <v>-31966567.414326996</v>
      </c>
      <c r="Z13" s="94">
        <f t="shared" si="6"/>
        <v>-31966567.414326996</v>
      </c>
      <c r="AA13" s="94">
        <f t="shared" si="6"/>
        <v>-31966567.414326996</v>
      </c>
    </row>
    <row r="14" spans="1:30">
      <c r="A14" s="61" t="s">
        <v>524</v>
      </c>
      <c r="B14" s="107">
        <v>-1118153.8424719735</v>
      </c>
      <c r="C14" s="107">
        <v>-5516093.8865520209</v>
      </c>
      <c r="D14" s="107">
        <v>16917389.02712401</v>
      </c>
      <c r="E14" s="107">
        <v>-21574235.20924399</v>
      </c>
      <c r="F14" s="107">
        <v>1538015.6108590122</v>
      </c>
      <c r="G14" s="107">
        <v>346240.01924398541</v>
      </c>
      <c r="H14" s="107">
        <v>-13358329.112595994</v>
      </c>
      <c r="I14" s="107">
        <v>13714880.290464997</v>
      </c>
      <c r="J14" s="107">
        <v>1842638.5475290027</v>
      </c>
      <c r="K14" s="107"/>
      <c r="L14" s="23"/>
      <c r="M14" s="23"/>
      <c r="N14" s="91">
        <f t="shared" si="1"/>
        <v>-7207648.5556429718</v>
      </c>
      <c r="O14" s="52">
        <f t="shared" si="4"/>
        <v>0</v>
      </c>
      <c r="Q14" s="94">
        <f>B14</f>
        <v>-1118153.8424719735</v>
      </c>
      <c r="R14" s="94">
        <f t="shared" si="5"/>
        <v>-6634247.7290239949</v>
      </c>
      <c r="S14" s="94">
        <f t="shared" si="5"/>
        <v>10283141.298100015</v>
      </c>
      <c r="T14" s="94">
        <f t="shared" si="5"/>
        <v>-11291093.911143975</v>
      </c>
      <c r="U14" s="94">
        <f t="shared" si="5"/>
        <v>-9753078.3002849631</v>
      </c>
      <c r="V14" s="94">
        <f t="shared" si="5"/>
        <v>-9406838.2810409777</v>
      </c>
      <c r="W14" s="94">
        <f t="shared" si="5"/>
        <v>-22765167.393636972</v>
      </c>
      <c r="X14" s="94">
        <f t="shared" si="5"/>
        <v>-9050287.1031719744</v>
      </c>
      <c r="Y14" s="94">
        <f t="shared" si="5"/>
        <v>-7207648.5556429718</v>
      </c>
      <c r="Z14" s="94">
        <f t="shared" si="6"/>
        <v>-7207648.5556429718</v>
      </c>
      <c r="AA14" s="94">
        <f t="shared" si="6"/>
        <v>-7207648.5556429718</v>
      </c>
    </row>
    <row r="15" spans="1:30">
      <c r="A15" s="61" t="s">
        <v>525</v>
      </c>
      <c r="B15" s="107">
        <v>-145320266.79825038</v>
      </c>
      <c r="C15" s="107">
        <v>-203720929.07803398</v>
      </c>
      <c r="D15" s="107">
        <v>55666567.757729113</v>
      </c>
      <c r="E15" s="107">
        <v>79277646.154689044</v>
      </c>
      <c r="F15" s="107">
        <v>-364454825.28201866</v>
      </c>
      <c r="G15" s="107">
        <v>303764683.30126375</v>
      </c>
      <c r="H15" s="107">
        <v>-75523434.887790978</v>
      </c>
      <c r="I15" s="107">
        <v>-569980.36974495649</v>
      </c>
      <c r="J15" s="107">
        <v>119818338.50641614</v>
      </c>
      <c r="K15" s="107"/>
      <c r="L15" s="23"/>
      <c r="M15" s="23"/>
      <c r="N15" s="91">
        <f t="shared" si="1"/>
        <v>-231062200.69574094</v>
      </c>
      <c r="O15" s="52">
        <f t="shared" si="4"/>
        <v>63743477.439999998</v>
      </c>
      <c r="Q15" s="94">
        <f>B15</f>
        <v>-145320266.79825038</v>
      </c>
      <c r="R15" s="94">
        <f t="shared" si="5"/>
        <v>-349041195.87628436</v>
      </c>
      <c r="S15" s="94">
        <f t="shared" si="5"/>
        <v>-293374628.11855525</v>
      </c>
      <c r="T15" s="94">
        <f t="shared" si="5"/>
        <v>-214096981.9638662</v>
      </c>
      <c r="U15" s="94">
        <f t="shared" si="5"/>
        <v>-578551807.2458849</v>
      </c>
      <c r="V15" s="94">
        <f t="shared" si="5"/>
        <v>-274787123.94462115</v>
      </c>
      <c r="W15" s="94">
        <f t="shared" si="5"/>
        <v>-350310558.83241212</v>
      </c>
      <c r="X15" s="94">
        <f t="shared" si="5"/>
        <v>-350880539.20215708</v>
      </c>
      <c r="Y15" s="94">
        <f t="shared" si="5"/>
        <v>-231062200.69574094</v>
      </c>
      <c r="Z15" s="94">
        <f t="shared" si="6"/>
        <v>-231062200.69574094</v>
      </c>
      <c r="AA15" s="94">
        <f t="shared" si="6"/>
        <v>-231062200.69574094</v>
      </c>
    </row>
    <row r="16" spans="1:30">
      <c r="A16" s="61" t="s">
        <v>526</v>
      </c>
      <c r="B16" s="107">
        <v>5589296.219914902</v>
      </c>
      <c r="C16" s="107">
        <v>-7285838.8043199545</v>
      </c>
      <c r="D16" s="107">
        <v>61680294.989570037</v>
      </c>
      <c r="E16" s="107">
        <v>19735460.160761058</v>
      </c>
      <c r="F16" s="107">
        <v>-35318165.478937119</v>
      </c>
      <c r="G16" s="107">
        <v>25902918.924862087</v>
      </c>
      <c r="H16" s="107">
        <v>44105861.651704028</v>
      </c>
      <c r="I16" s="107">
        <v>10735715.091565058</v>
      </c>
      <c r="J16" s="107">
        <v>-14910092.305525064</v>
      </c>
      <c r="K16" s="107"/>
      <c r="L16" s="23"/>
      <c r="M16" s="23"/>
      <c r="N16" s="91">
        <f t="shared" si="1"/>
        <v>110235450.44959503</v>
      </c>
      <c r="O16" s="52">
        <f t="shared" si="4"/>
        <v>49899298.599999994</v>
      </c>
      <c r="Q16" s="94">
        <f>B16</f>
        <v>5589296.219914902</v>
      </c>
      <c r="R16" s="94">
        <f t="shared" si="5"/>
        <v>-1696542.5844050525</v>
      </c>
      <c r="S16" s="94">
        <f t="shared" si="5"/>
        <v>59983752.405164987</v>
      </c>
      <c r="T16" s="94">
        <f t="shared" si="5"/>
        <v>79719212.565926045</v>
      </c>
      <c r="U16" s="94">
        <f t="shared" si="5"/>
        <v>44401047.086988926</v>
      </c>
      <c r="V16" s="94">
        <f t="shared" si="5"/>
        <v>70303966.011851013</v>
      </c>
      <c r="W16" s="94">
        <f t="shared" si="5"/>
        <v>114409827.66355504</v>
      </c>
      <c r="X16" s="94">
        <f t="shared" si="5"/>
        <v>125145542.7551201</v>
      </c>
      <c r="Y16" s="94">
        <f t="shared" si="5"/>
        <v>110235450.44959503</v>
      </c>
      <c r="Z16" s="94">
        <f t="shared" si="6"/>
        <v>110235450.44959503</v>
      </c>
      <c r="AA16" s="94">
        <f t="shared" si="6"/>
        <v>110235450.44959503</v>
      </c>
    </row>
    <row r="17" spans="1:15">
      <c r="A17" s="61" t="s">
        <v>527</v>
      </c>
      <c r="B17" s="107">
        <v>45863237.828684323</v>
      </c>
      <c r="C17" s="107">
        <v>-109494071.78182679</v>
      </c>
      <c r="D17" s="107">
        <v>-73814403.282836705</v>
      </c>
      <c r="E17" s="107">
        <v>-72626631.007907391</v>
      </c>
      <c r="F17" s="107">
        <v>-56079329.619037181</v>
      </c>
      <c r="G17" s="107">
        <v>93749253.216287881</v>
      </c>
      <c r="H17" s="107">
        <v>195211578.849273</v>
      </c>
      <c r="I17" s="107">
        <v>76951149.108471334</v>
      </c>
      <c r="J17" s="107">
        <v>-78063197.781946272</v>
      </c>
      <c r="K17" s="107"/>
      <c r="L17" s="23"/>
      <c r="M17" s="23"/>
      <c r="N17" s="91">
        <f t="shared" si="1"/>
        <v>21697585.529162198</v>
      </c>
      <c r="O17" s="52">
        <f t="shared" si="4"/>
        <v>119337542.26218328</v>
      </c>
    </row>
    <row r="18" spans="1:15">
      <c r="A18" s="61" t="s">
        <v>528</v>
      </c>
      <c r="B18" s="107">
        <v>2676018.506822105</v>
      </c>
      <c r="C18" s="107">
        <v>-59189001.468486376</v>
      </c>
      <c r="D18" s="107">
        <v>105941945.61539276</v>
      </c>
      <c r="E18" s="107">
        <v>-103225939.10112277</v>
      </c>
      <c r="F18" s="107">
        <v>-46048290.650393501</v>
      </c>
      <c r="G18" s="107">
        <v>193494217.32855624</v>
      </c>
      <c r="H18" s="107">
        <v>-184500976.72441697</v>
      </c>
      <c r="I18" s="107">
        <v>-58800887.070491448</v>
      </c>
      <c r="J18" s="107">
        <v>181499057.71014249</v>
      </c>
      <c r="K18" s="107"/>
      <c r="L18" s="23"/>
      <c r="M18" s="23"/>
      <c r="N18" s="91">
        <f t="shared" si="1"/>
        <v>31846144.146002531</v>
      </c>
      <c r="O18" s="52">
        <f t="shared" si="4"/>
        <v>458206686.48462296</v>
      </c>
    </row>
    <row r="19" spans="1:15">
      <c r="A19" s="61" t="s">
        <v>529</v>
      </c>
      <c r="B19" s="107">
        <v>-193936642.50789782</v>
      </c>
      <c r="C19" s="107">
        <v>22688110.139079869</v>
      </c>
      <c r="D19" s="107">
        <v>248853115.1629602</v>
      </c>
      <c r="E19" s="107">
        <v>-237405947.94764972</v>
      </c>
      <c r="F19" s="107">
        <v>-62767934.516738981</v>
      </c>
      <c r="G19" s="107">
        <v>385376009.39592695</v>
      </c>
      <c r="H19" s="107">
        <v>-46598512.910521626</v>
      </c>
      <c r="I19" s="107">
        <v>9905297.5128481984</v>
      </c>
      <c r="J19" s="107">
        <v>166960805.82093492</v>
      </c>
      <c r="K19" s="107"/>
      <c r="L19" s="23"/>
      <c r="M19" s="23"/>
      <c r="N19" s="91">
        <f t="shared" si="1"/>
        <v>293074300.14894199</v>
      </c>
      <c r="O19" s="52">
        <f t="shared" si="4"/>
        <v>92641534.022171199</v>
      </c>
    </row>
    <row r="20" spans="1:15">
      <c r="A20" s="61" t="s">
        <v>531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5"/>
    </row>
    <row r="21" spans="1:15">
      <c r="A21" s="61" t="s">
        <v>532</v>
      </c>
      <c r="B21" s="107">
        <v>0</v>
      </c>
      <c r="C21" s="107">
        <v>0</v>
      </c>
      <c r="D21" s="107">
        <v>0</v>
      </c>
      <c r="E21" s="107">
        <v>0</v>
      </c>
      <c r="F21" s="107">
        <v>0</v>
      </c>
      <c r="G21" s="107"/>
      <c r="H21" s="107"/>
      <c r="I21" s="107"/>
      <c r="J21" s="107"/>
      <c r="K21" s="107"/>
      <c r="L21" s="23"/>
      <c r="M21" s="23"/>
    </row>
    <row r="22" spans="1:15">
      <c r="A22" s="61" t="s">
        <v>533</v>
      </c>
      <c r="B22" s="107">
        <v>28.272314000000001</v>
      </c>
      <c r="C22" s="107">
        <v>44.374290999999999</v>
      </c>
      <c r="D22" s="107">
        <v>58.540573999999999</v>
      </c>
      <c r="E22" s="107">
        <v>67.762062999999998</v>
      </c>
      <c r="F22" s="107">
        <v>67</v>
      </c>
      <c r="G22" s="107">
        <v>64</v>
      </c>
      <c r="H22" s="107"/>
      <c r="I22" s="107"/>
      <c r="J22" s="107"/>
      <c r="K22" s="107"/>
      <c r="L22" s="23"/>
      <c r="M22" s="23"/>
    </row>
    <row r="23" spans="1:15">
      <c r="A23" s="61" t="s">
        <v>534</v>
      </c>
      <c r="B23" s="107">
        <v>77.842588000000006</v>
      </c>
      <c r="C23" s="107">
        <v>63.355105999999999</v>
      </c>
      <c r="D23" s="107">
        <v>78.73</v>
      </c>
      <c r="E23" s="107">
        <v>81.548991999999998</v>
      </c>
      <c r="F23" s="107">
        <v>86.180745999999999</v>
      </c>
      <c r="G23" s="107">
        <v>89.23</v>
      </c>
      <c r="H23" s="107"/>
      <c r="I23" s="107"/>
      <c r="J23" s="107"/>
      <c r="K23" s="107"/>
      <c r="L23" s="23"/>
      <c r="M23" s="23"/>
    </row>
    <row r="24" spans="1:15">
      <c r="A24" s="61" t="s">
        <v>535</v>
      </c>
      <c r="B24" s="107">
        <v>80</v>
      </c>
      <c r="C24" s="107">
        <v>81</v>
      </c>
      <c r="D24" s="107">
        <v>81</v>
      </c>
      <c r="E24" s="107">
        <v>82</v>
      </c>
      <c r="F24" s="107">
        <v>77</v>
      </c>
      <c r="G24" s="107">
        <v>75</v>
      </c>
      <c r="H24" s="107"/>
      <c r="I24" s="107"/>
      <c r="J24" s="107"/>
      <c r="K24" s="107"/>
      <c r="L24" s="23"/>
      <c r="M24" s="23"/>
    </row>
    <row r="25" spans="1:15">
      <c r="A25" s="61" t="s">
        <v>536</v>
      </c>
      <c r="B25" s="107">
        <v>66.069408999999993</v>
      </c>
      <c r="C25" s="107">
        <v>66.727981</v>
      </c>
      <c r="D25" s="107">
        <v>66.433627000000001</v>
      </c>
      <c r="E25" s="107">
        <v>66.571957999999995</v>
      </c>
      <c r="F25" s="107">
        <v>66.245062000000004</v>
      </c>
      <c r="G25" s="107">
        <v>0</v>
      </c>
      <c r="H25" s="107"/>
      <c r="I25" s="107"/>
      <c r="J25" s="107"/>
      <c r="K25" s="107"/>
      <c r="L25" s="23"/>
      <c r="M25" s="23"/>
    </row>
    <row r="26" spans="1:15">
      <c r="A26" s="61" t="s">
        <v>537</v>
      </c>
      <c r="B26" s="107">
        <v>51.573478000000001</v>
      </c>
      <c r="C26" s="107">
        <v>52.637940999999998</v>
      </c>
      <c r="D26" s="107">
        <v>58.485923</v>
      </c>
      <c r="E26" s="107">
        <v>57.171602999999998</v>
      </c>
      <c r="F26" s="107">
        <v>61.477538000000003</v>
      </c>
      <c r="G26" s="107">
        <v>59.202795000000002</v>
      </c>
      <c r="H26" s="107"/>
      <c r="I26" s="107"/>
      <c r="J26" s="107"/>
      <c r="K26" s="107"/>
      <c r="L26" s="23"/>
      <c r="M26" s="23"/>
    </row>
    <row r="27" spans="1:15">
      <c r="A27" s="61" t="s">
        <v>538</v>
      </c>
      <c r="B27" s="107">
        <v>60.567250999999999</v>
      </c>
      <c r="C27" s="107">
        <v>62.918464</v>
      </c>
      <c r="D27" s="107">
        <v>62.491199000000002</v>
      </c>
      <c r="E27" s="107">
        <v>58.679107999999999</v>
      </c>
      <c r="F27" s="107">
        <v>61.975667999999999</v>
      </c>
      <c r="G27" s="107">
        <v>60.801253000000003</v>
      </c>
      <c r="H27" s="107"/>
      <c r="I27" s="107"/>
      <c r="J27" s="107"/>
      <c r="K27" s="107"/>
      <c r="L27" s="23"/>
      <c r="M27" s="23"/>
    </row>
    <row r="28" spans="1:15">
      <c r="A28" s="61" t="s">
        <v>539</v>
      </c>
      <c r="B28" s="107">
        <v>44.710925000000003</v>
      </c>
      <c r="C28" s="107">
        <v>46.473025</v>
      </c>
      <c r="D28" s="107">
        <v>46.924118999999997</v>
      </c>
      <c r="E28" s="107">
        <v>44.357483000000002</v>
      </c>
      <c r="F28" s="107">
        <v>44.224829999999997</v>
      </c>
      <c r="G28" s="107">
        <v>45.744959000000001</v>
      </c>
      <c r="H28" s="107"/>
      <c r="I28" s="107"/>
      <c r="J28" s="107"/>
      <c r="K28" s="107"/>
      <c r="L28" s="23"/>
      <c r="M28" s="23"/>
    </row>
    <row r="29" spans="1:15">
      <c r="A29" s="61" t="s">
        <v>540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5">
      <c r="A30" s="61" t="s">
        <v>541</v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5"/>
    </row>
    <row r="31" spans="1:15">
      <c r="A31" s="61" t="s">
        <v>542</v>
      </c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5"/>
    </row>
    <row r="32" spans="1:15">
      <c r="A32" s="61" t="s">
        <v>543</v>
      </c>
      <c r="B32" s="107">
        <v>0</v>
      </c>
      <c r="C32" s="107">
        <v>0</v>
      </c>
      <c r="D32" s="107">
        <v>0</v>
      </c>
      <c r="E32" s="107">
        <v>0</v>
      </c>
      <c r="F32" s="107">
        <v>0</v>
      </c>
      <c r="G32" s="107"/>
      <c r="H32" s="107"/>
      <c r="I32" s="107"/>
      <c r="J32" s="107"/>
      <c r="K32" s="107"/>
      <c r="L32" s="23"/>
      <c r="M32" s="23"/>
    </row>
    <row r="33" spans="1:13">
      <c r="A33" s="61" t="s">
        <v>544</v>
      </c>
      <c r="B33" s="107">
        <v>150.77740499999999</v>
      </c>
      <c r="C33" s="107">
        <v>95.603938999999997</v>
      </c>
      <c r="D33" s="107">
        <v>82.943076000000005</v>
      </c>
      <c r="E33" s="107">
        <v>106.34263799999999</v>
      </c>
      <c r="F33" s="107">
        <v>113</v>
      </c>
      <c r="G33" s="107">
        <v>118</v>
      </c>
      <c r="H33" s="107"/>
      <c r="I33" s="107"/>
      <c r="J33" s="107"/>
      <c r="K33" s="107"/>
      <c r="L33" s="23"/>
      <c r="M33" s="23"/>
    </row>
    <row r="34" spans="1:13">
      <c r="A34" s="61" t="s">
        <v>545</v>
      </c>
      <c r="B34" s="107">
        <v>34.588625</v>
      </c>
      <c r="C34" s="107">
        <v>32.729348999999999</v>
      </c>
      <c r="D34" s="107">
        <v>35.1</v>
      </c>
      <c r="E34" s="107">
        <v>37.733459000000003</v>
      </c>
      <c r="F34" s="107">
        <v>55.053735000000003</v>
      </c>
      <c r="G34" s="107">
        <v>48.67</v>
      </c>
      <c r="H34" s="107"/>
      <c r="I34" s="107"/>
      <c r="J34" s="107"/>
      <c r="K34" s="107"/>
      <c r="L34" s="23"/>
      <c r="M34" s="23"/>
    </row>
    <row r="35" spans="1:13">
      <c r="A35" s="61" t="s">
        <v>546</v>
      </c>
      <c r="B35" s="107">
        <v>22</v>
      </c>
      <c r="C35" s="107">
        <v>22.400000000000002</v>
      </c>
      <c r="D35" s="107">
        <v>22.400000000000002</v>
      </c>
      <c r="E35" s="107">
        <v>22.8</v>
      </c>
      <c r="F35" s="107">
        <v>23.200000000000003</v>
      </c>
      <c r="G35" s="107">
        <v>23.200000000000003</v>
      </c>
      <c r="H35" s="107"/>
      <c r="I35" s="107"/>
      <c r="J35" s="107"/>
      <c r="K35" s="107"/>
      <c r="L35" s="23"/>
      <c r="M35" s="23"/>
    </row>
    <row r="36" spans="1:13">
      <c r="A36" s="61" t="s">
        <v>547</v>
      </c>
      <c r="B36" s="107">
        <v>3.8170436000000003</v>
      </c>
      <c r="C36" s="107">
        <v>3.9050815999999999</v>
      </c>
      <c r="D36" s="107">
        <v>3.8553632000000002</v>
      </c>
      <c r="E36" s="107">
        <v>3.7835923999999999</v>
      </c>
      <c r="F36" s="107">
        <v>3.6675848000000002</v>
      </c>
      <c r="G36" s="107">
        <v>0</v>
      </c>
      <c r="H36" s="107"/>
      <c r="I36" s="107"/>
      <c r="J36" s="107"/>
      <c r="K36" s="107"/>
      <c r="L36" s="23"/>
      <c r="M36" s="23"/>
    </row>
    <row r="37" spans="1:13">
      <c r="A37" s="61" t="s">
        <v>548</v>
      </c>
      <c r="B37" s="107">
        <v>23.220939200000004</v>
      </c>
      <c r="C37" s="107">
        <v>23.475934800000001</v>
      </c>
      <c r="D37" s="107">
        <v>24.112097600000002</v>
      </c>
      <c r="E37" s="107">
        <v>23.746709200000002</v>
      </c>
      <c r="F37" s="107">
        <v>26.2109588</v>
      </c>
      <c r="G37" s="107">
        <v>25.814788399999998</v>
      </c>
      <c r="H37" s="107"/>
      <c r="I37" s="107"/>
      <c r="J37" s="107"/>
      <c r="K37" s="107"/>
      <c r="L37" s="23"/>
      <c r="M37" s="23"/>
    </row>
    <row r="38" spans="1:13">
      <c r="A38" s="61" t="s">
        <v>549</v>
      </c>
      <c r="B38" s="107">
        <v>48</v>
      </c>
      <c r="C38" s="107">
        <v>22.336118400000004</v>
      </c>
      <c r="D38" s="107">
        <v>22.966288000000002</v>
      </c>
      <c r="E38" s="107">
        <v>26.915715599999999</v>
      </c>
      <c r="F38" s="107">
        <v>30.638351999999998</v>
      </c>
      <c r="G38" s="107">
        <v>29.149058800000002</v>
      </c>
      <c r="H38" s="107"/>
      <c r="I38" s="107"/>
      <c r="J38" s="107"/>
      <c r="K38" s="107"/>
      <c r="L38" s="23"/>
      <c r="M38" s="23"/>
    </row>
    <row r="39" spans="1:13">
      <c r="A39" s="61" t="s">
        <v>550</v>
      </c>
      <c r="B39" s="107">
        <v>48</v>
      </c>
      <c r="C39" s="107">
        <v>19.496131600000002</v>
      </c>
      <c r="D39" s="107">
        <v>18.311192000000002</v>
      </c>
      <c r="E39" s="107">
        <v>18.614297199999999</v>
      </c>
      <c r="F39" s="107">
        <v>22.077904000000004</v>
      </c>
      <c r="G39" s="107">
        <v>23.643504400000001</v>
      </c>
      <c r="H39" s="107"/>
      <c r="I39" s="107"/>
      <c r="J39" s="107"/>
      <c r="K39" s="107"/>
      <c r="L39" s="23"/>
      <c r="M39" s="23"/>
    </row>
    <row r="40" spans="1:13">
      <c r="A40" s="61" t="s">
        <v>551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</row>
    <row r="41" spans="1:13">
      <c r="A41" s="61" t="s">
        <v>552</v>
      </c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5"/>
    </row>
    <row r="42" spans="1:13">
      <c r="A42" s="61" t="s">
        <v>553</v>
      </c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5"/>
    </row>
    <row r="43" spans="1:13">
      <c r="A43" s="61" t="s">
        <v>554</v>
      </c>
      <c r="B43" s="107">
        <v>0</v>
      </c>
      <c r="C43" s="107">
        <v>0</v>
      </c>
      <c r="D43" s="107">
        <v>0</v>
      </c>
      <c r="E43" s="107">
        <v>0</v>
      </c>
      <c r="F43" s="107">
        <v>0</v>
      </c>
      <c r="G43" s="107"/>
      <c r="H43" s="107"/>
      <c r="I43" s="107"/>
      <c r="J43" s="107"/>
      <c r="K43" s="107"/>
      <c r="L43" s="23"/>
      <c r="M43" s="23"/>
    </row>
    <row r="44" spans="1:13">
      <c r="A44" s="61" t="s">
        <v>555</v>
      </c>
      <c r="B44" s="107">
        <v>141.651432</v>
      </c>
      <c r="C44" s="107">
        <v>114.865244</v>
      </c>
      <c r="D44" s="107">
        <v>156.523506</v>
      </c>
      <c r="E44" s="107">
        <v>114.245327</v>
      </c>
      <c r="F44" s="107">
        <v>109</v>
      </c>
      <c r="G44" s="107">
        <v>114</v>
      </c>
      <c r="H44" s="107"/>
      <c r="I44" s="107"/>
      <c r="J44" s="107"/>
      <c r="K44" s="107"/>
      <c r="L44" s="23"/>
      <c r="M44" s="23"/>
    </row>
    <row r="45" spans="1:13">
      <c r="A45" s="61" t="s">
        <v>556</v>
      </c>
      <c r="B45" s="107">
        <v>90.557383999999999</v>
      </c>
      <c r="C45" s="107">
        <v>66.213842</v>
      </c>
      <c r="D45" s="107">
        <v>112.19</v>
      </c>
      <c r="E45" s="107">
        <v>107.162784</v>
      </c>
      <c r="F45" s="107">
        <v>112.52722300000001</v>
      </c>
      <c r="G45" s="107">
        <v>99.96</v>
      </c>
      <c r="H45" s="107"/>
      <c r="I45" s="107"/>
      <c r="J45" s="107"/>
      <c r="K45" s="107"/>
      <c r="L45" s="23"/>
      <c r="M45" s="23"/>
    </row>
    <row r="46" spans="1:13">
      <c r="A46" s="61" t="s">
        <v>557</v>
      </c>
      <c r="B46" s="107">
        <v>108</v>
      </c>
      <c r="C46" s="107">
        <v>107</v>
      </c>
      <c r="D46" s="107">
        <v>105</v>
      </c>
      <c r="E46" s="107">
        <v>104</v>
      </c>
      <c r="F46" s="107">
        <v>102</v>
      </c>
      <c r="G46" s="107">
        <v>99</v>
      </c>
      <c r="H46" s="107"/>
      <c r="I46" s="107"/>
      <c r="J46" s="107"/>
      <c r="K46" s="107"/>
      <c r="L46" s="23"/>
      <c r="M46" s="23"/>
    </row>
    <row r="47" spans="1:13">
      <c r="A47" s="61" t="s">
        <v>558</v>
      </c>
      <c r="B47" s="107">
        <v>59.034585999999997</v>
      </c>
      <c r="C47" s="107">
        <v>58.901944</v>
      </c>
      <c r="D47" s="107">
        <v>58.609115000000003</v>
      </c>
      <c r="E47" s="107">
        <v>59.250408999999998</v>
      </c>
      <c r="F47" s="107">
        <v>58.655268</v>
      </c>
      <c r="G47" s="107">
        <v>0</v>
      </c>
      <c r="H47" s="107"/>
      <c r="I47" s="107"/>
      <c r="J47" s="107"/>
      <c r="K47" s="107"/>
      <c r="L47" s="23"/>
      <c r="M47" s="23"/>
    </row>
    <row r="48" spans="1:13">
      <c r="A48" s="61" t="s">
        <v>559</v>
      </c>
      <c r="B48" s="107">
        <v>99.134922000000003</v>
      </c>
      <c r="C48" s="107">
        <v>100.91145</v>
      </c>
      <c r="D48" s="107">
        <v>92.140022999999999</v>
      </c>
      <c r="E48" s="107">
        <v>86.324426000000003</v>
      </c>
      <c r="F48" s="107">
        <v>84.942204000000004</v>
      </c>
      <c r="G48" s="107">
        <v>81.969689000000002</v>
      </c>
      <c r="H48" s="107"/>
      <c r="I48" s="107"/>
      <c r="J48" s="107"/>
      <c r="K48" s="107"/>
      <c r="L48" s="23"/>
      <c r="M48" s="23"/>
    </row>
    <row r="49" spans="1:13">
      <c r="A49" s="61" t="s">
        <v>560</v>
      </c>
      <c r="B49" s="107">
        <v>81.854820000000004</v>
      </c>
      <c r="C49" s="107">
        <v>70.292807999999994</v>
      </c>
      <c r="D49" s="107">
        <v>77.836674000000002</v>
      </c>
      <c r="E49" s="107">
        <v>72.221761999999998</v>
      </c>
      <c r="F49" s="107">
        <v>67.902677999999995</v>
      </c>
      <c r="G49" s="107">
        <v>69.825208000000003</v>
      </c>
      <c r="H49" s="107"/>
      <c r="I49" s="107"/>
      <c r="J49" s="107"/>
      <c r="K49" s="107"/>
      <c r="L49" s="23"/>
      <c r="M49" s="23"/>
    </row>
    <row r="50" spans="1:13">
      <c r="A50" s="61" t="s">
        <v>561</v>
      </c>
      <c r="B50" s="107">
        <v>80.777023</v>
      </c>
      <c r="C50" s="107">
        <v>82.964855999999997</v>
      </c>
      <c r="D50" s="107">
        <v>93.454887999999997</v>
      </c>
      <c r="E50" s="107">
        <v>81.754711</v>
      </c>
      <c r="F50" s="107">
        <v>78.027585999999999</v>
      </c>
      <c r="G50" s="107">
        <v>86.279380000000003</v>
      </c>
      <c r="H50" s="107"/>
      <c r="I50" s="107"/>
      <c r="J50" s="107"/>
      <c r="K50" s="107"/>
      <c r="L50" s="23"/>
      <c r="M50" s="23"/>
    </row>
    <row r="51" spans="1:13">
      <c r="A51" s="61" t="s">
        <v>562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</row>
    <row r="52" spans="1:13">
      <c r="A52" s="61" t="s">
        <v>563</v>
      </c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5"/>
    </row>
    <row r="53" spans="1:13">
      <c r="A53" s="61" t="s">
        <v>564</v>
      </c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5"/>
    </row>
    <row r="54" spans="1:13">
      <c r="A54" s="61" t="s">
        <v>565</v>
      </c>
      <c r="B54" s="107">
        <v>0</v>
      </c>
      <c r="C54" s="107">
        <v>0</v>
      </c>
      <c r="D54" s="107">
        <v>0</v>
      </c>
      <c r="E54" s="107">
        <v>0</v>
      </c>
      <c r="F54" s="107">
        <v>0</v>
      </c>
      <c r="G54" s="107"/>
      <c r="H54" s="107"/>
      <c r="I54" s="107"/>
      <c r="J54" s="107"/>
      <c r="K54" s="107"/>
      <c r="L54" s="23"/>
      <c r="M54" s="23"/>
    </row>
    <row r="55" spans="1:13">
      <c r="A55" s="61" t="s">
        <v>566</v>
      </c>
      <c r="B55" s="107">
        <v>37.398286999999982</v>
      </c>
      <c r="C55" s="107">
        <v>25.112985999999992</v>
      </c>
      <c r="D55" s="107">
        <v>-15.039855999999986</v>
      </c>
      <c r="E55" s="107">
        <v>59.859373999999974</v>
      </c>
      <c r="F55" s="107">
        <v>71</v>
      </c>
      <c r="G55" s="107">
        <v>68</v>
      </c>
      <c r="H55" s="107"/>
      <c r="I55" s="107"/>
      <c r="J55" s="107"/>
      <c r="K55" s="107"/>
      <c r="L55" s="23"/>
      <c r="M55" s="23"/>
    </row>
    <row r="56" spans="1:13">
      <c r="A56" s="61" t="s">
        <v>567</v>
      </c>
      <c r="B56" s="107">
        <v>21.873829000000015</v>
      </c>
      <c r="C56" s="107">
        <v>29.870612999999992</v>
      </c>
      <c r="D56" s="107">
        <v>1.6400000000000148</v>
      </c>
      <c r="E56" s="107">
        <v>12.119667000000007</v>
      </c>
      <c r="F56" s="107">
        <v>28.70725800000001</v>
      </c>
      <c r="G56" s="107">
        <v>37.940000000000012</v>
      </c>
      <c r="H56" s="107"/>
      <c r="I56" s="107"/>
      <c r="J56" s="107"/>
      <c r="K56" s="107"/>
      <c r="L56" s="23"/>
      <c r="M56" s="23"/>
    </row>
    <row r="57" spans="1:13">
      <c r="A57" s="61" t="s">
        <v>568</v>
      </c>
      <c r="B57" s="107">
        <v>-6</v>
      </c>
      <c r="C57" s="107">
        <v>-3.5999999999999943</v>
      </c>
      <c r="D57" s="107">
        <v>-1.5999999999999943</v>
      </c>
      <c r="E57" s="107">
        <v>0.79999999999999716</v>
      </c>
      <c r="F57" s="107">
        <v>-1.7999999999999972</v>
      </c>
      <c r="G57" s="107">
        <v>-0.79999999999999716</v>
      </c>
      <c r="H57" s="107"/>
      <c r="I57" s="107"/>
      <c r="J57" s="107"/>
      <c r="K57" s="107"/>
      <c r="L57" s="23"/>
      <c r="M57" s="23"/>
    </row>
    <row r="58" spans="1:13">
      <c r="A58" s="61" t="s">
        <v>569</v>
      </c>
      <c r="B58" s="107">
        <v>10.851866600000001</v>
      </c>
      <c r="C58" s="107">
        <v>11.731118600000002</v>
      </c>
      <c r="D58" s="107">
        <v>11.679875199999998</v>
      </c>
      <c r="E58" s="107">
        <v>11.105141400000001</v>
      </c>
      <c r="F58" s="107">
        <v>11.257378800000005</v>
      </c>
      <c r="G58" s="107">
        <v>0</v>
      </c>
      <c r="H58" s="107"/>
      <c r="I58" s="107"/>
      <c r="J58" s="107"/>
      <c r="K58" s="107"/>
      <c r="L58" s="23"/>
      <c r="M58" s="23"/>
    </row>
    <row r="59" spans="1:13">
      <c r="A59" s="61" t="s">
        <v>570</v>
      </c>
      <c r="B59" s="107">
        <v>-24.340504800000005</v>
      </c>
      <c r="C59" s="107">
        <v>-24.7975742</v>
      </c>
      <c r="D59" s="107">
        <v>-9.5420024000000012</v>
      </c>
      <c r="E59" s="107">
        <v>-5.4061138</v>
      </c>
      <c r="F59" s="107">
        <v>2.746292799999992</v>
      </c>
      <c r="G59" s="107">
        <v>3.0478944000000041</v>
      </c>
      <c r="H59" s="107"/>
      <c r="I59" s="107"/>
      <c r="J59" s="107"/>
      <c r="K59" s="107"/>
      <c r="L59" s="23"/>
      <c r="M59" s="23"/>
    </row>
    <row r="60" spans="1:13">
      <c r="A60" s="61" t="s">
        <v>571</v>
      </c>
      <c r="B60" s="107">
        <v>26.712430999999995</v>
      </c>
      <c r="C60" s="107">
        <v>14.96177440000001</v>
      </c>
      <c r="D60" s="107">
        <v>7.6208129999999983</v>
      </c>
      <c r="E60" s="107">
        <v>13.3730616</v>
      </c>
      <c r="F60" s="107">
        <v>24.711342000000002</v>
      </c>
      <c r="G60" s="107">
        <v>20.125103800000005</v>
      </c>
      <c r="H60" s="107"/>
      <c r="I60" s="107"/>
      <c r="J60" s="107"/>
      <c r="K60" s="107"/>
      <c r="L60" s="23"/>
      <c r="M60" s="23"/>
    </row>
    <row r="61" spans="1:13">
      <c r="A61" s="61" t="s">
        <v>572</v>
      </c>
      <c r="B61" s="107">
        <v>11.933902000000003</v>
      </c>
      <c r="C61" s="107">
        <v>-16.995699399999992</v>
      </c>
      <c r="D61" s="107">
        <v>-28.219577000000001</v>
      </c>
      <c r="E61" s="107">
        <v>-18.782930800000003</v>
      </c>
      <c r="F61" s="107">
        <v>-11.724851999999998</v>
      </c>
      <c r="G61" s="107">
        <v>-16.890916599999997</v>
      </c>
      <c r="H61" s="107"/>
      <c r="I61" s="107"/>
      <c r="J61" s="107"/>
      <c r="K61" s="107"/>
      <c r="L61" s="23"/>
      <c r="M61" s="23"/>
    </row>
    <row r="62" spans="1:13">
      <c r="A62" s="61" t="s">
        <v>573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</row>
    <row r="63" spans="1:13">
      <c r="A63" s="61" t="s">
        <v>574</v>
      </c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7"/>
    </row>
  </sheetData>
  <pageMargins left="0.7" right="0.7" top="0.75" bottom="0.75" header="0.3" footer="0.3"/>
  <pageSetup paperSize="9" orientation="portrait" r:id="rId1"/>
  <customProperties>
    <customPr name="_pios_id" r:id="rId2"/>
    <customPr name="CofWorksheetType" r:id="rId3"/>
    <customPr name="EpmWorksheetKeyString_GUID" r:id="rId4"/>
  </customPropertie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B803E-F280-45D2-8128-ED556200E4A7}">
  <sheetPr>
    <tabColor rgb="FF00B050"/>
  </sheetPr>
  <dimension ref="A1:AC196"/>
  <sheetViews>
    <sheetView zoomScale="85" zoomScaleNormal="85" workbookViewId="0">
      <selection activeCell="I191" sqref="I191"/>
    </sheetView>
  </sheetViews>
  <sheetFormatPr defaultColWidth="8.81640625" defaultRowHeight="14.5"/>
  <cols>
    <col min="1" max="1" width="29.7265625" bestFit="1" customWidth="1"/>
    <col min="2" max="13" width="11.453125" bestFit="1" customWidth="1"/>
    <col min="14" max="14" width="12.453125" bestFit="1" customWidth="1"/>
    <col min="15" max="15" width="11.54296875" bestFit="1" customWidth="1"/>
    <col min="16" max="16" width="12.1796875" bestFit="1" customWidth="1"/>
  </cols>
  <sheetData>
    <row r="1" spans="1:19">
      <c r="A1" s="60" t="s">
        <v>449</v>
      </c>
      <c r="B1" s="61" t="s">
        <v>450</v>
      </c>
      <c r="C1" s="61" t="s">
        <v>451</v>
      </c>
      <c r="D1" s="61" t="s">
        <v>452</v>
      </c>
      <c r="E1" s="61" t="s">
        <v>453</v>
      </c>
      <c r="F1" s="61" t="s">
        <v>454</v>
      </c>
      <c r="G1" s="61" t="s">
        <v>455</v>
      </c>
      <c r="H1" s="61" t="s">
        <v>456</v>
      </c>
      <c r="I1" s="61" t="s">
        <v>457</v>
      </c>
      <c r="J1" s="61" t="s">
        <v>458</v>
      </c>
      <c r="K1" s="61" t="s">
        <v>459</v>
      </c>
      <c r="L1" s="61" t="s">
        <v>460</v>
      </c>
      <c r="M1" s="61" t="s">
        <v>461</v>
      </c>
      <c r="N1" s="68" t="s">
        <v>462</v>
      </c>
    </row>
    <row r="2" spans="1:19">
      <c r="A2" s="61" t="s">
        <v>175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9"/>
    </row>
    <row r="3" spans="1:19">
      <c r="A3" s="61" t="s">
        <v>176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9"/>
    </row>
    <row r="4" spans="1:19">
      <c r="A4" s="61" t="s">
        <v>177</v>
      </c>
      <c r="B4" s="103">
        <f>SUM(B5:B7)+SUM(B8:B12)*0.4</f>
        <v>27601026.295465603</v>
      </c>
      <c r="C4" s="103">
        <f t="shared" ref="C4:N4" si="0">SUM(C5:C7)+SUM(C8:C12)*0.4</f>
        <v>28100063.298026536</v>
      </c>
      <c r="D4" s="103">
        <f t="shared" si="0"/>
        <v>31103326.400600508</v>
      </c>
      <c r="E4" s="103">
        <f t="shared" si="0"/>
        <v>28901857.624936871</v>
      </c>
      <c r="F4" s="103">
        <f t="shared" si="0"/>
        <v>29998376.870413315</v>
      </c>
      <c r="G4" s="103">
        <f t="shared" si="0"/>
        <v>29120047.202436857</v>
      </c>
      <c r="H4" s="103">
        <f t="shared" si="0"/>
        <v>29852729.069400061</v>
      </c>
      <c r="I4" s="103">
        <f t="shared" si="0"/>
        <v>26329536.848574184</v>
      </c>
      <c r="J4" s="103">
        <f t="shared" si="0"/>
        <v>32874061.41647606</v>
      </c>
      <c r="K4" s="103">
        <f t="shared" si="0"/>
        <v>33028262.823979408</v>
      </c>
      <c r="L4" s="103">
        <f t="shared" si="0"/>
        <v>31691839.084899154</v>
      </c>
      <c r="M4" s="103">
        <f t="shared" si="0"/>
        <v>28729747.256244853</v>
      </c>
      <c r="N4" s="103">
        <f t="shared" si="0"/>
        <v>357330874.19145346</v>
      </c>
    </row>
    <row r="5" spans="1:19">
      <c r="A5" s="61" t="s">
        <v>179</v>
      </c>
      <c r="B5" s="100">
        <v>714880.86352755502</v>
      </c>
      <c r="C5" s="100">
        <v>723499.00924788369</v>
      </c>
      <c r="D5" s="100">
        <v>810291.91766801768</v>
      </c>
      <c r="E5" s="100">
        <v>742627.94948145689</v>
      </c>
      <c r="F5" s="100">
        <v>779760.19581908826</v>
      </c>
      <c r="G5" s="100">
        <v>762531.4828638531</v>
      </c>
      <c r="H5" s="100">
        <v>756667.04259661702</v>
      </c>
      <c r="I5" s="100">
        <v>671190.30574924336</v>
      </c>
      <c r="J5" s="100">
        <v>875959.11332765408</v>
      </c>
      <c r="K5" s="100">
        <v>851941.10560356535</v>
      </c>
      <c r="L5" s="100">
        <v>816659.57431370579</v>
      </c>
      <c r="M5" s="100">
        <v>727242.32440992922</v>
      </c>
      <c r="N5" s="101">
        <f>SUM(B5:M5)</f>
        <v>9233250.8846085686</v>
      </c>
      <c r="O5" s="9">
        <f>SUM(N5:N12)</f>
        <v>840144713.08026361</v>
      </c>
      <c r="Q5">
        <f>'Bütçe aylık-TL'!C5/'Bütçe aylık-Eur'!C5</f>
        <v>37.898400000000002</v>
      </c>
      <c r="R5">
        <f>'Bütçe aylık-TL'!D5/'Bütçe aylık-Eur'!D5</f>
        <v>38.664099999999998</v>
      </c>
      <c r="S5">
        <f>'Bütçe aylık-TL'!E5/'Bütçe aylık-Eur'!E5</f>
        <v>39.429699999999997</v>
      </c>
    </row>
    <row r="6" spans="1:19">
      <c r="A6" s="61" t="s">
        <v>180</v>
      </c>
      <c r="B6" s="100">
        <v>834190.48278605426</v>
      </c>
      <c r="C6" s="100">
        <v>967501.2499086241</v>
      </c>
      <c r="D6" s="100">
        <v>986615.93041573453</v>
      </c>
      <c r="E6" s="100">
        <v>1060816.0798685765</v>
      </c>
      <c r="F6" s="100">
        <v>996710.57535378519</v>
      </c>
      <c r="G6" s="100">
        <v>1017075.9970098314</v>
      </c>
      <c r="H6" s="100">
        <v>854222.84431331581</v>
      </c>
      <c r="I6" s="100">
        <v>596499.2737679386</v>
      </c>
      <c r="J6" s="100">
        <v>630604.09967980336</v>
      </c>
      <c r="K6" s="100">
        <v>538427.92607588239</v>
      </c>
      <c r="L6" s="100">
        <v>484665.88296612346</v>
      </c>
      <c r="M6" s="100">
        <v>432357.90185743733</v>
      </c>
      <c r="N6" s="101">
        <f t="shared" ref="N6:N12" si="1">SUM(B6:M6)</f>
        <v>9399688.2440031078</v>
      </c>
      <c r="Q6">
        <f>'Bütçe aylık-TL'!C6/'Bütçe aylık-Eur'!C6</f>
        <v>37.898400000000002</v>
      </c>
      <c r="R6">
        <f>'Bütçe aylık-TL'!D6/'Bütçe aylık-Eur'!D6</f>
        <v>38.664099999999998</v>
      </c>
      <c r="S6">
        <f>'Bütçe aylık-TL'!E6/'Bütçe aylık-Eur'!E6</f>
        <v>39.429699999999997</v>
      </c>
    </row>
    <row r="7" spans="1:19">
      <c r="A7" s="61" t="s">
        <v>181</v>
      </c>
      <c r="B7" s="100">
        <v>994090.61881676037</v>
      </c>
      <c r="C7" s="100">
        <v>987408.16503475071</v>
      </c>
      <c r="D7" s="100">
        <v>1292386.7035357864</v>
      </c>
      <c r="E7" s="100">
        <v>1340897.4889938296</v>
      </c>
      <c r="F7" s="100">
        <v>1451102.2620130959</v>
      </c>
      <c r="G7" s="100">
        <v>1453352.0153251758</v>
      </c>
      <c r="H7" s="100">
        <v>1783426.6038197938</v>
      </c>
      <c r="I7" s="100">
        <v>1437121.1074481434</v>
      </c>
      <c r="J7" s="100">
        <v>1414781.2490265106</v>
      </c>
      <c r="K7" s="100">
        <v>1455398.6725839439</v>
      </c>
      <c r="L7" s="100">
        <v>1730074.2602313287</v>
      </c>
      <c r="M7" s="100">
        <v>1482003.3234724628</v>
      </c>
      <c r="N7" s="101">
        <f t="shared" si="1"/>
        <v>16822042.470301583</v>
      </c>
      <c r="Q7">
        <f>'Bütçe aylık-TL'!C7/'Bütçe aylık-Eur'!C7</f>
        <v>37.898400000000002</v>
      </c>
      <c r="R7">
        <f>'Bütçe aylık-TL'!D7/'Bütçe aylık-Eur'!D7</f>
        <v>38.664099999999998</v>
      </c>
      <c r="S7">
        <f>'Bütçe aylık-TL'!E7/'Bütçe aylık-Eur'!E7</f>
        <v>39.429699999999997</v>
      </c>
    </row>
    <row r="8" spans="1:19">
      <c r="A8" s="61" t="s">
        <v>182</v>
      </c>
      <c r="B8" s="100">
        <v>19103567.880199067</v>
      </c>
      <c r="C8" s="100">
        <v>19444514.477016628</v>
      </c>
      <c r="D8" s="100">
        <v>20350915.048664551</v>
      </c>
      <c r="E8" s="100">
        <v>19394470.714204319</v>
      </c>
      <c r="F8" s="100">
        <v>18642731.556084417</v>
      </c>
      <c r="G8" s="100">
        <v>18744066.988365024</v>
      </c>
      <c r="H8" s="100">
        <v>21889006.518687841</v>
      </c>
      <c r="I8" s="100">
        <v>21093772.165743902</v>
      </c>
      <c r="J8" s="100">
        <v>22542985.735969603</v>
      </c>
      <c r="K8" s="100">
        <v>25704924.844504058</v>
      </c>
      <c r="L8" s="100">
        <v>25549148.286325693</v>
      </c>
      <c r="M8" s="100">
        <v>26031884.926458303</v>
      </c>
      <c r="N8" s="101">
        <f t="shared" si="1"/>
        <v>258491989.14222342</v>
      </c>
      <c r="Q8">
        <f>'Bütçe aylık-TL'!C8/'Bütçe aylık-Eur'!C8</f>
        <v>37.898400000000002</v>
      </c>
      <c r="R8">
        <f>'Bütçe aylık-TL'!D8/'Bütçe aylık-Eur'!D8</f>
        <v>38.664099999999998</v>
      </c>
      <c r="S8">
        <f>'Bütçe aylık-TL'!E8/'Bütçe aylık-Eur'!E8</f>
        <v>39.429699999999997</v>
      </c>
    </row>
    <row r="9" spans="1:19">
      <c r="A9" s="61" t="s">
        <v>183</v>
      </c>
      <c r="B9" s="100">
        <v>6610337.0335660111</v>
      </c>
      <c r="C9" s="100">
        <v>6831152.053912566</v>
      </c>
      <c r="D9" s="100">
        <v>6764140.1196458731</v>
      </c>
      <c r="E9" s="100">
        <v>6725265.7531002024</v>
      </c>
      <c r="F9" s="100">
        <v>6899932.2881719256</v>
      </c>
      <c r="G9" s="100">
        <v>5650391.0051249601</v>
      </c>
      <c r="H9" s="100">
        <v>6884689.9621470002</v>
      </c>
      <c r="I9" s="100">
        <v>6053244.0774362357</v>
      </c>
      <c r="J9" s="100">
        <v>5958226.5937106134</v>
      </c>
      <c r="K9" s="100">
        <v>7616376.8136759764</v>
      </c>
      <c r="L9" s="100">
        <v>6378504.4432143094</v>
      </c>
      <c r="M9" s="100">
        <v>6294908.2036062358</v>
      </c>
      <c r="N9" s="101">
        <f t="shared" si="1"/>
        <v>78667168.347311899</v>
      </c>
    </row>
    <row r="10" spans="1:19">
      <c r="A10" s="61" t="s">
        <v>184</v>
      </c>
      <c r="B10" s="100">
        <v>10048793.329626</v>
      </c>
      <c r="C10" s="100">
        <v>10827279.550258998</v>
      </c>
      <c r="D10" s="100">
        <v>12591060.708298003</v>
      </c>
      <c r="E10" s="100">
        <v>10932455.197366998</v>
      </c>
      <c r="F10" s="100">
        <v>11676964.859473003</v>
      </c>
      <c r="G10" s="100">
        <v>11838097.752993001</v>
      </c>
      <c r="H10" s="100">
        <v>9412291.1087169945</v>
      </c>
      <c r="I10" s="100">
        <v>9404847.8481760025</v>
      </c>
      <c r="J10" s="100">
        <v>13855810.835183993</v>
      </c>
      <c r="K10" s="100">
        <v>11997698.855788006</v>
      </c>
      <c r="L10" s="100">
        <v>11428204.912931994</v>
      </c>
      <c r="M10" s="100">
        <v>9986231.3524460047</v>
      </c>
      <c r="N10" s="101">
        <f t="shared" si="1"/>
        <v>133999736.311259</v>
      </c>
    </row>
    <row r="11" spans="1:19">
      <c r="A11" s="61" t="s">
        <v>185</v>
      </c>
      <c r="B11" s="100">
        <v>7577608.2747520003</v>
      </c>
      <c r="C11" s="100">
        <v>6103066.9399209991</v>
      </c>
      <c r="D11" s="100">
        <v>7983071.5425080014</v>
      </c>
      <c r="E11" s="100">
        <v>7994757.4802430021</v>
      </c>
      <c r="F11" s="100">
        <v>7875525.1757379994</v>
      </c>
      <c r="G11" s="100">
        <v>6939893.4785410017</v>
      </c>
      <c r="H11" s="100">
        <v>6547612.1428819979</v>
      </c>
      <c r="I11" s="100">
        <v>5870756.4802609971</v>
      </c>
      <c r="J11" s="100">
        <v>8293869.2559960037</v>
      </c>
      <c r="K11" s="100">
        <v>7857375.0965680042</v>
      </c>
      <c r="L11" s="100">
        <v>7288061.4245729893</v>
      </c>
      <c r="M11" s="100">
        <v>5516264.0263970038</v>
      </c>
      <c r="N11" s="101">
        <f t="shared" si="1"/>
        <v>85847861.318379998</v>
      </c>
    </row>
    <row r="12" spans="1:19">
      <c r="A12" s="61" t="s">
        <v>186</v>
      </c>
      <c r="B12" s="100">
        <v>19304354.307695001</v>
      </c>
      <c r="C12" s="100">
        <v>20348124.163479</v>
      </c>
      <c r="D12" s="100">
        <v>22345892.203335997</v>
      </c>
      <c r="E12" s="100">
        <v>19346841.121567994</v>
      </c>
      <c r="F12" s="100">
        <v>21831855.713601008</v>
      </c>
      <c r="G12" s="100">
        <v>21545270.043070998</v>
      </c>
      <c r="H12" s="100">
        <v>21412431.714241996</v>
      </c>
      <c r="I12" s="100">
        <v>16639194.832405001</v>
      </c>
      <c r="J12" s="100">
        <v>24230899.965245008</v>
      </c>
      <c r="K12" s="100">
        <v>22279862.188753992</v>
      </c>
      <c r="L12" s="100">
        <v>21007179.351424992</v>
      </c>
      <c r="M12" s="100">
        <v>17391070.757355005</v>
      </c>
      <c r="N12" s="101">
        <f t="shared" si="1"/>
        <v>247682976.362176</v>
      </c>
    </row>
    <row r="13" spans="1:19">
      <c r="A13" s="61" t="s">
        <v>187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70"/>
    </row>
    <row r="14" spans="1:19">
      <c r="A14" s="61" t="s">
        <v>188</v>
      </c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70"/>
    </row>
    <row r="15" spans="1:19">
      <c r="A15" s="61" t="s">
        <v>189</v>
      </c>
      <c r="B15" s="103">
        <f t="shared" ref="B15:N15" si="2">SUM(B16:B18)+SUM(B19:B23)*0.4</f>
        <v>-22308743.055338696</v>
      </c>
      <c r="C15" s="103">
        <f t="shared" si="2"/>
        <v>-22508719.693987604</v>
      </c>
      <c r="D15" s="103">
        <f t="shared" si="2"/>
        <v>-24694859.736047301</v>
      </c>
      <c r="E15" s="103">
        <f t="shared" si="2"/>
        <v>-23329115.790265966</v>
      </c>
      <c r="F15" s="103">
        <f t="shared" si="2"/>
        <v>-23674369.033381689</v>
      </c>
      <c r="G15" s="103">
        <f t="shared" si="2"/>
        <v>-23220512.973773871</v>
      </c>
      <c r="H15" s="103">
        <f t="shared" si="2"/>
        <v>-23762767.26292821</v>
      </c>
      <c r="I15" s="103">
        <f t="shared" si="2"/>
        <v>-21666176.712158915</v>
      </c>
      <c r="J15" s="103">
        <f t="shared" si="2"/>
        <v>-25000303.820464592</v>
      </c>
      <c r="K15" s="103">
        <f t="shared" si="2"/>
        <v>-25695834.881431401</v>
      </c>
      <c r="L15" s="103">
        <f t="shared" si="2"/>
        <v>-24520546.985295236</v>
      </c>
      <c r="M15" s="103">
        <f t="shared" si="2"/>
        <v>-22288972.654011242</v>
      </c>
      <c r="N15" s="103">
        <f t="shared" si="2"/>
        <v>-282670922.59908473</v>
      </c>
    </row>
    <row r="16" spans="1:19">
      <c r="A16" s="61" t="s">
        <v>191</v>
      </c>
      <c r="B16" s="100">
        <v>0</v>
      </c>
      <c r="C16" s="100">
        <v>0</v>
      </c>
      <c r="D16" s="100">
        <v>0</v>
      </c>
      <c r="E16" s="100">
        <v>0</v>
      </c>
      <c r="F16" s="100">
        <v>0</v>
      </c>
      <c r="G16" s="100">
        <v>0</v>
      </c>
      <c r="H16" s="100">
        <v>0</v>
      </c>
      <c r="I16" s="100">
        <v>0</v>
      </c>
      <c r="J16" s="100">
        <v>0</v>
      </c>
      <c r="K16" s="100">
        <v>0</v>
      </c>
      <c r="L16" s="100">
        <v>0</v>
      </c>
      <c r="M16" s="100">
        <v>0</v>
      </c>
      <c r="N16" s="101">
        <f>SUM(B16:M16)</f>
        <v>0</v>
      </c>
    </row>
    <row r="17" spans="1:14">
      <c r="A17" s="61" t="s">
        <v>192</v>
      </c>
      <c r="B17" s="100">
        <v>-691396.7941032995</v>
      </c>
      <c r="C17" s="100">
        <v>-719544.31547020446</v>
      </c>
      <c r="D17" s="100">
        <v>-715620.07133459719</v>
      </c>
      <c r="E17" s="100">
        <v>-717544.96193650994</v>
      </c>
      <c r="F17" s="100">
        <v>-626121.94959813706</v>
      </c>
      <c r="G17" s="100">
        <v>-662541.43290281703</v>
      </c>
      <c r="H17" s="100">
        <v>-559987.84509543073</v>
      </c>
      <c r="I17" s="100">
        <v>-429890.02520766167</v>
      </c>
      <c r="J17" s="100">
        <v>-428574.84423838009</v>
      </c>
      <c r="K17" s="100">
        <v>-392197.71741766878</v>
      </c>
      <c r="L17" s="100">
        <v>-363808.56205985387</v>
      </c>
      <c r="M17" s="100">
        <v>-352864.88647197763</v>
      </c>
      <c r="N17" s="101">
        <f t="shared" ref="N17:N23" si="3">SUM(B17:M17)</f>
        <v>-6660093.4058365384</v>
      </c>
    </row>
    <row r="18" spans="1:14">
      <c r="A18" s="61" t="s">
        <v>193</v>
      </c>
      <c r="B18" s="100">
        <v>-828017.00122258486</v>
      </c>
      <c r="C18" s="100">
        <v>-819697.15617675148</v>
      </c>
      <c r="D18" s="100">
        <v>-1047686.1848581501</v>
      </c>
      <c r="E18" s="100">
        <v>-1079913.7373264318</v>
      </c>
      <c r="F18" s="100">
        <v>-1164551.3556196867</v>
      </c>
      <c r="G18" s="100">
        <v>-1161286.8355195806</v>
      </c>
      <c r="H18" s="100">
        <v>-1459272.9534773743</v>
      </c>
      <c r="I18" s="100">
        <v>-1146019.9187530184</v>
      </c>
      <c r="J18" s="100">
        <v>-1126660.7639911412</v>
      </c>
      <c r="K18" s="100">
        <v>-1173706.2721243247</v>
      </c>
      <c r="L18" s="100">
        <v>-1434496.6489989306</v>
      </c>
      <c r="M18" s="100">
        <v>-1209294.2732265168</v>
      </c>
      <c r="N18" s="101">
        <f t="shared" si="3"/>
        <v>-13650603.101294491</v>
      </c>
    </row>
    <row r="19" spans="1:14">
      <c r="A19" s="61" t="s">
        <v>194</v>
      </c>
      <c r="B19" s="100">
        <v>-15629429.549546815</v>
      </c>
      <c r="C19" s="100">
        <v>-16019638.733206758</v>
      </c>
      <c r="D19" s="100">
        <v>-16670374.921959054</v>
      </c>
      <c r="E19" s="100">
        <v>-16027030.80014096</v>
      </c>
      <c r="F19" s="100">
        <v>-15254980.66506671</v>
      </c>
      <c r="G19" s="100">
        <v>-15047852.33816039</v>
      </c>
      <c r="H19" s="100">
        <v>-17695154.064527042</v>
      </c>
      <c r="I19" s="100">
        <v>-16714963.141580056</v>
      </c>
      <c r="J19" s="100">
        <v>-17661821.415349137</v>
      </c>
      <c r="K19" s="100">
        <v>-20098603.022385776</v>
      </c>
      <c r="L19" s="100">
        <v>-19868989.466938876</v>
      </c>
      <c r="M19" s="100">
        <v>-19529986.368018955</v>
      </c>
      <c r="N19" s="101">
        <f t="shared" si="3"/>
        <v>-206218824.48688054</v>
      </c>
    </row>
    <row r="20" spans="1:14">
      <c r="A20" s="61" t="s">
        <v>195</v>
      </c>
      <c r="B20" s="100">
        <v>-5305142.7578852111</v>
      </c>
      <c r="C20" s="100">
        <v>-5497212.4152998542</v>
      </c>
      <c r="D20" s="100">
        <v>-5477483.6605533306</v>
      </c>
      <c r="E20" s="100">
        <f>'Bütçe aylık-TL'!E20/'Bütçe aylık-TL'!E$3</f>
        <v>-5558910.1594325854</v>
      </c>
      <c r="F20" s="100">
        <f>'Bütçe aylık-TL'!F20/'Bütçe aylık-TL'!F$3</f>
        <v>-5666567.6114769606</v>
      </c>
      <c r="G20" s="100">
        <f>'Bütçe aylık-TL'!G20/'Bütçe aylık-TL'!G$3</f>
        <v>-4547296.9538232861</v>
      </c>
      <c r="H20" s="100">
        <f>'Bütçe aylık-TL'!H20/'Bütçe aylık-TL'!H$3</f>
        <v>-5644636.0433474723</v>
      </c>
      <c r="I20" s="100">
        <f>'Bütçe aylık-TL'!I20/'Bütçe aylık-TL'!I$3</f>
        <v>-4788394.608334532</v>
      </c>
      <c r="J20" s="100">
        <f>'Bütçe aylık-TL'!J20/'Bütçe aylık-TL'!J$3</f>
        <v>-4721436.4270645222</v>
      </c>
      <c r="K20" s="100">
        <f>'Bütçe aylık-TL'!K20/'Bütçe aylık-TL'!K$3</f>
        <v>-6203310.9005417395</v>
      </c>
      <c r="L20" s="100">
        <f>'Bütçe aylık-TL'!L20/'Bütçe aylık-TL'!L$3</f>
        <v>-5092846.1762912543</v>
      </c>
      <c r="M20" s="100">
        <f>'Bütçe aylık-TL'!M20/'Bütçe aylık-TL'!M$3</f>
        <v>-5093492.1308638984</v>
      </c>
      <c r="N20" s="101">
        <f t="shared" si="3"/>
        <v>-63596729.844914652</v>
      </c>
    </row>
    <row r="21" spans="1:14">
      <c r="A21" s="61" t="s">
        <v>196</v>
      </c>
      <c r="B21" s="100">
        <v>-8758516.4234449994</v>
      </c>
      <c r="C21" s="100">
        <v>-9077477.137550002</v>
      </c>
      <c r="D21" s="100">
        <v>-9804906.574858997</v>
      </c>
      <c r="E21" s="100">
        <v>-9552949.6314690039</v>
      </c>
      <c r="F21" s="100">
        <v>-9797796.9835969955</v>
      </c>
      <c r="G21" s="100">
        <v>-9707228.7108080015</v>
      </c>
      <c r="H21" s="100">
        <v>-8244262.9830500036</v>
      </c>
      <c r="I21" s="100">
        <v>-8726269.9371039942</v>
      </c>
      <c r="J21" s="100">
        <v>-10633256.360815004</v>
      </c>
      <c r="K21" s="100">
        <v>-9852144.6977169961</v>
      </c>
      <c r="L21" s="100">
        <v>-9291654.6070360094</v>
      </c>
      <c r="M21" s="100">
        <v>-8314811.6085679978</v>
      </c>
      <c r="N21" s="101">
        <f t="shared" si="3"/>
        <v>-111761275.656018</v>
      </c>
    </row>
    <row r="22" spans="1:14">
      <c r="A22" s="61" t="s">
        <v>197</v>
      </c>
      <c r="B22" s="100">
        <v>-5888787.7088980004</v>
      </c>
      <c r="C22" s="100">
        <v>-4612226.2010019999</v>
      </c>
      <c r="D22" s="100">
        <v>-5870339.3292899989</v>
      </c>
      <c r="E22" s="100">
        <v>-5907035.8583129998</v>
      </c>
      <c r="F22" s="100">
        <v>-5720523.4377630018</v>
      </c>
      <c r="G22" s="100">
        <v>-5182497.4416400008</v>
      </c>
      <c r="H22" s="100">
        <v>-5015675.7995669991</v>
      </c>
      <c r="I22" s="100">
        <v>-4862644.0262359977</v>
      </c>
      <c r="J22" s="100">
        <v>-5882641.9022970051</v>
      </c>
      <c r="K22" s="100">
        <v>-5665268.9440929964</v>
      </c>
      <c r="L22" s="100">
        <v>-5241179.1267959997</v>
      </c>
      <c r="M22" s="100">
        <v>-4236646.4626559988</v>
      </c>
      <c r="N22" s="101">
        <f t="shared" si="3"/>
        <v>-64085466.238550998</v>
      </c>
    </row>
    <row r="23" spans="1:14">
      <c r="A23" s="61" t="s">
        <v>198</v>
      </c>
      <c r="B23" s="100">
        <v>-16391446.710256999</v>
      </c>
      <c r="C23" s="100">
        <v>-17217141.068792999</v>
      </c>
      <c r="D23" s="100">
        <v>-19505779.212975003</v>
      </c>
      <c r="E23" s="100">
        <v>-16783216.278152004</v>
      </c>
      <c r="F23" s="100">
        <v>-18269370.622505993</v>
      </c>
      <c r="G23" s="100">
        <v>-19006836.318947002</v>
      </c>
      <c r="H23" s="100">
        <v>-17759037.270396993</v>
      </c>
      <c r="I23" s="100">
        <v>-15133395.207241001</v>
      </c>
      <c r="J23" s="100">
        <v>-19713514.425062001</v>
      </c>
      <c r="K23" s="100">
        <v>-18505499.664986014</v>
      </c>
      <c r="L23" s="100">
        <v>-17310935.05852899</v>
      </c>
      <c r="M23" s="100">
        <v>-14642097.165675014</v>
      </c>
      <c r="N23" s="101">
        <f t="shared" si="3"/>
        <v>-210238269.00352001</v>
      </c>
    </row>
    <row r="24" spans="1:14">
      <c r="A24" s="61" t="s">
        <v>199</v>
      </c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70"/>
    </row>
    <row r="25" spans="1:14">
      <c r="A25" s="61" t="s">
        <v>200</v>
      </c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70"/>
    </row>
    <row r="26" spans="1:14">
      <c r="A26" s="61" t="s">
        <v>201</v>
      </c>
      <c r="B26" s="103">
        <f t="shared" ref="B26:N26" si="4">SUM(B27:B29)+SUM(B30:B34)*0.4</f>
        <v>5292283.2401269088</v>
      </c>
      <c r="C26" s="103">
        <f t="shared" si="4"/>
        <v>5591343.6040389342</v>
      </c>
      <c r="D26" s="103">
        <f t="shared" si="4"/>
        <v>6408466.6645532092</v>
      </c>
      <c r="E26" s="103">
        <f t="shared" si="4"/>
        <v>5572742.6874884358</v>
      </c>
      <c r="F26" s="103">
        <f t="shared" si="4"/>
        <v>6324006.9787310064</v>
      </c>
      <c r="G26" s="103">
        <f t="shared" si="4"/>
        <v>5899532.1594753563</v>
      </c>
      <c r="H26" s="103">
        <f t="shared" si="4"/>
        <v>6089964.2814025264</v>
      </c>
      <c r="I26" s="103">
        <f t="shared" si="4"/>
        <v>4663360.8486925662</v>
      </c>
      <c r="J26" s="103">
        <f t="shared" si="4"/>
        <v>7873756.9073235448</v>
      </c>
      <c r="K26" s="103">
        <f t="shared" si="4"/>
        <v>7332425.3474382441</v>
      </c>
      <c r="L26" s="103">
        <f t="shared" si="4"/>
        <v>7171294.2357854107</v>
      </c>
      <c r="M26" s="103">
        <f t="shared" si="4"/>
        <v>6440775.2931513358</v>
      </c>
      <c r="N26" s="103">
        <f t="shared" si="4"/>
        <v>74659952.24820748</v>
      </c>
    </row>
    <row r="27" spans="1:14">
      <c r="A27" s="61" t="s">
        <v>203</v>
      </c>
      <c r="B27" s="100">
        <v>714880.86352755502</v>
      </c>
      <c r="C27" s="100">
        <v>723499.00924788369</v>
      </c>
      <c r="D27" s="100">
        <v>810291.91766801768</v>
      </c>
      <c r="E27" s="100">
        <v>742627.94948145689</v>
      </c>
      <c r="F27" s="100">
        <v>779760.19581908826</v>
      </c>
      <c r="G27" s="100">
        <v>762531.4828638531</v>
      </c>
      <c r="H27" s="100">
        <v>756667.04259661702</v>
      </c>
      <c r="I27" s="100">
        <v>671190.30574924336</v>
      </c>
      <c r="J27" s="100">
        <v>875959.11332765408</v>
      </c>
      <c r="K27" s="100">
        <v>851941.10560356535</v>
      </c>
      <c r="L27" s="100">
        <v>816659.57431370579</v>
      </c>
      <c r="M27" s="100">
        <v>727242.32440992922</v>
      </c>
      <c r="N27" s="101">
        <f>SUM(B27:M27)</f>
        <v>9233250.8846085686</v>
      </c>
    </row>
    <row r="28" spans="1:14">
      <c r="A28" s="61" t="s">
        <v>204</v>
      </c>
      <c r="B28" s="100">
        <v>142793.68868275476</v>
      </c>
      <c r="C28" s="100">
        <v>247956.93443841964</v>
      </c>
      <c r="D28" s="100">
        <v>270995.85908113734</v>
      </c>
      <c r="E28" s="100">
        <v>343271.11793206655</v>
      </c>
      <c r="F28" s="100">
        <v>370588.62575564813</v>
      </c>
      <c r="G28" s="100">
        <v>354534.56410701433</v>
      </c>
      <c r="H28" s="100">
        <v>294234.99921788508</v>
      </c>
      <c r="I28" s="100">
        <v>166609.24856027693</v>
      </c>
      <c r="J28" s="100">
        <v>202029.25544142327</v>
      </c>
      <c r="K28" s="100">
        <v>146230.20865821361</v>
      </c>
      <c r="L28" s="100">
        <v>120857.3209062696</v>
      </c>
      <c r="M28" s="100">
        <v>79493.015385459701</v>
      </c>
      <c r="N28" s="101">
        <f t="shared" ref="N28:N34" si="5">SUM(B28:M28)</f>
        <v>2739594.8381665689</v>
      </c>
    </row>
    <row r="29" spans="1:14">
      <c r="A29" s="61" t="s">
        <v>205</v>
      </c>
      <c r="B29" s="100">
        <v>166073.61759417551</v>
      </c>
      <c r="C29" s="100">
        <v>167711.00885799923</v>
      </c>
      <c r="D29" s="100">
        <v>244700.51867763628</v>
      </c>
      <c r="E29" s="100">
        <v>260983.7516673978</v>
      </c>
      <c r="F29" s="100">
        <v>286550.90639340924</v>
      </c>
      <c r="G29" s="100">
        <v>292065.17980559519</v>
      </c>
      <c r="H29" s="100">
        <v>324153.65034241951</v>
      </c>
      <c r="I29" s="100">
        <v>291101.18869512505</v>
      </c>
      <c r="J29" s="100">
        <v>288120.48503536941</v>
      </c>
      <c r="K29" s="100">
        <v>281692.40045961924</v>
      </c>
      <c r="L29" s="100">
        <v>295577.61123239808</v>
      </c>
      <c r="M29" s="100">
        <v>272709.05024594604</v>
      </c>
      <c r="N29" s="101">
        <f t="shared" si="5"/>
        <v>3171439.369007091</v>
      </c>
    </row>
    <row r="30" spans="1:14">
      <c r="A30" s="61" t="s">
        <v>206</v>
      </c>
      <c r="B30" s="100">
        <v>3474138.3306522504</v>
      </c>
      <c r="C30" s="100">
        <v>3424875.7438098686</v>
      </c>
      <c r="D30" s="100">
        <v>3680540.126705498</v>
      </c>
      <c r="E30" s="100">
        <v>3367439.9140633596</v>
      </c>
      <c r="F30" s="100">
        <v>3387750.8910177066</v>
      </c>
      <c r="G30" s="100">
        <v>3696214.6502046357</v>
      </c>
      <c r="H30" s="100">
        <v>4193852.4541608011</v>
      </c>
      <c r="I30" s="100">
        <v>4378809.0241638478</v>
      </c>
      <c r="J30" s="100">
        <v>4881164.320620466</v>
      </c>
      <c r="K30" s="100">
        <v>5606321.8221182814</v>
      </c>
      <c r="L30" s="100">
        <v>5680158.8193868166</v>
      </c>
      <c r="M30" s="100">
        <v>6501898.558439347</v>
      </c>
      <c r="N30" s="101">
        <f t="shared" si="5"/>
        <v>52273164.655342884</v>
      </c>
    </row>
    <row r="31" spans="1:14">
      <c r="A31" s="61" t="s">
        <v>207</v>
      </c>
      <c r="B31" s="100">
        <v>1305194.2756808002</v>
      </c>
      <c r="C31" s="100">
        <v>1333939.6386127116</v>
      </c>
      <c r="D31" s="100">
        <v>1286656.4590925432</v>
      </c>
      <c r="E31" s="100">
        <f>'Bütçe aylık-TL'!E31/'Bütçe aylık-TL'!E$3</f>
        <v>1166357.72571144</v>
      </c>
      <c r="F31" s="100">
        <f>'Bütçe aylık-TL'!F31/'Bütçe aylık-TL'!F$3</f>
        <v>1233362.5309434191</v>
      </c>
      <c r="G31" s="100">
        <f>'Bütçe aylık-TL'!G31/'Bütçe aylık-TL'!G$3</f>
        <v>1103088.8783325998</v>
      </c>
      <c r="H31" s="100">
        <f>'Bütçe aylık-TL'!H31/'Bütçe aylık-TL'!H$3</f>
        <v>1240060.1061262186</v>
      </c>
      <c r="I31" s="100">
        <f>'Bütçe aylık-TL'!I31/'Bütçe aylık-TL'!I$3</f>
        <v>1264851.2497949463</v>
      </c>
      <c r="J31" s="100">
        <f>'Bütçe aylık-TL'!J31/'Bütçe aylık-TL'!J$3</f>
        <v>1236788.4449262815</v>
      </c>
      <c r="K31" s="100">
        <f>'Bütçe aylık-TL'!K31/'Bütçe aylık-TL'!K$3</f>
        <v>1413059.4253598365</v>
      </c>
      <c r="L31" s="100">
        <f>'Bütçe aylık-TL'!L31/'Bütçe aylık-TL'!L$3</f>
        <v>1285663.6073767992</v>
      </c>
      <c r="M31" s="100">
        <f>'Bütçe aylık-TL'!M31/'Bütçe aylık-TL'!M$3</f>
        <v>1201417.800036652</v>
      </c>
      <c r="N31" s="101">
        <f t="shared" si="5"/>
        <v>15070440.141994249</v>
      </c>
    </row>
    <row r="32" spans="1:14">
      <c r="A32" s="61" t="s">
        <v>208</v>
      </c>
      <c r="B32" s="100">
        <v>1290276.9061810011</v>
      </c>
      <c r="C32" s="100">
        <v>1749802.4127089966</v>
      </c>
      <c r="D32" s="100">
        <v>2786154.1334390058</v>
      </c>
      <c r="E32" s="100">
        <v>1379505.5658979935</v>
      </c>
      <c r="F32" s="100">
        <v>1879167.8758760088</v>
      </c>
      <c r="G32" s="100">
        <v>2130869.0421850001</v>
      </c>
      <c r="H32" s="100">
        <v>1168028.1256669911</v>
      </c>
      <c r="I32" s="100">
        <v>678577.91107200785</v>
      </c>
      <c r="J32" s="100">
        <v>3222554.4743689895</v>
      </c>
      <c r="K32" s="100">
        <v>2145554.1580710104</v>
      </c>
      <c r="L32" s="100">
        <v>2136550.3058959832</v>
      </c>
      <c r="M32" s="100">
        <v>1671419.7438780067</v>
      </c>
      <c r="N32" s="101">
        <f t="shared" si="5"/>
        <v>22238460.655240998</v>
      </c>
    </row>
    <row r="33" spans="1:14">
      <c r="A33" s="61" t="s">
        <v>209</v>
      </c>
      <c r="B33" s="100">
        <v>1688820.5658540002</v>
      </c>
      <c r="C33" s="100">
        <v>1490840.7389189994</v>
      </c>
      <c r="D33" s="100">
        <v>2112732.2132180026</v>
      </c>
      <c r="E33" s="100">
        <v>2087721.621930002</v>
      </c>
      <c r="F33" s="100">
        <v>2155001.7379749971</v>
      </c>
      <c r="G33" s="100">
        <v>1757396.0369010007</v>
      </c>
      <c r="H33" s="100">
        <v>1531936.3433149986</v>
      </c>
      <c r="I33" s="100">
        <v>1008112.4540249998</v>
      </c>
      <c r="J33" s="100">
        <v>2411227.3536989987</v>
      </c>
      <c r="K33" s="100">
        <v>2192106.1524750069</v>
      </c>
      <c r="L33" s="100">
        <v>2046882.2977769892</v>
      </c>
      <c r="M33" s="100">
        <v>1279617.5637410057</v>
      </c>
      <c r="N33" s="101">
        <f t="shared" si="5"/>
        <v>21762395.079829</v>
      </c>
    </row>
    <row r="34" spans="1:14">
      <c r="A34" s="61" t="s">
        <v>210</v>
      </c>
      <c r="B34" s="100">
        <v>2912907.5974380039</v>
      </c>
      <c r="C34" s="100">
        <v>3130983.094686002</v>
      </c>
      <c r="D34" s="100">
        <v>2840112.9903609958</v>
      </c>
      <c r="E34" s="100">
        <v>2563624.8434159905</v>
      </c>
      <c r="F34" s="100">
        <v>3562485.0910950173</v>
      </c>
      <c r="G34" s="100">
        <v>2538433.7241239985</v>
      </c>
      <c r="H34" s="100">
        <v>3653394.4438450038</v>
      </c>
      <c r="I34" s="100">
        <v>1505799.6251640003</v>
      </c>
      <c r="J34" s="100">
        <v>4517385.5401830096</v>
      </c>
      <c r="K34" s="100">
        <v>3774362.5237679784</v>
      </c>
      <c r="L34" s="100">
        <v>3696244.2928960035</v>
      </c>
      <c r="M34" s="100">
        <v>2748973.5916799912</v>
      </c>
      <c r="N34" s="101">
        <f t="shared" si="5"/>
        <v>37444707.358655989</v>
      </c>
    </row>
    <row r="35" spans="1:14">
      <c r="A35" s="61" t="s">
        <v>211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70"/>
    </row>
    <row r="36" spans="1:14">
      <c r="A36" s="61" t="s">
        <v>212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70"/>
    </row>
    <row r="37" spans="1:14">
      <c r="A37" s="61" t="s">
        <v>213</v>
      </c>
      <c r="B37" s="103">
        <f t="shared" ref="B37:N37" si="6">SUM(B38:B40)+SUM(B41:B45)*0.4</f>
        <v>2743941.9655314544</v>
      </c>
      <c r="C37" s="103">
        <f t="shared" si="6"/>
        <v>2777685.1727726073</v>
      </c>
      <c r="D37" s="103">
        <f t="shared" si="6"/>
        <v>3010674.9802891742</v>
      </c>
      <c r="E37" s="103">
        <f t="shared" si="6"/>
        <v>3109450.2640651367</v>
      </c>
      <c r="F37" s="103">
        <f t="shared" si="6"/>
        <v>2917139.4084021118</v>
      </c>
      <c r="G37" s="103">
        <f t="shared" si="6"/>
        <v>2870837.4197553508</v>
      </c>
      <c r="H37" s="103">
        <f t="shared" si="6"/>
        <v>2814206.999786471</v>
      </c>
      <c r="I37" s="103">
        <f t="shared" si="6"/>
        <v>2652098.339360564</v>
      </c>
      <c r="J37" s="103">
        <f t="shared" si="6"/>
        <v>2933205.0481408336</v>
      </c>
      <c r="K37" s="103">
        <f t="shared" si="6"/>
        <v>2879324.5836681253</v>
      </c>
      <c r="L37" s="103">
        <f t="shared" si="6"/>
        <v>2820513.8501969092</v>
      </c>
      <c r="M37" s="103">
        <f t="shared" si="6"/>
        <v>3332477.8388971463</v>
      </c>
      <c r="N37" s="103">
        <f t="shared" si="6"/>
        <v>34861555.870865881</v>
      </c>
    </row>
    <row r="38" spans="1:14">
      <c r="A38" s="61" t="s">
        <v>215</v>
      </c>
      <c r="B38" s="100">
        <v>378639.3301026047</v>
      </c>
      <c r="C38" s="100">
        <v>359570.5766503599</v>
      </c>
      <c r="D38" s="100">
        <v>474077.03766331048</v>
      </c>
      <c r="E38" s="100">
        <v>405575.78238348255</v>
      </c>
      <c r="F38" s="100">
        <v>428934.41633444704</v>
      </c>
      <c r="G38" s="100">
        <v>404623.80857207725</v>
      </c>
      <c r="H38" s="100">
        <v>366093.52353170404</v>
      </c>
      <c r="I38" s="100">
        <v>347719.99498053762</v>
      </c>
      <c r="J38" s="100">
        <v>393617.69056909962</v>
      </c>
      <c r="K38" s="100">
        <v>415050.07203598542</v>
      </c>
      <c r="L38" s="100">
        <v>430356.46974712599</v>
      </c>
      <c r="M38" s="100">
        <v>942526.17815571174</v>
      </c>
      <c r="N38" s="101">
        <f>SUM(B38:M38)</f>
        <v>5346784.8807264464</v>
      </c>
    </row>
    <row r="39" spans="1:14">
      <c r="A39" s="61" t="s">
        <v>216</v>
      </c>
      <c r="B39" s="100">
        <v>172335.83968486081</v>
      </c>
      <c r="C39" s="100">
        <v>164499.22299532432</v>
      </c>
      <c r="D39" s="100">
        <v>167922.40300834627</v>
      </c>
      <c r="E39" s="100">
        <v>172489.168439628</v>
      </c>
      <c r="F39" s="100">
        <v>158009.62974847804</v>
      </c>
      <c r="G39" s="100">
        <v>161726.86068941353</v>
      </c>
      <c r="H39" s="100">
        <v>148516.65368393305</v>
      </c>
      <c r="I39" s="100">
        <v>132296.33810746446</v>
      </c>
      <c r="J39" s="100">
        <v>138705.32841383517</v>
      </c>
      <c r="K39" s="100">
        <v>125051.44970193124</v>
      </c>
      <c r="L39" s="100">
        <v>127136.0292086914</v>
      </c>
      <c r="M39" s="100">
        <v>125114.23403266842</v>
      </c>
      <c r="N39" s="101">
        <f t="shared" ref="N39:N45" si="7">SUM(B39:M39)</f>
        <v>1793803.1577145746</v>
      </c>
    </row>
    <row r="40" spans="1:14">
      <c r="A40" s="61" t="s">
        <v>217</v>
      </c>
      <c r="B40" s="100">
        <v>210929.61338291212</v>
      </c>
      <c r="C40" s="100">
        <v>165953.16664254956</v>
      </c>
      <c r="D40" s="100">
        <v>192322.07740759518</v>
      </c>
      <c r="E40" s="100">
        <v>212051.98472113663</v>
      </c>
      <c r="F40" s="100">
        <v>182815.61957947817</v>
      </c>
      <c r="G40" s="100">
        <v>188693.79262230566</v>
      </c>
      <c r="H40" s="100">
        <v>198353.24833195133</v>
      </c>
      <c r="I40" s="100">
        <v>193303.51782456547</v>
      </c>
      <c r="J40" s="100">
        <v>213272.78802689919</v>
      </c>
      <c r="K40" s="100">
        <v>187449.80645847434</v>
      </c>
      <c r="L40" s="100">
        <v>182925.4854775604</v>
      </c>
      <c r="M40" s="100">
        <v>225571.09192030682</v>
      </c>
      <c r="N40" s="101">
        <f t="shared" si="7"/>
        <v>2353642.1923957351</v>
      </c>
    </row>
    <row r="41" spans="1:14">
      <c r="A41" s="61" t="s">
        <v>218</v>
      </c>
      <c r="B41" s="100">
        <v>2063199.3176160427</v>
      </c>
      <c r="C41" s="100">
        <v>2274407.7519225087</v>
      </c>
      <c r="D41" s="100">
        <v>2391404.8742837934</v>
      </c>
      <c r="E41" s="100">
        <v>2255190.9152141912</v>
      </c>
      <c r="F41" s="100">
        <v>2096565.5574581604</v>
      </c>
      <c r="G41" s="100">
        <v>2141279.5542347212</v>
      </c>
      <c r="H41" s="100">
        <v>2192367.8844483853</v>
      </c>
      <c r="I41" s="100">
        <v>2195837.6933976826</v>
      </c>
      <c r="J41" s="100">
        <v>2191321.2196610784</v>
      </c>
      <c r="K41" s="100">
        <v>2273082.9568712092</v>
      </c>
      <c r="L41" s="100">
        <v>2210193.7872300851</v>
      </c>
      <c r="M41" s="100">
        <v>2337449.5522208908</v>
      </c>
      <c r="N41" s="101">
        <f t="shared" si="7"/>
        <v>26622301.064558748</v>
      </c>
    </row>
    <row r="42" spans="1:14">
      <c r="A42" s="61" t="s">
        <v>219</v>
      </c>
      <c r="B42" s="100">
        <v>871043.92881764914</v>
      </c>
      <c r="C42" s="100">
        <v>858268.89789542556</v>
      </c>
      <c r="D42" s="100">
        <v>844035.06094801123</v>
      </c>
      <c r="E42" s="100">
        <f>'Bütçe aylık-TL'!E42/'Bütçe aylık-TL'!E$3</f>
        <v>1166019.917145032</v>
      </c>
      <c r="F42" s="100">
        <f>'Bütçe aylık-TL'!F42/'Bütçe aylık-TL'!F$3</f>
        <v>1054675.1368071104</v>
      </c>
      <c r="G42" s="100">
        <f>'Bütçe aylık-TL'!G42/'Bütçe aylık-TL'!G$3</f>
        <v>1010623.5496601645</v>
      </c>
      <c r="H42" s="100">
        <f>'Bütçe aylık-TL'!H42/'Bütçe aylık-TL'!H$3</f>
        <v>997842.38974182156</v>
      </c>
      <c r="I42" s="100">
        <f>'Bütçe aylık-TL'!I42/'Bütçe aylık-TL'!I$3</f>
        <v>981339.41453730885</v>
      </c>
      <c r="J42" s="100">
        <f>'Bütçe aylık-TL'!J42/'Bütçe aylık-TL'!J$3</f>
        <v>963750.10611242056</v>
      </c>
      <c r="K42" s="100">
        <f>'Bütçe aylık-TL'!K42/'Bütçe aylık-TL'!K$3</f>
        <v>967838.17666712659</v>
      </c>
      <c r="L42" s="100">
        <f>'Bütçe aylık-TL'!L42/'Bütçe aylık-TL'!L$3</f>
        <v>950497.67069874192</v>
      </c>
      <c r="M42" s="100">
        <f>'Bütçe aylık-TL'!M42/'Bütçe aylık-TL'!M$3</f>
        <v>973653.49088625773</v>
      </c>
      <c r="N42" s="101">
        <f t="shared" si="7"/>
        <v>11639587.739917068</v>
      </c>
    </row>
    <row r="43" spans="1:14">
      <c r="A43" s="61" t="s">
        <v>220</v>
      </c>
      <c r="B43" s="100">
        <v>706181.53968199994</v>
      </c>
      <c r="C43" s="100">
        <v>676130.12513400009</v>
      </c>
      <c r="D43" s="100">
        <v>721036.064915</v>
      </c>
      <c r="E43" s="100">
        <v>933968.81538699986</v>
      </c>
      <c r="F43" s="100">
        <v>739044.16327999998</v>
      </c>
      <c r="G43" s="100">
        <v>706378.91852400033</v>
      </c>
      <c r="H43" s="100">
        <v>673702.82962599955</v>
      </c>
      <c r="I43" s="100">
        <v>571597.64296200033</v>
      </c>
      <c r="J43" s="100">
        <v>767792.36953099992</v>
      </c>
      <c r="K43" s="100">
        <v>700722.58690899971</v>
      </c>
      <c r="L43" s="100">
        <v>675360.39894399967</v>
      </c>
      <c r="M43" s="100">
        <v>586387.73753099982</v>
      </c>
      <c r="N43" s="101">
        <f t="shared" si="7"/>
        <v>8458303.1924249995</v>
      </c>
    </row>
    <row r="44" spans="1:14">
      <c r="A44" s="61" t="s">
        <v>221</v>
      </c>
      <c r="B44" s="100">
        <v>400769.22487699997</v>
      </c>
      <c r="C44" s="100">
        <v>366134.15535800002</v>
      </c>
      <c r="D44" s="100">
        <v>438537.89482999989</v>
      </c>
      <c r="E44" s="100">
        <v>457953.46436500014</v>
      </c>
      <c r="F44" s="100">
        <v>430483.74404799985</v>
      </c>
      <c r="G44" s="100">
        <v>393969.19894600008</v>
      </c>
      <c r="H44" s="100">
        <v>369606.68395800004</v>
      </c>
      <c r="I44" s="100">
        <v>351328.89413899975</v>
      </c>
      <c r="J44" s="100">
        <v>433904.45034400007</v>
      </c>
      <c r="K44" s="100">
        <v>411866.13605900016</v>
      </c>
      <c r="L44" s="100">
        <v>385059.25217300048</v>
      </c>
      <c r="M44" s="100">
        <v>334862.36761099938</v>
      </c>
      <c r="N44" s="101">
        <f t="shared" si="7"/>
        <v>4774475.4667079998</v>
      </c>
    </row>
    <row r="45" spans="1:14">
      <c r="A45" s="61" t="s">
        <v>222</v>
      </c>
      <c r="B45" s="100">
        <v>913898.94490999996</v>
      </c>
      <c r="C45" s="100">
        <v>1044214.585901</v>
      </c>
      <c r="D45" s="100">
        <v>1045869.760548</v>
      </c>
      <c r="E45" s="100">
        <v>985200.20919100009</v>
      </c>
      <c r="F45" s="100">
        <v>1047680.755256</v>
      </c>
      <c r="G45" s="100">
        <v>1037231.1733140005</v>
      </c>
      <c r="H45" s="100">
        <v>1019589.1478229995</v>
      </c>
      <c r="I45" s="100">
        <v>846842.57608400017</v>
      </c>
      <c r="J45" s="100">
        <v>1112254.9571790006</v>
      </c>
      <c r="K45" s="100">
        <v>1025923.2821730003</v>
      </c>
      <c r="L45" s="100">
        <v>979128.55536299944</v>
      </c>
      <c r="M45" s="100">
        <v>865812.68872199953</v>
      </c>
      <c r="N45" s="101">
        <f t="shared" si="7"/>
        <v>11923646.636464</v>
      </c>
    </row>
    <row r="46" spans="1:14">
      <c r="A46" s="61" t="s">
        <v>223</v>
      </c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70"/>
    </row>
    <row r="47" spans="1:14">
      <c r="A47" s="61" t="s">
        <v>224</v>
      </c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70"/>
    </row>
    <row r="48" spans="1:14">
      <c r="A48" s="61" t="s">
        <v>225</v>
      </c>
      <c r="B48" s="103">
        <f t="shared" ref="B48:N48" si="8">SUM(B49:B51)+SUM(B52:B56)*0.4</f>
        <v>0</v>
      </c>
      <c r="C48" s="103">
        <f t="shared" si="8"/>
        <v>0</v>
      </c>
      <c r="D48" s="103">
        <f t="shared" si="8"/>
        <v>0</v>
      </c>
      <c r="E48" s="103">
        <f t="shared" si="8"/>
        <v>0</v>
      </c>
      <c r="F48" s="103">
        <f t="shared" si="8"/>
        <v>0</v>
      </c>
      <c r="G48" s="103">
        <f t="shared" si="8"/>
        <v>0</v>
      </c>
      <c r="H48" s="103">
        <f t="shared" si="8"/>
        <v>0</v>
      </c>
      <c r="I48" s="103">
        <f t="shared" si="8"/>
        <v>0</v>
      </c>
      <c r="J48" s="103">
        <f t="shared" si="8"/>
        <v>0</v>
      </c>
      <c r="K48" s="103">
        <f t="shared" si="8"/>
        <v>0</v>
      </c>
      <c r="L48" s="103">
        <f t="shared" si="8"/>
        <v>0</v>
      </c>
      <c r="M48" s="103">
        <f t="shared" si="8"/>
        <v>0</v>
      </c>
      <c r="N48" s="103">
        <f t="shared" si="8"/>
        <v>0</v>
      </c>
    </row>
    <row r="49" spans="1:14">
      <c r="A49" s="61" t="s">
        <v>227</v>
      </c>
      <c r="B49" s="100">
        <v>0</v>
      </c>
      <c r="C49" s="100">
        <v>0</v>
      </c>
      <c r="D49" s="100">
        <v>0</v>
      </c>
      <c r="E49" s="100">
        <v>0</v>
      </c>
      <c r="F49" s="100">
        <v>0</v>
      </c>
      <c r="G49" s="100">
        <v>0</v>
      </c>
      <c r="H49" s="100">
        <v>0</v>
      </c>
      <c r="I49" s="100">
        <v>0</v>
      </c>
      <c r="J49" s="100">
        <v>0</v>
      </c>
      <c r="K49" s="100">
        <v>0</v>
      </c>
      <c r="L49" s="100">
        <v>0</v>
      </c>
      <c r="M49" s="100">
        <v>0</v>
      </c>
      <c r="N49" s="101">
        <f>SUM(B49:M49)</f>
        <v>0</v>
      </c>
    </row>
    <row r="50" spans="1:14">
      <c r="A50" s="61" t="s">
        <v>228</v>
      </c>
      <c r="B50" s="100">
        <v>0</v>
      </c>
      <c r="C50" s="100">
        <v>0</v>
      </c>
      <c r="D50" s="100">
        <v>0</v>
      </c>
      <c r="E50" s="100">
        <v>0</v>
      </c>
      <c r="F50" s="100">
        <v>0</v>
      </c>
      <c r="G50" s="100">
        <v>0</v>
      </c>
      <c r="H50" s="100">
        <v>0</v>
      </c>
      <c r="I50" s="100">
        <v>0</v>
      </c>
      <c r="J50" s="100">
        <v>0</v>
      </c>
      <c r="K50" s="100">
        <v>0</v>
      </c>
      <c r="L50" s="100">
        <v>0</v>
      </c>
      <c r="M50" s="100">
        <v>0</v>
      </c>
      <c r="N50" s="101">
        <f t="shared" ref="N50:N56" si="9">SUM(B50:M50)</f>
        <v>0</v>
      </c>
    </row>
    <row r="51" spans="1:14">
      <c r="A51" s="61" t="s">
        <v>229</v>
      </c>
      <c r="B51" s="100">
        <v>0</v>
      </c>
      <c r="C51" s="100">
        <v>0</v>
      </c>
      <c r="D51" s="100">
        <v>0</v>
      </c>
      <c r="E51" s="100">
        <v>0</v>
      </c>
      <c r="F51" s="100">
        <v>0</v>
      </c>
      <c r="G51" s="100">
        <v>0</v>
      </c>
      <c r="H51" s="100">
        <v>0</v>
      </c>
      <c r="I51" s="100">
        <v>0</v>
      </c>
      <c r="J51" s="100">
        <v>0</v>
      </c>
      <c r="K51" s="100">
        <v>0</v>
      </c>
      <c r="L51" s="100">
        <v>0</v>
      </c>
      <c r="M51" s="100">
        <v>0</v>
      </c>
      <c r="N51" s="101">
        <f t="shared" si="9"/>
        <v>0</v>
      </c>
    </row>
    <row r="52" spans="1:14">
      <c r="A52" s="61" t="s">
        <v>230</v>
      </c>
      <c r="B52" s="100">
        <v>0</v>
      </c>
      <c r="C52" s="100">
        <v>0</v>
      </c>
      <c r="D52" s="100">
        <v>0</v>
      </c>
      <c r="E52" s="100">
        <v>0</v>
      </c>
      <c r="F52" s="100">
        <v>0</v>
      </c>
      <c r="G52" s="100">
        <v>0</v>
      </c>
      <c r="H52" s="100">
        <v>0</v>
      </c>
      <c r="I52" s="100">
        <v>0</v>
      </c>
      <c r="J52" s="100">
        <v>0</v>
      </c>
      <c r="K52" s="100">
        <v>0</v>
      </c>
      <c r="L52" s="100">
        <v>0</v>
      </c>
      <c r="M52" s="100">
        <v>0</v>
      </c>
      <c r="N52" s="101">
        <f t="shared" si="9"/>
        <v>0</v>
      </c>
    </row>
    <row r="53" spans="1:14">
      <c r="A53" s="61" t="s">
        <v>231</v>
      </c>
      <c r="B53" s="100">
        <v>0</v>
      </c>
      <c r="C53" s="100">
        <v>0</v>
      </c>
      <c r="D53" s="100">
        <v>0</v>
      </c>
      <c r="E53" s="100">
        <v>0</v>
      </c>
      <c r="F53" s="100">
        <v>0</v>
      </c>
      <c r="G53" s="100">
        <v>0</v>
      </c>
      <c r="H53" s="100">
        <v>0</v>
      </c>
      <c r="I53" s="100">
        <v>0</v>
      </c>
      <c r="J53" s="100">
        <v>0</v>
      </c>
      <c r="K53" s="100">
        <v>0</v>
      </c>
      <c r="L53" s="100">
        <v>0</v>
      </c>
      <c r="M53" s="100">
        <v>0</v>
      </c>
      <c r="N53" s="101">
        <f t="shared" si="9"/>
        <v>0</v>
      </c>
    </row>
    <row r="54" spans="1:14">
      <c r="A54" s="61" t="s">
        <v>232</v>
      </c>
      <c r="B54" s="100">
        <v>0</v>
      </c>
      <c r="C54" s="100">
        <v>0</v>
      </c>
      <c r="D54" s="100">
        <v>0</v>
      </c>
      <c r="E54" s="100">
        <v>0</v>
      </c>
      <c r="F54" s="100">
        <v>0</v>
      </c>
      <c r="G54" s="100">
        <v>0</v>
      </c>
      <c r="H54" s="100">
        <v>0</v>
      </c>
      <c r="I54" s="100">
        <v>0</v>
      </c>
      <c r="J54" s="100">
        <v>0</v>
      </c>
      <c r="K54" s="100">
        <v>0</v>
      </c>
      <c r="L54" s="100">
        <v>0</v>
      </c>
      <c r="M54" s="100">
        <v>0</v>
      </c>
      <c r="N54" s="101">
        <f t="shared" si="9"/>
        <v>0</v>
      </c>
    </row>
    <row r="55" spans="1:14">
      <c r="A55" s="61" t="s">
        <v>233</v>
      </c>
      <c r="B55" s="100">
        <v>0</v>
      </c>
      <c r="C55" s="100">
        <v>0</v>
      </c>
      <c r="D55" s="100">
        <v>0</v>
      </c>
      <c r="E55" s="100">
        <v>0</v>
      </c>
      <c r="F55" s="100">
        <v>0</v>
      </c>
      <c r="G55" s="100">
        <v>0</v>
      </c>
      <c r="H55" s="100">
        <v>0</v>
      </c>
      <c r="I55" s="100">
        <v>0</v>
      </c>
      <c r="J55" s="100">
        <v>0</v>
      </c>
      <c r="K55" s="100">
        <v>0</v>
      </c>
      <c r="L55" s="100">
        <v>0</v>
      </c>
      <c r="M55" s="100">
        <v>0</v>
      </c>
      <c r="N55" s="101">
        <f t="shared" si="9"/>
        <v>0</v>
      </c>
    </row>
    <row r="56" spans="1:14">
      <c r="A56" s="61" t="s">
        <v>234</v>
      </c>
      <c r="B56" s="100">
        <v>0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1">
        <f t="shared" si="9"/>
        <v>0</v>
      </c>
    </row>
    <row r="57" spans="1:14">
      <c r="A57" s="61" t="s">
        <v>235</v>
      </c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70"/>
    </row>
    <row r="58" spans="1:14">
      <c r="A58" s="61" t="s">
        <v>236</v>
      </c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70"/>
    </row>
    <row r="59" spans="1:14">
      <c r="A59" s="61" t="s">
        <v>237</v>
      </c>
      <c r="B59" s="103">
        <f t="shared" ref="B59:N59" si="10">SUM(B60:B62)+SUM(B63:B67)*0.4</f>
        <v>2548341.2745954632</v>
      </c>
      <c r="C59" s="103">
        <f t="shared" si="10"/>
        <v>2813658.4312663809</v>
      </c>
      <c r="D59" s="103">
        <f t="shared" si="10"/>
        <v>3397791.6842640084</v>
      </c>
      <c r="E59" s="103">
        <f t="shared" si="10"/>
        <v>2463292.423423294</v>
      </c>
      <c r="F59" s="103">
        <f t="shared" si="10"/>
        <v>3406867.5703288093</v>
      </c>
      <c r="G59" s="103">
        <f t="shared" si="10"/>
        <v>3028694.7397208293</v>
      </c>
      <c r="H59" s="103">
        <f t="shared" si="10"/>
        <v>3275757.281614434</v>
      </c>
      <c r="I59" s="103">
        <f t="shared" si="10"/>
        <v>2011262.5093324555</v>
      </c>
      <c r="J59" s="103">
        <f t="shared" si="10"/>
        <v>4940551.859183114</v>
      </c>
      <c r="K59" s="103">
        <f t="shared" si="10"/>
        <v>4453100.7637709202</v>
      </c>
      <c r="L59" s="103">
        <f t="shared" si="10"/>
        <v>4350780.3855884606</v>
      </c>
      <c r="M59" s="103">
        <f t="shared" si="10"/>
        <v>3108297.4542533732</v>
      </c>
      <c r="N59" s="103">
        <f t="shared" si="10"/>
        <v>39798396.377341546</v>
      </c>
    </row>
    <row r="60" spans="1:14">
      <c r="A60" s="61" t="s">
        <v>239</v>
      </c>
      <c r="B60" s="100">
        <v>336241.53342495038</v>
      </c>
      <c r="C60" s="100">
        <v>363928.4325975239</v>
      </c>
      <c r="D60" s="100">
        <v>336214.88000470726</v>
      </c>
      <c r="E60" s="100">
        <v>337052.16709797439</v>
      </c>
      <c r="F60" s="100">
        <v>350825.77948461636</v>
      </c>
      <c r="G60" s="100">
        <v>357907.67429177579</v>
      </c>
      <c r="H60" s="100">
        <v>390573.51906491304</v>
      </c>
      <c r="I60" s="100">
        <v>323470.31076872937</v>
      </c>
      <c r="J60" s="100">
        <v>482341.42275855452</v>
      </c>
      <c r="K60" s="100">
        <v>436891.03356757999</v>
      </c>
      <c r="L60" s="100">
        <v>386303.10456657986</v>
      </c>
      <c r="M60" s="100">
        <v>-215283.85374578254</v>
      </c>
      <c r="N60" s="101">
        <f>SUM(B60:M60)</f>
        <v>3886466.0038821218</v>
      </c>
    </row>
    <row r="61" spans="1:14">
      <c r="A61" s="61" t="s">
        <v>240</v>
      </c>
      <c r="B61" s="100">
        <v>-29542.151002105951</v>
      </c>
      <c r="C61" s="100">
        <v>83457.711443121603</v>
      </c>
      <c r="D61" s="100">
        <v>103073.45607276518</v>
      </c>
      <c r="E61" s="100">
        <v>170781.94949243843</v>
      </c>
      <c r="F61" s="100">
        <v>212578.99600714509</v>
      </c>
      <c r="G61" s="100">
        <v>192807.70341760069</v>
      </c>
      <c r="H61" s="100">
        <v>145718.34553392799</v>
      </c>
      <c r="I61" s="100">
        <v>34312.910452836055</v>
      </c>
      <c r="J61" s="100">
        <v>63323.927027588092</v>
      </c>
      <c r="K61" s="100">
        <v>21178.758956305053</v>
      </c>
      <c r="L61" s="100">
        <v>-6278.7083024217945</v>
      </c>
      <c r="M61" s="100">
        <v>-45621.218647208741</v>
      </c>
      <c r="N61" s="101">
        <f t="shared" ref="N61:N67" si="11">SUM(B61:M61)</f>
        <v>945791.68045199174</v>
      </c>
    </row>
    <row r="62" spans="1:14">
      <c r="A62" s="61" t="s">
        <v>241</v>
      </c>
      <c r="B62" s="100">
        <v>-44855.99578873664</v>
      </c>
      <c r="C62" s="100">
        <v>1757.8422154761149</v>
      </c>
      <c r="D62" s="100">
        <v>52378.441270041207</v>
      </c>
      <c r="E62" s="100">
        <v>48931.766946261319</v>
      </c>
      <c r="F62" s="100">
        <v>103735.28681390609</v>
      </c>
      <c r="G62" s="100">
        <v>103371.38718331384</v>
      </c>
      <c r="H62" s="100">
        <v>125800.40201046815</v>
      </c>
      <c r="I62" s="100">
        <v>97797.67087055977</v>
      </c>
      <c r="J62" s="100">
        <v>74847.697008470146</v>
      </c>
      <c r="K62" s="100">
        <v>94242.594001122125</v>
      </c>
      <c r="L62" s="100">
        <v>112652.12575481535</v>
      </c>
      <c r="M62" s="100">
        <v>47137.958325639294</v>
      </c>
      <c r="N62" s="101">
        <f t="shared" si="11"/>
        <v>817797.17661133676</v>
      </c>
    </row>
    <row r="63" spans="1:14">
      <c r="A63" s="61" t="s">
        <v>242</v>
      </c>
      <c r="B63" s="100">
        <v>1410939.0130362373</v>
      </c>
      <c r="C63" s="100">
        <v>1150467.991887362</v>
      </c>
      <c r="D63" s="100">
        <v>1289135.2524217039</v>
      </c>
      <c r="E63" s="100">
        <v>1112248.9988491416</v>
      </c>
      <c r="F63" s="100">
        <v>1291185.3335595455</v>
      </c>
      <c r="G63" s="100">
        <v>1554935.0959699128</v>
      </c>
      <c r="H63" s="100">
        <v>2001484.5697124139</v>
      </c>
      <c r="I63" s="100">
        <v>2182971.330766188</v>
      </c>
      <c r="J63" s="100">
        <v>2689843.1009593876</v>
      </c>
      <c r="K63" s="100">
        <v>3333238.8652470731</v>
      </c>
      <c r="L63" s="100">
        <v>3469965.032156663</v>
      </c>
      <c r="M63" s="100">
        <v>4164449.0062184143</v>
      </c>
      <c r="N63" s="101">
        <f t="shared" si="11"/>
        <v>25650863.590784047</v>
      </c>
    </row>
    <row r="64" spans="1:14">
      <c r="A64" s="61" t="s">
        <v>243</v>
      </c>
      <c r="B64" s="100">
        <v>434150.3468631506</v>
      </c>
      <c r="C64" s="100">
        <v>475670.74071728624</v>
      </c>
      <c r="D64" s="100">
        <v>442621.39814453205</v>
      </c>
      <c r="E64" s="100">
        <f>'Bütçe aylık-TL'!E64/'Bütçe aylık-TL'!E$3</f>
        <v>337.80856640806098</v>
      </c>
      <c r="F64" s="100">
        <f>'Bütçe aylık-TL'!F64/'Bütçe aylık-TL'!F$3</f>
        <v>178687.39413630872</v>
      </c>
      <c r="G64" s="100">
        <f>'Bütçe aylık-TL'!G64/'Bütçe aylık-TL'!G$3</f>
        <v>92465.328672435251</v>
      </c>
      <c r="H64" s="100">
        <f>'Bütçe aylık-TL'!H64/'Bütçe aylık-TL'!H$3</f>
        <v>242217.71638439703</v>
      </c>
      <c r="I64" s="100">
        <f>'Bütçe aylık-TL'!I64/'Bütçe aylık-TL'!I$3</f>
        <v>283511.83525763737</v>
      </c>
      <c r="J64" s="100">
        <f>'Bütçe aylık-TL'!J64/'Bütçe aylık-TL'!J$3</f>
        <v>273038.33881386078</v>
      </c>
      <c r="K64" s="100">
        <f>'Bütçe aylık-TL'!K64/'Bütçe aylık-TL'!K$3</f>
        <v>445221.24869271001</v>
      </c>
      <c r="L64" s="100">
        <f>'Bütçe aylık-TL'!L64/'Bütçe aylık-TL'!L$3</f>
        <v>335165.93667805736</v>
      </c>
      <c r="M64" s="100">
        <f>'Bütçe aylık-TL'!M64/'Bütçe aylık-TL'!M$3</f>
        <v>227764.3091503942</v>
      </c>
      <c r="N64" s="101">
        <f t="shared" si="11"/>
        <v>3430852.402077178</v>
      </c>
    </row>
    <row r="65" spans="1:14">
      <c r="A65" s="61" t="s">
        <v>244</v>
      </c>
      <c r="B65" s="100">
        <v>584095.366499</v>
      </c>
      <c r="C65" s="100">
        <v>1073672.287575</v>
      </c>
      <c r="D65" s="100">
        <v>2065118.068524</v>
      </c>
      <c r="E65" s="100">
        <v>445536.75051099999</v>
      </c>
      <c r="F65" s="100">
        <v>1140123.7125969999</v>
      </c>
      <c r="G65" s="100">
        <v>1424490.12366</v>
      </c>
      <c r="H65" s="100">
        <v>494325.29604000039</v>
      </c>
      <c r="I65" s="100">
        <v>106980.26811099984</v>
      </c>
      <c r="J65" s="100">
        <v>2454762.1048379997</v>
      </c>
      <c r="K65" s="100">
        <v>1444831.5711630003</v>
      </c>
      <c r="L65" s="100">
        <v>1461189.9069519993</v>
      </c>
      <c r="M65" s="100">
        <v>1085032.0063470006</v>
      </c>
      <c r="N65" s="101">
        <f t="shared" si="11"/>
        <v>13780157.462817</v>
      </c>
    </row>
    <row r="66" spans="1:14">
      <c r="A66" s="61" t="s">
        <v>245</v>
      </c>
      <c r="B66" s="100">
        <v>1288051.3409770001</v>
      </c>
      <c r="C66" s="100">
        <v>1124706.5835609999</v>
      </c>
      <c r="D66" s="100">
        <v>1674194.3183880001</v>
      </c>
      <c r="E66" s="100">
        <v>1629768.157565</v>
      </c>
      <c r="F66" s="100">
        <v>1724517.9939270001</v>
      </c>
      <c r="G66" s="100">
        <v>1363426.8379559992</v>
      </c>
      <c r="H66" s="100">
        <v>1162329.6593559999</v>
      </c>
      <c r="I66" s="100">
        <v>656783.55988500081</v>
      </c>
      <c r="J66" s="100">
        <v>1977322.9033550005</v>
      </c>
      <c r="K66" s="100">
        <v>1780240.0164169986</v>
      </c>
      <c r="L66" s="100">
        <v>1661823.0456050001</v>
      </c>
      <c r="M66" s="100">
        <v>944755.19612800155</v>
      </c>
      <c r="N66" s="101">
        <f t="shared" si="11"/>
        <v>16987919.613120001</v>
      </c>
    </row>
    <row r="67" spans="1:14">
      <c r="A67" s="61" t="s">
        <v>246</v>
      </c>
      <c r="B67" s="100">
        <v>1999008.6525280001</v>
      </c>
      <c r="C67" s="100">
        <v>2086768.5087850003</v>
      </c>
      <c r="D67" s="100">
        <v>1794243.2298130002</v>
      </c>
      <c r="E67" s="100">
        <v>1578424.6342249997</v>
      </c>
      <c r="F67" s="100">
        <v>2514804.3358380003</v>
      </c>
      <c r="G67" s="100">
        <v>1501202.5508120004</v>
      </c>
      <c r="H67" s="100">
        <v>2633805.2960199993</v>
      </c>
      <c r="I67" s="100">
        <v>658957.04908099957</v>
      </c>
      <c r="J67" s="100">
        <v>3405130.5830050018</v>
      </c>
      <c r="K67" s="100">
        <v>2748439.2415949996</v>
      </c>
      <c r="L67" s="100">
        <v>2717115.7375319968</v>
      </c>
      <c r="M67" s="100">
        <v>1883160.9029580019</v>
      </c>
      <c r="N67" s="101">
        <f t="shared" si="11"/>
        <v>25521060.722192001</v>
      </c>
    </row>
    <row r="68" spans="1:14">
      <c r="A68" s="61" t="s">
        <v>247</v>
      </c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70"/>
    </row>
    <row r="69" spans="1:14">
      <c r="A69" s="61" t="s">
        <v>248</v>
      </c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70"/>
    </row>
    <row r="70" spans="1:14">
      <c r="A70" s="61" t="s">
        <v>249</v>
      </c>
      <c r="B70" s="103">
        <f t="shared" ref="B70:N70" si="12">SUM(B71:B73)+SUM(B74:B78)*0.4</f>
        <v>679899.69313301193</v>
      </c>
      <c r="C70" s="103">
        <f t="shared" si="12"/>
        <v>659741.75786284916</v>
      </c>
      <c r="D70" s="103">
        <f t="shared" si="12"/>
        <v>891825.33987681835</v>
      </c>
      <c r="E70" s="103">
        <f t="shared" si="12"/>
        <v>726614.0313649911</v>
      </c>
      <c r="F70" s="103">
        <f t="shared" si="12"/>
        <v>715067.3306354793</v>
      </c>
      <c r="G70" s="103">
        <f t="shared" si="12"/>
        <v>908491.11983336543</v>
      </c>
      <c r="H70" s="103">
        <f t="shared" si="12"/>
        <v>711253.1351474541</v>
      </c>
      <c r="I70" s="103">
        <f t="shared" si="12"/>
        <v>695787.4115215576</v>
      </c>
      <c r="J70" s="103">
        <f t="shared" si="12"/>
        <v>895669.61198105477</v>
      </c>
      <c r="K70" s="103">
        <f t="shared" si="12"/>
        <v>698973.07392589957</v>
      </c>
      <c r="L70" s="103">
        <f t="shared" si="12"/>
        <v>678760.00213461497</v>
      </c>
      <c r="M70" s="103">
        <f t="shared" si="12"/>
        <v>901132.3840279642</v>
      </c>
      <c r="N70" s="103">
        <f t="shared" si="12"/>
        <v>9163214.8914450593</v>
      </c>
    </row>
    <row r="71" spans="1:14">
      <c r="A71" s="61" t="s">
        <v>251</v>
      </c>
      <c r="B71" s="100">
        <v>4923.8290745917357</v>
      </c>
      <c r="C71" s="100">
        <v>4824.3609297753992</v>
      </c>
      <c r="D71" s="100">
        <v>4728.8197646136859</v>
      </c>
      <c r="E71" s="100">
        <v>4637.0010489808446</v>
      </c>
      <c r="F71" s="100">
        <v>4548.680076053668</v>
      </c>
      <c r="G71" s="100">
        <v>4463.6607169520203</v>
      </c>
      <c r="H71" s="100">
        <v>4381.7507360053305</v>
      </c>
      <c r="I71" s="100">
        <v>4302.8028734920763</v>
      </c>
      <c r="J71" s="100">
        <v>4226.6495351358599</v>
      </c>
      <c r="K71" s="100">
        <v>4153.1449243129791</v>
      </c>
      <c r="L71" s="100">
        <v>4082.1440989213897</v>
      </c>
      <c r="M71" s="100">
        <v>4013.5388941426463</v>
      </c>
      <c r="N71" s="101">
        <f>SUM(B71:M71)</f>
        <v>53286.382672977634</v>
      </c>
    </row>
    <row r="72" spans="1:14">
      <c r="A72" s="61" t="s">
        <v>252</v>
      </c>
      <c r="B72" s="100">
        <v>10924.980463821741</v>
      </c>
      <c r="C72" s="100">
        <v>14507.138797970361</v>
      </c>
      <c r="D72" s="100">
        <v>13044.661761013447</v>
      </c>
      <c r="E72" s="100">
        <v>25502.107430464854</v>
      </c>
      <c r="F72" s="100">
        <v>19070.374296547106</v>
      </c>
      <c r="G72" s="100">
        <v>16725.087810448502</v>
      </c>
      <c r="H72" s="100">
        <v>20516.166329439733</v>
      </c>
      <c r="I72" s="100">
        <v>16993.235604699217</v>
      </c>
      <c r="J72" s="100">
        <v>19908.808722634993</v>
      </c>
      <c r="K72" s="100">
        <v>16133.003492733409</v>
      </c>
      <c r="L72" s="100">
        <v>15857.198871198574</v>
      </c>
      <c r="M72" s="100">
        <v>16086.801505947795</v>
      </c>
      <c r="N72" s="101">
        <f t="shared" ref="N72:N78" si="13">SUM(B72:M72)</f>
        <v>205269.56508691976</v>
      </c>
    </row>
    <row r="73" spans="1:14">
      <c r="A73" s="61" t="s">
        <v>253</v>
      </c>
      <c r="B73" s="100">
        <v>1299.5041179226989</v>
      </c>
      <c r="C73" s="100">
        <v>1273.2523407320625</v>
      </c>
      <c r="D73" s="100">
        <v>1248.0369777131759</v>
      </c>
      <c r="E73" s="100">
        <v>1223.8040489783084</v>
      </c>
      <c r="F73" s="100">
        <v>1200.4942495764428</v>
      </c>
      <c r="G73" s="100">
        <v>1178.055816888789</v>
      </c>
      <c r="H73" s="100">
        <v>1156.4380157980761</v>
      </c>
      <c r="I73" s="100">
        <v>1135.6019813048042</v>
      </c>
      <c r="J73" s="100">
        <v>1115.5034816842281</v>
      </c>
      <c r="K73" s="100">
        <v>1096.1040380797485</v>
      </c>
      <c r="L73" s="100">
        <v>1077.365397161363</v>
      </c>
      <c r="M73" s="100">
        <v>1059.2590119131507</v>
      </c>
      <c r="N73" s="101">
        <f t="shared" si="13"/>
        <v>14063.419477752852</v>
      </c>
    </row>
    <row r="74" spans="1:14">
      <c r="A74" s="61" t="s">
        <v>254</v>
      </c>
      <c r="B74" s="100">
        <v>235515.60006942647</v>
      </c>
      <c r="C74" s="100">
        <v>236674.94863888714</v>
      </c>
      <c r="D74" s="100">
        <v>244999.28988027654</v>
      </c>
      <c r="E74" s="100">
        <v>238938.90389632696</v>
      </c>
      <c r="F74" s="100">
        <v>211473.86662480436</v>
      </c>
      <c r="G74" s="100">
        <v>222198.64013090532</v>
      </c>
      <c r="H74" s="100">
        <v>238801.87791042167</v>
      </c>
      <c r="I74" s="100">
        <v>209121.78271252138</v>
      </c>
      <c r="J74" s="100">
        <v>211295.90937766136</v>
      </c>
      <c r="K74" s="100">
        <v>233224.1387609771</v>
      </c>
      <c r="L74" s="100">
        <v>223550.68874067577</v>
      </c>
      <c r="M74" s="100">
        <v>217341.57867006041</v>
      </c>
      <c r="N74" s="101">
        <f t="shared" si="13"/>
        <v>2723137.2254129448</v>
      </c>
    </row>
    <row r="75" spans="1:14">
      <c r="A75" s="61" t="s">
        <v>255</v>
      </c>
      <c r="B75" s="100">
        <v>100030.53903826266</v>
      </c>
      <c r="C75" s="100">
        <v>98075.795852041236</v>
      </c>
      <c r="D75" s="100">
        <v>96197.790715418188</v>
      </c>
      <c r="E75" s="100">
        <f>'Bütçe aylık-TL'!E75/'Bütçe aylık-TL'!E$3</f>
        <v>188533.74285609034</v>
      </c>
      <c r="F75" s="100">
        <f>'Bütçe aylık-TL'!F75/'Bütçe aylık-TL'!F$3</f>
        <v>186250.51176945071</v>
      </c>
      <c r="G75" s="100">
        <f>'Bütçe aylık-TL'!G75/'Bütçe aylık-TL'!G$3</f>
        <v>181508.04856778486</v>
      </c>
      <c r="H75" s="100">
        <f>'Bütçe aylık-TL'!H75/'Bütçe aylık-TL'!H$3</f>
        <v>178177.6239851054</v>
      </c>
      <c r="I75" s="100">
        <f>'Bütçe aylık-TL'!I75/'Bütçe aylık-TL'!I$3</f>
        <v>177555.91377563227</v>
      </c>
      <c r="J75" s="100">
        <f>'Bütçe aylık-TL'!J75/'Bütçe aylık-TL'!J$3</f>
        <v>179562.79442433667</v>
      </c>
      <c r="K75" s="100">
        <f>'Bütçe aylık-TL'!K75/'Bütçe aylık-TL'!K$3</f>
        <v>176439.96321695688</v>
      </c>
      <c r="L75" s="100">
        <f>'Bütçe aylık-TL'!L75/'Bütçe aylık-TL'!L$3</f>
        <v>173423.89546965848</v>
      </c>
      <c r="M75" s="100">
        <f>'Bütçe aylık-TL'!M75/'Bütçe aylık-TL'!M$3</f>
        <v>170509.20815084068</v>
      </c>
      <c r="N75" s="101">
        <f t="shared" si="13"/>
        <v>1906265.8278215784</v>
      </c>
    </row>
    <row r="76" spans="1:14">
      <c r="A76" s="61" t="s">
        <v>256</v>
      </c>
      <c r="B76" s="100">
        <v>391097.55067099998</v>
      </c>
      <c r="C76" s="100">
        <v>356834.13929400005</v>
      </c>
      <c r="D76" s="100">
        <v>922656.96910700004</v>
      </c>
      <c r="E76" s="100">
        <v>402764.10137199983</v>
      </c>
      <c r="F76" s="100">
        <v>414753.33619499998</v>
      </c>
      <c r="G76" s="100">
        <v>924391.7784020002</v>
      </c>
      <c r="H76" s="100">
        <v>404516.59968099976</v>
      </c>
      <c r="I76" s="100">
        <v>411271.18231299985</v>
      </c>
      <c r="J76" s="100">
        <v>926839.76534900081</v>
      </c>
      <c r="K76" s="100">
        <v>422263.89640699985</v>
      </c>
      <c r="L76" s="100">
        <v>396149.40861899965</v>
      </c>
      <c r="M76" s="100">
        <v>940185.20093599986</v>
      </c>
      <c r="N76" s="101">
        <f t="shared" si="13"/>
        <v>6913723.9283459997</v>
      </c>
    </row>
    <row r="77" spans="1:14">
      <c r="A77" s="61" t="s">
        <v>257</v>
      </c>
      <c r="B77" s="100">
        <v>259449.86533000003</v>
      </c>
      <c r="C77" s="100">
        <v>238739.91711900002</v>
      </c>
      <c r="D77" s="100">
        <v>265653.68930599996</v>
      </c>
      <c r="E77" s="100">
        <v>258471.4781500001</v>
      </c>
      <c r="F77" s="100">
        <v>264828.79818000004</v>
      </c>
      <c r="G77" s="100">
        <v>262006.22753199982</v>
      </c>
      <c r="H77" s="100">
        <v>268942.90147899999</v>
      </c>
      <c r="I77" s="100">
        <v>268667.05068600015</v>
      </c>
      <c r="J77" s="100">
        <v>263768.98528699996</v>
      </c>
      <c r="K77" s="100">
        <v>267532.06388399983</v>
      </c>
      <c r="L77" s="100">
        <v>261046.66898900038</v>
      </c>
      <c r="M77" s="100">
        <v>273224.02454899997</v>
      </c>
      <c r="N77" s="101">
        <f t="shared" si="13"/>
        <v>3152331.6704910002</v>
      </c>
    </row>
    <row r="78" spans="1:14">
      <c r="A78" s="61" t="s">
        <v>258</v>
      </c>
      <c r="B78" s="100">
        <v>670784.89358300006</v>
      </c>
      <c r="C78" s="100">
        <v>667517.71358199976</v>
      </c>
      <c r="D78" s="100">
        <v>652501.81442499999</v>
      </c>
      <c r="E78" s="100">
        <v>649419.57081700023</v>
      </c>
      <c r="F78" s="100">
        <v>648312.94226399995</v>
      </c>
      <c r="G78" s="100">
        <v>625206.09408999979</v>
      </c>
      <c r="H78" s="100">
        <v>622557.94711000053</v>
      </c>
      <c r="I78" s="100">
        <v>616773.49816800002</v>
      </c>
      <c r="J78" s="100">
        <v>594579.17116599996</v>
      </c>
      <c r="K78" s="100">
        <v>594516.99140799977</v>
      </c>
      <c r="L78" s="100">
        <v>590187.57259999961</v>
      </c>
      <c r="M78" s="100">
        <v>598671.94923400041</v>
      </c>
      <c r="N78" s="101">
        <f t="shared" si="13"/>
        <v>7531030.1584470002</v>
      </c>
    </row>
    <row r="79" spans="1:14">
      <c r="A79" s="61" t="s">
        <v>259</v>
      </c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70"/>
    </row>
    <row r="80" spans="1:14">
      <c r="A80" s="61" t="s">
        <v>260</v>
      </c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70"/>
    </row>
    <row r="81" spans="1:29">
      <c r="A81" s="61" t="s">
        <v>261</v>
      </c>
      <c r="B81" s="103">
        <f t="shared" ref="B81:N81" si="14">SUM(B82:B84)+SUM(B85:B89)*0.4</f>
        <v>3205880.6433412479</v>
      </c>
      <c r="C81" s="103">
        <f t="shared" si="14"/>
        <v>3449407.8672074927</v>
      </c>
      <c r="D81" s="103">
        <f t="shared" si="14"/>
        <v>4266517.6462280517</v>
      </c>
      <c r="E81" s="103">
        <f t="shared" si="14"/>
        <v>3165044.2775790938</v>
      </c>
      <c r="F81" s="103">
        <f t="shared" si="14"/>
        <v>4098559.3789843377</v>
      </c>
      <c r="G81" s="103">
        <f t="shared" si="14"/>
        <v>3916178.0687885871</v>
      </c>
      <c r="H81" s="103">
        <f t="shared" si="14"/>
        <v>3964743.6278682901</v>
      </c>
      <c r="I81" s="103">
        <f t="shared" si="14"/>
        <v>2686361.5195367858</v>
      </c>
      <c r="J81" s="103">
        <f t="shared" si="14"/>
        <v>5815516.9012673702</v>
      </c>
      <c r="K81" s="103">
        <f t="shared" si="14"/>
        <v>5131508.766347222</v>
      </c>
      <c r="L81" s="103">
        <f t="shared" si="14"/>
        <v>5009636.885367102</v>
      </c>
      <c r="M81" s="103">
        <f t="shared" si="14"/>
        <v>3990814.4602693603</v>
      </c>
      <c r="N81" s="103">
        <f t="shared" si="14"/>
        <v>48700170.042784944</v>
      </c>
    </row>
    <row r="82" spans="1:29">
      <c r="A82" s="61" t="s">
        <v>263</v>
      </c>
      <c r="B82" s="100">
        <v>341165.36249954213</v>
      </c>
      <c r="C82" s="100">
        <v>368752.79352729931</v>
      </c>
      <c r="D82" s="100">
        <v>340943.6997693209</v>
      </c>
      <c r="E82" s="100">
        <v>341689.16814695526</v>
      </c>
      <c r="F82" s="100">
        <v>355374.45956069487</v>
      </c>
      <c r="G82" s="100">
        <v>362371.33500872779</v>
      </c>
      <c r="H82" s="100">
        <v>394955.26980091841</v>
      </c>
      <c r="I82" s="100">
        <v>327773.11364222143</v>
      </c>
      <c r="J82" s="100">
        <v>486568.07229369035</v>
      </c>
      <c r="K82" s="100">
        <v>441044.17849189293</v>
      </c>
      <c r="L82" s="100">
        <v>390385.24866550125</v>
      </c>
      <c r="M82" s="100">
        <v>-211270.31485161794</v>
      </c>
      <c r="N82" s="101">
        <f>SUM(B82:M82)</f>
        <v>3939752.3865551464</v>
      </c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 spans="1:29">
      <c r="A83" s="61" t="s">
        <v>264</v>
      </c>
      <c r="B83" s="100">
        <v>-18617.17053831114</v>
      </c>
      <c r="C83" s="100">
        <v>97964.850241091961</v>
      </c>
      <c r="D83" s="100">
        <v>116118.11783377863</v>
      </c>
      <c r="E83" s="100">
        <v>196284.05692290331</v>
      </c>
      <c r="F83" s="100">
        <v>231649.37030369221</v>
      </c>
      <c r="G83" s="100">
        <v>209532.79122804917</v>
      </c>
      <c r="H83" s="100">
        <v>166234.51186336775</v>
      </c>
      <c r="I83" s="100">
        <v>51306.146057511738</v>
      </c>
      <c r="J83" s="100">
        <v>83232.73575019995</v>
      </c>
      <c r="K83" s="100">
        <v>37311.762449015747</v>
      </c>
      <c r="L83" s="100">
        <v>9578.4905687767787</v>
      </c>
      <c r="M83" s="100">
        <v>-29534.41714126095</v>
      </c>
      <c r="N83" s="101">
        <f t="shared" ref="N83:N89" si="15">SUM(B83:M83)</f>
        <v>1151061.2455388152</v>
      </c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 spans="1:29">
      <c r="A84" s="61" t="s">
        <v>265</v>
      </c>
      <c r="B84" s="100">
        <v>-43556.491670813943</v>
      </c>
      <c r="C84" s="100">
        <v>3031.0945562081774</v>
      </c>
      <c r="D84" s="100">
        <v>53626.478247780244</v>
      </c>
      <c r="E84" s="100">
        <v>50155.570995239636</v>
      </c>
      <c r="F84" s="100">
        <v>104935.78106350743</v>
      </c>
      <c r="G84" s="100">
        <v>104549.44300020263</v>
      </c>
      <c r="H84" s="100">
        <v>126956.84002626622</v>
      </c>
      <c r="I84" s="100">
        <v>98933.272851864574</v>
      </c>
      <c r="J84" s="100">
        <v>75963.200490177493</v>
      </c>
      <c r="K84" s="100">
        <v>95338.698039224575</v>
      </c>
      <c r="L84" s="100">
        <v>113729.49115199906</v>
      </c>
      <c r="M84" s="100">
        <v>48197.217337552443</v>
      </c>
      <c r="N84" s="101">
        <f t="shared" si="15"/>
        <v>831860.59608920862</v>
      </c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 spans="1:29">
      <c r="A85" s="61" t="s">
        <v>266</v>
      </c>
      <c r="B85" s="100">
        <v>1646454.613105664</v>
      </c>
      <c r="C85" s="100">
        <v>1387142.9405262491</v>
      </c>
      <c r="D85" s="100">
        <v>1534134.5423019805</v>
      </c>
      <c r="E85" s="100">
        <v>1351187.9027454939</v>
      </c>
      <c r="F85" s="100">
        <v>1502659.2001843494</v>
      </c>
      <c r="G85" s="100">
        <v>1777133.7361007934</v>
      </c>
      <c r="H85" s="100">
        <v>2240286.4476228352</v>
      </c>
      <c r="I85" s="100">
        <v>2392093.1134787095</v>
      </c>
      <c r="J85" s="100">
        <v>2901139.0103370487</v>
      </c>
      <c r="K85" s="100">
        <v>3566463.0040080496</v>
      </c>
      <c r="L85" s="100">
        <v>3693515.7208973388</v>
      </c>
      <c r="M85" s="100">
        <v>4381790.584888475</v>
      </c>
      <c r="N85" s="101">
        <f t="shared" si="15"/>
        <v>28374000.816196986</v>
      </c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 spans="1:29">
      <c r="A86" s="61" t="s">
        <v>267</v>
      </c>
      <c r="B86" s="100">
        <v>534180.88590141328</v>
      </c>
      <c r="C86" s="100">
        <v>573746.5270409832</v>
      </c>
      <c r="D86" s="100">
        <v>538819.18885995017</v>
      </c>
      <c r="E86" s="100">
        <f>'Bütçe aylık-TL'!E86/'Bütçe aylık-TL'!E$3</f>
        <v>188871.55142249414</v>
      </c>
      <c r="F86" s="100">
        <f>'Bütçe aylık-TL'!F86/'Bütçe aylık-TL'!F$3</f>
        <v>364937.90590576065</v>
      </c>
      <c r="G86" s="100">
        <f>'Bütçe aylık-TL'!G86/'Bütçe aylık-TL'!G$3</f>
        <v>273973.37724022462</v>
      </c>
      <c r="H86" s="100">
        <f>'Bütçe aylık-TL'!H86/'Bütçe aylık-TL'!H$3</f>
        <v>420395.34036950755</v>
      </c>
      <c r="I86" s="100">
        <f>'Bütçe aylık-TL'!I86/'Bütçe aylık-TL'!I$3</f>
        <v>461067.74903326074</v>
      </c>
      <c r="J86" s="100">
        <f>'Bütçe aylık-TL'!J86/'Bütçe aylık-TL'!J$3</f>
        <v>452601.1332382033</v>
      </c>
      <c r="K86" s="100">
        <f>'Bütçe aylık-TL'!K86/'Bütçe aylık-TL'!K$3</f>
        <v>621661.21190967259</v>
      </c>
      <c r="L86" s="100">
        <f>'Bütçe aylık-TL'!L86/'Bütçe aylık-TL'!L$3</f>
        <v>508589.83214772143</v>
      </c>
      <c r="M86" s="100">
        <f>'Bütçe aylık-TL'!M86/'Bütçe aylık-TL'!M$3</f>
        <v>398273.51730124035</v>
      </c>
      <c r="N86" s="101">
        <f t="shared" si="15"/>
        <v>5337118.2203704314</v>
      </c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 spans="1:29">
      <c r="A87" s="61" t="s">
        <v>268</v>
      </c>
      <c r="B87" s="100">
        <v>1012467.2781730001</v>
      </c>
      <c r="C87" s="100">
        <v>1467648.6538410001</v>
      </c>
      <c r="D87" s="100">
        <v>3024901.4933499997</v>
      </c>
      <c r="E87" s="100">
        <v>885044.63279800024</v>
      </c>
      <c r="F87" s="100">
        <v>1593694.0084239999</v>
      </c>
      <c r="G87" s="100">
        <v>2387687.9588659992</v>
      </c>
      <c r="H87" s="100">
        <v>938704.74252400175</v>
      </c>
      <c r="I87" s="100">
        <v>558804.25722699985</v>
      </c>
      <c r="J87" s="100">
        <v>3422154.6769899991</v>
      </c>
      <c r="K87" s="100">
        <v>1907648.2743740007</v>
      </c>
      <c r="L87" s="100">
        <v>1897892.122373</v>
      </c>
      <c r="M87" s="100">
        <v>2065770.0140880013</v>
      </c>
      <c r="N87" s="101">
        <f t="shared" si="15"/>
        <v>21162418.113028001</v>
      </c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 spans="1:29">
      <c r="A88" s="61" t="s">
        <v>269</v>
      </c>
      <c r="B88" s="100">
        <v>1547501.2063069998</v>
      </c>
      <c r="C88" s="100">
        <v>1363446.5006800001</v>
      </c>
      <c r="D88" s="100">
        <v>1939848.0076940004</v>
      </c>
      <c r="E88" s="100">
        <v>1888239.6357149994</v>
      </c>
      <c r="F88" s="100">
        <v>1989346.7921070009</v>
      </c>
      <c r="G88" s="100">
        <v>1625433.0654879997</v>
      </c>
      <c r="H88" s="100">
        <v>1431272.5608350001</v>
      </c>
      <c r="I88" s="100">
        <v>925450.61057099898</v>
      </c>
      <c r="J88" s="100">
        <v>2241091.888642</v>
      </c>
      <c r="K88" s="100">
        <v>2047772.0803010017</v>
      </c>
      <c r="L88" s="100">
        <v>1922869.7145939991</v>
      </c>
      <c r="M88" s="100">
        <v>1217979.2206769995</v>
      </c>
      <c r="N88" s="101">
        <f t="shared" si="15"/>
        <v>20140251.283611</v>
      </c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 spans="1:29">
      <c r="A89" s="61" t="s">
        <v>270</v>
      </c>
      <c r="B89" s="100">
        <v>2576618.37414</v>
      </c>
      <c r="C89" s="100">
        <v>2657163.2001189995</v>
      </c>
      <c r="D89" s="100">
        <v>2351870.1437370004</v>
      </c>
      <c r="E89" s="100">
        <v>2128944.9811040005</v>
      </c>
      <c r="F89" s="100">
        <v>3065861.5135199986</v>
      </c>
      <c r="G89" s="100">
        <v>2035083.111184001</v>
      </c>
      <c r="H89" s="100">
        <v>3160833.4240929992</v>
      </c>
      <c r="I89" s="100">
        <v>1183456.7371530011</v>
      </c>
      <c r="J89" s="100">
        <v>3907395.5226260014</v>
      </c>
      <c r="K89" s="100">
        <v>3250990.7478249967</v>
      </c>
      <c r="L89" s="100">
        <v>3216991.7474400029</v>
      </c>
      <c r="M89" s="100">
        <v>2394741.6003569998</v>
      </c>
      <c r="N89" s="101">
        <f t="shared" si="15"/>
        <v>31929951.103298001</v>
      </c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 spans="1:29">
      <c r="A90" s="61" t="s">
        <v>271</v>
      </c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70"/>
    </row>
    <row r="91" spans="1:29">
      <c r="A91" s="61" t="s">
        <v>272</v>
      </c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70"/>
    </row>
    <row r="92" spans="1:29">
      <c r="A92" s="61" t="s">
        <v>463</v>
      </c>
      <c r="B92" s="103">
        <f t="shared" ref="B92:N92" si="16">SUM(B93:B95)+SUM(B96:B100)*0.4</f>
        <v>-1175683.3613508504</v>
      </c>
      <c r="C92" s="103">
        <f t="shared" si="16"/>
        <v>-1170127.4456437621</v>
      </c>
      <c r="D92" s="103">
        <f t="shared" si="16"/>
        <v>-1055838.6097499726</v>
      </c>
      <c r="E92" s="103">
        <f t="shared" si="16"/>
        <v>-1043343.5275080511</v>
      </c>
      <c r="F92" s="103">
        <f t="shared" si="16"/>
        <v>-883729.51918519195</v>
      </c>
      <c r="G92" s="103">
        <f t="shared" si="16"/>
        <v>-879285.27236717031</v>
      </c>
      <c r="H92" s="103">
        <f t="shared" si="16"/>
        <v>-1009175.9276723077</v>
      </c>
      <c r="I92" s="103">
        <f t="shared" si="16"/>
        <v>-1031586.1570151161</v>
      </c>
      <c r="J92" s="103">
        <f t="shared" si="16"/>
        <v>-1050085.1122318094</v>
      </c>
      <c r="K92" s="103">
        <f t="shared" si="16"/>
        <v>-975576.93255317176</v>
      </c>
      <c r="L92" s="103">
        <f t="shared" si="16"/>
        <v>-944984.06999090547</v>
      </c>
      <c r="M92" s="103">
        <f t="shared" si="16"/>
        <v>-905117.52247172559</v>
      </c>
      <c r="N92" s="103">
        <f t="shared" si="16"/>
        <v>-12124533.457740033</v>
      </c>
    </row>
    <row r="93" spans="1:29">
      <c r="A93" s="61" t="s">
        <v>275</v>
      </c>
      <c r="B93" s="100">
        <v>-192358.10779165587</v>
      </c>
      <c r="C93" s="100">
        <v>-185585.34375770477</v>
      </c>
      <c r="D93" s="100">
        <v>-81187.137917396249</v>
      </c>
      <c r="E93" s="100">
        <v>-83076.086376335603</v>
      </c>
      <c r="F93" s="100">
        <v>-73601.792767686769</v>
      </c>
      <c r="G93" s="100">
        <v>-69886.46713871033</v>
      </c>
      <c r="H93" s="100">
        <v>-73063.406190942958</v>
      </c>
      <c r="I93" s="100">
        <v>-70035.853902551535</v>
      </c>
      <c r="J93" s="100">
        <v>-62777.077523452419</v>
      </c>
      <c r="K93" s="100">
        <v>-64273.65583510133</v>
      </c>
      <c r="L93" s="100">
        <v>-59199.284846938215</v>
      </c>
      <c r="M93" s="100">
        <v>4174.941253460127</v>
      </c>
      <c r="N93" s="101">
        <f>SUM(B93:M93)</f>
        <v>-1010869.2727950161</v>
      </c>
    </row>
    <row r="94" spans="1:29">
      <c r="A94" s="61" t="s">
        <v>276</v>
      </c>
      <c r="B94" s="100">
        <v>-8742.9981041020328</v>
      </c>
      <c r="C94" s="100">
        <v>-6783.9011673316018</v>
      </c>
      <c r="D94" s="100">
        <v>-6733.4555828274815</v>
      </c>
      <c r="E94" s="100">
        <v>-6679.7870640659203</v>
      </c>
      <c r="F94" s="100">
        <v>-6911.380186240679</v>
      </c>
      <c r="G94" s="100">
        <v>-6402.6669335878851</v>
      </c>
      <c r="H94" s="100">
        <v>-5192.0837067961447</v>
      </c>
      <c r="I94" s="100">
        <v>-6589.0445775930648</v>
      </c>
      <c r="J94" s="100">
        <v>-6661.4807040579963</v>
      </c>
      <c r="K94" s="100">
        <v>-6805.1309076536563</v>
      </c>
      <c r="L94" s="100">
        <v>-6705.4037701137113</v>
      </c>
      <c r="M94" s="100">
        <v>-5781.6646800439912</v>
      </c>
      <c r="N94" s="101">
        <f t="shared" ref="N94:N100" si="17">SUM(B94:M94)</f>
        <v>-79988.997384414164</v>
      </c>
    </row>
    <row r="95" spans="1:29">
      <c r="A95" s="61" t="s">
        <v>277</v>
      </c>
      <c r="B95" s="100">
        <v>-54921.727124563724</v>
      </c>
      <c r="C95" s="100">
        <v>-61003.589016132602</v>
      </c>
      <c r="D95" s="100">
        <v>-55911.125924151856</v>
      </c>
      <c r="E95" s="100">
        <v>-57602.185796417427</v>
      </c>
      <c r="F95" s="100">
        <v>-52237.654122024214</v>
      </c>
      <c r="G95" s="100">
        <v>-52262.768680961599</v>
      </c>
      <c r="H95" s="100">
        <v>-50360.825448227275</v>
      </c>
      <c r="I95" s="100">
        <v>-54827.160785485336</v>
      </c>
      <c r="J95" s="100">
        <v>-50311.905616721138</v>
      </c>
      <c r="K95" s="100">
        <v>-49242.628902878918</v>
      </c>
      <c r="L95" s="100">
        <v>-48749.967140755231</v>
      </c>
      <c r="M95" s="100">
        <v>-51808.956432881794</v>
      </c>
      <c r="N95" s="101">
        <f t="shared" si="17"/>
        <v>-639240.49499120121</v>
      </c>
    </row>
    <row r="96" spans="1:29">
      <c r="A96" s="61" t="s">
        <v>278</v>
      </c>
      <c r="B96" s="100">
        <v>-2054274.6206661761</v>
      </c>
      <c r="C96" s="100">
        <v>-2052908.7966260314</v>
      </c>
      <c r="D96" s="100">
        <v>-2046784.5212525059</v>
      </c>
      <c r="E96" s="100">
        <v>-1952563.1129899295</v>
      </c>
      <c r="F96" s="100">
        <v>-1599132.074843775</v>
      </c>
      <c r="G96" s="100">
        <v>-1607288.8206945406</v>
      </c>
      <c r="H96" s="100">
        <v>-1941631.1235385344</v>
      </c>
      <c r="I96" s="100">
        <v>-2000167.2267086902</v>
      </c>
      <c r="J96" s="100">
        <v>-2073998.5577645421</v>
      </c>
      <c r="K96" s="100">
        <v>-1895221.5777273902</v>
      </c>
      <c r="L96" s="100">
        <v>-1840380.0632778958</v>
      </c>
      <c r="M96" s="100">
        <v>-1902428.8648432547</v>
      </c>
      <c r="N96" s="101">
        <f t="shared" si="17"/>
        <v>-22966779.360933263</v>
      </c>
    </row>
    <row r="97" spans="1:14">
      <c r="A97" s="61" t="s">
        <v>279</v>
      </c>
      <c r="B97" s="100">
        <v>-128113.98547914512</v>
      </c>
      <c r="C97" s="100">
        <v>-124311.14768845124</v>
      </c>
      <c r="D97" s="100">
        <v>-120615.22187248636</v>
      </c>
      <c r="E97" s="100">
        <f>'Bütçe aylık-TL'!E97/'Bütçe aylık-TL'!E$3</f>
        <v>-180710.41401715062</v>
      </c>
      <c r="F97" s="100">
        <f>'Bütçe aylık-TL'!F97/'Bütçe aylık-TL'!F$3</f>
        <v>-175329.56735632566</v>
      </c>
      <c r="G97" s="100">
        <f>'Bütçe aylık-TL'!G97/'Bütçe aylık-TL'!G$3</f>
        <v>-168268.07227723574</v>
      </c>
      <c r="H97" s="100">
        <f>'Bütçe aylık-TL'!H97/'Bütçe aylık-TL'!H$3</f>
        <v>-161337.34606031881</v>
      </c>
      <c r="I97" s="100">
        <f>'Bütçe aylık-TL'!I97/'Bütçe aylık-TL'!I$3</f>
        <v>-154517.93568002482</v>
      </c>
      <c r="J97" s="100">
        <f>'Bütçe aylık-TL'!J97/'Bütçe aylık-TL'!J$3</f>
        <v>-157834.81639640246</v>
      </c>
      <c r="K97" s="100">
        <f>'Bütçe aylık-TL'!K97/'Bütçe aylık-TL'!K$3</f>
        <v>-151032.93484245395</v>
      </c>
      <c r="L97" s="100">
        <f>'Bütçe aylık-TL'!L97/'Bütçe aylık-TL'!L$3</f>
        <v>-144321.55501184962</v>
      </c>
      <c r="M97" s="100">
        <f>'Bütçe aylık-TL'!M97/'Bütçe aylık-TL'!M$3</f>
        <v>-137691.09002339459</v>
      </c>
      <c r="N97" s="101">
        <f t="shared" si="17"/>
        <v>-1804084.0867052393</v>
      </c>
    </row>
    <row r="98" spans="1:14">
      <c r="A98" s="61" t="s">
        <v>280</v>
      </c>
      <c r="B98" s="100">
        <v>-39037.112421999998</v>
      </c>
      <c r="C98" s="100">
        <v>-37883.306143999995</v>
      </c>
      <c r="D98" s="100">
        <v>-36755.076852000013</v>
      </c>
      <c r="E98" s="100">
        <v>-33477.249459999992</v>
      </c>
      <c r="F98" s="100">
        <v>-31430.683372000003</v>
      </c>
      <c r="G98" s="100">
        <v>-30489.853602999996</v>
      </c>
      <c r="H98" s="100">
        <v>-28896.307247999997</v>
      </c>
      <c r="I98" s="100">
        <v>-27362.356934999989</v>
      </c>
      <c r="J98" s="100">
        <v>-26455.384649000014</v>
      </c>
      <c r="K98" s="100">
        <v>-25286.649955999983</v>
      </c>
      <c r="L98" s="100">
        <v>-24868.547501000052</v>
      </c>
      <c r="M98" s="100">
        <v>-23771.405700000003</v>
      </c>
      <c r="N98" s="101">
        <f t="shared" si="17"/>
        <v>-365713.93384200003</v>
      </c>
    </row>
    <row r="99" spans="1:14">
      <c r="A99" s="61" t="s">
        <v>281</v>
      </c>
      <c r="B99" s="100">
        <v>-32514.232259</v>
      </c>
      <c r="C99" s="100">
        <v>-31571.908798000004</v>
      </c>
      <c r="D99" s="100">
        <v>-30651.035837000003</v>
      </c>
      <c r="E99" s="100">
        <v>-28001.524210999996</v>
      </c>
      <c r="F99" s="100">
        <v>-26343.034701000015</v>
      </c>
      <c r="G99" s="100">
        <v>-25575.307459999985</v>
      </c>
      <c r="H99" s="100">
        <v>-24322.883969000017</v>
      </c>
      <c r="I99" s="100">
        <v>-23076.355049999984</v>
      </c>
      <c r="J99" s="100">
        <v>-22336.492159000016</v>
      </c>
      <c r="K99" s="100">
        <v>-21386.259743000002</v>
      </c>
      <c r="L99" s="100">
        <v>-21041.999791999988</v>
      </c>
      <c r="M99" s="100">
        <v>-20151.875964000006</v>
      </c>
      <c r="N99" s="101">
        <f t="shared" si="17"/>
        <v>-306972.90994300001</v>
      </c>
    </row>
    <row r="100" spans="1:14">
      <c r="A100" s="61" t="s">
        <v>282</v>
      </c>
      <c r="B100" s="100">
        <v>-45211.37</v>
      </c>
      <c r="C100" s="100">
        <v>-45211.37</v>
      </c>
      <c r="D100" s="100">
        <v>-45211.369999999974</v>
      </c>
      <c r="E100" s="100">
        <v>-45211.370000000024</v>
      </c>
      <c r="F100" s="100">
        <v>-45211.369999999995</v>
      </c>
      <c r="G100" s="100">
        <v>-45211.369999999966</v>
      </c>
      <c r="H100" s="100">
        <v>-45211.370000000046</v>
      </c>
      <c r="I100" s="100">
        <v>-45211.369999999995</v>
      </c>
      <c r="J100" s="100">
        <v>-45211.369999999995</v>
      </c>
      <c r="K100" s="100">
        <v>-45211.369999999995</v>
      </c>
      <c r="L100" s="100">
        <v>-45211.369999999995</v>
      </c>
      <c r="M100" s="100">
        <v>-45211.369999999937</v>
      </c>
      <c r="N100" s="101">
        <f t="shared" si="17"/>
        <v>-542536.43999999994</v>
      </c>
    </row>
    <row r="101" spans="1:14">
      <c r="A101" s="61" t="s">
        <v>283</v>
      </c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70"/>
    </row>
    <row r="102" spans="1:14">
      <c r="A102" s="61" t="s">
        <v>284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70"/>
    </row>
    <row r="103" spans="1:14">
      <c r="A103" s="61" t="s">
        <v>464</v>
      </c>
      <c r="B103" s="103">
        <f t="shared" ref="B103:N103" si="18">SUM(B104:B106)+SUM(B107:B111)*0.4</f>
        <v>185134.514578559</v>
      </c>
      <c r="C103" s="103">
        <f t="shared" si="18"/>
        <v>33757.583299649559</v>
      </c>
      <c r="D103" s="103">
        <f t="shared" si="18"/>
        <v>-38163.424705088968</v>
      </c>
      <c r="E103" s="103">
        <f t="shared" si="18"/>
        <v>-195529.90837140498</v>
      </c>
      <c r="F103" s="103">
        <f t="shared" si="18"/>
        <v>-9987.6307658805345</v>
      </c>
      <c r="G103" s="103">
        <f t="shared" si="18"/>
        <v>59331.063033932216</v>
      </c>
      <c r="H103" s="103">
        <f t="shared" si="18"/>
        <v>-51540.90830033816</v>
      </c>
      <c r="I103" s="103">
        <f t="shared" si="18"/>
        <v>-45388.954224530564</v>
      </c>
      <c r="J103" s="103">
        <f t="shared" si="18"/>
        <v>-40929.098693830587</v>
      </c>
      <c r="K103" s="103">
        <f t="shared" si="18"/>
        <v>-41630.869956884424</v>
      </c>
      <c r="L103" s="103">
        <f t="shared" si="18"/>
        <v>-33027.222382951673</v>
      </c>
      <c r="M103" s="103">
        <f t="shared" si="18"/>
        <v>-31053.992729393995</v>
      </c>
      <c r="N103" s="103">
        <f t="shared" si="18"/>
        <v>-209028.84921816317</v>
      </c>
    </row>
    <row r="104" spans="1:14">
      <c r="A104" s="61" t="s">
        <v>287</v>
      </c>
      <c r="B104" s="100">
        <v>201940.42909662076</v>
      </c>
      <c r="C104" s="100">
        <v>108675.41023676461</v>
      </c>
      <c r="D104" s="100">
        <v>20098.56474913421</v>
      </c>
      <c r="E104" s="100">
        <v>27324.991706302611</v>
      </c>
      <c r="F104" s="100">
        <v>20056.081009297108</v>
      </c>
      <c r="G104" s="100">
        <v>32316.33862800866</v>
      </c>
      <c r="H104" s="100">
        <v>15190.12155919725</v>
      </c>
      <c r="I104" s="100">
        <v>11343.177788794181</v>
      </c>
      <c r="J104" s="100">
        <v>21187.664107004977</v>
      </c>
      <c r="K104" s="100">
        <v>20064.586880954219</v>
      </c>
      <c r="L104" s="100">
        <v>22775.666715004321</v>
      </c>
      <c r="M104" s="100">
        <v>18277.602869912436</v>
      </c>
      <c r="N104" s="101">
        <f>SUM(B104:M104)</f>
        <v>519250.63534699538</v>
      </c>
    </row>
    <row r="105" spans="1:14">
      <c r="A105" s="61" t="s">
        <v>288</v>
      </c>
      <c r="B105" s="100">
        <v>1372.1022923129954</v>
      </c>
      <c r="C105" s="100">
        <v>1344.3839317754839</v>
      </c>
      <c r="D105" s="100">
        <v>1317.7598857855221</v>
      </c>
      <c r="E105" s="100">
        <v>1292.1731588117586</v>
      </c>
      <c r="F105" s="100">
        <v>1267.5611327692541</v>
      </c>
      <c r="G105" s="100">
        <v>1243.8691532656753</v>
      </c>
      <c r="H105" s="100">
        <v>1221.0436508126711</v>
      </c>
      <c r="I105" s="100">
        <v>1199.0435891763666</v>
      </c>
      <c r="J105" s="100">
        <v>1177.822265579849</v>
      </c>
      <c r="K105" s="100">
        <v>1157.3390515044271</v>
      </c>
      <c r="L105" s="100">
        <v>1137.5535565572875</v>
      </c>
      <c r="M105" s="100">
        <v>1118.4356389132188</v>
      </c>
      <c r="N105" s="101">
        <f t="shared" ref="N105:N111" si="19">SUM(B105:M105)</f>
        <v>14849.08730726451</v>
      </c>
    </row>
    <row r="106" spans="1:14">
      <c r="A106" s="61" t="s">
        <v>289</v>
      </c>
      <c r="B106" s="100">
        <v>6150.1185335606251</v>
      </c>
      <c r="C106" s="100">
        <v>6025.8775793701052</v>
      </c>
      <c r="D106" s="100">
        <v>5906.541743167435</v>
      </c>
      <c r="E106" s="100">
        <v>5791.855325858427</v>
      </c>
      <c r="F106" s="100">
        <v>5681.5378394488907</v>
      </c>
      <c r="G106" s="100">
        <v>5575.344261649524</v>
      </c>
      <c r="H106" s="100">
        <v>5473.0344147857732</v>
      </c>
      <c r="I106" s="100">
        <v>8365.9193633184459</v>
      </c>
      <c r="J106" s="100">
        <v>8217.8547613609553</v>
      </c>
      <c r="K106" s="100">
        <v>8074.9401000604212</v>
      </c>
      <c r="L106" s="100">
        <v>7936.893518891874</v>
      </c>
      <c r="M106" s="100">
        <v>7803.5047711432635</v>
      </c>
      <c r="N106" s="101">
        <f t="shared" si="19"/>
        <v>81003.422212615755</v>
      </c>
    </row>
    <row r="107" spans="1:14">
      <c r="A107" s="61" t="s">
        <v>290</v>
      </c>
      <c r="B107" s="100">
        <v>116253.90036916149</v>
      </c>
      <c r="C107" s="100">
        <v>-228605.37106065161</v>
      </c>
      <c r="D107" s="100">
        <v>-185194.18572394032</v>
      </c>
      <c r="E107" s="100">
        <v>-623773.10599294445</v>
      </c>
      <c r="F107" s="100">
        <v>-138714.33333548947</v>
      </c>
      <c r="G107" s="100">
        <v>14485.917093520893</v>
      </c>
      <c r="H107" s="100">
        <v>-218151.93568783463</v>
      </c>
      <c r="I107" s="100">
        <v>-199434.57972154889</v>
      </c>
      <c r="J107" s="100">
        <v>-209743.46136944092</v>
      </c>
      <c r="K107" s="100">
        <v>-207041.19596650871</v>
      </c>
      <c r="L107" s="100">
        <v>-187736.68287851286</v>
      </c>
      <c r="M107" s="100">
        <v>-170607.81454240729</v>
      </c>
      <c r="N107" s="101">
        <f t="shared" si="19"/>
        <v>-2238262.8488165969</v>
      </c>
    </row>
    <row r="108" spans="1:14">
      <c r="A108" s="61" t="s">
        <v>291</v>
      </c>
      <c r="B108" s="100">
        <v>0</v>
      </c>
      <c r="C108" s="100">
        <v>0</v>
      </c>
      <c r="D108" s="100">
        <v>0</v>
      </c>
      <c r="E108" s="100">
        <f>'Bütçe aylık-TL'!E108/'Bütçe aylık-TL'!E$3</f>
        <v>0</v>
      </c>
      <c r="F108" s="100">
        <f>'Bütçe aylık-TL'!F108/'Bütçe aylık-TL'!F$3</f>
        <v>0</v>
      </c>
      <c r="G108" s="100">
        <f>'Bütçe aylık-TL'!G108/'Bütçe aylık-TL'!G$3</f>
        <v>0</v>
      </c>
      <c r="H108" s="100">
        <f>'Bütçe aylık-TL'!H108/'Bütçe aylık-TL'!H$3</f>
        <v>0</v>
      </c>
      <c r="I108" s="100">
        <f>'Bütçe aylık-TL'!I108/'Bütçe aylık-TL'!I$3</f>
        <v>0</v>
      </c>
      <c r="J108" s="100">
        <f>'Bütçe aylık-TL'!J108/'Bütçe aylık-TL'!J$3</f>
        <v>0</v>
      </c>
      <c r="K108" s="100">
        <f>'Bütçe aylık-TL'!K108/'Bütçe aylık-TL'!K$3</f>
        <v>0</v>
      </c>
      <c r="L108" s="100">
        <f>'Bütçe aylık-TL'!L108/'Bütçe aylık-TL'!L$3</f>
        <v>0</v>
      </c>
      <c r="M108" s="100">
        <f>'Bütçe aylık-TL'!M108/'Bütçe aylık-TL'!M$3</f>
        <v>0</v>
      </c>
      <c r="N108" s="101">
        <f t="shared" si="19"/>
        <v>0</v>
      </c>
    </row>
    <row r="109" spans="1:14">
      <c r="A109" s="61" t="s">
        <v>292</v>
      </c>
      <c r="B109" s="100">
        <v>-149636.27596900001</v>
      </c>
      <c r="C109" s="100">
        <v>19654.650043000016</v>
      </c>
      <c r="D109" s="100">
        <v>18702.628254999989</v>
      </c>
      <c r="E109" s="100">
        <v>46753.247644000003</v>
      </c>
      <c r="F109" s="100">
        <v>44338.637235000002</v>
      </c>
      <c r="G109" s="100">
        <v>34787.411583000001</v>
      </c>
      <c r="H109" s="100">
        <v>33635.872697999999</v>
      </c>
      <c r="I109" s="100">
        <v>32849.048731999996</v>
      </c>
      <c r="J109" s="100">
        <v>29248.266539000004</v>
      </c>
      <c r="K109" s="100">
        <v>27820.762236999988</v>
      </c>
      <c r="L109" s="100">
        <v>23801.806549000001</v>
      </c>
      <c r="M109" s="100">
        <v>23459.831711000006</v>
      </c>
      <c r="N109" s="101">
        <f t="shared" si="19"/>
        <v>185415.88725699999</v>
      </c>
    </row>
    <row r="110" spans="1:14">
      <c r="A110" s="61" t="s">
        <v>293</v>
      </c>
      <c r="B110" s="100">
        <v>-27437.962759999999</v>
      </c>
      <c r="C110" s="100">
        <v>3230.4998969999979</v>
      </c>
      <c r="D110" s="100">
        <v>2775.8297610000009</v>
      </c>
      <c r="E110" s="100">
        <v>2172.5369429999992</v>
      </c>
      <c r="F110" s="100">
        <v>1893.6692320000002</v>
      </c>
      <c r="G110" s="100">
        <v>1215.4488010000005</v>
      </c>
      <c r="H110" s="100">
        <v>953.29317699999956</v>
      </c>
      <c r="I110" s="100">
        <v>842.79357499999969</v>
      </c>
      <c r="J110" s="100">
        <v>1714.0952610000004</v>
      </c>
      <c r="K110" s="100">
        <v>1901.0937560000002</v>
      </c>
      <c r="L110" s="100">
        <v>1741.5358959999994</v>
      </c>
      <c r="M110" s="100">
        <v>1514.1428080000005</v>
      </c>
      <c r="N110" s="101">
        <f t="shared" si="19"/>
        <v>-7483.0236530000002</v>
      </c>
    </row>
    <row r="111" spans="1:14">
      <c r="A111" s="61" t="s">
        <v>294</v>
      </c>
      <c r="B111" s="100">
        <v>0</v>
      </c>
      <c r="C111" s="100">
        <v>0</v>
      </c>
      <c r="D111" s="100">
        <v>0</v>
      </c>
      <c r="E111" s="100">
        <v>0</v>
      </c>
      <c r="F111" s="100">
        <v>0</v>
      </c>
      <c r="G111" s="100">
        <v>0</v>
      </c>
      <c r="H111" s="100">
        <v>0</v>
      </c>
      <c r="I111" s="100">
        <v>0</v>
      </c>
      <c r="J111" s="100">
        <v>0</v>
      </c>
      <c r="K111" s="100">
        <v>0</v>
      </c>
      <c r="L111" s="100">
        <v>0</v>
      </c>
      <c r="M111" s="100">
        <v>0</v>
      </c>
      <c r="N111" s="101">
        <f t="shared" si="19"/>
        <v>0</v>
      </c>
    </row>
    <row r="112" spans="1:14">
      <c r="A112" s="61" t="s">
        <v>295</v>
      </c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70"/>
    </row>
    <row r="113" spans="1:14">
      <c r="A113" s="61" t="s">
        <v>296</v>
      </c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70"/>
    </row>
    <row r="114" spans="1:14">
      <c r="A114" s="61" t="s">
        <v>297</v>
      </c>
      <c r="B114" s="103">
        <f t="shared" ref="B114:N114" si="20">SUM(B115:B117)+SUM(B118:B122)*0.4</f>
        <v>1557792.4278231608</v>
      </c>
      <c r="C114" s="103">
        <f t="shared" si="20"/>
        <v>1677288.565110957</v>
      </c>
      <c r="D114" s="103">
        <f t="shared" si="20"/>
        <v>2303789.6601544255</v>
      </c>
      <c r="E114" s="103">
        <f t="shared" si="20"/>
        <v>1224418.9875438479</v>
      </c>
      <c r="F114" s="103">
        <f t="shared" si="20"/>
        <v>2513150.4203777523</v>
      </c>
      <c r="G114" s="103">
        <f t="shared" si="20"/>
        <v>2208740.5303879334</v>
      </c>
      <c r="H114" s="103">
        <f t="shared" si="20"/>
        <v>2215040.4456409635</v>
      </c>
      <c r="I114" s="103">
        <f t="shared" si="20"/>
        <v>934287.39809360891</v>
      </c>
      <c r="J114" s="103">
        <f t="shared" si="20"/>
        <v>3849537.6482574726</v>
      </c>
      <c r="K114" s="103">
        <f t="shared" si="20"/>
        <v>3435892.9612608403</v>
      </c>
      <c r="L114" s="103">
        <f t="shared" si="20"/>
        <v>3372769.0932138059</v>
      </c>
      <c r="M114" s="103">
        <f t="shared" si="20"/>
        <v>2172125.9390526521</v>
      </c>
      <c r="N114" s="103">
        <f t="shared" si="20"/>
        <v>27464834.076917417</v>
      </c>
    </row>
    <row r="115" spans="1:14">
      <c r="A115" s="61" t="s">
        <v>299</v>
      </c>
      <c r="B115" s="100">
        <v>345823.85472991527</v>
      </c>
      <c r="C115" s="100">
        <v>287018.49907661008</v>
      </c>
      <c r="D115" s="100">
        <v>275126.30683641939</v>
      </c>
      <c r="E115" s="100">
        <v>281301.07242794137</v>
      </c>
      <c r="F115" s="100">
        <v>297280.06772625155</v>
      </c>
      <c r="G115" s="100">
        <v>320337.54578104976</v>
      </c>
      <c r="H115" s="100">
        <v>332700.23443316732</v>
      </c>
      <c r="I115" s="100">
        <v>264777.634654972</v>
      </c>
      <c r="J115" s="100">
        <v>440752.00934208394</v>
      </c>
      <c r="K115" s="100">
        <v>392681.96461341012</v>
      </c>
      <c r="L115" s="100">
        <v>349879.48643464642</v>
      </c>
      <c r="M115" s="100">
        <v>-192831.30962240999</v>
      </c>
      <c r="N115" s="101">
        <f>SUM(B115:M115)</f>
        <v>3394847.3664340572</v>
      </c>
    </row>
    <row r="116" spans="1:14">
      <c r="A116" s="61" t="s">
        <v>300</v>
      </c>
      <c r="B116" s="100">
        <v>-36913.046813894987</v>
      </c>
      <c r="C116" s="100">
        <v>78018.194207565481</v>
      </c>
      <c r="D116" s="100">
        <v>97657.760375723228</v>
      </c>
      <c r="E116" s="100">
        <v>165394.33558718429</v>
      </c>
      <c r="F116" s="100">
        <v>206935.17695367368</v>
      </c>
      <c r="G116" s="100">
        <v>187648.90563727848</v>
      </c>
      <c r="H116" s="100">
        <v>141747.30547794452</v>
      </c>
      <c r="I116" s="100">
        <v>28922.909464419354</v>
      </c>
      <c r="J116" s="100">
        <v>57840.268589109939</v>
      </c>
      <c r="K116" s="100">
        <v>15530.967100155825</v>
      </c>
      <c r="L116" s="100">
        <v>-11846.558515978219</v>
      </c>
      <c r="M116" s="100">
        <v>-50284.447688339511</v>
      </c>
      <c r="N116" s="101">
        <f t="shared" ref="N116:N122" si="21">SUM(B116:M116)</f>
        <v>880651.7703748421</v>
      </c>
    </row>
    <row r="117" spans="1:14">
      <c r="A117" s="61" t="s">
        <v>301</v>
      </c>
      <c r="B117" s="100">
        <v>-93627.604379739729</v>
      </c>
      <c r="C117" s="100">
        <v>-53219.869221286383</v>
      </c>
      <c r="D117" s="100">
        <v>2373.8570890567739</v>
      </c>
      <c r="E117" s="100">
        <v>-2878.5635242976741</v>
      </c>
      <c r="F117" s="100">
        <v>57179.170531330768</v>
      </c>
      <c r="G117" s="100">
        <v>56683.962763977353</v>
      </c>
      <c r="H117" s="100">
        <v>80912.610977002681</v>
      </c>
      <c r="I117" s="100">
        <v>51336.42944839289</v>
      </c>
      <c r="J117" s="100">
        <v>32753.646153133075</v>
      </c>
      <c r="K117" s="100">
        <v>53074.905198303626</v>
      </c>
      <c r="L117" s="100">
        <v>71839.052132951983</v>
      </c>
      <c r="M117" s="100">
        <v>3132.5066639007609</v>
      </c>
      <c r="N117" s="101">
        <f t="shared" si="21"/>
        <v>259560.10383272616</v>
      </c>
    </row>
    <row r="118" spans="1:14">
      <c r="A118" s="61" t="s">
        <v>302</v>
      </c>
      <c r="B118" s="100">
        <v>-527081.70726080437</v>
      </c>
      <c r="C118" s="100">
        <v>-1131046.1757993212</v>
      </c>
      <c r="D118" s="100">
        <v>-942843.45455476781</v>
      </c>
      <c r="E118" s="100">
        <v>-1464087.2201337065</v>
      </c>
      <c r="F118" s="100">
        <v>-446661.07461974403</v>
      </c>
      <c r="G118" s="100">
        <v>-37867.807631131152</v>
      </c>
      <c r="H118" s="100">
        <v>-158298.48951395514</v>
      </c>
      <c r="I118" s="100">
        <v>-16630.475664051286</v>
      </c>
      <c r="J118" s="100">
        <v>406101.08182540484</v>
      </c>
      <c r="K118" s="100">
        <v>1230976.091553174</v>
      </c>
      <c r="L118" s="100">
        <v>1441848.2860002546</v>
      </c>
      <c r="M118" s="100">
        <v>2091412.3268327527</v>
      </c>
      <c r="N118" s="101">
        <f t="shared" si="21"/>
        <v>445821.38103410415</v>
      </c>
    </row>
    <row r="119" spans="1:14">
      <c r="A119" s="61" t="s">
        <v>303</v>
      </c>
      <c r="B119" s="100">
        <v>306036.36138400546</v>
      </c>
      <c r="C119" s="100">
        <v>351359.58350049076</v>
      </c>
      <c r="D119" s="100">
        <v>322006.20213583147</v>
      </c>
      <c r="E119" s="100">
        <f>'Bütçe aylık-TL'!E119/'Bütçe aylık-TL'!E$3</f>
        <v>-180372.60545074256</v>
      </c>
      <c r="F119" s="100">
        <f>'Bütçe aylık-TL'!F119/'Bütçe aylık-TL'!F$3</f>
        <v>3357.8267799830646</v>
      </c>
      <c r="G119" s="100">
        <f>'Bütçe aylık-TL'!G119/'Bütçe aylık-TL'!G$3</f>
        <v>-75802.743604800504</v>
      </c>
      <c r="H119" s="100">
        <f>'Bütçe aylık-TL'!H119/'Bütçe aylık-TL'!H$3</f>
        <v>80880.370324078205</v>
      </c>
      <c r="I119" s="100">
        <f>'Bütçe aylık-TL'!I119/'Bütçe aylık-TL'!I$3</f>
        <v>128993.89957761252</v>
      </c>
      <c r="J119" s="100">
        <f>'Bütçe aylık-TL'!J119/'Bütçe aylık-TL'!J$3</f>
        <v>115203.52241745834</v>
      </c>
      <c r="K119" s="100">
        <f>'Bütçe aylık-TL'!K119/'Bütçe aylık-TL'!K$3</f>
        <v>294188.31385025603</v>
      </c>
      <c r="L119" s="100">
        <f>'Bütçe aylık-TL'!L119/'Bütçe aylık-TL'!L$3</f>
        <v>190844.38166620772</v>
      </c>
      <c r="M119" s="100">
        <f>'Bütçe aylık-TL'!M119/'Bütçe aylık-TL'!M$3</f>
        <v>90073.219126999611</v>
      </c>
      <c r="N119" s="101">
        <f t="shared" si="21"/>
        <v>1626768.33170738</v>
      </c>
    </row>
    <row r="120" spans="1:14">
      <c r="A120" s="61" t="s">
        <v>304</v>
      </c>
      <c r="B120" s="100">
        <v>395421.97810800001</v>
      </c>
      <c r="C120" s="100">
        <v>1055443.6314739999</v>
      </c>
      <c r="D120" s="100">
        <v>2047065.6199270003</v>
      </c>
      <c r="E120" s="100">
        <v>458812.74869499961</v>
      </c>
      <c r="F120" s="100">
        <v>1153031.66646</v>
      </c>
      <c r="G120" s="100">
        <v>1428787.6816410003</v>
      </c>
      <c r="H120" s="100">
        <v>499064.86148799956</v>
      </c>
      <c r="I120" s="100">
        <v>112466.95990900043</v>
      </c>
      <c r="J120" s="100">
        <v>2457554.9867280005</v>
      </c>
      <c r="K120" s="100">
        <v>1447365.6834439987</v>
      </c>
      <c r="L120" s="100">
        <v>1460123.1659990009</v>
      </c>
      <c r="M120" s="100">
        <v>1084720.4323589988</v>
      </c>
      <c r="N120" s="101">
        <f t="shared" si="21"/>
        <v>13599859.416231999</v>
      </c>
    </row>
    <row r="121" spans="1:14">
      <c r="A121" s="61" t="s">
        <v>305</v>
      </c>
      <c r="B121" s="100">
        <v>1228099.1459580001</v>
      </c>
      <c r="C121" s="100">
        <v>1096365.1746599998</v>
      </c>
      <c r="D121" s="100">
        <v>1646319.1123120002</v>
      </c>
      <c r="E121" s="100">
        <v>1603939.1702969996</v>
      </c>
      <c r="F121" s="100">
        <v>1700068.628458</v>
      </c>
      <c r="G121" s="100">
        <v>1339066.9792970009</v>
      </c>
      <c r="H121" s="100">
        <v>1138960.0685639996</v>
      </c>
      <c r="I121" s="100">
        <v>634549.99841099977</v>
      </c>
      <c r="J121" s="100">
        <v>1956700.506457001</v>
      </c>
      <c r="K121" s="100">
        <v>1760754.8504299987</v>
      </c>
      <c r="L121" s="100">
        <v>1642522.581708001</v>
      </c>
      <c r="M121" s="100">
        <v>926117.46297200036</v>
      </c>
      <c r="N121" s="101">
        <f t="shared" si="21"/>
        <v>16673463.679524001</v>
      </c>
    </row>
    <row r="122" spans="1:14">
      <c r="A122" s="61" t="s">
        <v>306</v>
      </c>
      <c r="B122" s="100">
        <v>1953797.282528</v>
      </c>
      <c r="C122" s="100">
        <v>2041557.138785</v>
      </c>
      <c r="D122" s="100">
        <v>1749031.8598130001</v>
      </c>
      <c r="E122" s="100">
        <v>1533213.2642249996</v>
      </c>
      <c r="F122" s="100">
        <v>2469592.9658380011</v>
      </c>
      <c r="G122" s="100">
        <v>1455991.1808119994</v>
      </c>
      <c r="H122" s="100">
        <v>2588593.9260200001</v>
      </c>
      <c r="I122" s="100">
        <v>613745.67908100039</v>
      </c>
      <c r="J122" s="100">
        <v>3359919.2130049993</v>
      </c>
      <c r="K122" s="100">
        <v>2703227.8715949985</v>
      </c>
      <c r="L122" s="100">
        <v>2671904.3675319999</v>
      </c>
      <c r="M122" s="100">
        <v>1837949.5329580009</v>
      </c>
      <c r="N122" s="101">
        <f t="shared" si="21"/>
        <v>24978524.282191999</v>
      </c>
    </row>
    <row r="123" spans="1:14">
      <c r="A123" s="61" t="s">
        <v>307</v>
      </c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70"/>
    </row>
    <row r="124" spans="1:14">
      <c r="A124" s="61" t="s">
        <v>308</v>
      </c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70"/>
    </row>
    <row r="125" spans="1:14">
      <c r="A125" s="61" t="s">
        <v>309</v>
      </c>
      <c r="B125" s="103">
        <f t="shared" ref="B125:N125" si="22">SUM(B126:B128)+SUM(B129:B133)*0.4</f>
        <v>-43625.258965949368</v>
      </c>
      <c r="C125" s="103">
        <f t="shared" si="22"/>
        <v>-366752.17894070549</v>
      </c>
      <c r="D125" s="103">
        <f t="shared" si="22"/>
        <v>-27863.116303966512</v>
      </c>
      <c r="E125" s="103">
        <f t="shared" si="22"/>
        <v>-436933.46083464497</v>
      </c>
      <c r="F125" s="103">
        <f t="shared" si="22"/>
        <v>-473833.62581205793</v>
      </c>
      <c r="G125" s="103">
        <f t="shared" si="22"/>
        <v>-17293.748955722491</v>
      </c>
      <c r="H125" s="103">
        <f t="shared" si="22"/>
        <v>-385731.95926988299</v>
      </c>
      <c r="I125" s="103">
        <f t="shared" si="22"/>
        <v>-221042.30926129135</v>
      </c>
      <c r="J125" s="103">
        <f t="shared" si="22"/>
        <v>-197052.08663990311</v>
      </c>
      <c r="K125" s="103">
        <f t="shared" si="22"/>
        <v>-498014.47590222396</v>
      </c>
      <c r="L125" s="103">
        <f t="shared" si="22"/>
        <v>-441788.07264467177</v>
      </c>
      <c r="M125" s="103">
        <f t="shared" si="22"/>
        <v>-1263293.3039519014</v>
      </c>
      <c r="N125" s="103">
        <f t="shared" si="22"/>
        <v>-4373223.5974829216</v>
      </c>
    </row>
    <row r="126" spans="1:14">
      <c r="A126" s="61" t="s">
        <v>311</v>
      </c>
      <c r="B126" s="100">
        <v>-86455.963682485555</v>
      </c>
      <c r="C126" s="100">
        <v>-71754.624769145928</v>
      </c>
      <c r="D126" s="100">
        <v>-68781.576709117755</v>
      </c>
      <c r="E126" s="100">
        <v>-70325.268106985342</v>
      </c>
      <c r="F126" s="100">
        <v>-74320.016931556675</v>
      </c>
      <c r="G126" s="100">
        <v>-80084.386445268523</v>
      </c>
      <c r="H126" s="100">
        <v>-83175.058608297826</v>
      </c>
      <c r="I126" s="100">
        <v>-66194.408663731228</v>
      </c>
      <c r="J126" s="100">
        <v>-110188.00233553254</v>
      </c>
      <c r="K126" s="100">
        <v>-98170.491153341165</v>
      </c>
      <c r="L126" s="100">
        <v>-87469.871608672649</v>
      </c>
      <c r="M126" s="100">
        <v>48207.827405602504</v>
      </c>
      <c r="N126" s="101">
        <f>SUM(B126:M126)</f>
        <v>-848711.84160853259</v>
      </c>
    </row>
    <row r="127" spans="1:14">
      <c r="A127" s="61" t="s">
        <v>312</v>
      </c>
      <c r="B127" s="100">
        <v>7382.6093627736118</v>
      </c>
      <c r="C127" s="100">
        <v>-15603.638841507818</v>
      </c>
      <c r="D127" s="100">
        <v>-19531.552075154992</v>
      </c>
      <c r="E127" s="100">
        <v>-33078.867117426715</v>
      </c>
      <c r="F127" s="100">
        <v>-41387.035390729761</v>
      </c>
      <c r="G127" s="100">
        <v>-37529.78112746546</v>
      </c>
      <c r="H127" s="100">
        <v>-28349.461095584113</v>
      </c>
      <c r="I127" s="100">
        <v>-5784.5818928885774</v>
      </c>
      <c r="J127" s="100">
        <v>-11568.053717826611</v>
      </c>
      <c r="K127" s="100">
        <v>-3106.193420022079</v>
      </c>
      <c r="L127" s="100">
        <v>2369.3117032045743</v>
      </c>
      <c r="M127" s="100">
        <v>10056.889537676683</v>
      </c>
      <c r="N127" s="101">
        <f t="shared" ref="N127:N133" si="23">SUM(B127:M127)</f>
        <v>-176130.35407495126</v>
      </c>
    </row>
    <row r="128" spans="1:14">
      <c r="A128" s="61" t="s">
        <v>313</v>
      </c>
      <c r="B128" s="100">
        <v>0</v>
      </c>
      <c r="C128" s="100">
        <v>0</v>
      </c>
      <c r="D128" s="100">
        <v>-593.46426411063499</v>
      </c>
      <c r="E128" s="100">
        <v>0</v>
      </c>
      <c r="F128" s="100">
        <v>-14294.792653668464</v>
      </c>
      <c r="G128" s="100">
        <v>-14170.990699398695</v>
      </c>
      <c r="H128" s="100">
        <v>-20228.152747575888</v>
      </c>
      <c r="I128" s="100">
        <v>-12834.107366575514</v>
      </c>
      <c r="J128" s="100">
        <v>-8188.4115644346211</v>
      </c>
      <c r="K128" s="100">
        <v>-13268.72630489694</v>
      </c>
      <c r="L128" s="100">
        <v>-17959.763033193343</v>
      </c>
      <c r="M128" s="100">
        <v>-783.12667044234729</v>
      </c>
      <c r="N128" s="101">
        <f t="shared" si="23"/>
        <v>-102321.53530429646</v>
      </c>
    </row>
    <row r="129" spans="1:14">
      <c r="A129" s="61" t="s">
        <v>314</v>
      </c>
      <c r="B129" s="100">
        <v>0</v>
      </c>
      <c r="C129" s="100">
        <v>0</v>
      </c>
      <c r="D129" s="100">
        <v>0</v>
      </c>
      <c r="E129" s="100">
        <v>0</v>
      </c>
      <c r="F129" s="100">
        <v>0</v>
      </c>
      <c r="G129" s="100">
        <v>0</v>
      </c>
      <c r="H129" s="100">
        <v>0</v>
      </c>
      <c r="I129" s="100">
        <v>0</v>
      </c>
      <c r="J129" s="100">
        <v>0</v>
      </c>
      <c r="K129" s="100">
        <v>0</v>
      </c>
      <c r="L129" s="100">
        <v>0</v>
      </c>
      <c r="M129" s="100">
        <v>0</v>
      </c>
      <c r="N129" s="101">
        <f t="shared" si="23"/>
        <v>0</v>
      </c>
    </row>
    <row r="130" spans="1:14">
      <c r="A130" s="61" t="s">
        <v>315</v>
      </c>
      <c r="B130" s="100">
        <v>-76509.097078593579</v>
      </c>
      <c r="C130" s="100">
        <v>-87839.895875129267</v>
      </c>
      <c r="D130" s="100">
        <v>-80501.550533957867</v>
      </c>
      <c r="E130" s="100">
        <f>'Bütçe aylık-TL'!E130/'Bütçe aylık-TL'!E$3</f>
        <v>3182.3833764177934</v>
      </c>
      <c r="F130" s="100">
        <f>'Bütçe aylık-TL'!F130/'Bütçe aylık-TL'!F$3</f>
        <v>-16276.981835257324</v>
      </c>
      <c r="G130" s="100">
        <f>'Bütçe aylık-TL'!G130/'Bütçe aylık-TL'!G$3</f>
        <v>9196.469225025201</v>
      </c>
      <c r="H130" s="100">
        <f>'Bütçe aylık-TL'!H130/'Bütçe aylık-TL'!H$3</f>
        <v>-27444.521269062629</v>
      </c>
      <c r="I130" s="100">
        <f>'Bütçe aylık-TL'!I130/'Bütçe aylık-TL'!I$3</f>
        <v>-37964.552360240275</v>
      </c>
      <c r="J130" s="100">
        <f>'Bütçe aylık-TL'!J130/'Bütçe aylık-TL'!J$3</f>
        <v>-35632.66014527325</v>
      </c>
      <c r="K130" s="100">
        <f>'Bütçe aylık-TL'!K130/'Bütçe aylık-TL'!K$3</f>
        <v>-79245.812389909333</v>
      </c>
      <c r="L130" s="100">
        <f>'Bütçe aylık-TL'!L130/'Bütçe aylık-TL'!L$3</f>
        <v>-55629.04194402579</v>
      </c>
      <c r="M130" s="100">
        <f>'Bütçe aylık-TL'!M130/'Bütçe aylık-TL'!M$3</f>
        <v>-29251.953418844158</v>
      </c>
      <c r="N130" s="101">
        <f t="shared" si="23"/>
        <v>-513917.21424885042</v>
      </c>
    </row>
    <row r="131" spans="1:14">
      <c r="A131" s="61" t="s">
        <v>316</v>
      </c>
      <c r="B131" s="100">
        <v>-138011.98475800001</v>
      </c>
      <c r="C131" s="100">
        <v>-283917.906647</v>
      </c>
      <c r="D131" s="100">
        <v>-337013.95989399997</v>
      </c>
      <c r="E131" s="100">
        <v>-203849.692668</v>
      </c>
      <c r="F131" s="100">
        <v>-352037.22304700012</v>
      </c>
      <c r="G131" s="100">
        <v>-114211.85653399979</v>
      </c>
      <c r="H131" s="100">
        <v>-190248.61844800014</v>
      </c>
      <c r="I131" s="100">
        <v>-89370.826371999909</v>
      </c>
      <c r="J131" s="100">
        <v>-393192.4728430002</v>
      </c>
      <c r="K131" s="100">
        <v>-391640.81520899991</v>
      </c>
      <c r="L131" s="100">
        <v>-383612.39072800009</v>
      </c>
      <c r="M131" s="100">
        <v>-115793.09614000005</v>
      </c>
      <c r="N131" s="101">
        <f t="shared" si="23"/>
        <v>-2992900.8432880002</v>
      </c>
    </row>
    <row r="132" spans="1:14">
      <c r="A132" s="61" t="s">
        <v>317</v>
      </c>
      <c r="B132" s="100">
        <v>91802.454859999998</v>
      </c>
      <c r="C132" s="100">
        <v>-113078.57681699999</v>
      </c>
      <c r="D132" s="100">
        <v>-255437.71435899998</v>
      </c>
      <c r="E132" s="100">
        <v>-223284.17664800002</v>
      </c>
      <c r="F132" s="100">
        <v>-176614.93178700004</v>
      </c>
      <c r="G132" s="100">
        <v>-296754.65589199995</v>
      </c>
      <c r="H132" s="100">
        <v>-126241.19581400009</v>
      </c>
      <c r="I132" s="100">
        <v>-95359.409051999915</v>
      </c>
      <c r="J132" s="100">
        <v>-232022.57967499993</v>
      </c>
      <c r="K132" s="100">
        <v>-167920.05612100009</v>
      </c>
      <c r="L132" s="100">
        <v>-162010.38846100005</v>
      </c>
      <c r="M132" s="100">
        <v>-3580971.7903960007</v>
      </c>
      <c r="N132" s="101">
        <f t="shared" si="23"/>
        <v>-5337893.0201620013</v>
      </c>
    </row>
    <row r="133" spans="1:14">
      <c r="A133" s="61" t="s">
        <v>318</v>
      </c>
      <c r="B133" s="100">
        <v>211338.865361</v>
      </c>
      <c r="C133" s="100">
        <v>-213648.40898599999</v>
      </c>
      <c r="D133" s="100">
        <v>825561.91664800001</v>
      </c>
      <c r="E133" s="100">
        <v>-409871.82808599994</v>
      </c>
      <c r="F133" s="100">
        <v>-314650.31542100001</v>
      </c>
      <c r="G133" s="100">
        <v>687998.56649200001</v>
      </c>
      <c r="H133" s="100">
        <v>-291013.88151500002</v>
      </c>
      <c r="I133" s="100">
        <v>-117878.24056100001</v>
      </c>
      <c r="J133" s="100">
        <v>493078.66510799999</v>
      </c>
      <c r="K133" s="100">
        <v>-319865.97884</v>
      </c>
      <c r="L133" s="100">
        <v>-245567.55313199997</v>
      </c>
      <c r="M133" s="100">
        <v>424079.60439299996</v>
      </c>
      <c r="N133" s="101">
        <f t="shared" si="23"/>
        <v>729561.4114610001</v>
      </c>
    </row>
    <row r="134" spans="1:14">
      <c r="A134" s="61" t="s">
        <v>319</v>
      </c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70"/>
    </row>
    <row r="135" spans="1:14">
      <c r="A135" s="61" t="s">
        <v>320</v>
      </c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70"/>
    </row>
    <row r="136" spans="1:14">
      <c r="A136" s="61" t="s">
        <v>321</v>
      </c>
      <c r="B136" s="103">
        <f t="shared" ref="B136:N136" si="24">SUM(B137:B139)+SUM(B140:B144)*0.4</f>
        <v>1514167.1688572117</v>
      </c>
      <c r="C136" s="103">
        <f t="shared" si="24"/>
        <v>1310536.3861698252</v>
      </c>
      <c r="D136" s="103">
        <f t="shared" si="24"/>
        <v>2275926.5438509099</v>
      </c>
      <c r="E136" s="103">
        <f t="shared" si="24"/>
        <v>787485.52670920361</v>
      </c>
      <c r="F136" s="103">
        <f t="shared" si="24"/>
        <v>2039316.7945656942</v>
      </c>
      <c r="G136" s="103">
        <f t="shared" si="24"/>
        <v>2191446.7814314584</v>
      </c>
      <c r="H136" s="103">
        <f t="shared" si="24"/>
        <v>1829308.4863726816</v>
      </c>
      <c r="I136" s="103">
        <f t="shared" si="24"/>
        <v>713245.08883151691</v>
      </c>
      <c r="J136" s="103">
        <f t="shared" si="24"/>
        <v>3652485.5616175923</v>
      </c>
      <c r="K136" s="103">
        <f t="shared" si="24"/>
        <v>2937878.4853581963</v>
      </c>
      <c r="L136" s="103">
        <f t="shared" si="24"/>
        <v>2930981.0205695103</v>
      </c>
      <c r="M136" s="103">
        <f t="shared" si="24"/>
        <v>908832.63510072837</v>
      </c>
      <c r="N136" s="103">
        <f t="shared" si="24"/>
        <v>23091610.479434527</v>
      </c>
    </row>
    <row r="137" spans="1:14">
      <c r="A137" s="61" t="s">
        <v>323</v>
      </c>
      <c r="B137" s="100">
        <v>259367.89104742973</v>
      </c>
      <c r="C137" s="100">
        <v>215263.87430743777</v>
      </c>
      <c r="D137" s="100">
        <v>206344.73012732738</v>
      </c>
      <c r="E137" s="100">
        <v>210975.80432095606</v>
      </c>
      <c r="F137" s="100">
        <v>222960.05079469486</v>
      </c>
      <c r="G137" s="100">
        <v>240253.15933578118</v>
      </c>
      <c r="H137" s="100">
        <v>249525.17582486951</v>
      </c>
      <c r="I137" s="100">
        <v>198583.22599121722</v>
      </c>
      <c r="J137" s="100">
        <v>330564.00700657454</v>
      </c>
      <c r="K137" s="100">
        <v>294511.47346004623</v>
      </c>
      <c r="L137" s="100">
        <v>262409.61482597329</v>
      </c>
      <c r="M137" s="100">
        <v>-144623.48221680755</v>
      </c>
      <c r="N137" s="101">
        <f>SUM(B137:M137)</f>
        <v>2546135.5248254999</v>
      </c>
    </row>
    <row r="138" spans="1:14">
      <c r="A138" s="61" t="s">
        <v>324</v>
      </c>
      <c r="B138" s="100">
        <v>-29530.437451121379</v>
      </c>
      <c r="C138" s="100">
        <v>62414.55536605767</v>
      </c>
      <c r="D138" s="100">
        <v>78126.208300594095</v>
      </c>
      <c r="E138" s="100">
        <v>132315.46846975759</v>
      </c>
      <c r="F138" s="100">
        <v>165548.1415629439</v>
      </c>
      <c r="G138" s="100">
        <v>150119.12450983742</v>
      </c>
      <c r="H138" s="100">
        <v>113397.84438236043</v>
      </c>
      <c r="I138" s="100">
        <v>23138.327571530775</v>
      </c>
      <c r="J138" s="100">
        <v>46272.21487128333</v>
      </c>
      <c r="K138" s="100">
        <v>12424.773680133747</v>
      </c>
      <c r="L138" s="100">
        <v>-9477.2468127736429</v>
      </c>
      <c r="M138" s="100">
        <v>-40227.558150684781</v>
      </c>
      <c r="N138" s="101">
        <f t="shared" ref="N138:N144" si="25">SUM(B138:M138)</f>
        <v>704521.41629991925</v>
      </c>
    </row>
    <row r="139" spans="1:14">
      <c r="A139" s="61" t="s">
        <v>325</v>
      </c>
      <c r="B139" s="100">
        <v>-93627.604379739729</v>
      </c>
      <c r="C139" s="100">
        <v>-53219.869221286383</v>
      </c>
      <c r="D139" s="100">
        <v>1780.3928249461389</v>
      </c>
      <c r="E139" s="100">
        <v>-2878.5635242976741</v>
      </c>
      <c r="F139" s="100">
        <v>42884.377877662308</v>
      </c>
      <c r="G139" s="100">
        <v>42512.972064603069</v>
      </c>
      <c r="H139" s="100">
        <v>60684.458229426804</v>
      </c>
      <c r="I139" s="100">
        <v>38502.32208184091</v>
      </c>
      <c r="J139" s="100">
        <v>24565.234588698451</v>
      </c>
      <c r="K139" s="100">
        <v>39806.178893406686</v>
      </c>
      <c r="L139" s="100">
        <v>53879.289099736314</v>
      </c>
      <c r="M139" s="100">
        <v>2349.3799934584135</v>
      </c>
      <c r="N139" s="101">
        <f t="shared" si="25"/>
        <v>157238.56852845533</v>
      </c>
    </row>
    <row r="140" spans="1:14">
      <c r="A140" s="61" t="s">
        <v>326</v>
      </c>
      <c r="B140" s="100">
        <v>-527081.70726080437</v>
      </c>
      <c r="C140" s="100">
        <v>-1131046.1757993212</v>
      </c>
      <c r="D140" s="100">
        <v>-942843.45455476781</v>
      </c>
      <c r="E140" s="100">
        <v>-1464087.2201337065</v>
      </c>
      <c r="F140" s="100">
        <v>-446661.07461974403</v>
      </c>
      <c r="G140" s="100">
        <v>-37867.807631131152</v>
      </c>
      <c r="H140" s="100">
        <v>-158298.48951395514</v>
      </c>
      <c r="I140" s="100">
        <v>-16630.475664051286</v>
      </c>
      <c r="J140" s="100">
        <v>406101.08182540484</v>
      </c>
      <c r="K140" s="100">
        <v>1230976.091553174</v>
      </c>
      <c r="L140" s="100">
        <v>1441848.2860002546</v>
      </c>
      <c r="M140" s="100">
        <v>2091412.3268327527</v>
      </c>
      <c r="N140" s="101">
        <f t="shared" si="25"/>
        <v>445821.38103410415</v>
      </c>
    </row>
    <row r="141" spans="1:14">
      <c r="A141" s="61" t="s">
        <v>327</v>
      </c>
      <c r="B141" s="100">
        <v>229527.2643054119</v>
      </c>
      <c r="C141" s="100">
        <v>263519.68762536149</v>
      </c>
      <c r="D141" s="100">
        <v>241504.65160187363</v>
      </c>
      <c r="E141" s="100">
        <f>'Bütçe aylık-TL'!E141/'Bütçe aylık-TL'!E$3</f>
        <v>-177190.22207432476</v>
      </c>
      <c r="F141" s="100">
        <f>'Bütçe aylık-TL'!F141/'Bütçe aylık-TL'!F$3</f>
        <v>-12919.155055274259</v>
      </c>
      <c r="G141" s="100">
        <f>'Bütçe aylık-TL'!G141/'Bütçe aylık-TL'!G$3</f>
        <v>-66606.274379775306</v>
      </c>
      <c r="H141" s="100">
        <f>'Bütçe aylık-TL'!H141/'Bütçe aylık-TL'!H$3</f>
        <v>53435.849055015577</v>
      </c>
      <c r="I141" s="100">
        <f>'Bütçe aylık-TL'!I141/'Bütçe aylık-TL'!I$3</f>
        <v>91029.34721737224</v>
      </c>
      <c r="J141" s="100">
        <f>'Bütçe aylık-TL'!J141/'Bütçe aylık-TL'!J$3</f>
        <v>79570.862272185084</v>
      </c>
      <c r="K141" s="100">
        <f>'Bütçe aylık-TL'!K141/'Bütçe aylık-TL'!K$3</f>
        <v>214942.50146034671</v>
      </c>
      <c r="L141" s="100">
        <f>'Bütçe aylık-TL'!L141/'Bütçe aylık-TL'!L$3</f>
        <v>135215.33972218193</v>
      </c>
      <c r="M141" s="100">
        <f>'Bütçe aylık-TL'!M141/'Bütçe aylık-TL'!M$3</f>
        <v>60821.265708155464</v>
      </c>
      <c r="N141" s="101">
        <f t="shared" si="25"/>
        <v>1112851.1174585298</v>
      </c>
    </row>
    <row r="142" spans="1:14">
      <c r="A142" s="61" t="s">
        <v>328</v>
      </c>
      <c r="B142" s="100">
        <v>257409.99335</v>
      </c>
      <c r="C142" s="100">
        <v>771525.72482600005</v>
      </c>
      <c r="D142" s="100">
        <v>1710051.6600340002</v>
      </c>
      <c r="E142" s="100">
        <v>254963.05602699984</v>
      </c>
      <c r="F142" s="100">
        <v>800994.44341300009</v>
      </c>
      <c r="G142" s="100">
        <v>1314575.8251059994</v>
      </c>
      <c r="H142" s="100">
        <v>308816.24304100033</v>
      </c>
      <c r="I142" s="100">
        <v>23096.133538000286</v>
      </c>
      <c r="J142" s="100">
        <v>2064362.5138839998</v>
      </c>
      <c r="K142" s="100">
        <v>1055724.8682340002</v>
      </c>
      <c r="L142" s="100">
        <v>1076510.7752720006</v>
      </c>
      <c r="M142" s="100">
        <v>968927.3362189997</v>
      </c>
      <c r="N142" s="101">
        <f t="shared" si="25"/>
        <v>10606958.572944</v>
      </c>
    </row>
    <row r="143" spans="1:14">
      <c r="A143" s="61" t="s">
        <v>329</v>
      </c>
      <c r="B143" s="100">
        <v>1319901.600818</v>
      </c>
      <c r="C143" s="100">
        <v>983286.59784299997</v>
      </c>
      <c r="D143" s="100">
        <v>1390881.3979529999</v>
      </c>
      <c r="E143" s="100">
        <v>1380654.9936489998</v>
      </c>
      <c r="F143" s="100">
        <v>1523453.6966710007</v>
      </c>
      <c r="G143" s="100">
        <v>1042312.3234039993</v>
      </c>
      <c r="H143" s="100">
        <v>1012718.8727520006</v>
      </c>
      <c r="I143" s="100">
        <v>539190.58935699984</v>
      </c>
      <c r="J143" s="100">
        <v>1724677.9267829994</v>
      </c>
      <c r="K143" s="100">
        <v>1592834.7943090014</v>
      </c>
      <c r="L143" s="100">
        <v>1480512.1932469998</v>
      </c>
      <c r="M143" s="100">
        <v>-2654854.3274240009</v>
      </c>
      <c r="N143" s="101">
        <f t="shared" si="25"/>
        <v>11335570.659361999</v>
      </c>
    </row>
    <row r="144" spans="1:14">
      <c r="A144" s="61" t="s">
        <v>330</v>
      </c>
      <c r="B144" s="100">
        <v>2165136.1478889999</v>
      </c>
      <c r="C144" s="100">
        <v>1827908.7297990001</v>
      </c>
      <c r="D144" s="100">
        <v>2574593.7764609996</v>
      </c>
      <c r="E144" s="100">
        <v>1123341.4361390006</v>
      </c>
      <c r="F144" s="100">
        <v>2154942.6504170001</v>
      </c>
      <c r="G144" s="100">
        <v>2143989.747304</v>
      </c>
      <c r="H144" s="100">
        <v>2297580.0445060004</v>
      </c>
      <c r="I144" s="100">
        <v>495867.43851899914</v>
      </c>
      <c r="J144" s="100">
        <v>3852997.8781130002</v>
      </c>
      <c r="K144" s="100">
        <v>2383361.8927550018</v>
      </c>
      <c r="L144" s="100">
        <v>2426336.8143999986</v>
      </c>
      <c r="M144" s="100">
        <v>2262029.1373509988</v>
      </c>
      <c r="N144" s="101">
        <f t="shared" si="25"/>
        <v>25708085.693652999</v>
      </c>
    </row>
    <row r="145" spans="1:14">
      <c r="A145" s="61" t="s">
        <v>331</v>
      </c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70"/>
    </row>
    <row r="146" spans="1:14">
      <c r="A146" s="61" t="s">
        <v>332</v>
      </c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70"/>
    </row>
    <row r="147" spans="1:14">
      <c r="A147" s="61" t="s">
        <v>465</v>
      </c>
      <c r="B147" s="103">
        <f t="shared" ref="B147:N147" si="26">SUM(B148:B150)+SUM(B151:B155)*0.4</f>
        <v>18777052.134578682</v>
      </c>
      <c r="C147" s="103">
        <f t="shared" si="26"/>
        <v>19105761.826009043</v>
      </c>
      <c r="D147" s="103">
        <f t="shared" si="26"/>
        <v>18922814.427265674</v>
      </c>
      <c r="E147" s="103">
        <f t="shared" si="26"/>
        <v>18972614.529727899</v>
      </c>
      <c r="F147" s="103">
        <f t="shared" si="26"/>
        <v>18334223.36543091</v>
      </c>
      <c r="G147" s="103">
        <f t="shared" si="26"/>
        <v>17660679.390012335</v>
      </c>
      <c r="H147" s="103">
        <f t="shared" si="26"/>
        <v>19504255.395108737</v>
      </c>
      <c r="I147" s="103">
        <f t="shared" si="26"/>
        <v>18749568.445826054</v>
      </c>
      <c r="J147" s="103">
        <f t="shared" si="26"/>
        <v>19078565.804200493</v>
      </c>
      <c r="K147" s="103">
        <f t="shared" si="26"/>
        <v>17955933.696002416</v>
      </c>
      <c r="L147" s="103">
        <f t="shared" si="26"/>
        <v>17407846.206486601</v>
      </c>
      <c r="M147" s="103">
        <f t="shared" si="26"/>
        <v>17151330.330444451</v>
      </c>
      <c r="N147" s="103">
        <f t="shared" si="26"/>
        <v>17151330.330444451</v>
      </c>
    </row>
    <row r="148" spans="1:14">
      <c r="A148" s="61" t="s">
        <v>466</v>
      </c>
      <c r="B148" s="100">
        <v>0</v>
      </c>
      <c r="C148" s="100">
        <v>0</v>
      </c>
      <c r="D148" s="100">
        <v>0</v>
      </c>
      <c r="E148" s="100">
        <v>0</v>
      </c>
      <c r="F148" s="100">
        <v>0</v>
      </c>
      <c r="G148" s="100">
        <v>0</v>
      </c>
      <c r="H148" s="100">
        <v>0</v>
      </c>
      <c r="I148" s="100">
        <v>0</v>
      </c>
      <c r="J148" s="100">
        <v>0</v>
      </c>
      <c r="K148" s="100">
        <v>0</v>
      </c>
      <c r="L148" s="100">
        <v>0</v>
      </c>
      <c r="M148" s="100">
        <v>0</v>
      </c>
      <c r="N148" s="101">
        <f>M148</f>
        <v>0</v>
      </c>
    </row>
    <row r="149" spans="1:14">
      <c r="A149" s="61" t="s">
        <v>467</v>
      </c>
      <c r="B149" s="100">
        <v>1968092.5017859237</v>
      </c>
      <c r="C149" s="100">
        <v>2077149.6315433383</v>
      </c>
      <c r="D149" s="100">
        <v>2014206.6760741568</v>
      </c>
      <c r="E149" s="100">
        <v>1953690.446467818</v>
      </c>
      <c r="F149" s="100">
        <v>1771511.5562335348</v>
      </c>
      <c r="G149" s="100">
        <v>1497584.4624828873</v>
      </c>
      <c r="H149" s="100">
        <v>1304054.7257856915</v>
      </c>
      <c r="I149" s="100">
        <v>976748.57259475207</v>
      </c>
      <c r="J149" s="100">
        <v>842866.98097643035</v>
      </c>
      <c r="K149" s="100">
        <v>735161.12398465979</v>
      </c>
      <c r="L149" s="100">
        <v>785886.80108651624</v>
      </c>
      <c r="M149" s="100">
        <v>707482.99297959183</v>
      </c>
      <c r="N149" s="101">
        <f t="shared" ref="N149:N157" si="27">M149</f>
        <v>707482.99297959183</v>
      </c>
    </row>
    <row r="150" spans="1:14">
      <c r="A150" s="61" t="s">
        <v>468</v>
      </c>
      <c r="B150" s="100">
        <v>345969.3034364371</v>
      </c>
      <c r="C150" s="100">
        <v>685934.17673903448</v>
      </c>
      <c r="D150" s="100">
        <v>527820.54401245678</v>
      </c>
      <c r="E150" s="100">
        <v>597336.86656200944</v>
      </c>
      <c r="F150" s="100">
        <v>450955.93435868114</v>
      </c>
      <c r="G150" s="100">
        <v>349733.76902945543</v>
      </c>
      <c r="H150" s="100">
        <v>299578.93012011569</v>
      </c>
      <c r="I150" s="100">
        <v>425077.80758017494</v>
      </c>
      <c r="J150" s="100">
        <v>275715.6638543008</v>
      </c>
      <c r="K150" s="100">
        <v>309108.2121230546</v>
      </c>
      <c r="L150" s="100">
        <v>306851.0954819257</v>
      </c>
      <c r="M150" s="100">
        <v>400648.62040816329</v>
      </c>
      <c r="N150" s="101">
        <f t="shared" si="27"/>
        <v>400648.62040816329</v>
      </c>
    </row>
    <row r="151" spans="1:14">
      <c r="A151" s="61" t="s">
        <v>469</v>
      </c>
      <c r="B151" s="100">
        <v>41157475.823390804</v>
      </c>
      <c r="C151" s="100">
        <v>40856695.044316672</v>
      </c>
      <c r="D151" s="100">
        <v>40951968.017947644</v>
      </c>
      <c r="E151" s="100">
        <v>41053968.041745178</v>
      </c>
      <c r="F151" s="100">
        <v>40279389.68709673</v>
      </c>
      <c r="G151" s="100">
        <v>39533402.89624998</v>
      </c>
      <c r="H151" s="100">
        <v>44751554.348007329</v>
      </c>
      <c r="I151" s="100">
        <v>43369355.164127812</v>
      </c>
      <c r="J151" s="100">
        <v>44899957.898424402</v>
      </c>
      <c r="K151" s="100">
        <v>42279160.899736747</v>
      </c>
      <c r="L151" s="100">
        <v>40787770.774795391</v>
      </c>
      <c r="M151" s="100">
        <v>40107996.792641737</v>
      </c>
      <c r="N151" s="101">
        <f t="shared" si="27"/>
        <v>40107996.792641737</v>
      </c>
    </row>
    <row r="152" spans="1:14">
      <c r="A152" s="61" t="s">
        <v>470</v>
      </c>
      <c r="B152" s="100">
        <v>0</v>
      </c>
      <c r="C152" s="100">
        <v>0</v>
      </c>
      <c r="D152" s="100">
        <v>0</v>
      </c>
      <c r="E152" s="100">
        <v>0</v>
      </c>
      <c r="F152" s="100">
        <v>0</v>
      </c>
      <c r="G152" s="100">
        <v>0</v>
      </c>
      <c r="H152" s="100">
        <v>0</v>
      </c>
      <c r="I152" s="100">
        <v>0</v>
      </c>
      <c r="J152" s="100">
        <v>0</v>
      </c>
      <c r="K152" s="100">
        <v>0</v>
      </c>
      <c r="L152" s="100">
        <v>0</v>
      </c>
      <c r="M152" s="100">
        <v>0</v>
      </c>
      <c r="N152" s="101">
        <f t="shared" si="27"/>
        <v>0</v>
      </c>
    </row>
    <row r="153" spans="1:14">
      <c r="A153" s="61" t="s">
        <v>471</v>
      </c>
      <c r="B153" s="100">
        <v>0</v>
      </c>
      <c r="C153" s="100">
        <v>0</v>
      </c>
      <c r="D153" s="100">
        <v>0</v>
      </c>
      <c r="E153" s="100">
        <v>0</v>
      </c>
      <c r="F153" s="100">
        <v>0</v>
      </c>
      <c r="G153" s="100">
        <v>0</v>
      </c>
      <c r="H153" s="100">
        <v>0</v>
      </c>
      <c r="I153" s="100">
        <v>0</v>
      </c>
      <c r="J153" s="100">
        <v>0</v>
      </c>
      <c r="K153" s="100">
        <v>0</v>
      </c>
      <c r="L153" s="100">
        <v>0</v>
      </c>
      <c r="M153" s="100">
        <v>0</v>
      </c>
      <c r="N153" s="101">
        <f t="shared" si="27"/>
        <v>0</v>
      </c>
    </row>
    <row r="154" spans="1:14">
      <c r="A154" s="61" t="s">
        <v>472</v>
      </c>
      <c r="B154" s="100">
        <v>0</v>
      </c>
      <c r="C154" s="100">
        <v>0</v>
      </c>
      <c r="D154" s="100">
        <v>0</v>
      </c>
      <c r="E154" s="100">
        <v>0</v>
      </c>
      <c r="F154" s="100">
        <v>0</v>
      </c>
      <c r="G154" s="100">
        <v>0</v>
      </c>
      <c r="H154" s="100">
        <v>0</v>
      </c>
      <c r="I154" s="100">
        <v>0</v>
      </c>
      <c r="J154" s="100">
        <v>0</v>
      </c>
      <c r="K154" s="100">
        <v>0</v>
      </c>
      <c r="L154" s="100">
        <v>0</v>
      </c>
      <c r="M154" s="100">
        <v>0</v>
      </c>
      <c r="N154" s="101">
        <f t="shared" si="27"/>
        <v>0</v>
      </c>
    </row>
    <row r="155" spans="1:14">
      <c r="A155" s="61" t="s">
        <v>473</v>
      </c>
      <c r="B155" s="100">
        <v>0</v>
      </c>
      <c r="C155" s="100">
        <v>0</v>
      </c>
      <c r="D155" s="100">
        <v>0</v>
      </c>
      <c r="E155" s="100">
        <v>0</v>
      </c>
      <c r="F155" s="100">
        <v>0</v>
      </c>
      <c r="G155" s="100">
        <v>0</v>
      </c>
      <c r="H155" s="100">
        <v>0</v>
      </c>
      <c r="I155" s="100">
        <v>0</v>
      </c>
      <c r="J155" s="100">
        <v>0</v>
      </c>
      <c r="K155" s="100">
        <v>0</v>
      </c>
      <c r="L155" s="100">
        <v>0</v>
      </c>
      <c r="M155" s="100">
        <v>0</v>
      </c>
      <c r="N155" s="101">
        <f t="shared" si="27"/>
        <v>0</v>
      </c>
    </row>
    <row r="156" spans="1:14">
      <c r="A156" s="61" t="s">
        <v>474</v>
      </c>
      <c r="B156" s="100">
        <v>0</v>
      </c>
      <c r="C156" s="100">
        <v>0</v>
      </c>
      <c r="D156" s="100">
        <v>0</v>
      </c>
      <c r="E156" s="100">
        <v>0</v>
      </c>
      <c r="F156" s="100">
        <v>0</v>
      </c>
      <c r="G156" s="100">
        <v>0</v>
      </c>
      <c r="H156" s="100">
        <v>0</v>
      </c>
      <c r="I156" s="100">
        <v>0</v>
      </c>
      <c r="J156" s="100">
        <v>0</v>
      </c>
      <c r="K156" s="100">
        <v>0</v>
      </c>
      <c r="L156" s="100">
        <v>0</v>
      </c>
      <c r="M156" s="100">
        <v>0</v>
      </c>
      <c r="N156" s="101">
        <f t="shared" si="27"/>
        <v>0</v>
      </c>
    </row>
    <row r="157" spans="1:14">
      <c r="A157" s="61" t="s">
        <v>475</v>
      </c>
      <c r="B157" s="100">
        <v>0</v>
      </c>
      <c r="C157" s="100">
        <v>0</v>
      </c>
      <c r="D157" s="100">
        <v>0</v>
      </c>
      <c r="E157" s="100">
        <v>0</v>
      </c>
      <c r="F157" s="100">
        <v>0</v>
      </c>
      <c r="G157" s="100">
        <v>0</v>
      </c>
      <c r="H157" s="100">
        <v>0</v>
      </c>
      <c r="I157" s="100">
        <v>0</v>
      </c>
      <c r="J157" s="100">
        <v>0</v>
      </c>
      <c r="K157" s="100">
        <v>0</v>
      </c>
      <c r="L157" s="100">
        <v>0</v>
      </c>
      <c r="M157" s="100">
        <v>0</v>
      </c>
      <c r="N157" s="101">
        <f t="shared" si="27"/>
        <v>0</v>
      </c>
    </row>
    <row r="158" spans="1:14">
      <c r="A158" s="61" t="s">
        <v>476</v>
      </c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4"/>
    </row>
    <row r="159" spans="1:14">
      <c r="A159" s="61" t="s">
        <v>477</v>
      </c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70"/>
    </row>
    <row r="160" spans="1:14">
      <c r="A160" s="61" t="s">
        <v>478</v>
      </c>
      <c r="B160" s="103">
        <f t="shared" ref="B160:N160" si="28">SUM(B161:B163)+SUM(B164:B168)*0.4</f>
        <v>40134682.713244893</v>
      </c>
      <c r="C160" s="103">
        <f t="shared" si="28"/>
        <v>27845300.705257244</v>
      </c>
      <c r="D160" s="103">
        <f t="shared" si="28"/>
        <v>28220490.89576824</v>
      </c>
      <c r="E160" s="103">
        <f t="shared" si="28"/>
        <v>24109733.867843777</v>
      </c>
      <c r="F160" s="103">
        <f t="shared" si="28"/>
        <v>25872330.734179795</v>
      </c>
      <c r="G160" s="103">
        <f t="shared" si="28"/>
        <v>29368993.068703972</v>
      </c>
      <c r="H160" s="103">
        <f t="shared" si="28"/>
        <v>28401237.447303653</v>
      </c>
      <c r="I160" s="103">
        <f t="shared" si="28"/>
        <v>29302147.110215943</v>
      </c>
      <c r="J160" s="103">
        <f t="shared" si="28"/>
        <v>33488234.406664651</v>
      </c>
      <c r="K160" s="103">
        <f t="shared" si="28"/>
        <v>30595319.966970384</v>
      </c>
      <c r="L160" s="103">
        <f t="shared" si="28"/>
        <v>33980702.482740521</v>
      </c>
      <c r="M160" s="103">
        <f t="shared" si="28"/>
        <v>38077783.067996696</v>
      </c>
      <c r="N160" s="103">
        <f t="shared" si="28"/>
        <v>38077783.067996696</v>
      </c>
    </row>
    <row r="161" spans="1:15">
      <c r="A161" s="61" t="s">
        <v>479</v>
      </c>
      <c r="B161" s="100">
        <v>23979154.75612228</v>
      </c>
      <c r="C161" s="100">
        <v>13503015.999780258</v>
      </c>
      <c r="D161" s="100">
        <v>10522343.839084664</v>
      </c>
      <c r="E161" s="100">
        <v>10255115.456629602</v>
      </c>
      <c r="F161" s="100">
        <v>10662585.527320944</v>
      </c>
      <c r="G161" s="100">
        <v>9569446.5913247932</v>
      </c>
      <c r="H161" s="100">
        <v>9543711.4815096855</v>
      </c>
      <c r="I161" s="100">
        <v>10036716.251756361</v>
      </c>
      <c r="J161" s="100">
        <v>9800493.9887088854</v>
      </c>
      <c r="K161" s="100">
        <v>9814495.6509775184</v>
      </c>
      <c r="L161" s="100">
        <v>11311930.778356899</v>
      </c>
      <c r="M161" s="100">
        <v>10470814.648100376</v>
      </c>
      <c r="N161" s="101">
        <f>M161</f>
        <v>10470814.648100376</v>
      </c>
    </row>
    <row r="162" spans="1:15">
      <c r="A162" s="61" t="s">
        <v>480</v>
      </c>
      <c r="B162" s="100">
        <v>9056.9735898133058</v>
      </c>
      <c r="C162" s="100">
        <v>17580.214254479342</v>
      </c>
      <c r="D162" s="100">
        <v>17450.87937459824</v>
      </c>
      <c r="E162" s="100">
        <v>14477.878363579277</v>
      </c>
      <c r="F162" s="100">
        <v>1122.1068268105209</v>
      </c>
      <c r="G162" s="100">
        <v>7557.2714605575684</v>
      </c>
      <c r="H162" s="100">
        <v>8145.5587077469627</v>
      </c>
      <c r="I162" s="100">
        <v>11398.446115381925</v>
      </c>
      <c r="J162" s="100">
        <v>17139.583405154834</v>
      </c>
      <c r="K162" s="100">
        <v>2713.6001645937627</v>
      </c>
      <c r="L162" s="100">
        <v>8536.1912433614707</v>
      </c>
      <c r="M162" s="100">
        <v>2740.0960826557825</v>
      </c>
      <c r="N162" s="101">
        <f t="shared" ref="N162:N168" si="29">M162</f>
        <v>2740.0960826557825</v>
      </c>
    </row>
    <row r="163" spans="1:15">
      <c r="A163" s="61" t="s">
        <v>481</v>
      </c>
      <c r="B163" s="100">
        <v>4.2632131699879517E-3</v>
      </c>
      <c r="C163" s="100">
        <v>8.1951501124569968E-3</v>
      </c>
      <c r="D163" s="100">
        <v>-6.9919250952060214E-3</v>
      </c>
      <c r="E163" s="100">
        <v>8.307566718995291E-3</v>
      </c>
      <c r="F163" s="100">
        <v>-2.6886177519400861E-3</v>
      </c>
      <c r="G163" s="100">
        <v>6.4656369274232166E-3</v>
      </c>
      <c r="H163" s="100">
        <v>-5.3135879399848962E-3</v>
      </c>
      <c r="I163" s="100">
        <v>6.5069854227405247E-3</v>
      </c>
      <c r="J163" s="100">
        <v>-3.0785552902572377E-3</v>
      </c>
      <c r="K163" s="100">
        <v>1.1216201304769819E-2</v>
      </c>
      <c r="L163" s="100">
        <v>2.7535259752191074E-3</v>
      </c>
      <c r="M163" s="100">
        <v>-1.0028429931972789E-2</v>
      </c>
      <c r="N163" s="101">
        <f t="shared" si="29"/>
        <v>-1.0028429931972789E-2</v>
      </c>
    </row>
    <row r="164" spans="1:15">
      <c r="A164" s="61" t="s">
        <v>482</v>
      </c>
      <c r="B164" s="100">
        <v>5866951.2365249656</v>
      </c>
      <c r="C164" s="100">
        <v>4905690.2195044048</v>
      </c>
      <c r="D164" s="100">
        <v>4672842.5258693518</v>
      </c>
      <c r="E164" s="100">
        <v>4522252.8341643699</v>
      </c>
      <c r="F164" s="100">
        <v>4442700.3414029488</v>
      </c>
      <c r="G164" s="100">
        <v>3867583.0523899593</v>
      </c>
      <c r="H164" s="100">
        <v>4357367.6092203874</v>
      </c>
      <c r="I164" s="100">
        <v>4405958.3089387519</v>
      </c>
      <c r="J164" s="100">
        <v>3716192.3453137907</v>
      </c>
      <c r="K164" s="100">
        <v>2917232.7014143937</v>
      </c>
      <c r="L164" s="100">
        <v>2851138.8673350471</v>
      </c>
      <c r="M164" s="100">
        <v>3875401.2660953472</v>
      </c>
      <c r="N164" s="101">
        <f t="shared" si="29"/>
        <v>3875401.2660953472</v>
      </c>
    </row>
    <row r="165" spans="1:15">
      <c r="A165" s="61" t="s">
        <v>483</v>
      </c>
      <c r="B165" s="100">
        <v>1602174.7421430019</v>
      </c>
      <c r="C165" s="100">
        <v>1883834.2538189928</v>
      </c>
      <c r="D165" s="100">
        <v>699769.91031290579</v>
      </c>
      <c r="E165" s="100">
        <v>858214.03818720253</v>
      </c>
      <c r="F165" s="100">
        <v>769826.93272168981</v>
      </c>
      <c r="G165" s="100">
        <v>1540227.0455505054</v>
      </c>
      <c r="H165" s="100">
        <v>918140.09816812875</v>
      </c>
      <c r="I165" s="100">
        <v>1381234.3658162798</v>
      </c>
      <c r="J165" s="100">
        <v>1621111.2144241144</v>
      </c>
      <c r="K165" s="100">
        <v>903932.0276087852</v>
      </c>
      <c r="L165" s="100">
        <v>1840192.5537057773</v>
      </c>
      <c r="M165" s="100">
        <v>2143759.1538198856</v>
      </c>
      <c r="N165" s="101">
        <f t="shared" si="29"/>
        <v>2143759.1538198856</v>
      </c>
    </row>
    <row r="166" spans="1:15">
      <c r="A166" s="61" t="s">
        <v>484</v>
      </c>
      <c r="B166" s="100">
        <v>6126231.2503359998</v>
      </c>
      <c r="C166" s="100">
        <v>6434386.3653509999</v>
      </c>
      <c r="D166" s="100">
        <v>8704545.1007010005</v>
      </c>
      <c r="E166" s="100">
        <v>6028791.141108999</v>
      </c>
      <c r="F166" s="100">
        <v>6549153.8382550003</v>
      </c>
      <c r="G166" s="100">
        <v>8431690.774487</v>
      </c>
      <c r="H166" s="100">
        <v>9410637.3285639994</v>
      </c>
      <c r="I166" s="100">
        <v>10030741.338553</v>
      </c>
      <c r="J166" s="100">
        <v>13264540.672984002</v>
      </c>
      <c r="K166" s="100">
        <v>14507966.191679999</v>
      </c>
      <c r="L166" s="100">
        <v>16503196.753796</v>
      </c>
      <c r="M166" s="100">
        <v>14707174.447736001</v>
      </c>
      <c r="N166" s="101">
        <f t="shared" si="29"/>
        <v>14707174.447736001</v>
      </c>
    </row>
    <row r="167" spans="1:15">
      <c r="A167" s="61" t="s">
        <v>485</v>
      </c>
      <c r="B167" s="100">
        <v>16263649.335984999</v>
      </c>
      <c r="C167" s="100">
        <v>14675847.500402</v>
      </c>
      <c r="D167" s="100">
        <v>18736710.437259998</v>
      </c>
      <c r="E167" s="100">
        <v>16908600.035195999</v>
      </c>
      <c r="F167" s="100">
        <v>18485806.392241001</v>
      </c>
      <c r="G167" s="100">
        <v>22368357.731807999</v>
      </c>
      <c r="H167" s="100">
        <v>22232538.116560999</v>
      </c>
      <c r="I167" s="100">
        <v>23425853.756569002</v>
      </c>
      <c r="J167" s="100">
        <v>26905596.464221001</v>
      </c>
      <c r="K167" s="100">
        <v>24423751.737918001</v>
      </c>
      <c r="L167" s="100">
        <v>20101455.503773998</v>
      </c>
      <c r="M167" s="100">
        <v>26556103.486790005</v>
      </c>
      <c r="N167" s="101">
        <f t="shared" si="29"/>
        <v>26556103.486790005</v>
      </c>
    </row>
    <row r="168" spans="1:15">
      <c r="A168" s="61" t="s">
        <v>486</v>
      </c>
      <c r="B168" s="100">
        <v>10507170.883184999</v>
      </c>
      <c r="C168" s="100">
        <v>7912002.8684919998</v>
      </c>
      <c r="D168" s="100">
        <v>11387872.486609001</v>
      </c>
      <c r="E168" s="100">
        <v>6282493.2627010001</v>
      </c>
      <c r="F168" s="100">
        <v>7774070.2521810001</v>
      </c>
      <c r="G168" s="100">
        <v>13272114.394397</v>
      </c>
      <c r="H168" s="100">
        <v>10204767.878486</v>
      </c>
      <c r="I168" s="100">
        <v>8891293.2447159998</v>
      </c>
      <c r="J168" s="100">
        <v>13669061.397129999</v>
      </c>
      <c r="K168" s="100">
        <v>9192394.1029090006</v>
      </c>
      <c r="L168" s="100">
        <v>15354605.097356001</v>
      </c>
      <c r="M168" s="100">
        <v>21728132.480163995</v>
      </c>
      <c r="N168" s="101">
        <f t="shared" si="29"/>
        <v>21728132.480163995</v>
      </c>
    </row>
    <row r="169" spans="1:15">
      <c r="A169" s="61" t="s">
        <v>487</v>
      </c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70"/>
    </row>
    <row r="170" spans="1:15">
      <c r="A170" s="61" t="s">
        <v>488</v>
      </c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70"/>
    </row>
    <row r="171" spans="1:15">
      <c r="A171" s="61" t="s">
        <v>489</v>
      </c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70"/>
    </row>
    <row r="172" spans="1:15">
      <c r="A172" s="61" t="s">
        <v>490</v>
      </c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70"/>
    </row>
    <row r="173" spans="1:15">
      <c r="A173" s="61" t="s">
        <v>491</v>
      </c>
      <c r="B173" s="103">
        <f t="shared" ref="B173:N173" si="30">SUM(B174:B176)+SUM(B177:B181)*0.4</f>
        <v>21357630.57866621</v>
      </c>
      <c r="C173" s="103">
        <f t="shared" si="30"/>
        <v>8739538.8792482074</v>
      </c>
      <c r="D173" s="103">
        <f t="shared" si="30"/>
        <v>9297676.4685025699</v>
      </c>
      <c r="E173" s="103">
        <f t="shared" si="30"/>
        <v>5137119.3381158756</v>
      </c>
      <c r="F173" s="103">
        <f t="shared" si="30"/>
        <v>7538107.3687488837</v>
      </c>
      <c r="G173" s="103">
        <f t="shared" si="30"/>
        <v>11708313.678691637</v>
      </c>
      <c r="H173" s="103">
        <f t="shared" si="30"/>
        <v>8896982.0521949138</v>
      </c>
      <c r="I173" s="103">
        <f t="shared" si="30"/>
        <v>10552578.664389888</v>
      </c>
      <c r="J173" s="103">
        <f t="shared" si="30"/>
        <v>14409668.602464154</v>
      </c>
      <c r="K173" s="103">
        <f t="shared" si="30"/>
        <v>12639386.270967968</v>
      </c>
      <c r="L173" s="103">
        <f t="shared" si="30"/>
        <v>16572856.276253916</v>
      </c>
      <c r="M173" s="103">
        <f t="shared" si="30"/>
        <v>20926452.737552248</v>
      </c>
      <c r="N173" s="103" t="e">
        <f t="shared" si="30"/>
        <v>#DIV/0!</v>
      </c>
    </row>
    <row r="174" spans="1:15">
      <c r="A174" s="61" t="s">
        <v>492</v>
      </c>
      <c r="B174" s="100">
        <v>23979154.75612228</v>
      </c>
      <c r="C174" s="100">
        <v>13503015.999780258</v>
      </c>
      <c r="D174" s="100">
        <v>10522343.839084664</v>
      </c>
      <c r="E174" s="100">
        <v>10255115.456629602</v>
      </c>
      <c r="F174" s="100">
        <v>10662585.527320944</v>
      </c>
      <c r="G174" s="100">
        <v>9569446.5913247932</v>
      </c>
      <c r="H174" s="100">
        <v>9543711.4815096855</v>
      </c>
      <c r="I174" s="100">
        <v>10036716.251756361</v>
      </c>
      <c r="J174" s="100">
        <v>9800493.9887088854</v>
      </c>
      <c r="K174" s="100">
        <v>9814495.6509775184</v>
      </c>
      <c r="L174" s="100">
        <v>11311930.778356899</v>
      </c>
      <c r="M174" s="100">
        <v>10470814.648100376</v>
      </c>
      <c r="N174" s="101">
        <f>M174</f>
        <v>10470814.648100376</v>
      </c>
      <c r="O174" s="104"/>
    </row>
    <row r="175" spans="1:15">
      <c r="A175" s="61" t="s">
        <v>493</v>
      </c>
      <c r="B175" s="100">
        <v>-1959035.5281961104</v>
      </c>
      <c r="C175" s="100">
        <v>-2059569.4172888589</v>
      </c>
      <c r="D175" s="100">
        <v>-1996755.7966995586</v>
      </c>
      <c r="E175" s="100">
        <v>-1939212.5681042387</v>
      </c>
      <c r="F175" s="100">
        <v>-1770389.4494067242</v>
      </c>
      <c r="G175" s="100">
        <v>-1490027.1910223297</v>
      </c>
      <c r="H175" s="100">
        <v>-1295909.1670779446</v>
      </c>
      <c r="I175" s="100">
        <v>-965350.12647937017</v>
      </c>
      <c r="J175" s="100">
        <v>-825727.39757127548</v>
      </c>
      <c r="K175" s="100">
        <v>-732447.52382006601</v>
      </c>
      <c r="L175" s="100">
        <v>-777350.60984315479</v>
      </c>
      <c r="M175" s="100">
        <v>-704742.896896936</v>
      </c>
      <c r="N175" s="100" t="e">
        <f>'Bütçe aylık-TL'!N175/'Bütçe aylık-TL'!N$2</f>
        <v>#DIV/0!</v>
      </c>
    </row>
    <row r="176" spans="1:15">
      <c r="A176" s="61" t="s">
        <v>494</v>
      </c>
      <c r="B176" s="100">
        <v>-345969.2991732239</v>
      </c>
      <c r="C176" s="100">
        <v>-685934.16854388441</v>
      </c>
      <c r="D176" s="100">
        <v>-527820.55100438185</v>
      </c>
      <c r="E176" s="100">
        <v>-597336.85825444269</v>
      </c>
      <c r="F176" s="100">
        <v>-450955.93704729888</v>
      </c>
      <c r="G176" s="100">
        <v>-349733.76256381848</v>
      </c>
      <c r="H176" s="100">
        <v>-299578.93543370365</v>
      </c>
      <c r="I176" s="100">
        <v>-425077.80107318953</v>
      </c>
      <c r="J176" s="100">
        <v>-275715.66693285608</v>
      </c>
      <c r="K176" s="100">
        <v>-309108.20090685331</v>
      </c>
      <c r="L176" s="100">
        <v>-306851.09272839973</v>
      </c>
      <c r="M176" s="100">
        <v>-400648.6304365932</v>
      </c>
      <c r="N176" s="101">
        <f t="shared" ref="N176:N181" si="31">M176</f>
        <v>-400648.6304365932</v>
      </c>
    </row>
    <row r="177" spans="1:19">
      <c r="A177" s="61" t="s">
        <v>495</v>
      </c>
      <c r="B177" s="100">
        <v>-35290524.586865835</v>
      </c>
      <c r="C177" s="100">
        <v>-35951004.824812263</v>
      </c>
      <c r="D177" s="100">
        <v>-36279125.492078289</v>
      </c>
      <c r="E177" s="100">
        <v>-36531715.207580812</v>
      </c>
      <c r="F177" s="100">
        <v>-35836689.345693782</v>
      </c>
      <c r="G177" s="100">
        <v>-35665819.843860023</v>
      </c>
      <c r="H177" s="100">
        <v>-40394186.738786936</v>
      </c>
      <c r="I177" s="100">
        <v>-38963396.855189063</v>
      </c>
      <c r="J177" s="100">
        <v>-41183765.553110614</v>
      </c>
      <c r="K177" s="100">
        <v>-39361928.198322356</v>
      </c>
      <c r="L177" s="100">
        <v>-37936631.907460339</v>
      </c>
      <c r="M177" s="100">
        <v>-36232595.526546389</v>
      </c>
      <c r="N177" s="101">
        <f t="shared" si="31"/>
        <v>-36232595.526546389</v>
      </c>
    </row>
    <row r="178" spans="1:19">
      <c r="A178" s="61" t="s">
        <v>496</v>
      </c>
      <c r="B178" s="100">
        <v>1602174.7421430019</v>
      </c>
      <c r="C178" s="100">
        <v>1883834.2538189928</v>
      </c>
      <c r="D178" s="100">
        <v>699769.91031290579</v>
      </c>
      <c r="E178" s="100">
        <v>858214.03818720253</v>
      </c>
      <c r="F178" s="100">
        <v>769826.93272168981</v>
      </c>
      <c r="G178" s="100">
        <v>1540227.0455505054</v>
      </c>
      <c r="H178" s="100">
        <v>918140.09816812875</v>
      </c>
      <c r="I178" s="100">
        <v>1381234.3658162798</v>
      </c>
      <c r="J178" s="100">
        <v>1621111.2144241144</v>
      </c>
      <c r="K178" s="100">
        <v>903932.0276087852</v>
      </c>
      <c r="L178" s="100">
        <v>1840192.5537057773</v>
      </c>
      <c r="M178" s="100">
        <v>2143759.1538198856</v>
      </c>
      <c r="N178" s="101">
        <f t="shared" si="31"/>
        <v>2143759.1538198856</v>
      </c>
    </row>
    <row r="179" spans="1:19">
      <c r="A179" s="61" t="s">
        <v>497</v>
      </c>
      <c r="B179" s="100">
        <v>6126231.2503359998</v>
      </c>
      <c r="C179" s="100">
        <v>6434386.3653509999</v>
      </c>
      <c r="D179" s="100">
        <v>8704545.1007010005</v>
      </c>
      <c r="E179" s="100">
        <v>6028791.141108999</v>
      </c>
      <c r="F179" s="100">
        <v>6549153.8382550003</v>
      </c>
      <c r="G179" s="100">
        <v>8431690.774487</v>
      </c>
      <c r="H179" s="100">
        <v>9410637.3285639994</v>
      </c>
      <c r="I179" s="100">
        <v>10030741.338553</v>
      </c>
      <c r="J179" s="100">
        <v>13264540.672984002</v>
      </c>
      <c r="K179" s="100">
        <v>14507966.191679999</v>
      </c>
      <c r="L179" s="100">
        <v>16503196.753796</v>
      </c>
      <c r="M179" s="100">
        <v>14707174.447736001</v>
      </c>
      <c r="N179" s="101">
        <f t="shared" si="31"/>
        <v>14707174.447736001</v>
      </c>
    </row>
    <row r="180" spans="1:19">
      <c r="A180" s="61" t="s">
        <v>498</v>
      </c>
      <c r="B180" s="100">
        <v>16263649.335984999</v>
      </c>
      <c r="C180" s="100">
        <v>14675847.500402</v>
      </c>
      <c r="D180" s="100">
        <v>18736710.437259998</v>
      </c>
      <c r="E180" s="100">
        <v>16908600.035195999</v>
      </c>
      <c r="F180" s="100">
        <v>18485806.392241001</v>
      </c>
      <c r="G180" s="100">
        <v>22368357.731807999</v>
      </c>
      <c r="H180" s="100">
        <v>22232538.116560999</v>
      </c>
      <c r="I180" s="100">
        <v>23425853.756569002</v>
      </c>
      <c r="J180" s="100">
        <v>26905596.464221001</v>
      </c>
      <c r="K180" s="100">
        <v>24423751.737918001</v>
      </c>
      <c r="L180" s="100">
        <v>20101455.503773998</v>
      </c>
      <c r="M180" s="100">
        <v>26556103.486790005</v>
      </c>
      <c r="N180" s="101">
        <f t="shared" si="31"/>
        <v>26556103.486790005</v>
      </c>
    </row>
    <row r="181" spans="1:19">
      <c r="A181" s="61" t="s">
        <v>499</v>
      </c>
      <c r="B181" s="100">
        <v>10507170.883184999</v>
      </c>
      <c r="C181" s="100">
        <v>7912002.8684919998</v>
      </c>
      <c r="D181" s="100">
        <v>11387872.486609001</v>
      </c>
      <c r="E181" s="100">
        <v>6282493.2627010001</v>
      </c>
      <c r="F181" s="100">
        <v>7774070.2521810001</v>
      </c>
      <c r="G181" s="100">
        <v>13272114.394397</v>
      </c>
      <c r="H181" s="100">
        <v>10204767.878486</v>
      </c>
      <c r="I181" s="100">
        <v>8891293.2447159998</v>
      </c>
      <c r="J181" s="100">
        <v>13669061.397129999</v>
      </c>
      <c r="K181" s="100">
        <v>9192394.1029090006</v>
      </c>
      <c r="L181" s="100">
        <v>15354605.097356001</v>
      </c>
      <c r="M181" s="100">
        <v>21728132.480163995</v>
      </c>
      <c r="N181" s="101">
        <f t="shared" si="31"/>
        <v>21728132.480163995</v>
      </c>
    </row>
    <row r="182" spans="1:19">
      <c r="A182" s="61" t="s">
        <v>500</v>
      </c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70"/>
    </row>
    <row r="183" spans="1:19">
      <c r="A183" s="61" t="s">
        <v>501</v>
      </c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70"/>
    </row>
    <row r="184" spans="1:19">
      <c r="A184" s="61" t="s">
        <v>502</v>
      </c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70"/>
    </row>
    <row r="185" spans="1:19">
      <c r="A185" s="61" t="s">
        <v>503</v>
      </c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70"/>
    </row>
    <row r="186" spans="1:19">
      <c r="A186" s="61" t="s">
        <v>504</v>
      </c>
      <c r="B186" s="103">
        <f t="shared" ref="B186:N186" si="32">SUM(B187:B189)+SUM(B190:B194)*0.4</f>
        <v>460695.53136583423</v>
      </c>
      <c r="C186" s="103">
        <f t="shared" si="32"/>
        <v>517243.37917536648</v>
      </c>
      <c r="D186" s="103">
        <f t="shared" si="32"/>
        <v>621663.00354874367</v>
      </c>
      <c r="E186" s="103">
        <f t="shared" si="32"/>
        <v>676800.00724222814</v>
      </c>
      <c r="F186" s="103">
        <f t="shared" si="32"/>
        <v>622815.60319029959</v>
      </c>
      <c r="G186" s="103">
        <f t="shared" si="32"/>
        <v>781044.56095855986</v>
      </c>
      <c r="H186" s="103">
        <f t="shared" si="32"/>
        <v>637298.08718646388</v>
      </c>
      <c r="I186" s="103">
        <f t="shared" si="32"/>
        <v>686516.29487090791</v>
      </c>
      <c r="J186" s="103">
        <f t="shared" si="32"/>
        <v>751534.00719649403</v>
      </c>
      <c r="K186" s="103">
        <f t="shared" si="32"/>
        <v>603094.64151590271</v>
      </c>
      <c r="L186" s="103">
        <f t="shared" si="32"/>
        <v>545469.1258539944</v>
      </c>
      <c r="M186" s="103">
        <f t="shared" si="32"/>
        <v>613224.39862393844</v>
      </c>
      <c r="N186" s="103">
        <f t="shared" si="32"/>
        <v>7517398.6407287335</v>
      </c>
      <c r="O186" s="52">
        <f>N186</f>
        <v>7517398.6407287335</v>
      </c>
    </row>
    <row r="187" spans="1:19">
      <c r="A187" s="61" t="s">
        <v>505</v>
      </c>
      <c r="B187" s="100">
        <v>1924.399273230136</v>
      </c>
      <c r="C187" s="100">
        <v>0</v>
      </c>
      <c r="D187" s="100">
        <v>0</v>
      </c>
      <c r="E187" s="100">
        <v>0</v>
      </c>
      <c r="F187" s="100">
        <v>961.45154615091815</v>
      </c>
      <c r="G187" s="100">
        <v>1922.5651780112253</v>
      </c>
      <c r="H187" s="100">
        <v>0</v>
      </c>
      <c r="I187" s="100">
        <v>5883.4327241234869</v>
      </c>
      <c r="J187" s="100">
        <v>1964.9635441469513</v>
      </c>
      <c r="K187" s="100">
        <v>2271.5192374964222</v>
      </c>
      <c r="L187" s="100">
        <v>0</v>
      </c>
      <c r="M187" s="100">
        <v>0</v>
      </c>
      <c r="N187" s="101">
        <f>SUM(B187:M187)</f>
        <v>14928.331503159139</v>
      </c>
    </row>
    <row r="188" spans="1:19">
      <c r="A188" s="61" t="s">
        <v>506</v>
      </c>
      <c r="B188" s="100">
        <v>37421.013228197167</v>
      </c>
      <c r="C188" s="100">
        <v>29230.78546851582</v>
      </c>
      <c r="D188" s="100">
        <v>32259.977601961513</v>
      </c>
      <c r="E188" s="100">
        <v>204274.95010106597</v>
      </c>
      <c r="F188" s="100">
        <v>60019.952581520723</v>
      </c>
      <c r="G188" s="100">
        <v>79856.643774917044</v>
      </c>
      <c r="H188" s="100">
        <v>57756.922442758339</v>
      </c>
      <c r="I188" s="100">
        <v>23166.816498086708</v>
      </c>
      <c r="J188" s="100">
        <v>54556.634872785944</v>
      </c>
      <c r="K188" s="100">
        <v>16435.963601175739</v>
      </c>
      <c r="L188" s="100">
        <v>16182.86592050298</v>
      </c>
      <c r="M188" s="100">
        <v>15950.143453913648</v>
      </c>
      <c r="N188" s="101">
        <f t="shared" ref="N188:N194" si="33">SUM(B188:M188)</f>
        <v>627112.66954540147</v>
      </c>
    </row>
    <row r="189" spans="1:19">
      <c r="A189" s="61" t="s">
        <v>507</v>
      </c>
      <c r="B189" s="100">
        <v>0</v>
      </c>
      <c r="C189" s="100">
        <v>0</v>
      </c>
      <c r="D189" s="100">
        <v>0</v>
      </c>
      <c r="E189" s="100">
        <v>0</v>
      </c>
      <c r="F189" s="100">
        <v>0</v>
      </c>
      <c r="G189" s="100">
        <v>0</v>
      </c>
      <c r="H189" s="100">
        <v>0</v>
      </c>
      <c r="I189" s="100">
        <v>0</v>
      </c>
      <c r="J189" s="100">
        <v>0</v>
      </c>
      <c r="K189" s="100">
        <v>0</v>
      </c>
      <c r="L189" s="100">
        <v>0</v>
      </c>
      <c r="M189" s="100">
        <v>0</v>
      </c>
      <c r="N189" s="101">
        <f t="shared" si="33"/>
        <v>0</v>
      </c>
    </row>
    <row r="190" spans="1:19">
      <c r="A190" s="61" t="s">
        <v>508</v>
      </c>
      <c r="B190" s="100">
        <v>309454.4406993278</v>
      </c>
      <c r="C190" s="100">
        <v>308891.12269887381</v>
      </c>
      <c r="D190" s="100">
        <v>308453.91142219788</v>
      </c>
      <c r="E190" s="100">
        <v>431394.53078712238</v>
      </c>
      <c r="F190" s="100">
        <v>431116.57259915955</v>
      </c>
      <c r="G190" s="100">
        <v>513089.46847112733</v>
      </c>
      <c r="H190" s="100">
        <v>513122.99457262276</v>
      </c>
      <c r="I190" s="100">
        <v>513330.58809826273</v>
      </c>
      <c r="J190" s="100">
        <v>616446.03411659854</v>
      </c>
      <c r="K190" s="100">
        <v>617088.9862351839</v>
      </c>
      <c r="L190" s="100">
        <v>741501.73417054606</v>
      </c>
      <c r="M190" s="100">
        <v>866597.40926841798</v>
      </c>
      <c r="N190" s="101">
        <f t="shared" si="33"/>
        <v>6170487.7931394409</v>
      </c>
    </row>
    <row r="191" spans="1:19">
      <c r="A191" s="61" t="s">
        <v>509</v>
      </c>
      <c r="B191" s="100">
        <v>104087.52312868946</v>
      </c>
      <c r="C191" s="100">
        <v>69807.028234252633</v>
      </c>
      <c r="D191" s="100">
        <v>82220.320111757421</v>
      </c>
      <c r="E191" s="100">
        <v>76084.778732782652</v>
      </c>
      <c r="F191" s="100">
        <v>74635.591723410442</v>
      </c>
      <c r="G191" s="100">
        <v>73240.578209951433</v>
      </c>
      <c r="H191" s="100">
        <v>71896.583953641093</v>
      </c>
      <c r="I191" s="100">
        <v>70601.192689481846</v>
      </c>
      <c r="J191" s="100">
        <v>69351.654499304161</v>
      </c>
      <c r="K191" s="100">
        <v>68145.577124892661</v>
      </c>
      <c r="L191" s="100">
        <v>66980.582329182769</v>
      </c>
      <c r="M191" s="100">
        <v>65854.895323643883</v>
      </c>
      <c r="N191" s="101">
        <f t="shared" si="33"/>
        <v>892906.30606099044</v>
      </c>
      <c r="P191" s="94"/>
      <c r="Q191" s="94"/>
      <c r="R191" s="94"/>
      <c r="S191" s="94"/>
    </row>
    <row r="192" spans="1:19">
      <c r="A192" s="61" t="s">
        <v>510</v>
      </c>
      <c r="B192" s="100">
        <v>274833.33333300002</v>
      </c>
      <c r="C192" s="100">
        <v>274833.33333400002</v>
      </c>
      <c r="D192" s="100">
        <v>274833.33333299996</v>
      </c>
      <c r="E192" s="100">
        <v>274833.33333300008</v>
      </c>
      <c r="F192" s="100">
        <v>274833.33333399985</v>
      </c>
      <c r="G192" s="100">
        <v>274833.33333300008</v>
      </c>
      <c r="H192" s="100">
        <v>274833.33333300008</v>
      </c>
      <c r="I192" s="100">
        <v>274833.33333399985</v>
      </c>
      <c r="J192" s="100">
        <v>274833.33333300008</v>
      </c>
      <c r="K192" s="100">
        <v>274833.33333300008</v>
      </c>
      <c r="L192" s="100">
        <v>274833.33333399985</v>
      </c>
      <c r="M192" s="100">
        <v>274833.33333300008</v>
      </c>
      <c r="N192" s="101">
        <f t="shared" si="33"/>
        <v>3298000</v>
      </c>
    </row>
    <row r="193" spans="1:14">
      <c r="A193" s="61" t="s">
        <v>511</v>
      </c>
      <c r="B193" s="100">
        <v>30000</v>
      </c>
      <c r="C193" s="100">
        <v>266000</v>
      </c>
      <c r="D193" s="100">
        <v>465000</v>
      </c>
      <c r="E193" s="100">
        <v>261000</v>
      </c>
      <c r="F193" s="100">
        <v>286000</v>
      </c>
      <c r="G193" s="100">
        <v>679000</v>
      </c>
      <c r="H193" s="100">
        <v>51000</v>
      </c>
      <c r="I193" s="100">
        <v>439000</v>
      </c>
      <c r="J193" s="100">
        <v>351000</v>
      </c>
      <c r="K193" s="100">
        <v>177000</v>
      </c>
      <c r="L193" s="100">
        <v>56000</v>
      </c>
      <c r="M193" s="100">
        <v>26000</v>
      </c>
      <c r="N193" s="101">
        <f t="shared" si="33"/>
        <v>3087000</v>
      </c>
    </row>
    <row r="194" spans="1:14">
      <c r="A194" s="61" t="s">
        <v>512</v>
      </c>
      <c r="B194" s="100">
        <v>335000</v>
      </c>
      <c r="C194" s="100">
        <v>300500</v>
      </c>
      <c r="D194" s="100">
        <v>343000</v>
      </c>
      <c r="E194" s="100">
        <v>138000</v>
      </c>
      <c r="F194" s="100">
        <v>338000</v>
      </c>
      <c r="G194" s="100">
        <v>208000</v>
      </c>
      <c r="H194" s="100">
        <v>538000</v>
      </c>
      <c r="I194" s="100">
        <v>345900</v>
      </c>
      <c r="J194" s="100">
        <v>425900</v>
      </c>
      <c r="K194" s="100">
        <v>323900</v>
      </c>
      <c r="L194" s="100">
        <v>183900</v>
      </c>
      <c r="M194" s="100">
        <v>259900</v>
      </c>
      <c r="N194" s="101">
        <f t="shared" si="33"/>
        <v>3740000</v>
      </c>
    </row>
    <row r="195" spans="1:14">
      <c r="A195" s="61" t="s">
        <v>513</v>
      </c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70"/>
    </row>
    <row r="196" spans="1:14">
      <c r="A196" s="61" t="s">
        <v>514</v>
      </c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71"/>
    </row>
  </sheetData>
  <pageMargins left="0.7" right="0.7" top="0.75" bottom="0.75" header="0.3" footer="0.3"/>
  <customProperties>
    <customPr name="_pios_id" r:id="rId1"/>
    <customPr name="CofWorksheetType" r:id="rId2"/>
    <customPr name="EpmWorksheetKeyString_GUID" r:id="rId3"/>
  </customPropertie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66559-5C4F-4B7B-B40C-D07D59E2DC0A}">
  <sheetPr>
    <tabColor rgb="FF00B050"/>
  </sheetPr>
  <dimension ref="A1:O37"/>
  <sheetViews>
    <sheetView workbookViewId="0">
      <selection activeCell="B3" sqref="B3:I3"/>
    </sheetView>
  </sheetViews>
  <sheetFormatPr defaultColWidth="8.81640625" defaultRowHeight="14.5"/>
  <cols>
    <col min="1" max="1" width="31.7265625" bestFit="1" customWidth="1"/>
    <col min="2" max="2" width="10.54296875" bestFit="1" customWidth="1"/>
    <col min="3" max="3" width="9.7265625" bestFit="1" customWidth="1"/>
    <col min="4" max="5" width="9.81640625" bestFit="1" customWidth="1"/>
    <col min="6" max="13" width="10.7265625" bestFit="1" customWidth="1"/>
    <col min="14" max="14" width="9.81640625" bestFit="1" customWidth="1"/>
    <col min="15" max="15" width="12" bestFit="1" customWidth="1"/>
  </cols>
  <sheetData>
    <row r="1" spans="1:15">
      <c r="A1" s="60" t="s">
        <v>165</v>
      </c>
      <c r="B1" s="61" t="s">
        <v>168</v>
      </c>
      <c r="C1" s="61" t="s">
        <v>167</v>
      </c>
      <c r="D1" s="61" t="s">
        <v>129</v>
      </c>
      <c r="E1" s="61" t="s">
        <v>130</v>
      </c>
      <c r="F1" s="61" t="s">
        <v>131</v>
      </c>
      <c r="G1" s="61" t="s">
        <v>101</v>
      </c>
      <c r="H1" s="61" t="s">
        <v>102</v>
      </c>
      <c r="I1" s="61" t="s">
        <v>103</v>
      </c>
      <c r="J1" s="61" t="s">
        <v>104</v>
      </c>
      <c r="K1" s="61" t="s">
        <v>105</v>
      </c>
      <c r="L1" s="61" t="s">
        <v>106</v>
      </c>
      <c r="M1" s="61" t="s">
        <v>343</v>
      </c>
    </row>
    <row r="2" spans="1:15">
      <c r="A2" s="61" t="s">
        <v>519</v>
      </c>
      <c r="B2" s="102">
        <f>SUM(B3:B5)+SUM(B6:B10)*0.4</f>
        <v>-3809780.3382335203</v>
      </c>
      <c r="C2" s="102">
        <f t="shared" ref="C2:M2" si="0">SUM(C3:C5)+SUM(C6:C10)*0.4</f>
        <v>1566989.5737942131</v>
      </c>
      <c r="D2" s="102">
        <f t="shared" si="0"/>
        <v>8241640.8371910648</v>
      </c>
      <c r="E2" s="102">
        <f t="shared" si="0"/>
        <v>-1038352.8303340951</v>
      </c>
      <c r="F2" s="102">
        <f t="shared" si="0"/>
        <v>4722528.262937597</v>
      </c>
      <c r="G2" s="102">
        <f t="shared" si="0"/>
        <v>6767825.7182742022</v>
      </c>
      <c r="H2" s="102">
        <f t="shared" si="0"/>
        <v>-813852.06472253939</v>
      </c>
      <c r="I2" s="102">
        <f t="shared" si="0"/>
        <v>4737256.1352482196</v>
      </c>
      <c r="J2" s="102">
        <f t="shared" si="0"/>
        <v>6732352.0326961009</v>
      </c>
      <c r="K2" s="102">
        <f t="shared" si="0"/>
        <v>-84970.568337069533</v>
      </c>
      <c r="L2" s="102">
        <f t="shared" si="0"/>
        <v>6965564.3561143288</v>
      </c>
      <c r="M2" s="102">
        <f t="shared" si="0"/>
        <v>6939763.9304515198</v>
      </c>
      <c r="N2" s="52">
        <f>SUM(B2:M2)</f>
        <v>40926965.045080028</v>
      </c>
    </row>
    <row r="3" spans="1:15">
      <c r="A3" s="61" t="s">
        <v>335</v>
      </c>
      <c r="B3" s="100">
        <v>285699.2736404764</v>
      </c>
      <c r="C3" s="100">
        <v>995713.44717071974</v>
      </c>
      <c r="D3" s="100">
        <v>102873.28238043375</v>
      </c>
      <c r="E3" s="100">
        <v>259262.7283121089</v>
      </c>
      <c r="F3" s="100">
        <v>900371.79122171365</v>
      </c>
      <c r="G3" s="100">
        <v>-745121.61796928151</v>
      </c>
      <c r="H3" s="100">
        <v>260787.78195136727</v>
      </c>
      <c r="I3" s="100">
        <v>948921.30143389502</v>
      </c>
      <c r="J3" s="100">
        <v>154804.63795044541</v>
      </c>
      <c r="K3" s="100">
        <v>255877.02950471314</v>
      </c>
      <c r="L3" s="100">
        <v>1143929.7797268052</v>
      </c>
      <c r="M3" s="100">
        <v>-1333734.5863125019</v>
      </c>
    </row>
    <row r="4" spans="1:15">
      <c r="A4" s="61" t="s">
        <v>336</v>
      </c>
      <c r="B4" s="100">
        <v>-664594.88840917335</v>
      </c>
      <c r="C4" s="100">
        <v>-258038.47036068136</v>
      </c>
      <c r="D4" s="100">
        <v>-108658.37660562411</v>
      </c>
      <c r="E4" s="100">
        <v>414635.24671756628</v>
      </c>
      <c r="F4" s="100">
        <v>176091.54225750634</v>
      </c>
      <c r="G4" s="100">
        <v>609303.06722732517</v>
      </c>
      <c r="H4" s="100">
        <v>410633.3581316605</v>
      </c>
      <c r="I4" s="100">
        <v>277055.06973998481</v>
      </c>
      <c r="J4" s="100">
        <v>227072.61997866997</v>
      </c>
      <c r="K4" s="100">
        <v>200069.76763298857</v>
      </c>
      <c r="L4" s="100">
        <v>-105015.50477146279</v>
      </c>
      <c r="M4" s="100">
        <v>24764.502206999765</v>
      </c>
    </row>
    <row r="5" spans="1:15">
      <c r="A5" s="61" t="s">
        <v>337</v>
      </c>
      <c r="B5" s="100">
        <v>-554871.04796804884</v>
      </c>
      <c r="C5" s="100">
        <v>-154810.92315419725</v>
      </c>
      <c r="D5" s="100">
        <v>66179.890593499484</v>
      </c>
      <c r="E5" s="100">
        <v>-29474.12431410201</v>
      </c>
      <c r="F5" s="100">
        <v>-23013.41273669001</v>
      </c>
      <c r="G5" s="100">
        <v>178491.43870319144</v>
      </c>
      <c r="H5" s="100">
        <v>-71148.739512225788</v>
      </c>
      <c r="I5" s="100">
        <v>192686.25680886829</v>
      </c>
      <c r="J5" s="100">
        <v>176078.12498432293</v>
      </c>
      <c r="K5" s="100">
        <v>-207188.20050765079</v>
      </c>
      <c r="L5" s="100">
        <v>65329.362274968837</v>
      </c>
      <c r="M5" s="100">
        <v>46790.901889596695</v>
      </c>
    </row>
    <row r="6" spans="1:15">
      <c r="A6" s="61" t="s">
        <v>520</v>
      </c>
      <c r="B6" s="100">
        <v>-3810637.8477682825</v>
      </c>
      <c r="C6" s="100">
        <v>1845250.4009692168</v>
      </c>
      <c r="D6" s="100">
        <v>2097402.2072135969</v>
      </c>
      <c r="E6" s="100">
        <v>2608837.9564879285</v>
      </c>
      <c r="F6" s="100">
        <v>2633902.8734215349</v>
      </c>
      <c r="G6" s="100">
        <v>1900598.3943457953</v>
      </c>
      <c r="H6" s="100">
        <v>-2360194.1608616672</v>
      </c>
      <c r="I6" s="100">
        <v>3714899.6363046519</v>
      </c>
      <c r="J6" s="100">
        <v>270624.74963387707</v>
      </c>
      <c r="K6" s="100">
        <v>4160157.9528071661</v>
      </c>
      <c r="L6" s="100">
        <v>3924993.2385581206</v>
      </c>
      <c r="M6" s="100">
        <v>4319897.958811068</v>
      </c>
    </row>
    <row r="7" spans="1:15">
      <c r="A7" s="61" t="s">
        <v>339</v>
      </c>
      <c r="B7" s="100">
        <v>1442974.5930446924</v>
      </c>
      <c r="C7" s="100">
        <v>482790.29998784908</v>
      </c>
      <c r="D7" s="100">
        <v>343736.22127170046</v>
      </c>
      <c r="E7" s="100">
        <v>-208120.305418078</v>
      </c>
      <c r="F7" s="100">
        <v>124411.70254140662</v>
      </c>
      <c r="G7" s="100">
        <v>947690.08185997803</v>
      </c>
      <c r="H7" s="100">
        <v>-365422.54087312223</v>
      </c>
      <c r="I7" s="100">
        <v>743620.54426638526</v>
      </c>
      <c r="J7" s="100">
        <v>513030.70917050331</v>
      </c>
      <c r="K7" s="100">
        <v>-352697.19004466536</v>
      </c>
      <c r="L7" s="100">
        <v>1243404.6606459334</v>
      </c>
      <c r="M7" s="100">
        <v>559696.12374098366</v>
      </c>
    </row>
    <row r="8" spans="1:15">
      <c r="A8" s="61" t="s">
        <v>340</v>
      </c>
      <c r="B8" s="100">
        <v>-2899301.0186640024</v>
      </c>
      <c r="C8" s="100">
        <v>811991.10711700167</v>
      </c>
      <c r="D8" s="100">
        <v>2061428.2691250006</v>
      </c>
      <c r="E8" s="100">
        <v>-1870589.2065210009</v>
      </c>
      <c r="F8" s="100">
        <v>1363283.481236004</v>
      </c>
      <c r="G8" s="100">
        <v>2463087.505822002</v>
      </c>
      <c r="H8" s="100">
        <v>825676.4962169982</v>
      </c>
      <c r="I8" s="100">
        <v>1561923.5537260002</v>
      </c>
      <c r="J8" s="100">
        <v>3251858.5631499966</v>
      </c>
      <c r="K8" s="100">
        <v>762387.67733600037</v>
      </c>
      <c r="L8" s="100">
        <v>2436458.3478199975</v>
      </c>
      <c r="M8" s="100">
        <v>4822737.6208510064</v>
      </c>
      <c r="O8" s="94">
        <f>B8*0.4</f>
        <v>-1159720.4074656011</v>
      </c>
    </row>
    <row r="9" spans="1:15">
      <c r="A9" s="61" t="s">
        <v>341</v>
      </c>
      <c r="B9" s="100">
        <v>4111678.8193519996</v>
      </c>
      <c r="C9" s="100">
        <v>-424093.83142400446</v>
      </c>
      <c r="D9" s="100">
        <v>7480567.2254210021</v>
      </c>
      <c r="E9" s="100">
        <v>-1480624.4314789961</v>
      </c>
      <c r="F9" s="100">
        <v>1844168.0752319989</v>
      </c>
      <c r="G9" s="100">
        <v>4273962.198989002</v>
      </c>
      <c r="H9" s="100">
        <v>-278913.37780800561</v>
      </c>
      <c r="I9" s="100">
        <v>1802198.078245997</v>
      </c>
      <c r="J9" s="100">
        <v>3553544.7436330034</v>
      </c>
      <c r="K9" s="100">
        <v>-2495706.3422659994</v>
      </c>
      <c r="L9" s="100">
        <v>197494.79767200042</v>
      </c>
      <c r="M9" s="100">
        <v>2971222.7065180009</v>
      </c>
    </row>
    <row r="10" spans="1:15">
      <c r="A10" s="61" t="s">
        <v>342</v>
      </c>
      <c r="B10" s="100">
        <v>-6034748.7347063422</v>
      </c>
      <c r="C10" s="100">
        <v>-255624.17630413314</v>
      </c>
      <c r="D10" s="100">
        <v>8469981.1790255867</v>
      </c>
      <c r="E10" s="100">
        <v>-3256445.7156940242</v>
      </c>
      <c r="F10" s="100">
        <v>3206929.7230567224</v>
      </c>
      <c r="G10" s="100">
        <v>7227543.8947656415</v>
      </c>
      <c r="H10" s="100">
        <v>-1356457.5799075561</v>
      </c>
      <c r="I10" s="100">
        <v>473841.95562064298</v>
      </c>
      <c r="J10" s="100">
        <v>7846932.858869276</v>
      </c>
      <c r="K10" s="100">
        <v>-2908465.0102503034</v>
      </c>
      <c r="L10" s="100">
        <v>6850950.7525139889</v>
      </c>
      <c r="M10" s="100">
        <v>7831303.3717475049</v>
      </c>
    </row>
    <row r="11" spans="1:15">
      <c r="A11" s="61" t="s">
        <v>521</v>
      </c>
      <c r="B11" s="102">
        <f t="shared" ref="B11:M11" si="1">SUM(B12:B14)+SUM(B15:B19)*0.4</f>
        <v>-4218296.0564112179</v>
      </c>
      <c r="C11" s="102">
        <f t="shared" si="1"/>
        <v>1103452.2943085011</v>
      </c>
      <c r="D11" s="102">
        <f t="shared" si="1"/>
        <v>7672778.376130484</v>
      </c>
      <c r="E11" s="102">
        <f t="shared" si="1"/>
        <v>-1660895.6356351187</v>
      </c>
      <c r="F11" s="102">
        <f t="shared" si="1"/>
        <v>4154141.7494338118</v>
      </c>
      <c r="G11" s="102">
        <f t="shared" si="1"/>
        <v>6038833.7935221866</v>
      </c>
      <c r="H11" s="102">
        <f t="shared" si="1"/>
        <v>-1396993.0855727792</v>
      </c>
      <c r="I11" s="102">
        <f t="shared" si="1"/>
        <v>4103870.4871374513</v>
      </c>
      <c r="J11" s="102">
        <f t="shared" si="1"/>
        <v>6033964.8408395043</v>
      </c>
      <c r="K11" s="102">
        <f t="shared" si="1"/>
        <v>-635057.89306126162</v>
      </c>
      <c r="L11" s="102">
        <f t="shared" si="1"/>
        <v>6472440.9780591419</v>
      </c>
      <c r="M11" s="102">
        <f t="shared" si="1"/>
        <v>6361376.0325609772</v>
      </c>
      <c r="N11" s="52">
        <f>SUM(B11:M11)</f>
        <v>34029615.881311685</v>
      </c>
      <c r="O11" s="52"/>
    </row>
    <row r="12" spans="1:15">
      <c r="A12" s="61" t="s">
        <v>522</v>
      </c>
      <c r="B12" s="98">
        <v>283774.87436724629</v>
      </c>
      <c r="C12" s="98">
        <v>995713.44717071974</v>
      </c>
      <c r="D12" s="98">
        <v>102873.28238043375</v>
      </c>
      <c r="E12" s="98">
        <v>259262.7283121089</v>
      </c>
      <c r="F12" s="98">
        <v>899410.33967556269</v>
      </c>
      <c r="G12" s="98">
        <v>-747044.1831472927</v>
      </c>
      <c r="H12" s="98">
        <v>260787.78195136727</v>
      </c>
      <c r="I12" s="98">
        <v>943037.86870977154</v>
      </c>
      <c r="J12" s="98">
        <v>152839.67440629847</v>
      </c>
      <c r="K12" s="98">
        <v>253605.51026721671</v>
      </c>
      <c r="L12" s="98">
        <v>1143929.7797268052</v>
      </c>
      <c r="M12" s="98">
        <v>-1333734.5863125019</v>
      </c>
    </row>
    <row r="13" spans="1:15">
      <c r="A13" s="61" t="s">
        <v>523</v>
      </c>
      <c r="B13" s="98">
        <v>-702015.90163737047</v>
      </c>
      <c r="C13" s="98">
        <v>-287269.25582919718</v>
      </c>
      <c r="D13" s="98">
        <v>-140918.35420758562</v>
      </c>
      <c r="E13" s="98">
        <v>210360.2966165003</v>
      </c>
      <c r="F13" s="98">
        <v>116071.58967598563</v>
      </c>
      <c r="G13" s="98">
        <v>529446.42345240817</v>
      </c>
      <c r="H13" s="98">
        <v>352876.43568890216</v>
      </c>
      <c r="I13" s="98">
        <v>253888.25324189811</v>
      </c>
      <c r="J13" s="98">
        <v>172515.98510588403</v>
      </c>
      <c r="K13" s="98">
        <v>183633.80403181282</v>
      </c>
      <c r="L13" s="98">
        <v>-121198.37069196577</v>
      </c>
      <c r="M13" s="98">
        <v>8814.3587530861168</v>
      </c>
    </row>
    <row r="14" spans="1:15">
      <c r="A14" s="61" t="s">
        <v>524</v>
      </c>
      <c r="B14" s="100">
        <v>-554871.04796804884</v>
      </c>
      <c r="C14" s="100">
        <v>-154810.92315419725</v>
      </c>
      <c r="D14" s="100">
        <v>66179.890593499484</v>
      </c>
      <c r="E14" s="100">
        <v>-29474.12431410201</v>
      </c>
      <c r="F14" s="100">
        <v>-23013.41273669001</v>
      </c>
      <c r="G14" s="100">
        <v>178491.43870319144</v>
      </c>
      <c r="H14" s="100">
        <v>-71148.739512225788</v>
      </c>
      <c r="I14" s="100">
        <v>192686.25680886829</v>
      </c>
      <c r="J14" s="100">
        <v>176078.12498432293</v>
      </c>
      <c r="K14" s="100">
        <v>-207188.20050765079</v>
      </c>
      <c r="L14" s="100">
        <v>65329.362274968837</v>
      </c>
      <c r="M14" s="100">
        <v>46790.901889596695</v>
      </c>
    </row>
    <row r="15" spans="1:15">
      <c r="A15" s="61" t="s">
        <v>525</v>
      </c>
      <c r="B15" s="98">
        <f>B6-'Bütçe aylık-Eur'!B190</f>
        <v>-4120092.2884676103</v>
      </c>
      <c r="C15" s="98">
        <f>C6-'Bütçe aylık-Eur'!C190</f>
        <v>1536359.2782703431</v>
      </c>
      <c r="D15" s="98">
        <f>D6-'Bütçe aylık-Eur'!D190</f>
        <v>1788948.295791399</v>
      </c>
      <c r="E15" s="98">
        <f>E6-'Bütçe aylık-Eur'!E190</f>
        <v>2177443.4257008061</v>
      </c>
      <c r="F15" s="98">
        <f>F6-'Bütçe aylık-Eur'!F190</f>
        <v>2202786.3008223753</v>
      </c>
      <c r="G15" s="98">
        <f>G6-'Bütçe aylık-Eur'!G190</f>
        <v>1387508.9258746679</v>
      </c>
      <c r="H15" s="98">
        <f>H6-'Bütçe aylık-Eur'!H190</f>
        <v>-2873317.1554342899</v>
      </c>
      <c r="I15" s="98">
        <f>I6-'Bütçe aylık-Eur'!I190</f>
        <v>3201569.048206389</v>
      </c>
      <c r="J15" s="98">
        <f>J6-'Bütçe aylık-Eur'!J190</f>
        <v>-345821.28448272147</v>
      </c>
      <c r="K15" s="98">
        <f>K6-'Bütçe aylık-Eur'!K190</f>
        <v>3543068.966571982</v>
      </c>
      <c r="L15" s="98">
        <f>L6-'Bütçe aylık-Eur'!L190</f>
        <v>3183491.5043875743</v>
      </c>
      <c r="M15" s="98">
        <f>M6-'Bütçe aylık-Eur'!M190</f>
        <v>3453300.5495426501</v>
      </c>
    </row>
    <row r="16" spans="1:15">
      <c r="A16" s="61" t="s">
        <v>526</v>
      </c>
      <c r="B16" s="98">
        <v>1338887.0699160029</v>
      </c>
      <c r="C16" s="98">
        <v>412983.27175359643</v>
      </c>
      <c r="D16" s="98">
        <v>261515.90115994302</v>
      </c>
      <c r="E16" s="98">
        <v>-284205.08415086067</v>
      </c>
      <c r="F16" s="98">
        <v>49776.110817996174</v>
      </c>
      <c r="G16" s="98">
        <v>874449.50365002663</v>
      </c>
      <c r="H16" s="98">
        <v>-437319.12482676329</v>
      </c>
      <c r="I16" s="98">
        <v>673019.35157690337</v>
      </c>
      <c r="J16" s="98">
        <v>443679.05467119918</v>
      </c>
      <c r="K16" s="98">
        <v>-420842.76716955804</v>
      </c>
      <c r="L16" s="98">
        <v>1176424.0783167505</v>
      </c>
      <c r="M16" s="98">
        <v>493841.22841733979</v>
      </c>
    </row>
    <row r="17" spans="1:13">
      <c r="A17" s="61" t="s">
        <v>527</v>
      </c>
      <c r="B17" s="98">
        <v>-3136859.9909959994</v>
      </c>
      <c r="C17" s="98">
        <v>574300.00075700146</v>
      </c>
      <c r="D17" s="98">
        <v>1823721.3915119979</v>
      </c>
      <c r="E17" s="98">
        <v>-2108678.758939005</v>
      </c>
      <c r="F17" s="98">
        <v>1127267.1075340007</v>
      </c>
      <c r="G17" s="98">
        <v>2227060.2292909995</v>
      </c>
      <c r="H17" s="98">
        <v>590706.00968600786</v>
      </c>
      <c r="I17" s="98">
        <v>1327643.0271979901</v>
      </c>
      <c r="J17" s="98">
        <v>3017578.0366210015</v>
      </c>
      <c r="K17" s="98">
        <v>528107.15080399835</v>
      </c>
      <c r="L17" s="98">
        <v>2202177.8212900027</v>
      </c>
      <c r="M17" s="98">
        <v>4547904.2875180058</v>
      </c>
    </row>
    <row r="18" spans="1:13">
      <c r="A18" s="61" t="s">
        <v>528</v>
      </c>
      <c r="B18" s="98">
        <v>4081678.8193519996</v>
      </c>
      <c r="C18" s="98">
        <v>-690093.8314240044</v>
      </c>
      <c r="D18" s="98">
        <v>7015567.2254210021</v>
      </c>
      <c r="E18" s="98">
        <v>-1741624.4314789961</v>
      </c>
      <c r="F18" s="98">
        <v>1558168.0752319989</v>
      </c>
      <c r="G18" s="98">
        <v>3594962.1989890025</v>
      </c>
      <c r="H18" s="98">
        <v>-329913.37780800561</v>
      </c>
      <c r="I18" s="98">
        <v>1363198.078245997</v>
      </c>
      <c r="J18" s="98">
        <v>3202544.7436330034</v>
      </c>
      <c r="K18" s="98">
        <v>-2672706.3422659994</v>
      </c>
      <c r="L18" s="98">
        <v>141494.79767200042</v>
      </c>
      <c r="M18" s="98">
        <v>2945222.7065180009</v>
      </c>
    </row>
    <row r="19" spans="1:13">
      <c r="A19" s="61" t="s">
        <v>529</v>
      </c>
      <c r="B19" s="98">
        <v>-6276573.562737003</v>
      </c>
      <c r="C19" s="98">
        <v>-459001.15405399725</v>
      </c>
      <c r="D19" s="98">
        <v>8221856.0795259997</v>
      </c>
      <c r="E19" s="98">
        <v>-3295546.4917560099</v>
      </c>
      <c r="F19" s="98">
        <v>2966185.4876410132</v>
      </c>
      <c r="G19" s="98">
        <v>7110869.4284800012</v>
      </c>
      <c r="H19" s="98">
        <v>-1798927.7608690052</v>
      </c>
      <c r="I19" s="98">
        <v>220215.76571500394</v>
      </c>
      <c r="J19" s="98">
        <v>7513347.0904150121</v>
      </c>
      <c r="K19" s="98">
        <v>-3140399.5250720242</v>
      </c>
      <c r="L19" s="98">
        <v>6757362.3152070064</v>
      </c>
      <c r="M19" s="98">
        <v>7658494.623580995</v>
      </c>
    </row>
    <row r="20" spans="1:13">
      <c r="A20" s="61" t="s">
        <v>575</v>
      </c>
      <c r="B20" s="102">
        <f t="shared" ref="B20:M20" si="2">SUM(B21:B23)+SUM(B24:B28)*0.4</f>
        <v>-3809780.3382335203</v>
      </c>
      <c r="C20" s="102">
        <f t="shared" si="2"/>
        <v>-2242790.7644393072</v>
      </c>
      <c r="D20" s="102">
        <f t="shared" si="2"/>
        <v>5998850.0727517577</v>
      </c>
      <c r="E20" s="102">
        <f t="shared" si="2"/>
        <v>4960497.2424176633</v>
      </c>
      <c r="F20" s="102">
        <f t="shared" si="2"/>
        <v>9683025.5053552594</v>
      </c>
      <c r="G20" s="102">
        <f t="shared" si="2"/>
        <v>16450851.223629463</v>
      </c>
      <c r="H20" s="102">
        <f t="shared" si="2"/>
        <v>15636999.158906924</v>
      </c>
      <c r="I20" s="102">
        <f t="shared" si="2"/>
        <v>20374255.294155139</v>
      </c>
      <c r="J20" s="102">
        <f t="shared" si="2"/>
        <v>27106607.326851241</v>
      </c>
      <c r="K20" s="102">
        <f t="shared" si="2"/>
        <v>27021636.75851417</v>
      </c>
      <c r="L20" s="102">
        <f t="shared" si="2"/>
        <v>33987201.114628494</v>
      </c>
      <c r="M20" s="102">
        <f t="shared" si="2"/>
        <v>40926965.045080014</v>
      </c>
    </row>
    <row r="21" spans="1:13">
      <c r="A21" s="61" t="s">
        <v>576</v>
      </c>
      <c r="B21" s="98">
        <f>B3</f>
        <v>285699.2736404764</v>
      </c>
      <c r="C21" s="98">
        <f>B21+C3</f>
        <v>1281412.7208111961</v>
      </c>
      <c r="D21" s="98">
        <f t="shared" ref="D21:M21" si="3">C21+D3</f>
        <v>1384286.0031916299</v>
      </c>
      <c r="E21" s="98">
        <f t="shared" si="3"/>
        <v>1643548.7315037388</v>
      </c>
      <c r="F21" s="98">
        <f t="shared" si="3"/>
        <v>2543920.5227254527</v>
      </c>
      <c r="G21" s="98">
        <f t="shared" si="3"/>
        <v>1798798.9047561712</v>
      </c>
      <c r="H21" s="98">
        <f t="shared" si="3"/>
        <v>2059586.6867075386</v>
      </c>
      <c r="I21" s="98">
        <f t="shared" si="3"/>
        <v>3008507.9881414333</v>
      </c>
      <c r="J21" s="98">
        <f t="shared" si="3"/>
        <v>3163312.6260918789</v>
      </c>
      <c r="K21" s="98">
        <f t="shared" si="3"/>
        <v>3419189.655596592</v>
      </c>
      <c r="L21" s="98">
        <f t="shared" si="3"/>
        <v>4563119.4353233967</v>
      </c>
      <c r="M21" s="98">
        <f t="shared" si="3"/>
        <v>3229384.849010895</v>
      </c>
    </row>
    <row r="22" spans="1:13">
      <c r="A22" s="61" t="s">
        <v>577</v>
      </c>
      <c r="B22" s="98">
        <f t="shared" ref="B22:B28" si="4">B4</f>
        <v>-664594.88840917335</v>
      </c>
      <c r="C22" s="98">
        <f t="shared" ref="C22:M22" si="5">B22+C4</f>
        <v>-922633.35876985476</v>
      </c>
      <c r="D22" s="98">
        <f t="shared" si="5"/>
        <v>-1031291.7353754789</v>
      </c>
      <c r="E22" s="98">
        <f t="shared" si="5"/>
        <v>-616656.48865791259</v>
      </c>
      <c r="F22" s="98">
        <f t="shared" si="5"/>
        <v>-440564.94640040625</v>
      </c>
      <c r="G22" s="98">
        <f t="shared" si="5"/>
        <v>168738.12082691892</v>
      </c>
      <c r="H22" s="98">
        <f t="shared" si="5"/>
        <v>579371.47895857948</v>
      </c>
      <c r="I22" s="98">
        <f t="shared" si="5"/>
        <v>856426.54869856429</v>
      </c>
      <c r="J22" s="98">
        <f t="shared" si="5"/>
        <v>1083499.1686772343</v>
      </c>
      <c r="K22" s="98">
        <f t="shared" si="5"/>
        <v>1283568.9363102228</v>
      </c>
      <c r="L22" s="98">
        <f t="shared" si="5"/>
        <v>1178553.43153876</v>
      </c>
      <c r="M22" s="98">
        <f t="shared" si="5"/>
        <v>1203317.9337457598</v>
      </c>
    </row>
    <row r="23" spans="1:13">
      <c r="A23" s="61" t="s">
        <v>578</v>
      </c>
      <c r="B23" s="98">
        <f t="shared" si="4"/>
        <v>-554871.04796804884</v>
      </c>
      <c r="C23" s="98">
        <f t="shared" ref="C23:M23" si="6">B23+C5</f>
        <v>-709681.97112224612</v>
      </c>
      <c r="D23" s="98">
        <f t="shared" si="6"/>
        <v>-643502.08052874659</v>
      </c>
      <c r="E23" s="98">
        <f t="shared" si="6"/>
        <v>-672976.20484284859</v>
      </c>
      <c r="F23" s="98">
        <f t="shared" si="6"/>
        <v>-695989.61757953861</v>
      </c>
      <c r="G23" s="98">
        <f t="shared" si="6"/>
        <v>-517498.17887634714</v>
      </c>
      <c r="H23" s="98">
        <f t="shared" si="6"/>
        <v>-588646.91838857299</v>
      </c>
      <c r="I23" s="98">
        <f t="shared" si="6"/>
        <v>-395960.66157970473</v>
      </c>
      <c r="J23" s="98">
        <f t="shared" si="6"/>
        <v>-219882.5365953818</v>
      </c>
      <c r="K23" s="98">
        <f t="shared" si="6"/>
        <v>-427070.73710303259</v>
      </c>
      <c r="L23" s="98">
        <f t="shared" si="6"/>
        <v>-361741.37482806377</v>
      </c>
      <c r="M23" s="98">
        <f t="shared" si="6"/>
        <v>-314950.47293846705</v>
      </c>
    </row>
    <row r="24" spans="1:13">
      <c r="A24" s="61" t="s">
        <v>579</v>
      </c>
      <c r="B24" s="98">
        <f t="shared" si="4"/>
        <v>-3810637.8477682825</v>
      </c>
      <c r="C24" s="98">
        <f t="shared" ref="C24:M24" si="7">B24+C6</f>
        <v>-1965387.4467990657</v>
      </c>
      <c r="D24" s="98">
        <f t="shared" si="7"/>
        <v>132014.76041453122</v>
      </c>
      <c r="E24" s="98">
        <f t="shared" si="7"/>
        <v>2740852.71690246</v>
      </c>
      <c r="F24" s="98">
        <f t="shared" si="7"/>
        <v>5374755.5903239949</v>
      </c>
      <c r="G24" s="98">
        <f t="shared" si="7"/>
        <v>7275353.9846697897</v>
      </c>
      <c r="H24" s="98">
        <f t="shared" si="7"/>
        <v>4915159.8238081224</v>
      </c>
      <c r="I24" s="98">
        <f t="shared" si="7"/>
        <v>8630059.4601127747</v>
      </c>
      <c r="J24" s="98">
        <f t="shared" si="7"/>
        <v>8900684.2097466514</v>
      </c>
      <c r="K24" s="98">
        <f t="shared" si="7"/>
        <v>13060842.162553817</v>
      </c>
      <c r="L24" s="98">
        <f t="shared" si="7"/>
        <v>16985835.401111938</v>
      </c>
      <c r="M24" s="98">
        <f t="shared" si="7"/>
        <v>21305733.359923005</v>
      </c>
    </row>
    <row r="25" spans="1:13">
      <c r="A25" s="61" t="s">
        <v>580</v>
      </c>
      <c r="B25" s="98">
        <f t="shared" si="4"/>
        <v>1442974.5930446924</v>
      </c>
      <c r="C25" s="98">
        <f t="shared" ref="C25:M25" si="8">B25+C7</f>
        <v>1925764.8930325415</v>
      </c>
      <c r="D25" s="98">
        <f t="shared" si="8"/>
        <v>2269501.1143042417</v>
      </c>
      <c r="E25" s="98">
        <f t="shared" si="8"/>
        <v>2061380.8088861636</v>
      </c>
      <c r="F25" s="98">
        <f t="shared" si="8"/>
        <v>2185792.5114275701</v>
      </c>
      <c r="G25" s="98">
        <f t="shared" si="8"/>
        <v>3133482.5932875481</v>
      </c>
      <c r="H25" s="98">
        <f t="shared" si="8"/>
        <v>2768060.0524144256</v>
      </c>
      <c r="I25" s="98">
        <f t="shared" si="8"/>
        <v>3511680.5966808107</v>
      </c>
      <c r="J25" s="98">
        <f t="shared" si="8"/>
        <v>4024711.3058513142</v>
      </c>
      <c r="K25" s="98">
        <f t="shared" si="8"/>
        <v>3672014.115806649</v>
      </c>
      <c r="L25" s="98">
        <f t="shared" si="8"/>
        <v>4915418.7764525823</v>
      </c>
      <c r="M25" s="98">
        <f t="shared" si="8"/>
        <v>5475114.9001935665</v>
      </c>
    </row>
    <row r="26" spans="1:13">
      <c r="A26" s="61" t="s">
        <v>581</v>
      </c>
      <c r="B26" s="98">
        <f t="shared" si="4"/>
        <v>-2899301.0186640024</v>
      </c>
      <c r="C26" s="98">
        <f t="shared" ref="C26:M26" si="9">B26+C8</f>
        <v>-2087309.9115470008</v>
      </c>
      <c r="D26" s="98">
        <f t="shared" si="9"/>
        <v>-25881.642422000179</v>
      </c>
      <c r="E26" s="98">
        <f t="shared" si="9"/>
        <v>-1896470.8489430011</v>
      </c>
      <c r="F26" s="98">
        <f t="shared" si="9"/>
        <v>-533187.36770699709</v>
      </c>
      <c r="G26" s="98">
        <f t="shared" si="9"/>
        <v>1929900.1381150049</v>
      </c>
      <c r="H26" s="98">
        <f t="shared" si="9"/>
        <v>2755576.6343320031</v>
      </c>
      <c r="I26" s="98">
        <f t="shared" si="9"/>
        <v>4317500.1880580038</v>
      </c>
      <c r="J26" s="98">
        <f t="shared" si="9"/>
        <v>7569358.7512079999</v>
      </c>
      <c r="K26" s="98">
        <f t="shared" si="9"/>
        <v>8331746.4285439998</v>
      </c>
      <c r="L26" s="98">
        <f t="shared" si="9"/>
        <v>10768204.776363997</v>
      </c>
      <c r="M26" s="98">
        <f t="shared" si="9"/>
        <v>15590942.397215003</v>
      </c>
    </row>
    <row r="27" spans="1:13">
      <c r="A27" s="61" t="s">
        <v>582</v>
      </c>
      <c r="B27" s="98">
        <f t="shared" si="4"/>
        <v>4111678.8193519996</v>
      </c>
      <c r="C27" s="98">
        <f t="shared" ref="C27:M27" si="10">B27+C9</f>
        <v>3687584.9879279952</v>
      </c>
      <c r="D27" s="98">
        <f t="shared" si="10"/>
        <v>11168152.213348998</v>
      </c>
      <c r="E27" s="98">
        <f t="shared" si="10"/>
        <v>9687527.7818700019</v>
      </c>
      <c r="F27" s="98">
        <f t="shared" si="10"/>
        <v>11531695.857102001</v>
      </c>
      <c r="G27" s="98">
        <f t="shared" si="10"/>
        <v>15805658.056091003</v>
      </c>
      <c r="H27" s="98">
        <f t="shared" si="10"/>
        <v>15526744.678282997</v>
      </c>
      <c r="I27" s="98">
        <f t="shared" si="10"/>
        <v>17328942.756528992</v>
      </c>
      <c r="J27" s="98">
        <f t="shared" si="10"/>
        <v>20882487.500161994</v>
      </c>
      <c r="K27" s="98">
        <f t="shared" si="10"/>
        <v>18386781.157895993</v>
      </c>
      <c r="L27" s="98">
        <f t="shared" si="10"/>
        <v>18584275.955567993</v>
      </c>
      <c r="M27" s="98">
        <f t="shared" si="10"/>
        <v>21555498.662085995</v>
      </c>
    </row>
    <row r="28" spans="1:13">
      <c r="A28" s="61" t="s">
        <v>583</v>
      </c>
      <c r="B28" s="98">
        <f t="shared" si="4"/>
        <v>-6034748.7347063422</v>
      </c>
      <c r="C28" s="98">
        <f t="shared" ref="C28:M28" si="11">B28+C10</f>
        <v>-6290372.9110104758</v>
      </c>
      <c r="D28" s="98">
        <f t="shared" si="11"/>
        <v>2179608.2680151109</v>
      </c>
      <c r="E28" s="98">
        <f t="shared" si="11"/>
        <v>-1076837.4476789134</v>
      </c>
      <c r="F28" s="98">
        <f t="shared" si="11"/>
        <v>2130092.2753778091</v>
      </c>
      <c r="G28" s="98">
        <f t="shared" si="11"/>
        <v>9357636.1701434515</v>
      </c>
      <c r="H28" s="98">
        <f t="shared" si="11"/>
        <v>8001178.5902358955</v>
      </c>
      <c r="I28" s="98">
        <f t="shared" si="11"/>
        <v>8475020.5458565392</v>
      </c>
      <c r="J28" s="98">
        <f t="shared" si="11"/>
        <v>16321953.404725816</v>
      </c>
      <c r="K28" s="98">
        <f t="shared" si="11"/>
        <v>13413488.394475512</v>
      </c>
      <c r="L28" s="98">
        <f t="shared" si="11"/>
        <v>20264439.146989502</v>
      </c>
      <c r="M28" s="98">
        <f t="shared" si="11"/>
        <v>28095742.518737007</v>
      </c>
    </row>
    <row r="29" spans="1:13">
      <c r="A29" s="61" t="s">
        <v>584</v>
      </c>
      <c r="B29" s="102">
        <f t="shared" ref="B29:M29" si="12">SUM(B30:B32)+SUM(B33:B37)*0.4</f>
        <v>-4218296.0564112179</v>
      </c>
      <c r="C29" s="102">
        <f t="shared" si="12"/>
        <v>-3114843.7621027166</v>
      </c>
      <c r="D29" s="102">
        <f t="shared" si="12"/>
        <v>4557934.6140277684</v>
      </c>
      <c r="E29" s="102">
        <f t="shared" si="12"/>
        <v>2897038.9783926494</v>
      </c>
      <c r="F29" s="102">
        <f t="shared" si="12"/>
        <v>7051180.7278264621</v>
      </c>
      <c r="G29" s="102">
        <f t="shared" si="12"/>
        <v>13090014.52134865</v>
      </c>
      <c r="H29" s="102">
        <f t="shared" si="12"/>
        <v>11693021.435775869</v>
      </c>
      <c r="I29" s="102">
        <f t="shared" si="12"/>
        <v>15796891.92291332</v>
      </c>
      <c r="J29" s="102">
        <f t="shared" si="12"/>
        <v>21830856.763752822</v>
      </c>
      <c r="K29" s="102">
        <f t="shared" si="12"/>
        <v>21195798.87069156</v>
      </c>
      <c r="L29" s="102">
        <f t="shared" si="12"/>
        <v>27668239.848750703</v>
      </c>
      <c r="M29" s="102">
        <f t="shared" si="12"/>
        <v>34029615.881311685</v>
      </c>
    </row>
    <row r="30" spans="1:13">
      <c r="A30" s="61" t="s">
        <v>585</v>
      </c>
      <c r="B30" s="98">
        <f>B12</f>
        <v>283774.87436724629</v>
      </c>
      <c r="C30" s="98">
        <f>B30+C12</f>
        <v>1279488.3215379659</v>
      </c>
      <c r="D30" s="98">
        <f t="shared" ref="D30:M30" si="13">C30+D12</f>
        <v>1382361.6039183997</v>
      </c>
      <c r="E30" s="98">
        <f t="shared" si="13"/>
        <v>1641624.3322305086</v>
      </c>
      <c r="F30" s="98">
        <f t="shared" si="13"/>
        <v>2541034.6719060712</v>
      </c>
      <c r="G30" s="98">
        <f t="shared" si="13"/>
        <v>1793990.4887587787</v>
      </c>
      <c r="H30" s="98">
        <f t="shared" si="13"/>
        <v>2054778.2707101461</v>
      </c>
      <c r="I30" s="98">
        <f t="shared" si="13"/>
        <v>2997816.1394199175</v>
      </c>
      <c r="J30" s="98">
        <f t="shared" si="13"/>
        <v>3150655.8138262159</v>
      </c>
      <c r="K30" s="98">
        <f t="shared" si="13"/>
        <v>3404261.3240934326</v>
      </c>
      <c r="L30" s="98">
        <f t="shared" si="13"/>
        <v>4548191.1038202383</v>
      </c>
      <c r="M30" s="98">
        <f t="shared" si="13"/>
        <v>3214456.5175077366</v>
      </c>
    </row>
    <row r="31" spans="1:13">
      <c r="A31" s="61" t="s">
        <v>586</v>
      </c>
      <c r="B31" s="98">
        <f t="shared" ref="B31:B37" si="14">B13</f>
        <v>-702015.90163737047</v>
      </c>
      <c r="C31" s="98">
        <f t="shared" ref="C31:M31" si="15">B31+C13</f>
        <v>-989285.15746656759</v>
      </c>
      <c r="D31" s="98">
        <f t="shared" si="15"/>
        <v>-1130203.5116741532</v>
      </c>
      <c r="E31" s="98">
        <f t="shared" si="15"/>
        <v>-919843.21505765291</v>
      </c>
      <c r="F31" s="98">
        <f t="shared" si="15"/>
        <v>-803771.62538166728</v>
      </c>
      <c r="G31" s="98">
        <f t="shared" si="15"/>
        <v>-274325.20192925911</v>
      </c>
      <c r="H31" s="98">
        <f t="shared" si="15"/>
        <v>78551.233759643044</v>
      </c>
      <c r="I31" s="98">
        <f t="shared" si="15"/>
        <v>332439.48700154119</v>
      </c>
      <c r="J31" s="98">
        <f t="shared" si="15"/>
        <v>504955.47210742522</v>
      </c>
      <c r="K31" s="98">
        <f t="shared" si="15"/>
        <v>688589.27613923803</v>
      </c>
      <c r="L31" s="98">
        <f t="shared" si="15"/>
        <v>567390.90544727223</v>
      </c>
      <c r="M31" s="98">
        <f t="shared" si="15"/>
        <v>576205.2642003583</v>
      </c>
    </row>
    <row r="32" spans="1:13">
      <c r="A32" s="61" t="s">
        <v>587</v>
      </c>
      <c r="B32" s="98">
        <f t="shared" si="14"/>
        <v>-554871.04796804884</v>
      </c>
      <c r="C32" s="98">
        <f t="shared" ref="C32:M32" si="16">B32+C14</f>
        <v>-709681.97112224612</v>
      </c>
      <c r="D32" s="98">
        <f t="shared" si="16"/>
        <v>-643502.08052874659</v>
      </c>
      <c r="E32" s="98">
        <f t="shared" si="16"/>
        <v>-672976.20484284859</v>
      </c>
      <c r="F32" s="98">
        <f t="shared" si="16"/>
        <v>-695989.61757953861</v>
      </c>
      <c r="G32" s="98">
        <f t="shared" si="16"/>
        <v>-517498.17887634714</v>
      </c>
      <c r="H32" s="98">
        <f t="shared" si="16"/>
        <v>-588646.91838857299</v>
      </c>
      <c r="I32" s="98">
        <f t="shared" si="16"/>
        <v>-395960.66157970473</v>
      </c>
      <c r="J32" s="98">
        <f t="shared" si="16"/>
        <v>-219882.5365953818</v>
      </c>
      <c r="K32" s="98">
        <f t="shared" si="16"/>
        <v>-427070.73710303259</v>
      </c>
      <c r="L32" s="98">
        <f t="shared" si="16"/>
        <v>-361741.37482806377</v>
      </c>
      <c r="M32" s="98">
        <f t="shared" si="16"/>
        <v>-314950.47293846705</v>
      </c>
    </row>
    <row r="33" spans="1:13">
      <c r="A33" s="61" t="s">
        <v>588</v>
      </c>
      <c r="B33" s="98">
        <f>B15</f>
        <v>-4120092.2884676103</v>
      </c>
      <c r="C33" s="98">
        <f t="shared" ref="C33:M33" si="17">B33+C15</f>
        <v>-2583733.0101972669</v>
      </c>
      <c r="D33" s="98">
        <f t="shared" si="17"/>
        <v>-794784.71440586797</v>
      </c>
      <c r="E33" s="98">
        <f t="shared" si="17"/>
        <v>1382658.7112949381</v>
      </c>
      <c r="F33" s="98">
        <f t="shared" si="17"/>
        <v>3585445.0121173132</v>
      </c>
      <c r="G33" s="98">
        <f t="shared" si="17"/>
        <v>4972953.9379919814</v>
      </c>
      <c r="H33" s="98">
        <f t="shared" si="17"/>
        <v>2099636.7825576914</v>
      </c>
      <c r="I33" s="98">
        <f t="shared" si="17"/>
        <v>5301205.8307640804</v>
      </c>
      <c r="J33" s="98">
        <f t="shared" si="17"/>
        <v>4955384.5462813592</v>
      </c>
      <c r="K33" s="98">
        <f t="shared" si="17"/>
        <v>8498453.5128533412</v>
      </c>
      <c r="L33" s="98">
        <f t="shared" si="17"/>
        <v>11681945.017240915</v>
      </c>
      <c r="M33" s="98">
        <f t="shared" si="17"/>
        <v>15135245.566783566</v>
      </c>
    </row>
    <row r="34" spans="1:13">
      <c r="A34" s="61" t="s">
        <v>589</v>
      </c>
      <c r="B34" s="98">
        <f t="shared" si="14"/>
        <v>1338887.0699160029</v>
      </c>
      <c r="C34" s="98">
        <f t="shared" ref="C34:M34" si="18">B34+C16</f>
        <v>1751870.3416695993</v>
      </c>
      <c r="D34" s="98">
        <f t="shared" si="18"/>
        <v>2013386.2428295424</v>
      </c>
      <c r="E34" s="98">
        <f t="shared" si="18"/>
        <v>1729181.1586786816</v>
      </c>
      <c r="F34" s="98">
        <f t="shared" si="18"/>
        <v>1778957.2694966777</v>
      </c>
      <c r="G34" s="98">
        <f t="shared" si="18"/>
        <v>2653406.7731467043</v>
      </c>
      <c r="H34" s="98">
        <f t="shared" si="18"/>
        <v>2216087.648319941</v>
      </c>
      <c r="I34" s="98">
        <f t="shared" si="18"/>
        <v>2889106.9998968444</v>
      </c>
      <c r="J34" s="98">
        <f t="shared" si="18"/>
        <v>3332786.0545680434</v>
      </c>
      <c r="K34" s="98">
        <f t="shared" si="18"/>
        <v>2911943.2873984855</v>
      </c>
      <c r="L34" s="98">
        <f t="shared" si="18"/>
        <v>4088367.3657152359</v>
      </c>
      <c r="M34" s="98">
        <f t="shared" si="18"/>
        <v>4582208.5941325761</v>
      </c>
    </row>
    <row r="35" spans="1:13">
      <c r="A35" s="61" t="s">
        <v>590</v>
      </c>
      <c r="B35" s="98">
        <f t="shared" si="14"/>
        <v>-3136859.9909959994</v>
      </c>
      <c r="C35" s="98">
        <f t="shared" ref="C35:M35" si="19">B35+C17</f>
        <v>-2562559.9902389981</v>
      </c>
      <c r="D35" s="98">
        <f t="shared" si="19"/>
        <v>-738838.59872700018</v>
      </c>
      <c r="E35" s="98">
        <f t="shared" si="19"/>
        <v>-2847517.3576660054</v>
      </c>
      <c r="F35" s="98">
        <f t="shared" si="19"/>
        <v>-1720250.2501320047</v>
      </c>
      <c r="G35" s="98">
        <f t="shared" si="19"/>
        <v>506809.97915899474</v>
      </c>
      <c r="H35" s="98">
        <f t="shared" si="19"/>
        <v>1097515.9888450026</v>
      </c>
      <c r="I35" s="98">
        <f t="shared" si="19"/>
        <v>2425159.0160429925</v>
      </c>
      <c r="J35" s="98">
        <f t="shared" si="19"/>
        <v>5442737.052663994</v>
      </c>
      <c r="K35" s="98">
        <f t="shared" si="19"/>
        <v>5970844.2034679921</v>
      </c>
      <c r="L35" s="98">
        <f t="shared" si="19"/>
        <v>8173022.0247579943</v>
      </c>
      <c r="M35" s="98">
        <f t="shared" si="19"/>
        <v>12720926.312276</v>
      </c>
    </row>
    <row r="36" spans="1:13">
      <c r="A36" s="61" t="s">
        <v>591</v>
      </c>
      <c r="B36" s="98">
        <f t="shared" si="14"/>
        <v>4081678.8193519996</v>
      </c>
      <c r="C36" s="98">
        <f t="shared" ref="C36:M36" si="20">B36+C18</f>
        <v>3391584.9879279952</v>
      </c>
      <c r="D36" s="98">
        <f t="shared" si="20"/>
        <v>10407152.213348998</v>
      </c>
      <c r="E36" s="98">
        <f t="shared" si="20"/>
        <v>8665527.7818700019</v>
      </c>
      <c r="F36" s="98">
        <f t="shared" si="20"/>
        <v>10223695.857102001</v>
      </c>
      <c r="G36" s="98">
        <f t="shared" si="20"/>
        <v>13818658.056091003</v>
      </c>
      <c r="H36" s="98">
        <f t="shared" si="20"/>
        <v>13488744.678282997</v>
      </c>
      <c r="I36" s="98">
        <f t="shared" si="20"/>
        <v>14851942.756528994</v>
      </c>
      <c r="J36" s="98">
        <f t="shared" si="20"/>
        <v>18054487.500161998</v>
      </c>
      <c r="K36" s="98">
        <f t="shared" si="20"/>
        <v>15381781.157895999</v>
      </c>
      <c r="L36" s="98">
        <f t="shared" si="20"/>
        <v>15523275.955567999</v>
      </c>
      <c r="M36" s="98">
        <f t="shared" si="20"/>
        <v>18468498.662085999</v>
      </c>
    </row>
    <row r="37" spans="1:13">
      <c r="A37" s="61" t="s">
        <v>592</v>
      </c>
      <c r="B37" s="98">
        <f t="shared" si="14"/>
        <v>-6276573.562737003</v>
      </c>
      <c r="C37" s="98">
        <f t="shared" ref="C37:M37" si="21">B37+C19</f>
        <v>-6735574.7167910002</v>
      </c>
      <c r="D37" s="98">
        <f t="shared" si="21"/>
        <v>1486281.3627349995</v>
      </c>
      <c r="E37" s="98">
        <f t="shared" si="21"/>
        <v>-1809265.1290210104</v>
      </c>
      <c r="F37" s="98">
        <f t="shared" si="21"/>
        <v>1156920.3586200029</v>
      </c>
      <c r="G37" s="98">
        <f t="shared" si="21"/>
        <v>8267789.787100004</v>
      </c>
      <c r="H37" s="98">
        <f t="shared" si="21"/>
        <v>6468862.0262309983</v>
      </c>
      <c r="I37" s="98">
        <f t="shared" si="21"/>
        <v>6689077.7919460023</v>
      </c>
      <c r="J37" s="98">
        <f t="shared" si="21"/>
        <v>14202424.882361013</v>
      </c>
      <c r="K37" s="98">
        <f t="shared" si="21"/>
        <v>11062025.35728899</v>
      </c>
      <c r="L37" s="98">
        <f t="shared" si="21"/>
        <v>17819387.672495998</v>
      </c>
      <c r="M37" s="98">
        <f t="shared" si="21"/>
        <v>25477882.296076994</v>
      </c>
    </row>
  </sheetData>
  <pageMargins left="0.7" right="0.7" top="0.75" bottom="0.75" header="0.3" footer="0.3"/>
  <customProperties>
    <customPr name="_pios_id" r:id="rId1"/>
    <customPr name="CofWorksheetType" r:id="rId2"/>
    <customPr name="EpmWorksheetKeyString_GUID" r:id="rId3"/>
  </customPropertie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8BC87-2829-412D-A50D-95EC8C5FBAED}">
  <sheetPr>
    <tabColor rgb="FF00B050"/>
  </sheetPr>
  <dimension ref="A1:AM196"/>
  <sheetViews>
    <sheetView topLeftCell="A4" zoomScale="85" zoomScaleNormal="85" workbookViewId="0">
      <selection activeCell="J75" sqref="J75"/>
    </sheetView>
  </sheetViews>
  <sheetFormatPr defaultRowHeight="14.5"/>
  <cols>
    <col min="1" max="1" width="28.36328125" bestFit="1" customWidth="1"/>
    <col min="2" max="2" width="12.81640625" customWidth="1"/>
    <col min="3" max="4" width="12.1796875" customWidth="1"/>
    <col min="5" max="7" width="12.81640625" customWidth="1"/>
    <col min="8" max="13" width="12.81640625" bestFit="1" customWidth="1"/>
    <col min="14" max="14" width="14.1796875" bestFit="1" customWidth="1"/>
    <col min="15" max="15" width="12.7265625" bestFit="1" customWidth="1"/>
    <col min="16" max="23" width="7.81640625" bestFit="1" customWidth="1"/>
    <col min="24" max="27" width="7.26953125" bestFit="1" customWidth="1"/>
  </cols>
  <sheetData>
    <row r="1" spans="1:39">
      <c r="A1" s="60" t="s">
        <v>449</v>
      </c>
      <c r="B1" s="61" t="s">
        <v>450</v>
      </c>
      <c r="C1" s="61" t="s">
        <v>451</v>
      </c>
      <c r="D1" s="61" t="s">
        <v>452</v>
      </c>
      <c r="E1" s="61" t="s">
        <v>453</v>
      </c>
      <c r="F1" s="61" t="s">
        <v>454</v>
      </c>
      <c r="G1" s="61" t="s">
        <v>455</v>
      </c>
      <c r="H1" s="61" t="s">
        <v>456</v>
      </c>
      <c r="I1" s="61" t="s">
        <v>457</v>
      </c>
      <c r="J1" s="61" t="s">
        <v>458</v>
      </c>
      <c r="K1" s="61" t="s">
        <v>459</v>
      </c>
      <c r="L1" s="61" t="s">
        <v>460</v>
      </c>
      <c r="M1" s="61" t="s">
        <v>461</v>
      </c>
      <c r="N1" s="68" t="s">
        <v>462</v>
      </c>
    </row>
    <row r="2" spans="1:39">
      <c r="A2" s="61" t="s">
        <v>175</v>
      </c>
      <c r="B2" s="62">
        <v>37.515625</v>
      </c>
      <c r="C2" s="62">
        <v>38.281250000000007</v>
      </c>
      <c r="D2" s="62">
        <v>39.046875</v>
      </c>
      <c r="E2" s="62">
        <v>39.8125</v>
      </c>
      <c r="F2" s="62">
        <v>40.578125000000007</v>
      </c>
      <c r="G2" s="62">
        <v>41.34375</v>
      </c>
      <c r="H2" s="62">
        <v>42.109375</v>
      </c>
      <c r="I2" s="62">
        <v>42.875000000000007</v>
      </c>
      <c r="J2" s="62">
        <v>43.640625</v>
      </c>
      <c r="K2" s="62">
        <v>44.40625</v>
      </c>
      <c r="L2" s="62">
        <v>45.171875000000007</v>
      </c>
      <c r="M2" s="62">
        <v>45.9375</v>
      </c>
      <c r="N2" s="69"/>
      <c r="P2" s="62">
        <v>15.4739876766308</v>
      </c>
      <c r="Q2" s="62">
        <v>15.6583970923917</v>
      </c>
      <c r="R2" s="62">
        <v>15.842806508152499</v>
      </c>
      <c r="S2" s="62">
        <v>16.027215923913399</v>
      </c>
      <c r="T2" s="62">
        <v>16.2116253396742</v>
      </c>
      <c r="U2" s="62">
        <v>16.3960347554351</v>
      </c>
      <c r="V2" s="62">
        <v>16.5804441711959</v>
      </c>
      <c r="W2" s="62">
        <v>16.764853586956701</v>
      </c>
      <c r="X2" s="62">
        <v>16.949263002717601</v>
      </c>
      <c r="Y2" s="62">
        <v>17.133672418478401</v>
      </c>
      <c r="Z2" s="62">
        <v>17.318081834239301</v>
      </c>
      <c r="AA2" s="62">
        <v>17.502491250000102</v>
      </c>
    </row>
    <row r="3" spans="1:39">
      <c r="A3" s="61" t="s">
        <v>176</v>
      </c>
      <c r="B3" s="62">
        <v>37.1328125</v>
      </c>
      <c r="C3" s="62">
        <v>37.8984375</v>
      </c>
      <c r="D3" s="62">
        <v>38.6640625</v>
      </c>
      <c r="E3" s="62">
        <v>39.4296875</v>
      </c>
      <c r="F3" s="62">
        <v>40.1953125</v>
      </c>
      <c r="G3" s="62">
        <v>40.9609375</v>
      </c>
      <c r="H3" s="62">
        <v>41.7265625</v>
      </c>
      <c r="I3" s="62">
        <v>42.4921875</v>
      </c>
      <c r="J3" s="62">
        <v>43.2578125</v>
      </c>
      <c r="K3" s="62">
        <v>44.0234375</v>
      </c>
      <c r="L3" s="62">
        <v>44.7890625</v>
      </c>
      <c r="M3" s="62">
        <v>45.5546875</v>
      </c>
      <c r="N3" s="69"/>
      <c r="P3" s="62">
        <v>15.3817829687504</v>
      </c>
      <c r="Q3" s="62">
        <v>15.5661923845113</v>
      </c>
      <c r="R3" s="62">
        <v>15.750601800272101</v>
      </c>
      <c r="S3" s="62">
        <v>15.935011216032899</v>
      </c>
      <c r="T3" s="62">
        <v>16.119420631793801</v>
      </c>
      <c r="U3" s="62">
        <v>16.303830047554602</v>
      </c>
      <c r="V3" s="62">
        <v>16.488239463315502</v>
      </c>
      <c r="W3" s="62">
        <v>16.672648879076299</v>
      </c>
      <c r="X3" s="62">
        <v>16.857058294837199</v>
      </c>
      <c r="Y3" s="62">
        <v>17.041467710597999</v>
      </c>
      <c r="Z3" s="62">
        <v>17.225877126358899</v>
      </c>
      <c r="AA3" s="62">
        <v>17.4102865421197</v>
      </c>
    </row>
    <row r="4" spans="1:39">
      <c r="A4" s="61" t="s">
        <v>178</v>
      </c>
      <c r="B4" s="98">
        <f>SUM(B5:B7)+SUM(B8:B12)*0.4</f>
        <v>1024903389.2242652</v>
      </c>
      <c r="C4" s="98">
        <f t="shared" ref="C4:N4" si="0">SUM(C5:C7)+SUM(C8:C12)*0.4</f>
        <v>1064947438.893929</v>
      </c>
      <c r="D4" s="98">
        <f t="shared" si="0"/>
        <v>1202582122.2854581</v>
      </c>
      <c r="E4" s="98">
        <f t="shared" si="0"/>
        <v>1139591575.5939732</v>
      </c>
      <c r="F4" s="98">
        <f t="shared" si="0"/>
        <v>1205793757.8193243</v>
      </c>
      <c r="G4" s="98">
        <f t="shared" si="0"/>
        <v>1192783341.4542959</v>
      </c>
      <c r="H4" s="98">
        <f t="shared" si="0"/>
        <v>1245652884.7872283</v>
      </c>
      <c r="I4" s="98">
        <f t="shared" si="0"/>
        <v>1118799945.6769838</v>
      </c>
      <c r="J4" s="98">
        <f t="shared" si="0"/>
        <v>1422059573.9416382</v>
      </c>
      <c r="K4" s="98">
        <f t="shared" si="0"/>
        <v>1454016425.6051753</v>
      </c>
      <c r="L4" s="98">
        <f t="shared" si="0"/>
        <v>1419448949.9574564</v>
      </c>
      <c r="M4" s="98">
        <f t="shared" si="0"/>
        <v>1308775017.3340573</v>
      </c>
      <c r="N4" s="99">
        <f t="shared" si="0"/>
        <v>14799354422.573786</v>
      </c>
    </row>
    <row r="5" spans="1:39">
      <c r="A5" s="61" t="s">
        <v>179</v>
      </c>
      <c r="B5" s="100">
        <v>26545528.129195999</v>
      </c>
      <c r="C5" s="100">
        <v>27419454.852079999</v>
      </c>
      <c r="D5" s="100">
        <v>31329207.733908001</v>
      </c>
      <c r="E5" s="100">
        <v>29281597.259668998</v>
      </c>
      <c r="F5" s="100">
        <v>31342694.999007002</v>
      </c>
      <c r="G5" s="100">
        <v>31233975.816438001</v>
      </c>
      <c r="H5" s="100">
        <v>31573143.019611999</v>
      </c>
      <c r="I5" s="100">
        <v>28520352.709957998</v>
      </c>
      <c r="J5" s="100">
        <v>37892064.132505</v>
      </c>
      <c r="K5" s="100">
        <v>37505344.068428002</v>
      </c>
      <c r="L5" s="100">
        <v>36577447.339893997</v>
      </c>
      <c r="M5" s="100">
        <v>33129305.915796999</v>
      </c>
      <c r="N5" s="101">
        <f>SUM(B5:M5)</f>
        <v>382350115.97649193</v>
      </c>
      <c r="O5" s="52">
        <v>957505.20266268798</v>
      </c>
      <c r="P5" s="96">
        <f>B5/'Bütçe aylık-Eur'!B5</f>
        <v>37.132800000000003</v>
      </c>
      <c r="Q5" s="96">
        <f>C5/'Bütçe aylık-Eur'!C5</f>
        <v>37.898400000000002</v>
      </c>
      <c r="R5" s="96">
        <f>D5/'Bütçe aylık-Eur'!D5</f>
        <v>38.664099999999998</v>
      </c>
      <c r="S5" s="96">
        <f>E5/'Bütçe aylık-Eur'!E5</f>
        <v>39.429699999999997</v>
      </c>
      <c r="T5" s="96">
        <f>F5/'Bütçe aylık-Eur'!F5</f>
        <v>40.195300000000003</v>
      </c>
      <c r="U5" s="96">
        <f>G5/'Bütçe aylık-Eur'!G5</f>
        <v>40.960900000000002</v>
      </c>
      <c r="V5" s="96">
        <f>H5/'Bütçe aylık-Eur'!H5</f>
        <v>41.726599999999998</v>
      </c>
      <c r="W5" s="96">
        <f>I5/'Bütçe aylık-Eur'!I5</f>
        <v>42.492199999999997</v>
      </c>
      <c r="Y5">
        <v>743332.05776521657</v>
      </c>
      <c r="Z5">
        <v>710968.05941912055</v>
      </c>
      <c r="AA5">
        <v>729202.8306341545</v>
      </c>
      <c r="AB5">
        <v>746674.34540563985</v>
      </c>
      <c r="AC5">
        <v>750960.55102399376</v>
      </c>
      <c r="AD5">
        <v>747753.41549428308</v>
      </c>
      <c r="AE5">
        <v>769705.20209722128</v>
      </c>
      <c r="AF5">
        <v>638142.72442602343</v>
      </c>
      <c r="AG5">
        <v>811337.2713297077</v>
      </c>
      <c r="AH5">
        <v>824117.81137036288</v>
      </c>
      <c r="AI5">
        <v>797197.31105435046</v>
      </c>
      <c r="AJ5">
        <v>668241.79704893893</v>
      </c>
      <c r="AL5">
        <f>B5/Y5</f>
        <v>35.711534100928652</v>
      </c>
      <c r="AM5">
        <f>C5/Z5</f>
        <v>38.566366644490905</v>
      </c>
    </row>
    <row r="6" spans="1:39">
      <c r="A6" s="61" t="s">
        <v>180</v>
      </c>
      <c r="B6" s="100">
        <v>30975828.359198</v>
      </c>
      <c r="C6" s="100">
        <v>36666749.369537003</v>
      </c>
      <c r="D6" s="100">
        <v>38146616.995186999</v>
      </c>
      <c r="E6" s="100">
        <v>41827659.784394003</v>
      </c>
      <c r="F6" s="100">
        <v>40063080.589518003</v>
      </c>
      <c r="G6" s="100">
        <v>41660348.205920003</v>
      </c>
      <c r="H6" s="100">
        <v>35643814.935524002</v>
      </c>
      <c r="I6" s="100">
        <v>25346566.440802</v>
      </c>
      <c r="J6" s="100">
        <v>27278546.023129001</v>
      </c>
      <c r="K6" s="100">
        <v>23703427.960809</v>
      </c>
      <c r="L6" s="100">
        <v>21707748.698757999</v>
      </c>
      <c r="M6" s="100">
        <v>19695934.511744998</v>
      </c>
      <c r="N6" s="101">
        <f t="shared" ref="N6:N12" si="1">SUM(B6:M6)</f>
        <v>382716321.87452096</v>
      </c>
      <c r="O6">
        <f>O5*P7</f>
        <v>35554849.189433061</v>
      </c>
      <c r="P6" s="96">
        <f>B6/'Bütçe aylık-Eur'!B6</f>
        <v>37.132800000000003</v>
      </c>
      <c r="Q6" s="96">
        <f>C6/'Bütçe aylık-Eur'!C6</f>
        <v>37.898400000000002</v>
      </c>
      <c r="R6" s="96">
        <f>D6/'Bütçe aylık-Eur'!D6</f>
        <v>38.664099999999998</v>
      </c>
      <c r="S6" s="96">
        <f>E6/'Bütçe aylık-Eur'!E6</f>
        <v>39.429699999999997</v>
      </c>
      <c r="T6" s="96">
        <f>F6/'Bütçe aylık-Eur'!F6</f>
        <v>40.195300000000003</v>
      </c>
      <c r="U6" s="96">
        <f>G6/'Bütçe aylık-Eur'!G6</f>
        <v>40.960900000000002</v>
      </c>
      <c r="V6" s="96">
        <f>H6/'Bütçe aylık-Eur'!H6</f>
        <v>41.726599999999998</v>
      </c>
      <c r="W6" s="96">
        <f>I6/'Bütçe aylık-Eur'!I6</f>
        <v>42.492199999999997</v>
      </c>
      <c r="Y6">
        <v>954216.64800302568</v>
      </c>
      <c r="Z6">
        <v>1009890.2058436805</v>
      </c>
      <c r="AA6">
        <v>1096897.9860059998</v>
      </c>
      <c r="AB6">
        <v>1137498.1199771331</v>
      </c>
      <c r="AC6">
        <v>1031433.5840834643</v>
      </c>
      <c r="AD6">
        <v>949864.04606738081</v>
      </c>
      <c r="AE6">
        <v>928824.87140717311</v>
      </c>
      <c r="AF6">
        <v>702955.54351109813</v>
      </c>
      <c r="AG6">
        <v>688980.15658151987</v>
      </c>
      <c r="AH6">
        <v>708912.24294467212</v>
      </c>
      <c r="AI6">
        <v>657676.36178184743</v>
      </c>
      <c r="AJ6">
        <v>476627.78712161409</v>
      </c>
      <c r="AL6">
        <f t="shared" ref="AL6:AM12" si="2">B6/Y6</f>
        <v>32.462049812297742</v>
      </c>
      <c r="AM6">
        <f t="shared" si="2"/>
        <v>36.307659146872247</v>
      </c>
    </row>
    <row r="7" spans="1:39">
      <c r="A7" s="61" t="s">
        <v>181</v>
      </c>
      <c r="B7" s="100">
        <v>36913368.130399004</v>
      </c>
      <c r="C7" s="100">
        <v>37421189.601752996</v>
      </c>
      <c r="D7" s="100">
        <v>49968968.744177997</v>
      </c>
      <c r="E7" s="100">
        <v>52871185.721780002</v>
      </c>
      <c r="F7" s="100">
        <v>58327490.752295002</v>
      </c>
      <c r="G7" s="100">
        <v>59530606.564533003</v>
      </c>
      <c r="H7" s="100">
        <v>74416328.526947007</v>
      </c>
      <c r="I7" s="100">
        <v>61066437.521908</v>
      </c>
      <c r="J7" s="100">
        <v>61200324.314139001</v>
      </c>
      <c r="K7" s="100">
        <v>64071597.922632001</v>
      </c>
      <c r="L7" s="100">
        <v>77488469.048926994</v>
      </c>
      <c r="M7" s="100">
        <v>67512216.799790993</v>
      </c>
      <c r="N7" s="101">
        <f t="shared" si="1"/>
        <v>700788183.64928198</v>
      </c>
      <c r="O7" s="52">
        <f>'Bütçe aylık-Eur'!$B$5</f>
        <v>714880.86352755502</v>
      </c>
      <c r="P7" s="96">
        <f>B7/'Bütçe aylık-Eur'!B7</f>
        <v>37.132800000000003</v>
      </c>
      <c r="Q7" s="96">
        <f>C7/'Bütçe aylık-Eur'!C7</f>
        <v>37.898400000000002</v>
      </c>
      <c r="R7" s="96">
        <f>D7/'Bütçe aylık-Eur'!D7</f>
        <v>38.664099999999998</v>
      </c>
      <c r="S7" s="96">
        <f>E7/'Bütçe aylık-Eur'!E7</f>
        <v>39.429699999999997</v>
      </c>
      <c r="T7" s="96">
        <f>F7/'Bütçe aylık-Eur'!F7</f>
        <v>40.195300000000003</v>
      </c>
      <c r="U7" s="96">
        <f>G7/'Bütçe aylık-Eur'!G7</f>
        <v>40.960900000000002</v>
      </c>
      <c r="V7" s="96">
        <f>H7/'Bütçe aylık-Eur'!H7</f>
        <v>41.726599999999998</v>
      </c>
      <c r="W7" s="96">
        <f>I7/'Bütçe aylık-Eur'!I7</f>
        <v>42.492199999999997</v>
      </c>
      <c r="Y7">
        <v>872634.70342134917</v>
      </c>
      <c r="Z7">
        <v>855352.6230029877</v>
      </c>
      <c r="AA7">
        <v>852021.1417712454</v>
      </c>
      <c r="AB7">
        <v>835352.79548937618</v>
      </c>
      <c r="AC7">
        <v>839813.4501876625</v>
      </c>
      <c r="AD7">
        <v>1114564.4405332534</v>
      </c>
      <c r="AE7">
        <v>893476.29798848159</v>
      </c>
      <c r="AF7">
        <v>1063887.2793691289</v>
      </c>
      <c r="AG7">
        <v>878138.54341193975</v>
      </c>
      <c r="AH7">
        <v>867193.72778777615</v>
      </c>
      <c r="AI7">
        <v>1051970.8851903328</v>
      </c>
      <c r="AJ7">
        <v>790316.39450732025</v>
      </c>
      <c r="AL7">
        <f t="shared" si="2"/>
        <v>42.301054479809622</v>
      </c>
      <c r="AM7">
        <f t="shared" si="2"/>
        <v>43.749429878842243</v>
      </c>
    </row>
    <row r="8" spans="1:39">
      <c r="A8" s="61" t="s">
        <v>182</v>
      </c>
      <c r="B8" s="100">
        <v>709368965.38185596</v>
      </c>
      <c r="C8" s="100">
        <v>736915987.45576704</v>
      </c>
      <c r="D8" s="100">
        <v>786849814.53307104</v>
      </c>
      <c r="E8" s="100">
        <v>764718161.91986203</v>
      </c>
      <c r="F8" s="100">
        <v>749350187.71627998</v>
      </c>
      <c r="G8" s="100">
        <v>767773853.503721</v>
      </c>
      <c r="H8" s="100">
        <v>913353819.40268004</v>
      </c>
      <c r="I8" s="100">
        <v>896320785.62122297</v>
      </c>
      <c r="J8" s="100">
        <v>975159968.36942613</v>
      </c>
      <c r="K8" s="100">
        <v>1131618188.3995399</v>
      </c>
      <c r="L8" s="100">
        <v>1144323357.51107</v>
      </c>
      <c r="M8" s="100">
        <v>1185874708.25933</v>
      </c>
      <c r="N8" s="101">
        <f t="shared" si="1"/>
        <v>10761627798.073826</v>
      </c>
      <c r="O8">
        <f>O7*P7</f>
        <v>26545528.129195996</v>
      </c>
      <c r="P8" s="96">
        <f>B8/'Bütçe aylık-Eur'!B8</f>
        <v>37.132800000000003</v>
      </c>
      <c r="Q8" s="96">
        <f>C8/'Bütçe aylık-Eur'!C8</f>
        <v>37.898400000000002</v>
      </c>
      <c r="R8" s="96">
        <f>D8/'Bütçe aylık-Eur'!D8</f>
        <v>38.664099999999998</v>
      </c>
      <c r="S8" s="96">
        <f>E8/'Bütçe aylık-Eur'!E8</f>
        <v>39.429699999999997</v>
      </c>
      <c r="T8" s="96">
        <f>F8/'Bütçe aylık-Eur'!F8</f>
        <v>40.195300000000003</v>
      </c>
      <c r="U8" s="96">
        <f>G8/'Bütçe aylık-Eur'!G8</f>
        <v>40.960900000000002</v>
      </c>
      <c r="V8" s="96">
        <f>H8/'Bütçe aylık-Eur'!H8</f>
        <v>41.726599999999998</v>
      </c>
      <c r="W8" s="96">
        <f>I8/'Bütçe aylık-Eur'!I8</f>
        <v>42.492199999999997</v>
      </c>
      <c r="Y8">
        <v>20120741.600939248</v>
      </c>
      <c r="Z8">
        <v>19757988.940981343</v>
      </c>
      <c r="AA8">
        <v>17814462.127425969</v>
      </c>
      <c r="AB8">
        <v>19162290.170120142</v>
      </c>
      <c r="AC8">
        <v>18317817.292684585</v>
      </c>
      <c r="AD8">
        <v>19277758.754090574</v>
      </c>
      <c r="AE8">
        <v>20710182.913555924</v>
      </c>
      <c r="AF8">
        <v>20892284.185205288</v>
      </c>
      <c r="AG8">
        <v>20784178.451634474</v>
      </c>
      <c r="AH8">
        <v>22711435.200877983</v>
      </c>
      <c r="AI8">
        <v>22200504.643248368</v>
      </c>
      <c r="AJ8">
        <v>21376742.075755391</v>
      </c>
      <c r="AL8">
        <f t="shared" si="2"/>
        <v>35.255607345444076</v>
      </c>
      <c r="AM8">
        <f t="shared" si="2"/>
        <v>37.29711508883787</v>
      </c>
    </row>
    <row r="9" spans="1:39">
      <c r="A9" s="61" t="s">
        <v>183</v>
      </c>
      <c r="B9" s="100">
        <v>245460323</v>
      </c>
      <c r="C9" s="100">
        <v>258889733</v>
      </c>
      <c r="D9" s="100">
        <v>261529390</v>
      </c>
      <c r="E9" s="100">
        <v>265175211.06501499</v>
      </c>
      <c r="F9" s="100">
        <v>277344848.30275702</v>
      </c>
      <c r="G9" s="100">
        <v>231445100.92182299</v>
      </c>
      <c r="H9" s="100">
        <v>287274704.174523</v>
      </c>
      <c r="I9" s="100">
        <v>257215657.98723599</v>
      </c>
      <c r="J9" s="100">
        <v>257739774.345415</v>
      </c>
      <c r="K9" s="100">
        <v>335298803.01918298</v>
      </c>
      <c r="L9" s="100">
        <v>285687473.35756999</v>
      </c>
      <c r="M9" s="100">
        <v>286762654.74282098</v>
      </c>
      <c r="N9" s="101">
        <f t="shared" si="1"/>
        <v>3249823673.9163437</v>
      </c>
      <c r="P9" s="96">
        <f>B9/'Bütçe aylık-Eur'!B9</f>
        <v>37.132800000000003</v>
      </c>
      <c r="Q9" s="96">
        <f>C9/'Bütçe aylık-Eur'!C9</f>
        <v>37.898400000000002</v>
      </c>
      <c r="R9" s="96">
        <f>D9/'Bütçe aylık-Eur'!D9</f>
        <v>38.664099999999998</v>
      </c>
      <c r="S9" s="96">
        <f>E9/'Bütçe aylık-Eur'!E9</f>
        <v>39.42969999999999</v>
      </c>
      <c r="T9" s="96">
        <f>F9/'Bütçe aylık-Eur'!F9</f>
        <v>40.195300000000003</v>
      </c>
      <c r="U9" s="96">
        <f>G9/'Bütçe aylık-Eur'!G9</f>
        <v>40.960900000000002</v>
      </c>
      <c r="V9" s="96">
        <f>H9/'Bütçe aylık-Eur'!H9</f>
        <v>41.726599999999998</v>
      </c>
      <c r="W9" s="96">
        <f>I9/'Bütçe aylık-Eur'!I9</f>
        <v>42.492199999999997</v>
      </c>
      <c r="Y9">
        <v>7387418.12269904</v>
      </c>
      <c r="Z9">
        <v>7094297.6351132346</v>
      </c>
      <c r="AA9">
        <v>7131495.2477888344</v>
      </c>
      <c r="AB9">
        <v>5123414.8081876682</v>
      </c>
      <c r="AC9">
        <v>5326508.3345013559</v>
      </c>
      <c r="AD9">
        <v>5078745.406430997</v>
      </c>
      <c r="AE9">
        <v>4950398.9611763712</v>
      </c>
      <c r="AF9">
        <v>4907952.6846805057</v>
      </c>
      <c r="AG9">
        <v>4786705.745849424</v>
      </c>
      <c r="AH9">
        <v>5098208.2301906487</v>
      </c>
      <c r="AI9">
        <v>4838154.8865592107</v>
      </c>
      <c r="AJ9">
        <v>4769547.8217773521</v>
      </c>
      <c r="AL9">
        <f t="shared" si="2"/>
        <v>33.226807921672034</v>
      </c>
      <c r="AM9">
        <f t="shared" si="2"/>
        <v>36.492651748726324</v>
      </c>
    </row>
    <row r="10" spans="1:39">
      <c r="A10" s="61" t="s">
        <v>184</v>
      </c>
      <c r="B10" s="100">
        <v>373139832.95033634</v>
      </c>
      <c r="C10" s="100">
        <v>410336571.30753577</v>
      </c>
      <c r="D10" s="100">
        <v>486822030.33170474</v>
      </c>
      <c r="E10" s="100">
        <v>431063428.69562149</v>
      </c>
      <c r="F10" s="100">
        <v>469359105.61597532</v>
      </c>
      <c r="G10" s="100">
        <v>484899138.25057119</v>
      </c>
      <c r="H10" s="100">
        <v>392742906.17699045</v>
      </c>
      <c r="I10" s="100">
        <v>399632675.73426431</v>
      </c>
      <c r="J10" s="100">
        <v>599371893.94622219</v>
      </c>
      <c r="K10" s="100">
        <v>528179495.80789781</v>
      </c>
      <c r="L10" s="100">
        <v>511859012.6658023</v>
      </c>
      <c r="M10" s="100">
        <v>454919773.39127201</v>
      </c>
      <c r="N10" s="101">
        <f t="shared" si="1"/>
        <v>5542325864.8741932</v>
      </c>
      <c r="P10" s="96">
        <f>B10/'Bütçe aylık-Eur'!B10</f>
        <v>37.132800000000003</v>
      </c>
      <c r="Q10" s="96">
        <f>C10/'Bütçe aylık-Eur'!C10</f>
        <v>37.898400000000017</v>
      </c>
      <c r="R10" s="96">
        <f>D10/'Bütçe aylık-Eur'!D10</f>
        <v>38.664099999999991</v>
      </c>
      <c r="S10" s="96">
        <f>E10/'Bütçe aylık-Eur'!E10</f>
        <v>39.429699999999997</v>
      </c>
      <c r="T10" s="96">
        <f>F10/'Bütçe aylık-Eur'!F10</f>
        <v>40.19530000000001</v>
      </c>
      <c r="U10" s="96">
        <f>G10/'Bütçe aylık-Eur'!G10</f>
        <v>40.960900000000017</v>
      </c>
      <c r="V10" s="96">
        <f>H10/'Bütçe aylık-Eur'!H10</f>
        <v>41.726599999999991</v>
      </c>
      <c r="W10" s="96">
        <f>I10/'Bütçe aylık-Eur'!I10</f>
        <v>42.492199999999997</v>
      </c>
      <c r="Y10">
        <v>11467142.571404001</v>
      </c>
      <c r="Z10">
        <v>11068889.858853998</v>
      </c>
      <c r="AA10">
        <v>11624569.843202002</v>
      </c>
      <c r="AB10">
        <v>12185340.810438996</v>
      </c>
      <c r="AC10">
        <v>12702888.151793005</v>
      </c>
      <c r="AD10">
        <v>12512772.402747996</v>
      </c>
      <c r="AE10">
        <v>11861040.934500009</v>
      </c>
      <c r="AF10">
        <v>10285679.402928993</v>
      </c>
      <c r="AG10">
        <v>12514354.501879007</v>
      </c>
      <c r="AH10">
        <v>12927335.264287993</v>
      </c>
      <c r="AI10">
        <v>11674243.616440997</v>
      </c>
      <c r="AJ10">
        <v>9286876.5998210013</v>
      </c>
      <c r="AL10">
        <f t="shared" si="2"/>
        <v>32.539913987016057</v>
      </c>
      <c r="AM10">
        <f t="shared" si="2"/>
        <v>37.071158584102072</v>
      </c>
    </row>
    <row r="11" spans="1:39">
      <c r="A11" s="61" t="s">
        <v>185</v>
      </c>
      <c r="B11" s="100">
        <v>281377812.54471111</v>
      </c>
      <c r="C11" s="100">
        <v>231296472.11590201</v>
      </c>
      <c r="D11" s="100">
        <v>308658276.42668355</v>
      </c>
      <c r="E11" s="100">
        <v>315230889.01873744</v>
      </c>
      <c r="F11" s="100">
        <v>316559097.09634161</v>
      </c>
      <c r="G11" s="100">
        <v>284264282.78517014</v>
      </c>
      <c r="H11" s="100">
        <v>273209592.84117991</v>
      </c>
      <c r="I11" s="100">
        <v>249461358.51054639</v>
      </c>
      <c r="J11" s="100">
        <v>358774537.50202394</v>
      </c>
      <c r="K11" s="100">
        <v>345908366.82625186</v>
      </c>
      <c r="L11" s="100">
        <v>326425711.95134205</v>
      </c>
      <c r="M11" s="100">
        <v>251291752.84330761</v>
      </c>
      <c r="N11" s="101">
        <f t="shared" si="1"/>
        <v>3542458150.4621978</v>
      </c>
      <c r="P11" s="96">
        <f>B11/'Bütçe aylık-Eur'!B11</f>
        <v>37.132800000000003</v>
      </c>
      <c r="Q11" s="96">
        <f>C11/'Bütçe aylık-Eur'!C11</f>
        <v>37.898400000000002</v>
      </c>
      <c r="R11" s="96">
        <f>D11/'Bütçe aylık-Eur'!D11</f>
        <v>38.664099999999991</v>
      </c>
      <c r="S11" s="96">
        <f>E11/'Bütçe aylık-Eur'!E11</f>
        <v>39.42969999999999</v>
      </c>
      <c r="T11" s="96">
        <f>F11/'Bütçe aylık-Eur'!F11</f>
        <v>40.195300000000003</v>
      </c>
      <c r="U11" s="96">
        <f>G11/'Bütçe aylık-Eur'!G11</f>
        <v>40.960900000000002</v>
      </c>
      <c r="V11" s="96">
        <f>H11/'Bütçe aylık-Eur'!H11</f>
        <v>41.726599999999991</v>
      </c>
      <c r="W11" s="96">
        <f>I11/'Bütçe aylık-Eur'!I11</f>
        <v>42.492200000000011</v>
      </c>
      <c r="Y11">
        <v>6447000</v>
      </c>
      <c r="Z11">
        <v>4889000</v>
      </c>
      <c r="AA11">
        <v>7221000</v>
      </c>
      <c r="AB11">
        <v>6133000</v>
      </c>
      <c r="AC11">
        <v>6400000</v>
      </c>
      <c r="AD11">
        <v>5936000</v>
      </c>
      <c r="AE11">
        <v>7606000</v>
      </c>
      <c r="AF11">
        <v>6094000</v>
      </c>
      <c r="AG11">
        <v>7613000</v>
      </c>
      <c r="AH11">
        <v>7130000</v>
      </c>
      <c r="AI11">
        <v>7306000</v>
      </c>
      <c r="AJ11">
        <v>6297000</v>
      </c>
      <c r="AL11">
        <f t="shared" si="2"/>
        <v>43.644766952801476</v>
      </c>
      <c r="AM11">
        <f t="shared" si="2"/>
        <v>47.309566806279811</v>
      </c>
    </row>
    <row r="12" spans="1:39">
      <c r="A12" s="61" t="s">
        <v>186</v>
      </c>
      <c r="B12" s="100">
        <v>716824727.63677692</v>
      </c>
      <c r="C12" s="100">
        <v>771161348.79719257</v>
      </c>
      <c r="D12" s="100">
        <v>863983810.73900342</v>
      </c>
      <c r="E12" s="100">
        <v>762840141.37108946</v>
      </c>
      <c r="F12" s="100">
        <v>877537989.96490669</v>
      </c>
      <c r="G12" s="100">
        <v>882513651.70722699</v>
      </c>
      <c r="H12" s="100">
        <v>893467973.16749001</v>
      </c>
      <c r="I12" s="100">
        <v>707035994.6575197</v>
      </c>
      <c r="J12" s="100">
        <v>1048175424.5165756</v>
      </c>
      <c r="K12" s="100">
        <v>980835285.0803926</v>
      </c>
      <c r="L12" s="100">
        <v>940892656.68890905</v>
      </c>
      <c r="M12" s="100">
        <v>792245011.03007996</v>
      </c>
      <c r="N12" s="101">
        <f t="shared" si="1"/>
        <v>10237514015.357164</v>
      </c>
      <c r="Y12">
        <v>20973747.592498999</v>
      </c>
      <c r="Z12">
        <v>20805292.633079004</v>
      </c>
      <c r="AA12">
        <v>20593430.476274997</v>
      </c>
      <c r="AB12">
        <v>21334249.318073995</v>
      </c>
      <c r="AC12">
        <v>21438354.641413998</v>
      </c>
      <c r="AD12">
        <v>21186503.853876006</v>
      </c>
      <c r="AE12">
        <v>21035553.577912983</v>
      </c>
      <c r="AF12">
        <v>14193276.378374994</v>
      </c>
      <c r="AG12">
        <v>23656401.353187025</v>
      </c>
      <c r="AH12">
        <v>23363023.661151975</v>
      </c>
      <c r="AI12">
        <v>22769069.365568012</v>
      </c>
      <c r="AJ12">
        <v>17342540.02225399</v>
      </c>
      <c r="AL12">
        <f t="shared" si="2"/>
        <v>34.177236303403426</v>
      </c>
      <c r="AM12">
        <f t="shared" si="2"/>
        <v>37.065633365382148</v>
      </c>
    </row>
    <row r="13" spans="1:39">
      <c r="A13" s="61" t="s">
        <v>187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70"/>
    </row>
    <row r="14" spans="1:39">
      <c r="A14" s="61" t="s">
        <v>188</v>
      </c>
      <c r="B14" s="64"/>
      <c r="C14" s="64">
        <v>-1</v>
      </c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70"/>
    </row>
    <row r="15" spans="1:39">
      <c r="A15" s="61" t="s">
        <v>190</v>
      </c>
      <c r="B15" s="98">
        <f>SUM(B16:B18)+SUM(B19:B23)*0.4</f>
        <v>-828386094.12528086</v>
      </c>
      <c r="C15" s="98">
        <f t="shared" ref="C15:N15" si="3">SUM(C16:C18)+SUM(C19:C23)*0.4</f>
        <v>-853044462.45061982</v>
      </c>
      <c r="D15" s="98">
        <f t="shared" si="3"/>
        <v>-954804526.32050633</v>
      </c>
      <c r="E15" s="98">
        <f t="shared" si="3"/>
        <v>-919860009.080899</v>
      </c>
      <c r="F15" s="98">
        <f t="shared" si="3"/>
        <v>-951598393.94032514</v>
      </c>
      <c r="G15" s="98">
        <f t="shared" si="3"/>
        <v>-951133178.07690859</v>
      </c>
      <c r="H15" s="98">
        <f t="shared" si="3"/>
        <v>-991539399.80375934</v>
      </c>
      <c r="I15" s="98">
        <f t="shared" si="3"/>
        <v>-920643490.14642596</v>
      </c>
      <c r="J15" s="98">
        <f t="shared" si="3"/>
        <v>-1081458166.2120755</v>
      </c>
      <c r="K15" s="98">
        <f t="shared" si="3"/>
        <v>-1131218110.3688707</v>
      </c>
      <c r="L15" s="98">
        <f t="shared" si="3"/>
        <v>-1098253154.5863943</v>
      </c>
      <c r="M15" s="98">
        <f t="shared" si="3"/>
        <v>-1015367437.0942252</v>
      </c>
      <c r="N15" s="101">
        <f t="shared" si="3"/>
        <v>-11697306422.206291</v>
      </c>
    </row>
    <row r="16" spans="1:39">
      <c r="A16" s="61" t="s">
        <v>191</v>
      </c>
      <c r="B16" s="100">
        <v>0</v>
      </c>
      <c r="C16" s="100">
        <v>0</v>
      </c>
      <c r="D16" s="100">
        <v>0</v>
      </c>
      <c r="E16" s="100">
        <v>0</v>
      </c>
      <c r="F16" s="100">
        <v>0</v>
      </c>
      <c r="G16" s="100">
        <v>0</v>
      </c>
      <c r="H16" s="100">
        <v>0</v>
      </c>
      <c r="I16" s="100">
        <v>0</v>
      </c>
      <c r="J16" s="100">
        <v>0</v>
      </c>
      <c r="K16" s="100">
        <v>0</v>
      </c>
      <c r="L16" s="100">
        <v>0</v>
      </c>
      <c r="M16" s="100">
        <v>0</v>
      </c>
      <c r="N16" s="101">
        <f>SUM(B16:M16)</f>
        <v>0</v>
      </c>
      <c r="P16" s="96" t="e">
        <f>B16/'Bütçe aylık-Eur'!B16</f>
        <v>#DIV/0!</v>
      </c>
      <c r="Q16" s="96" t="e">
        <f>C16/'Bütçe aylık-Eur'!C16</f>
        <v>#DIV/0!</v>
      </c>
      <c r="R16" s="96" t="e">
        <f>D16/'Bütçe aylık-Eur'!D16</f>
        <v>#DIV/0!</v>
      </c>
      <c r="S16" s="96" t="e">
        <f>E16/'Bütçe aylık-Eur'!E16</f>
        <v>#DIV/0!</v>
      </c>
      <c r="T16" s="96" t="e">
        <f>F16/'Bütçe aylık-Eur'!F16</f>
        <v>#DIV/0!</v>
      </c>
      <c r="U16" s="96" t="e">
        <f>G16/'Bütçe aylık-Eur'!G16</f>
        <v>#DIV/0!</v>
      </c>
      <c r="V16" s="96" t="e">
        <f>H16/'Bütçe aylık-Eur'!H16</f>
        <v>#DIV/0!</v>
      </c>
      <c r="W16" s="96" t="e">
        <f>I16/'Bütçe aylık-Eur'!I16</f>
        <v>#DIV/0!</v>
      </c>
    </row>
    <row r="17" spans="1:25">
      <c r="A17" s="61" t="s">
        <v>192</v>
      </c>
      <c r="B17" s="100">
        <v>-25673498.876079001</v>
      </c>
      <c r="C17" s="100">
        <v>-27269578.285416</v>
      </c>
      <c r="D17" s="100">
        <v>-27668806.000087999</v>
      </c>
      <c r="E17" s="100">
        <v>-28292582.585668001</v>
      </c>
      <c r="F17" s="100">
        <v>-25167159.600682002</v>
      </c>
      <c r="G17" s="100">
        <v>-27138293.378989</v>
      </c>
      <c r="H17" s="100">
        <v>-23366388.817159001</v>
      </c>
      <c r="I17" s="100">
        <v>-18266972.929129001</v>
      </c>
      <c r="J17" s="100">
        <v>-18539204.897094999</v>
      </c>
      <c r="K17" s="100">
        <v>-17265876.992965002</v>
      </c>
      <c r="L17" s="100">
        <v>-16294658.066955</v>
      </c>
      <c r="M17" s="100">
        <v>-16074654.043764999</v>
      </c>
      <c r="N17" s="101">
        <f t="shared" ref="N17:N23" si="4">SUM(B17:M17)</f>
        <v>-271017674.47399002</v>
      </c>
      <c r="P17" s="96">
        <f>B17/'Bütçe aylık-Eur'!B17</f>
        <v>37.132800000000003</v>
      </c>
      <c r="Q17" s="96">
        <f>C17/'Bütçe aylık-Eur'!C17</f>
        <v>37.898400000000002</v>
      </c>
      <c r="R17" s="96">
        <f>D17/'Bütçe aylık-Eur'!D17</f>
        <v>38.664099999999998</v>
      </c>
      <c r="S17" s="96">
        <f>E17/'Bütçe aylık-Eur'!E17</f>
        <v>39.429699999999997</v>
      </c>
      <c r="T17" s="96">
        <f>F17/'Bütçe aylık-Eur'!F17</f>
        <v>40.195300000000003</v>
      </c>
      <c r="U17" s="96">
        <f>G17/'Bütçe aylık-Eur'!G17</f>
        <v>40.960900000000002</v>
      </c>
      <c r="V17" s="96">
        <f>H17/'Bütçe aylık-Eur'!H17</f>
        <v>41.726600000000005</v>
      </c>
      <c r="W17" s="96">
        <f>I17/'Bütçe aylık-Eur'!I17</f>
        <v>42.492199999999997</v>
      </c>
    </row>
    <row r="18" spans="1:25">
      <c r="A18" s="61" t="s">
        <v>193</v>
      </c>
      <c r="B18" s="100">
        <v>-30746589.702998001</v>
      </c>
      <c r="C18" s="100">
        <v>-31065210.703648999</v>
      </c>
      <c r="D18" s="100">
        <v>-40507843.419973999</v>
      </c>
      <c r="E18" s="100">
        <v>-42580674.688660003</v>
      </c>
      <c r="F18" s="100">
        <v>-46809491.104539998</v>
      </c>
      <c r="G18" s="100">
        <v>-47567353.941033997</v>
      </c>
      <c r="H18" s="100">
        <v>-60890498.820569001</v>
      </c>
      <c r="I18" s="100">
        <v>-48696907.591637</v>
      </c>
      <c r="J18" s="100">
        <v>-48736865.996575996</v>
      </c>
      <c r="K18" s="100">
        <v>-51670540.700237997</v>
      </c>
      <c r="L18" s="100">
        <v>-64249813.861677997</v>
      </c>
      <c r="M18" s="100">
        <v>-55089037.828552</v>
      </c>
      <c r="N18" s="101">
        <f t="shared" si="4"/>
        <v>-568610828.36010492</v>
      </c>
      <c r="P18" s="96">
        <f>B18/'Bütçe aylık-Eur'!B18</f>
        <v>37.132800000000003</v>
      </c>
      <c r="Q18" s="96">
        <f>C18/'Bütçe aylık-Eur'!C18</f>
        <v>37.898400000000002</v>
      </c>
      <c r="R18" s="96">
        <f>D18/'Bütçe aylık-Eur'!D18</f>
        <v>38.664099999999998</v>
      </c>
      <c r="S18" s="96">
        <f>E18/'Bütçe aylık-Eur'!E18</f>
        <v>39.429699999999997</v>
      </c>
      <c r="T18" s="96">
        <f>F18/'Bütçe aylık-Eur'!F18</f>
        <v>40.195300000000003</v>
      </c>
      <c r="U18" s="96">
        <f>G18/'Bütçe aylık-Eur'!G18</f>
        <v>40.960900000000002</v>
      </c>
      <c r="V18" s="96">
        <f>H18/'Bütçe aylık-Eur'!H18</f>
        <v>41.726599999999998</v>
      </c>
      <c r="W18" s="96">
        <f>I18/'Bütçe aylık-Eur'!I18</f>
        <v>42.492199999999997</v>
      </c>
    </row>
    <row r="19" spans="1:25">
      <c r="A19" s="61" t="s">
        <v>194</v>
      </c>
      <c r="B19" s="100">
        <v>-580364481.57741201</v>
      </c>
      <c r="C19" s="100">
        <v>-607118676.56656301</v>
      </c>
      <c r="D19" s="100">
        <v>-644545043.02011704</v>
      </c>
      <c r="E19" s="100">
        <v>-631941016.34031796</v>
      </c>
      <c r="F19" s="100">
        <v>-613178524.32655597</v>
      </c>
      <c r="G19" s="100">
        <v>-616373574.83815396</v>
      </c>
      <c r="H19" s="100">
        <v>-738358615.58889401</v>
      </c>
      <c r="I19" s="100">
        <v>-710255556.80464804</v>
      </c>
      <c r="J19" s="100">
        <v>-764011538.42088997</v>
      </c>
      <c r="K19" s="100">
        <v>-884808840.29569805</v>
      </c>
      <c r="L19" s="100">
        <v>-889914156.133672</v>
      </c>
      <c r="M19" s="100">
        <v>-889682669.99919295</v>
      </c>
      <c r="N19" s="101">
        <f t="shared" si="4"/>
        <v>-8570552693.9121151</v>
      </c>
      <c r="P19" s="96">
        <f>B19/'Bütçe aylık-Eur'!B19</f>
        <v>37.132800000000003</v>
      </c>
      <c r="Q19" s="96">
        <f>C19/'Bütçe aylık-Eur'!C19</f>
        <v>37.898400000000002</v>
      </c>
      <c r="R19" s="96">
        <f>D19/'Bütçe aylık-Eur'!D19</f>
        <v>38.664099999999998</v>
      </c>
      <c r="S19" s="96">
        <f>E19/'Bütçe aylık-Eur'!E19</f>
        <v>39.429699999999997</v>
      </c>
      <c r="T19" s="96">
        <f>F19/'Bütçe aylık-Eur'!F19</f>
        <v>40.195300000000003</v>
      </c>
      <c r="U19" s="96">
        <f>G19/'Bütçe aylık-Eur'!G19</f>
        <v>40.960900000000002</v>
      </c>
      <c r="V19" s="96">
        <f>H19/'Bütçe aylık-Eur'!H19</f>
        <v>41.726599999999998</v>
      </c>
      <c r="W19" s="96">
        <f>I19/'Bütçe aylık-Eur'!I19</f>
        <v>42.492199999999997</v>
      </c>
    </row>
    <row r="20" spans="1:25">
      <c r="A20" s="61" t="s">
        <v>195</v>
      </c>
      <c r="B20" s="100">
        <v>-196994805</v>
      </c>
      <c r="C20" s="100">
        <v>-208335555</v>
      </c>
      <c r="D20" s="100">
        <v>-211781976</v>
      </c>
      <c r="E20" s="100">
        <v>-219186090.42700201</v>
      </c>
      <c r="F20" s="100">
        <v>-227769455.94569501</v>
      </c>
      <c r="G20" s="100">
        <v>-186261546.31949601</v>
      </c>
      <c r="H20" s="100">
        <v>-235531258.652491</v>
      </c>
      <c r="I20" s="100">
        <v>-203469361.52134001</v>
      </c>
      <c r="J20" s="100">
        <v>-204239011.69262701</v>
      </c>
      <c r="K20" s="100">
        <v>-273091069.723068</v>
      </c>
      <c r="L20" s="100">
        <v>-228103805.69279501</v>
      </c>
      <c r="M20" s="100">
        <v>-232032442.30521399</v>
      </c>
      <c r="N20" s="101">
        <f t="shared" si="4"/>
        <v>-2626796378.2797279</v>
      </c>
      <c r="P20" s="96">
        <f>B20/'Bütçe aylık-Eur'!B20</f>
        <v>37.132800000000003</v>
      </c>
      <c r="Q20" s="96">
        <f>C20/'Bütçe aylık-Eur'!C20</f>
        <v>37.898400000000002</v>
      </c>
      <c r="R20" s="96">
        <f>D20/'Bütçe aylık-Eur'!D20</f>
        <v>38.664099999999998</v>
      </c>
      <c r="S20" s="96">
        <f>E20/'Bütçe aylık-Eur'!E20</f>
        <v>39.4296875</v>
      </c>
      <c r="T20" s="96">
        <f>F20/'Bütçe aylık-Eur'!F20</f>
        <v>40.1953125</v>
      </c>
      <c r="U20" s="96">
        <f>G20/'Bütçe aylık-Eur'!G20</f>
        <v>40.9609375</v>
      </c>
      <c r="V20" s="96">
        <f>H20/'Bütçe aylık-Eur'!H20</f>
        <v>41.7265625</v>
      </c>
      <c r="W20" s="96">
        <f>I20/'Bütçe aylık-Eur'!I20</f>
        <v>42.4921875</v>
      </c>
      <c r="Y20">
        <v>-1</v>
      </c>
    </row>
    <row r="21" spans="1:25">
      <c r="A21" s="61" t="s">
        <v>196</v>
      </c>
      <c r="B21" s="100">
        <v>-325228238.64849848</v>
      </c>
      <c r="C21" s="100">
        <v>-344021859.54972494</v>
      </c>
      <c r="D21" s="100">
        <v>-379097888.30100572</v>
      </c>
      <c r="E21" s="100">
        <v>-376669938.08393335</v>
      </c>
      <c r="F21" s="100">
        <v>-393825389.09477633</v>
      </c>
      <c r="G21" s="100">
        <v>-397616824.50053549</v>
      </c>
      <c r="H21" s="100">
        <v>-344005063.78853428</v>
      </c>
      <c r="I21" s="100">
        <v>-370798407.42141026</v>
      </c>
      <c r="J21" s="100">
        <v>-459971277.00486332</v>
      </c>
      <c r="K21" s="100">
        <v>-433724906.88547444</v>
      </c>
      <c r="L21" s="100">
        <v>-416164847.3599965</v>
      </c>
      <c r="M21" s="100">
        <v>-378778748.38483256</v>
      </c>
      <c r="N21" s="101">
        <f t="shared" si="4"/>
        <v>-4619903389.0235853</v>
      </c>
      <c r="P21" s="96">
        <f>B21/'Bütçe aylık-Eur'!B21</f>
        <v>37.132800000000003</v>
      </c>
      <c r="Q21" s="96">
        <f>C21/'Bütçe aylık-Eur'!C21</f>
        <v>37.898399999999995</v>
      </c>
      <c r="R21" s="96">
        <f>D21/'Bütçe aylık-Eur'!D21</f>
        <v>38.664099999999998</v>
      </c>
      <c r="S21" s="96">
        <f>E21/'Bütçe aylık-Eur'!E21</f>
        <v>39.429699999999997</v>
      </c>
      <c r="T21" s="96">
        <f>F21/'Bütçe aylık-Eur'!F21</f>
        <v>40.195300000000003</v>
      </c>
      <c r="U21" s="96">
        <f>G21/'Bütçe aylık-Eur'!G21</f>
        <v>40.960900000000002</v>
      </c>
      <c r="V21" s="96">
        <f>H21/'Bütçe aylık-Eur'!H21</f>
        <v>41.726599999999998</v>
      </c>
      <c r="W21" s="96">
        <f>I21/'Bütçe aylık-Eur'!I21</f>
        <v>42.49219999999999</v>
      </c>
    </row>
    <row r="22" spans="1:25">
      <c r="A22" s="61" t="s">
        <v>197</v>
      </c>
      <c r="B22" s="100">
        <v>-218667176.23696768</v>
      </c>
      <c r="C22" s="100">
        <v>-174795993.45605421</v>
      </c>
      <c r="D22" s="100">
        <v>-226971386.86160147</v>
      </c>
      <c r="E22" s="100">
        <v>-232912651.78252408</v>
      </c>
      <c r="F22" s="100">
        <v>-229938155.73791522</v>
      </c>
      <c r="G22" s="100">
        <v>-212279759.45727193</v>
      </c>
      <c r="H22" s="100">
        <v>-209287097.81821236</v>
      </c>
      <c r="I22" s="100">
        <v>-206624442.49162525</v>
      </c>
      <c r="J22" s="100">
        <v>-254470146.88118342</v>
      </c>
      <c r="K22" s="100">
        <v>-249404400.83338365</v>
      </c>
      <c r="L22" s="100">
        <v>-234747696.02797869</v>
      </c>
      <c r="M22" s="100">
        <v>-192999158.6123552</v>
      </c>
      <c r="N22" s="101">
        <f t="shared" si="4"/>
        <v>-2643098066.1970735</v>
      </c>
      <c r="P22" s="96">
        <f>B22/'Bütçe aylık-Eur'!B22</f>
        <v>37.132800000000003</v>
      </c>
      <c r="Q22" s="96">
        <f>C22/'Bütçe aylık-Eur'!C22</f>
        <v>37.898400000000002</v>
      </c>
      <c r="R22" s="96">
        <f>D22/'Bütçe aylık-Eur'!D22</f>
        <v>38.664100000000005</v>
      </c>
      <c r="S22" s="96">
        <f>E22/'Bütçe aylık-Eur'!E22</f>
        <v>39.429699999999997</v>
      </c>
      <c r="T22" s="96">
        <f>F22/'Bütçe aylık-Eur'!F22</f>
        <v>40.195300000000003</v>
      </c>
      <c r="U22" s="96">
        <f>G22/'Bütçe aylık-Eur'!G22</f>
        <v>40.960900000000002</v>
      </c>
      <c r="V22" s="96">
        <f>H22/'Bütçe aylık-Eur'!H22</f>
        <v>41.726600000000005</v>
      </c>
      <c r="W22" s="96">
        <f>I22/'Bütçe aylık-Eur'!I22</f>
        <v>42.492199999999997</v>
      </c>
    </row>
    <row r="23" spans="1:25">
      <c r="A23" s="61" t="s">
        <v>198</v>
      </c>
      <c r="B23" s="100">
        <v>-608660312.40263116</v>
      </c>
      <c r="C23" s="100">
        <v>-652502099.08154464</v>
      </c>
      <c r="D23" s="100">
        <v>-754173398.06838667</v>
      </c>
      <c r="E23" s="100">
        <v>-661757182.88265002</v>
      </c>
      <c r="F23" s="100">
        <v>-734342832.98281515</v>
      </c>
      <c r="G23" s="100">
        <v>-778537121.77675629</v>
      </c>
      <c r="H23" s="100">
        <v>-741024244.56694698</v>
      </c>
      <c r="I23" s="100">
        <v>-643051255.82512593</v>
      </c>
      <c r="J23" s="100">
        <v>-852763264.29644704</v>
      </c>
      <c r="K23" s="100">
        <v>-814675013.95154536</v>
      </c>
      <c r="L23" s="100">
        <v>-775341201.42996073</v>
      </c>
      <c r="M23" s="100">
        <v>-667016343.7531755</v>
      </c>
      <c r="N23" s="101">
        <f t="shared" si="4"/>
        <v>-8683844271.0179844</v>
      </c>
    </row>
    <row r="24" spans="1:25">
      <c r="A24" s="61" t="s">
        <v>199</v>
      </c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70"/>
    </row>
    <row r="25" spans="1:25">
      <c r="A25" s="61" t="s">
        <v>200</v>
      </c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70"/>
    </row>
    <row r="26" spans="1:25">
      <c r="A26" s="61" t="s">
        <v>202</v>
      </c>
      <c r="B26" s="98">
        <f>SUM(B27:B29)+SUM(B30:B34)*0.4</f>
        <v>196517295.09898442</v>
      </c>
      <c r="C26" s="98">
        <f t="shared" ref="C26:N26" si="5">SUM(C27:C29)+SUM(C30:C34)*0.4</f>
        <v>211902976.44330925</v>
      </c>
      <c r="D26" s="98">
        <f t="shared" si="5"/>
        <v>247777595.96495169</v>
      </c>
      <c r="E26" s="98">
        <f t="shared" si="5"/>
        <v>219731566.51307413</v>
      </c>
      <c r="F26" s="98">
        <f t="shared" si="5"/>
        <v>254195363.87899905</v>
      </c>
      <c r="G26" s="98">
        <f t="shared" si="5"/>
        <v>241650163.3773874</v>
      </c>
      <c r="H26" s="98">
        <f t="shared" si="5"/>
        <v>254113484.98346907</v>
      </c>
      <c r="I26" s="98">
        <f t="shared" si="5"/>
        <v>198156455.53055805</v>
      </c>
      <c r="J26" s="98">
        <f t="shared" si="5"/>
        <v>340601407.7295627</v>
      </c>
      <c r="K26" s="98">
        <f t="shared" si="5"/>
        <v>322798315.23630428</v>
      </c>
      <c r="L26" s="98">
        <f t="shared" si="5"/>
        <v>321195795.37106222</v>
      </c>
      <c r="M26" s="98">
        <f t="shared" si="5"/>
        <v>293407580.23983228</v>
      </c>
      <c r="N26" s="103">
        <f t="shared" si="5"/>
        <v>3102048000.3674946</v>
      </c>
    </row>
    <row r="27" spans="1:25">
      <c r="A27" s="61" t="s">
        <v>203</v>
      </c>
      <c r="B27" s="100">
        <v>26545528.129195999</v>
      </c>
      <c r="C27" s="100">
        <v>27419454.852079999</v>
      </c>
      <c r="D27" s="100">
        <v>31329207.733908001</v>
      </c>
      <c r="E27" s="100">
        <v>29281597.259668998</v>
      </c>
      <c r="F27" s="100">
        <v>31342694.999007002</v>
      </c>
      <c r="G27" s="100">
        <v>31233975.816438001</v>
      </c>
      <c r="H27" s="100">
        <v>31573143.019611999</v>
      </c>
      <c r="I27" s="100">
        <v>28520352.709957998</v>
      </c>
      <c r="J27" s="100">
        <v>37892064.132505</v>
      </c>
      <c r="K27" s="100">
        <v>37505344.068428002</v>
      </c>
      <c r="L27" s="100">
        <v>36577447.339893997</v>
      </c>
      <c r="M27" s="100">
        <v>33129305.915796999</v>
      </c>
      <c r="N27" s="101">
        <f>SUM(B27:M27)</f>
        <v>382350115.97649193</v>
      </c>
    </row>
    <row r="28" spans="1:25">
      <c r="A28" s="61" t="s">
        <v>204</v>
      </c>
      <c r="B28" s="100">
        <v>5302329.4831189997</v>
      </c>
      <c r="C28" s="100">
        <v>9397171.0841210037</v>
      </c>
      <c r="D28" s="100">
        <v>10477810.995099001</v>
      </c>
      <c r="E28" s="100">
        <v>13535077.198726002</v>
      </c>
      <c r="F28" s="100">
        <v>14895920.988836002</v>
      </c>
      <c r="G28" s="100">
        <v>14522054.826931003</v>
      </c>
      <c r="H28" s="100">
        <v>12277426.118365001</v>
      </c>
      <c r="I28" s="100">
        <v>7079593.5116729997</v>
      </c>
      <c r="J28" s="100">
        <v>8739341.1260340028</v>
      </c>
      <c r="K28" s="100">
        <v>6437550.9678439982</v>
      </c>
      <c r="L28" s="100">
        <v>5413090.6318029985</v>
      </c>
      <c r="M28" s="100">
        <v>3621280.4679799993</v>
      </c>
      <c r="N28" s="101">
        <f t="shared" ref="N28:N34" si="6">SUM(B28:M28)</f>
        <v>111698647.40053102</v>
      </c>
    </row>
    <row r="29" spans="1:25">
      <c r="A29" s="61" t="s">
        <v>205</v>
      </c>
      <c r="B29" s="100">
        <v>6166778.4274010025</v>
      </c>
      <c r="C29" s="100">
        <v>6355978.8981039971</v>
      </c>
      <c r="D29" s="100">
        <v>9461125.3242039979</v>
      </c>
      <c r="E29" s="100">
        <v>10290511.033119999</v>
      </c>
      <c r="F29" s="100">
        <v>11517999.647755004</v>
      </c>
      <c r="G29" s="100">
        <v>11963252.623499006</v>
      </c>
      <c r="H29" s="100">
        <v>13525829.706378005</v>
      </c>
      <c r="I29" s="100">
        <v>12369529.930271</v>
      </c>
      <c r="J29" s="100">
        <v>12463458.317563005</v>
      </c>
      <c r="K29" s="100">
        <v>12401057.222394004</v>
      </c>
      <c r="L29" s="100">
        <v>13238655.187248997</v>
      </c>
      <c r="M29" s="100">
        <v>12423178.971238993</v>
      </c>
      <c r="N29" s="101">
        <f t="shared" si="6"/>
        <v>132177355.289177</v>
      </c>
    </row>
    <row r="30" spans="1:25">
      <c r="A30" s="61" t="s">
        <v>206</v>
      </c>
      <c r="B30" s="100">
        <v>129004483.80444393</v>
      </c>
      <c r="C30" s="100">
        <v>129797310.88920407</v>
      </c>
      <c r="D30" s="100">
        <v>142304771.512954</v>
      </c>
      <c r="E30" s="100">
        <v>132777145.57954401</v>
      </c>
      <c r="F30" s="100">
        <v>136171663.38972405</v>
      </c>
      <c r="G30" s="100">
        <v>151400278.66556704</v>
      </c>
      <c r="H30" s="100">
        <v>174995203.81378606</v>
      </c>
      <c r="I30" s="100">
        <v>186065228.81657496</v>
      </c>
      <c r="J30" s="100">
        <v>211148429.94853616</v>
      </c>
      <c r="K30" s="100">
        <v>246809348.10384199</v>
      </c>
      <c r="L30" s="100">
        <v>254409201.37739807</v>
      </c>
      <c r="M30" s="100">
        <v>296192038.26013714</v>
      </c>
      <c r="N30" s="101">
        <f t="shared" si="6"/>
        <v>2191075104.1617117</v>
      </c>
    </row>
    <row r="31" spans="1:25">
      <c r="A31" s="61" t="s">
        <v>207</v>
      </c>
      <c r="B31" s="100">
        <v>48465518.000000007</v>
      </c>
      <c r="C31" s="100">
        <v>50554178.000000007</v>
      </c>
      <c r="D31" s="100">
        <v>49747413.999999985</v>
      </c>
      <c r="E31" s="100">
        <v>45989120.638012797</v>
      </c>
      <c r="F31" s="100">
        <v>49575392.357061654</v>
      </c>
      <c r="G31" s="100">
        <v>45183554.602326721</v>
      </c>
      <c r="H31" s="100">
        <v>51743445.522032291</v>
      </c>
      <c r="I31" s="100">
        <v>53746296.465896189</v>
      </c>
      <c r="J31" s="100">
        <v>53500762.652787656</v>
      </c>
      <c r="K31" s="100">
        <v>62207733.296114683</v>
      </c>
      <c r="L31" s="100">
        <v>57583667.664774925</v>
      </c>
      <c r="M31" s="100">
        <v>54730212.437607169</v>
      </c>
      <c r="N31" s="101">
        <f t="shared" si="6"/>
        <v>623027295.63661397</v>
      </c>
    </row>
    <row r="32" spans="1:25">
      <c r="A32" s="61" t="s">
        <v>208</v>
      </c>
      <c r="B32" s="100">
        <v>47911594.301837832</v>
      </c>
      <c r="C32" s="100">
        <v>66314711.757810786</v>
      </c>
      <c r="D32" s="100">
        <v>107724142.03069903</v>
      </c>
      <c r="E32" s="100">
        <v>54393490.611688122</v>
      </c>
      <c r="F32" s="100">
        <v>75533716.521198973</v>
      </c>
      <c r="G32" s="100">
        <v>87282313.750035688</v>
      </c>
      <c r="H32" s="100">
        <v>48737842.388456166</v>
      </c>
      <c r="I32" s="100">
        <v>28834268.312854022</v>
      </c>
      <c r="J32" s="100">
        <v>139400616.94135889</v>
      </c>
      <c r="K32" s="100">
        <v>94454588.922423348</v>
      </c>
      <c r="L32" s="100">
        <v>95694165.305805802</v>
      </c>
      <c r="M32" s="100">
        <v>76141025.006439462</v>
      </c>
      <c r="N32" s="101">
        <f t="shared" si="6"/>
        <v>922422475.85060823</v>
      </c>
    </row>
    <row r="33" spans="1:14">
      <c r="A33" s="61" t="s">
        <v>209</v>
      </c>
      <c r="B33" s="100">
        <v>62710636.307743415</v>
      </c>
      <c r="C33" s="100">
        <v>56500478.659847789</v>
      </c>
      <c r="D33" s="100">
        <v>81686889.565082073</v>
      </c>
      <c r="E33" s="100">
        <v>82318237.236213341</v>
      </c>
      <c r="F33" s="100">
        <v>86620941.358426392</v>
      </c>
      <c r="G33" s="100">
        <v>71984523.327898189</v>
      </c>
      <c r="H33" s="100">
        <v>63922495.02296757</v>
      </c>
      <c r="I33" s="100">
        <v>42836916.018921137</v>
      </c>
      <c r="J33" s="100">
        <v>104304390.62084052</v>
      </c>
      <c r="K33" s="100">
        <v>96503965.992868245</v>
      </c>
      <c r="L33" s="100">
        <v>91678015.923363373</v>
      </c>
      <c r="M33" s="100">
        <v>58292594.230952412</v>
      </c>
      <c r="N33" s="101">
        <f t="shared" si="6"/>
        <v>899360084.26512432</v>
      </c>
    </row>
    <row r="34" spans="1:14">
      <c r="A34" s="61" t="s">
        <v>210</v>
      </c>
      <c r="B34" s="100">
        <v>108164415.23414582</v>
      </c>
      <c r="C34" s="100">
        <v>118659249.71564792</v>
      </c>
      <c r="D34" s="100">
        <v>109810412.67061666</v>
      </c>
      <c r="E34" s="100">
        <v>101082958.48843947</v>
      </c>
      <c r="F34" s="100">
        <v>143195156.98209152</v>
      </c>
      <c r="G34" s="100">
        <v>103976529.93047073</v>
      </c>
      <c r="H34" s="100">
        <v>152443728.60054299</v>
      </c>
      <c r="I34" s="100">
        <v>63984738.83239381</v>
      </c>
      <c r="J34" s="100">
        <v>195412160.2201286</v>
      </c>
      <c r="K34" s="100">
        <v>166160271.1288473</v>
      </c>
      <c r="L34" s="100">
        <v>165551455.25894836</v>
      </c>
      <c r="M34" s="100">
        <v>125228667.27690451</v>
      </c>
      <c r="N34" s="101">
        <f t="shared" si="6"/>
        <v>1553669744.3391778</v>
      </c>
    </row>
    <row r="35" spans="1:14">
      <c r="A35" s="61" t="s">
        <v>211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70"/>
    </row>
    <row r="36" spans="1:14">
      <c r="A36" s="61" t="s">
        <v>212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70"/>
    </row>
    <row r="37" spans="1:14">
      <c r="A37" s="61" t="s">
        <v>214</v>
      </c>
      <c r="B37" s="98">
        <f>SUM(B38:B40)+SUM(B41:B45)*0.4</f>
        <v>101890248.2176864</v>
      </c>
      <c r="C37" s="98">
        <f t="shared" ref="C37:N37" si="7">SUM(C38:C40)+SUM(C41:C45)*0.4</f>
        <v>105269823.75180539</v>
      </c>
      <c r="D37" s="98">
        <f t="shared" si="7"/>
        <v>116405038.50539865</v>
      </c>
      <c r="E37" s="98">
        <f t="shared" si="7"/>
        <v>122604685.24690953</v>
      </c>
      <c r="F37" s="98">
        <f t="shared" si="7"/>
        <v>117255298.93592109</v>
      </c>
      <c r="G37" s="98">
        <f t="shared" si="7"/>
        <v>117592099.62621021</v>
      </c>
      <c r="H37" s="98">
        <f t="shared" si="7"/>
        <v>117427274.82965429</v>
      </c>
      <c r="I37" s="98">
        <f t="shared" si="7"/>
        <v>112693488.1490799</v>
      </c>
      <c r="J37" s="98">
        <f t="shared" si="7"/>
        <v>126884002.1502171</v>
      </c>
      <c r="K37" s="98">
        <f t="shared" si="7"/>
        <v>126757672.39422801</v>
      </c>
      <c r="L37" s="98">
        <f t="shared" si="7"/>
        <v>126328262.6303893</v>
      </c>
      <c r="M37" s="98">
        <f t="shared" si="7"/>
        <v>151810023.33934036</v>
      </c>
      <c r="N37" s="103">
        <f t="shared" si="7"/>
        <v>1442917917.7768402</v>
      </c>
    </row>
    <row r="38" spans="1:14">
      <c r="A38" s="61" t="s">
        <v>215</v>
      </c>
      <c r="B38" s="100">
        <v>14059938.516834</v>
      </c>
      <c r="C38" s="100">
        <v>13627149.542126</v>
      </c>
      <c r="D38" s="100">
        <v>18329761.991918001</v>
      </c>
      <c r="E38" s="100">
        <v>15991731.426646</v>
      </c>
      <c r="F38" s="100">
        <v>17241147.544888001</v>
      </c>
      <c r="G38" s="100">
        <v>16573755.360540001</v>
      </c>
      <c r="H38" s="100">
        <v>15275838.018998001</v>
      </c>
      <c r="I38" s="100">
        <v>14775387.570712</v>
      </c>
      <c r="J38" s="100">
        <v>17027035.335099999</v>
      </c>
      <c r="K38" s="100">
        <v>18271915.341269001</v>
      </c>
      <c r="L38" s="100">
        <v>19275278.959151</v>
      </c>
      <c r="M38" s="100">
        <v>42936497.288029999</v>
      </c>
      <c r="N38" s="101">
        <f>SUM(B38:M38)</f>
        <v>223385436.89621198</v>
      </c>
    </row>
    <row r="39" spans="1:14">
      <c r="A39" s="61" t="s">
        <v>216</v>
      </c>
      <c r="B39" s="100">
        <v>6399312.2678500004</v>
      </c>
      <c r="C39" s="100">
        <v>6234257.3527659997</v>
      </c>
      <c r="D39" s="100">
        <v>6492568.5821550004</v>
      </c>
      <c r="E39" s="100">
        <v>6801196.1648239996</v>
      </c>
      <c r="F39" s="100">
        <v>6351244.4706290001</v>
      </c>
      <c r="G39" s="100">
        <v>6624477.7680129996</v>
      </c>
      <c r="H39" s="100">
        <v>6197095.0016080001</v>
      </c>
      <c r="I39" s="100">
        <v>5621562.4581300002</v>
      </c>
      <c r="J39" s="100">
        <v>6000087.3554600002</v>
      </c>
      <c r="K39" s="100">
        <v>5505189.9908079999</v>
      </c>
      <c r="L39" s="100">
        <v>5694308.3258309998</v>
      </c>
      <c r="M39" s="100">
        <v>5699541.3970879996</v>
      </c>
      <c r="N39" s="101">
        <f t="shared" ref="N39:N45" si="8">SUM(B39:M39)</f>
        <v>73620841.135162011</v>
      </c>
    </row>
    <row r="40" spans="1:14">
      <c r="A40" s="61" t="s">
        <v>217</v>
      </c>
      <c r="B40" s="100">
        <v>7832407.1478249999</v>
      </c>
      <c r="C40" s="100">
        <v>6289359.4906860003</v>
      </c>
      <c r="D40" s="100">
        <v>7435960.0330950003</v>
      </c>
      <c r="E40" s="100">
        <v>8361146.1419590004</v>
      </c>
      <c r="F40" s="100">
        <v>7348328.6736829998</v>
      </c>
      <c r="G40" s="100">
        <v>7729067.5702229999</v>
      </c>
      <c r="H40" s="100">
        <v>8276606.6518479995</v>
      </c>
      <c r="I40" s="100">
        <v>8213891.7401050003</v>
      </c>
      <c r="J40" s="100">
        <v>9225711.6099100001</v>
      </c>
      <c r="K40" s="100">
        <v>8252177.8096439997</v>
      </c>
      <c r="L40" s="100">
        <v>8193067.8616030002</v>
      </c>
      <c r="M40" s="100">
        <v>10275823.421102</v>
      </c>
      <c r="N40" s="101">
        <f t="shared" si="8"/>
        <v>97433548.151683018</v>
      </c>
    </row>
    <row r="41" spans="1:14">
      <c r="A41" s="61" t="s">
        <v>218</v>
      </c>
      <c r="B41" s="100">
        <v>76612367.621172994</v>
      </c>
      <c r="C41" s="100">
        <v>86196414.745460004</v>
      </c>
      <c r="D41" s="100">
        <v>92461517.199796006</v>
      </c>
      <c r="E41" s="100">
        <v>88921501.229620993</v>
      </c>
      <c r="F41" s="100">
        <v>84272081.551697999</v>
      </c>
      <c r="G41" s="100">
        <v>87708737.693053007</v>
      </c>
      <c r="H41" s="100">
        <v>91480057.767223984</v>
      </c>
      <c r="I41" s="100">
        <v>93305974.435393006</v>
      </c>
      <c r="J41" s="100">
        <v>94791735.055855006</v>
      </c>
      <c r="K41" s="100">
        <v>100068840.24352399</v>
      </c>
      <c r="L41" s="100">
        <v>98992590.555627003</v>
      </c>
      <c r="M41" s="100">
        <v>106481813.116557</v>
      </c>
      <c r="N41" s="101">
        <f t="shared" si="8"/>
        <v>1101293631.2149811</v>
      </c>
    </row>
    <row r="42" spans="1:14">
      <c r="A42" s="61" t="s">
        <v>219</v>
      </c>
      <c r="B42" s="100">
        <v>32344300</v>
      </c>
      <c r="C42" s="100">
        <v>32527018</v>
      </c>
      <c r="D42" s="100">
        <v>32633856</v>
      </c>
      <c r="E42" s="100">
        <v>45975800.951804504</v>
      </c>
      <c r="F42" s="100">
        <v>42392996.709942058</v>
      </c>
      <c r="G42" s="100">
        <v>41396088.053658143</v>
      </c>
      <c r="H42" s="100">
        <v>41636532.840711474</v>
      </c>
      <c r="I42" s="100">
        <v>41699258.403659552</v>
      </c>
      <c r="J42" s="100">
        <v>41689721.387066193</v>
      </c>
      <c r="K42" s="100">
        <v>42607563.480619207</v>
      </c>
      <c r="L42" s="100">
        <v>42571899.579030372</v>
      </c>
      <c r="M42" s="100">
        <v>44354480.51060757</v>
      </c>
      <c r="N42" s="101">
        <f t="shared" si="8"/>
        <v>481829515.917099</v>
      </c>
    </row>
    <row r="43" spans="1:14">
      <c r="A43" s="61" t="s">
        <v>220</v>
      </c>
      <c r="B43" s="100">
        <v>26222497.876703769</v>
      </c>
      <c r="C43" s="100">
        <v>25624249.934378389</v>
      </c>
      <c r="D43" s="100">
        <v>27878210.517480049</v>
      </c>
      <c r="E43" s="100">
        <v>36826110.200064786</v>
      </c>
      <c r="F43" s="100">
        <v>29706101.856288586</v>
      </c>
      <c r="G43" s="100">
        <v>28933916.243769731</v>
      </c>
      <c r="H43" s="100">
        <v>28111328.490672231</v>
      </c>
      <c r="I43" s="100">
        <v>24288441.364269909</v>
      </c>
      <c r="J43" s="100">
        <v>33213008.762698099</v>
      </c>
      <c r="K43" s="100">
        <v>30848190.732529666</v>
      </c>
      <c r="L43" s="100">
        <v>30248784.444342703</v>
      </c>
      <c r="M43" s="100">
        <v>26712717.466903441</v>
      </c>
      <c r="N43" s="101">
        <f t="shared" si="8"/>
        <v>348613557.89010131</v>
      </c>
    </row>
    <row r="44" spans="1:14">
      <c r="A44" s="61" t="s">
        <v>221</v>
      </c>
      <c r="B44" s="100">
        <v>14881683.473512666</v>
      </c>
      <c r="C44" s="100">
        <v>13875898.67341963</v>
      </c>
      <c r="D44" s="100">
        <v>16955673.019496597</v>
      </c>
      <c r="E44" s="100">
        <v>18056967.713872645</v>
      </c>
      <c r="F44" s="100">
        <v>17303423.237132568</v>
      </c>
      <c r="G44" s="100">
        <v>16137332.961107215</v>
      </c>
      <c r="H44" s="100">
        <v>15422430.258841883</v>
      </c>
      <c r="I44" s="100">
        <v>14928737.635533204</v>
      </c>
      <c r="J44" s="100">
        <v>18769751.932090685</v>
      </c>
      <c r="K44" s="100">
        <v>18131747.654179789</v>
      </c>
      <c r="L44" s="100">
        <v>17246457.351501737</v>
      </c>
      <c r="M44" s="100">
        <v>15254554.697808793</v>
      </c>
      <c r="N44" s="101">
        <f t="shared" si="8"/>
        <v>196964658.60849738</v>
      </c>
    </row>
    <row r="45" spans="1:14">
      <c r="A45" s="61" t="s">
        <v>222</v>
      </c>
      <c r="B45" s="100">
        <v>33935626.741554052</v>
      </c>
      <c r="C45" s="100">
        <v>39574062.062310457</v>
      </c>
      <c r="D45" s="100">
        <v>40437613.008803926</v>
      </c>
      <c r="E45" s="100">
        <v>38846148.688338377</v>
      </c>
      <c r="F45" s="100">
        <v>42111842.261741497</v>
      </c>
      <c r="G45" s="100">
        <v>42485922.366997436</v>
      </c>
      <c r="H45" s="100">
        <v>42543988.535551153</v>
      </c>
      <c r="I45" s="100">
        <v>35984204.111476548</v>
      </c>
      <c r="J45" s="100">
        <v>48113702.486657776</v>
      </c>
      <c r="K45" s="100">
        <v>45164631.020414852</v>
      </c>
      <c r="L45" s="100">
        <v>43854286.779008918</v>
      </c>
      <c r="M45" s="100">
        <v>39441837.290924072</v>
      </c>
      <c r="N45" s="101">
        <f t="shared" si="8"/>
        <v>492493865.35377902</v>
      </c>
    </row>
    <row r="46" spans="1:14">
      <c r="A46" s="61" t="s">
        <v>223</v>
      </c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70"/>
    </row>
    <row r="47" spans="1:14">
      <c r="A47" s="61" t="s">
        <v>224</v>
      </c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70"/>
    </row>
    <row r="48" spans="1:14">
      <c r="A48" s="61" t="s">
        <v>226</v>
      </c>
      <c r="B48" s="64">
        <f>SUM(B49:B51)+SUM(B52:B56)*0.4</f>
        <v>0</v>
      </c>
      <c r="C48" s="64">
        <f>SUM(C49:C51)+SUM(C52:C56)*0.4</f>
        <v>0</v>
      </c>
      <c r="D48" s="64">
        <f>SUM(D49:D51)+SUM(D52:D56)*0.4</f>
        <v>0</v>
      </c>
      <c r="E48" s="64">
        <f t="shared" ref="E48:N48" si="9">SUM(E49:E51)+SUM(E52:E56)*0.4</f>
        <v>0</v>
      </c>
      <c r="F48" s="64">
        <f t="shared" si="9"/>
        <v>0</v>
      </c>
      <c r="G48" s="64">
        <f t="shared" si="9"/>
        <v>0</v>
      </c>
      <c r="H48" s="64">
        <f t="shared" si="9"/>
        <v>0</v>
      </c>
      <c r="I48" s="64">
        <f t="shared" si="9"/>
        <v>0</v>
      </c>
      <c r="J48" s="64">
        <f t="shared" si="9"/>
        <v>0</v>
      </c>
      <c r="K48" s="64">
        <f t="shared" si="9"/>
        <v>0</v>
      </c>
      <c r="L48" s="64">
        <f t="shared" si="9"/>
        <v>0</v>
      </c>
      <c r="M48" s="64">
        <f t="shared" si="9"/>
        <v>0</v>
      </c>
      <c r="N48" s="70">
        <f t="shared" si="9"/>
        <v>0</v>
      </c>
    </row>
    <row r="49" spans="1:14">
      <c r="A49" s="61" t="s">
        <v>227</v>
      </c>
      <c r="B49" s="100">
        <v>0</v>
      </c>
      <c r="C49" s="100">
        <v>0</v>
      </c>
      <c r="D49" s="100">
        <v>0</v>
      </c>
      <c r="E49" s="100">
        <v>0</v>
      </c>
      <c r="F49" s="100">
        <v>0</v>
      </c>
      <c r="G49" s="100">
        <v>0</v>
      </c>
      <c r="H49" s="100">
        <v>0</v>
      </c>
      <c r="I49" s="100">
        <v>0</v>
      </c>
      <c r="J49" s="100">
        <v>0</v>
      </c>
      <c r="K49" s="100">
        <v>0</v>
      </c>
      <c r="L49" s="100">
        <v>0</v>
      </c>
      <c r="M49" s="100">
        <v>0</v>
      </c>
      <c r="N49" s="101">
        <f>SUM(B49:M49)</f>
        <v>0</v>
      </c>
    </row>
    <row r="50" spans="1:14">
      <c r="A50" s="61" t="s">
        <v>228</v>
      </c>
      <c r="B50" s="100">
        <v>0</v>
      </c>
      <c r="C50" s="100">
        <v>0</v>
      </c>
      <c r="D50" s="100">
        <v>0</v>
      </c>
      <c r="E50" s="100">
        <v>0</v>
      </c>
      <c r="F50" s="100">
        <v>0</v>
      </c>
      <c r="G50" s="100">
        <v>0</v>
      </c>
      <c r="H50" s="100">
        <v>0</v>
      </c>
      <c r="I50" s="100">
        <v>0</v>
      </c>
      <c r="J50" s="100">
        <v>0</v>
      </c>
      <c r="K50" s="100">
        <v>0</v>
      </c>
      <c r="L50" s="100">
        <v>0</v>
      </c>
      <c r="M50" s="100">
        <v>0</v>
      </c>
      <c r="N50" s="101">
        <f t="shared" ref="N50:N56" si="10">SUM(B50:M50)</f>
        <v>0</v>
      </c>
    </row>
    <row r="51" spans="1:14">
      <c r="A51" s="61" t="s">
        <v>229</v>
      </c>
      <c r="B51" s="100">
        <v>0</v>
      </c>
      <c r="C51" s="100">
        <v>0</v>
      </c>
      <c r="D51" s="100">
        <v>0</v>
      </c>
      <c r="E51" s="100">
        <v>0</v>
      </c>
      <c r="F51" s="100">
        <v>0</v>
      </c>
      <c r="G51" s="100">
        <v>0</v>
      </c>
      <c r="H51" s="100">
        <v>0</v>
      </c>
      <c r="I51" s="100">
        <v>0</v>
      </c>
      <c r="J51" s="100">
        <v>0</v>
      </c>
      <c r="K51" s="100">
        <v>0</v>
      </c>
      <c r="L51" s="100">
        <v>0</v>
      </c>
      <c r="M51" s="100">
        <v>0</v>
      </c>
      <c r="N51" s="101">
        <f t="shared" si="10"/>
        <v>0</v>
      </c>
    </row>
    <row r="52" spans="1:14">
      <c r="A52" s="61" t="s">
        <v>230</v>
      </c>
      <c r="B52" s="100">
        <v>0</v>
      </c>
      <c r="C52" s="100">
        <v>0</v>
      </c>
      <c r="D52" s="100">
        <v>0</v>
      </c>
      <c r="E52" s="100">
        <v>0</v>
      </c>
      <c r="F52" s="100">
        <v>0</v>
      </c>
      <c r="G52" s="100">
        <v>0</v>
      </c>
      <c r="H52" s="100">
        <v>0</v>
      </c>
      <c r="I52" s="100">
        <v>0</v>
      </c>
      <c r="J52" s="100">
        <v>0</v>
      </c>
      <c r="K52" s="100">
        <v>0</v>
      </c>
      <c r="L52" s="100">
        <v>0</v>
      </c>
      <c r="M52" s="100">
        <v>0</v>
      </c>
      <c r="N52" s="101">
        <f t="shared" si="10"/>
        <v>0</v>
      </c>
    </row>
    <row r="53" spans="1:14">
      <c r="A53" s="61" t="s">
        <v>231</v>
      </c>
      <c r="B53" s="100">
        <v>0</v>
      </c>
      <c r="C53" s="100">
        <v>0</v>
      </c>
      <c r="D53" s="100">
        <v>0</v>
      </c>
      <c r="E53" s="100">
        <v>0</v>
      </c>
      <c r="F53" s="100">
        <v>0</v>
      </c>
      <c r="G53" s="100">
        <v>0</v>
      </c>
      <c r="H53" s="100">
        <v>0</v>
      </c>
      <c r="I53" s="100">
        <v>0</v>
      </c>
      <c r="J53" s="100">
        <v>0</v>
      </c>
      <c r="K53" s="100">
        <v>0</v>
      </c>
      <c r="L53" s="100">
        <v>0</v>
      </c>
      <c r="M53" s="100">
        <v>0</v>
      </c>
      <c r="N53" s="101">
        <f t="shared" si="10"/>
        <v>0</v>
      </c>
    </row>
    <row r="54" spans="1:14">
      <c r="A54" s="61" t="s">
        <v>232</v>
      </c>
      <c r="B54" s="100">
        <v>0</v>
      </c>
      <c r="C54" s="100">
        <v>0</v>
      </c>
      <c r="D54" s="100">
        <v>0</v>
      </c>
      <c r="E54" s="100">
        <v>0</v>
      </c>
      <c r="F54" s="100">
        <v>0</v>
      </c>
      <c r="G54" s="100">
        <v>0</v>
      </c>
      <c r="H54" s="100">
        <v>0</v>
      </c>
      <c r="I54" s="100">
        <v>0</v>
      </c>
      <c r="J54" s="100">
        <v>0</v>
      </c>
      <c r="K54" s="100">
        <v>0</v>
      </c>
      <c r="L54" s="100">
        <v>0</v>
      </c>
      <c r="M54" s="100">
        <v>0</v>
      </c>
      <c r="N54" s="101">
        <f t="shared" si="10"/>
        <v>0</v>
      </c>
    </row>
    <row r="55" spans="1:14">
      <c r="A55" s="61" t="s">
        <v>233</v>
      </c>
      <c r="B55" s="100">
        <v>0</v>
      </c>
      <c r="C55" s="100">
        <v>0</v>
      </c>
      <c r="D55" s="100">
        <v>0</v>
      </c>
      <c r="E55" s="100">
        <v>0</v>
      </c>
      <c r="F55" s="100">
        <v>0</v>
      </c>
      <c r="G55" s="100">
        <v>0</v>
      </c>
      <c r="H55" s="100">
        <v>0</v>
      </c>
      <c r="I55" s="100">
        <v>0</v>
      </c>
      <c r="J55" s="100">
        <v>0</v>
      </c>
      <c r="K55" s="100">
        <v>0</v>
      </c>
      <c r="L55" s="100">
        <v>0</v>
      </c>
      <c r="M55" s="100">
        <v>0</v>
      </c>
      <c r="N55" s="101">
        <f t="shared" si="10"/>
        <v>0</v>
      </c>
    </row>
    <row r="56" spans="1:14">
      <c r="A56" s="61" t="s">
        <v>234</v>
      </c>
      <c r="B56" s="100">
        <v>0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1">
        <f t="shared" si="10"/>
        <v>0</v>
      </c>
    </row>
    <row r="57" spans="1:14">
      <c r="A57" s="61" t="s">
        <v>235</v>
      </c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70"/>
    </row>
    <row r="58" spans="1:14">
      <c r="A58" s="61" t="s">
        <v>236</v>
      </c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70"/>
    </row>
    <row r="59" spans="1:14">
      <c r="A59" s="61" t="s">
        <v>238</v>
      </c>
      <c r="B59" s="98">
        <f>SUM(B60:B62)+SUM(B63:B67)*0.4</f>
        <v>94627046.881298423</v>
      </c>
      <c r="C59" s="98">
        <f>SUM(C60:C62)+SUM(C63:C67)*0.4</f>
        <v>106633152.69150582</v>
      </c>
      <c r="D59" s="98">
        <f>SUM(D60:D62)+SUM(D63:D67)*0.4</f>
        <v>131372557.45955205</v>
      </c>
      <c r="E59" s="98">
        <f t="shared" ref="E59:N59" si="11">SUM(E60:E62)+SUM(E63:E67)*0.4</f>
        <v>97126881.266164392</v>
      </c>
      <c r="F59" s="98">
        <f t="shared" si="11"/>
        <v>136940064.94307458</v>
      </c>
      <c r="G59" s="98">
        <f t="shared" si="11"/>
        <v>124058063.75121087</v>
      </c>
      <c r="H59" s="98">
        <f t="shared" si="11"/>
        <v>136686210.15374705</v>
      </c>
      <c r="I59" s="98">
        <f t="shared" si="11"/>
        <v>85462967.381497383</v>
      </c>
      <c r="J59" s="98">
        <f t="shared" si="11"/>
        <v>213717405.57936299</v>
      </c>
      <c r="K59" s="98">
        <f t="shared" si="11"/>
        <v>196040642.84211147</v>
      </c>
      <c r="L59" s="98">
        <f t="shared" si="11"/>
        <v>194867532.74067107</v>
      </c>
      <c r="M59" s="98">
        <f t="shared" si="11"/>
        <v>141597556.90045458</v>
      </c>
      <c r="N59" s="103">
        <f t="shared" si="11"/>
        <v>1659130082.590651</v>
      </c>
    </row>
    <row r="60" spans="1:14">
      <c r="A60" s="61" t="s">
        <v>239</v>
      </c>
      <c r="B60" s="100">
        <v>12485589.612361999</v>
      </c>
      <c r="C60" s="100">
        <v>13792305.309954001</v>
      </c>
      <c r="D60" s="100">
        <v>12999445.74199</v>
      </c>
      <c r="E60" s="100">
        <v>13289865.833023001</v>
      </c>
      <c r="F60" s="100">
        <v>14101547.454118</v>
      </c>
      <c r="G60" s="100">
        <v>14660220.455898</v>
      </c>
      <c r="H60" s="100">
        <v>16297305.000614</v>
      </c>
      <c r="I60" s="100">
        <v>13744965.139247</v>
      </c>
      <c r="J60" s="100">
        <v>20865028.797405001</v>
      </c>
      <c r="K60" s="100">
        <v>19233428.727159001</v>
      </c>
      <c r="L60" s="100">
        <v>17302168.380743001</v>
      </c>
      <c r="M60" s="100">
        <v>-9807191.3722329997</v>
      </c>
      <c r="N60" s="101">
        <f>SUM(B60:M60)</f>
        <v>158964679.08028001</v>
      </c>
    </row>
    <row r="61" spans="1:14">
      <c r="A61" s="61" t="s">
        <v>240</v>
      </c>
      <c r="B61" s="100">
        <v>-1096982.784731</v>
      </c>
      <c r="C61" s="100">
        <v>3162913.7313560001</v>
      </c>
      <c r="D61" s="100">
        <v>3985242.412943</v>
      </c>
      <c r="E61" s="100">
        <v>6733881.0339019997</v>
      </c>
      <c r="F61" s="100">
        <v>8544676.5182060003</v>
      </c>
      <c r="G61" s="100">
        <v>7897577.0589180002</v>
      </c>
      <c r="H61" s="100">
        <v>6080331.1167559996</v>
      </c>
      <c r="I61" s="100">
        <v>1458031.053544</v>
      </c>
      <c r="J61" s="100">
        <v>2739253.7705740002</v>
      </c>
      <c r="K61" s="100">
        <v>932360.977037</v>
      </c>
      <c r="L61" s="100">
        <v>-281217.694028</v>
      </c>
      <c r="M61" s="100">
        <v>-2078260.9291079999</v>
      </c>
      <c r="N61" s="101">
        <f t="shared" ref="N61:N67" si="12">SUM(B61:M61)</f>
        <v>38077806.265368998</v>
      </c>
    </row>
    <row r="62" spans="1:14">
      <c r="A62" s="61" t="s">
        <v>241</v>
      </c>
      <c r="B62" s="100">
        <v>-1665628.7204239999</v>
      </c>
      <c r="C62" s="100">
        <v>66619.407418999996</v>
      </c>
      <c r="D62" s="100">
        <v>2025165.2911090001</v>
      </c>
      <c r="E62" s="100">
        <v>1929364.8911609999</v>
      </c>
      <c r="F62" s="100">
        <v>4169670.9740709998</v>
      </c>
      <c r="G62" s="100">
        <v>4234185.0532769999</v>
      </c>
      <c r="H62" s="100">
        <v>5249223.0545300003</v>
      </c>
      <c r="I62" s="100">
        <v>4155638.1901659998</v>
      </c>
      <c r="J62" s="100">
        <v>3237746.707653</v>
      </c>
      <c r="K62" s="100">
        <v>4148879.4127489999</v>
      </c>
      <c r="L62" s="100">
        <v>5045587.3256449997</v>
      </c>
      <c r="M62" s="100">
        <v>2147355.5501370002</v>
      </c>
      <c r="N62" s="101">
        <f t="shared" si="12"/>
        <v>34743807.137492999</v>
      </c>
    </row>
    <row r="63" spans="1:14">
      <c r="A63" s="61" t="s">
        <v>242</v>
      </c>
      <c r="B63" s="100">
        <v>52392116.183272004</v>
      </c>
      <c r="C63" s="100">
        <v>43600896.143743999</v>
      </c>
      <c r="D63" s="100">
        <v>49843254.313157998</v>
      </c>
      <c r="E63" s="100">
        <v>43855644.349922001</v>
      </c>
      <c r="F63" s="100">
        <v>51899581.83802601</v>
      </c>
      <c r="G63" s="100">
        <v>63691540.972514004</v>
      </c>
      <c r="H63" s="100">
        <v>83515146.046562001</v>
      </c>
      <c r="I63" s="100">
        <v>92759254.381182984</v>
      </c>
      <c r="J63" s="100">
        <v>116356694.89268102</v>
      </c>
      <c r="K63" s="100">
        <v>146740507.86031801</v>
      </c>
      <c r="L63" s="100">
        <v>155416610.82176799</v>
      </c>
      <c r="M63" s="100">
        <v>189710225.14357799</v>
      </c>
      <c r="N63" s="101">
        <f t="shared" si="12"/>
        <v>1089781472.9467261</v>
      </c>
    </row>
    <row r="64" spans="1:14">
      <c r="A64" s="61" t="s">
        <v>243</v>
      </c>
      <c r="B64" s="100">
        <v>16121218</v>
      </c>
      <c r="C64" s="100">
        <v>18027160</v>
      </c>
      <c r="D64" s="100">
        <v>17113558</v>
      </c>
      <c r="E64" s="100">
        <v>13319.686208292842</v>
      </c>
      <c r="F64" s="100">
        <v>7182395.6471195966</v>
      </c>
      <c r="G64" s="100">
        <v>3787466.5486685783</v>
      </c>
      <c r="H64" s="100">
        <v>10106912.681320816</v>
      </c>
      <c r="I64" s="100">
        <v>12047038.062236637</v>
      </c>
      <c r="J64" s="100">
        <v>11811041.265721463</v>
      </c>
      <c r="K64" s="100">
        <v>19600169.815495476</v>
      </c>
      <c r="L64" s="100">
        <v>15011768.085744552</v>
      </c>
      <c r="M64" s="100">
        <v>10375731.926999599</v>
      </c>
      <c r="N64" s="101">
        <f t="shared" si="12"/>
        <v>141197779.719515</v>
      </c>
    </row>
    <row r="65" spans="1:14">
      <c r="A65" s="61" t="s">
        <v>244</v>
      </c>
      <c r="B65" s="100">
        <v>21689096.425134066</v>
      </c>
      <c r="C65" s="100">
        <v>40690461.823432378</v>
      </c>
      <c r="D65" s="100">
        <v>79845931.51321879</v>
      </c>
      <c r="E65" s="100">
        <v>17567380.411623571</v>
      </c>
      <c r="F65" s="100">
        <v>45827614.664950192</v>
      </c>
      <c r="G65" s="100">
        <v>58348397.5062249</v>
      </c>
      <c r="H65" s="100">
        <v>20626513.897742677</v>
      </c>
      <c r="I65" s="100">
        <v>4545826.9486262267</v>
      </c>
      <c r="J65" s="100">
        <v>106187608.17866124</v>
      </c>
      <c r="K65" s="100">
        <v>63606398.189937249</v>
      </c>
      <c r="L65" s="100">
        <v>65445380.861463785</v>
      </c>
      <c r="M65" s="100">
        <v>49428307.539535701</v>
      </c>
      <c r="N65" s="101">
        <f t="shared" si="12"/>
        <v>573808917.96055079</v>
      </c>
    </row>
    <row r="66" spans="1:14">
      <c r="A66" s="61" t="s">
        <v>245</v>
      </c>
      <c r="B66" s="100">
        <v>47828952.834230751</v>
      </c>
      <c r="C66" s="100">
        <v>42624579.986428194</v>
      </c>
      <c r="D66" s="100">
        <v>64731216.545585468</v>
      </c>
      <c r="E66" s="100">
        <v>64261269.522340678</v>
      </c>
      <c r="F66" s="100">
        <v>69317518.121293947</v>
      </c>
      <c r="G66" s="100">
        <v>55847190.366831891</v>
      </c>
      <c r="H66" s="100">
        <v>48500064.764084056</v>
      </c>
      <c r="I66" s="100">
        <v>27908178.383345429</v>
      </c>
      <c r="J66" s="100">
        <v>85534638.688749939</v>
      </c>
      <c r="K66" s="100">
        <v>78372218.338732094</v>
      </c>
      <c r="L66" s="100">
        <v>74431558.571906909</v>
      </c>
      <c r="M66" s="100">
        <v>43038039.533052266</v>
      </c>
      <c r="N66" s="101">
        <f t="shared" si="12"/>
        <v>702395425.65658164</v>
      </c>
    </row>
    <row r="67" spans="1:14">
      <c r="A67" s="61" t="s">
        <v>246</v>
      </c>
      <c r="B67" s="100">
        <v>74228788.492591724</v>
      </c>
      <c r="C67" s="100">
        <v>79085187.653337449</v>
      </c>
      <c r="D67" s="100">
        <v>69372799.661812812</v>
      </c>
      <c r="E67" s="100">
        <v>62236809.800101466</v>
      </c>
      <c r="F67" s="100">
        <v>101083314.72030918</v>
      </c>
      <c r="G67" s="100">
        <v>61490607.563555278</v>
      </c>
      <c r="H67" s="100">
        <v>109899740.06490812</v>
      </c>
      <c r="I67" s="100">
        <v>28000534.720959648</v>
      </c>
      <c r="J67" s="100">
        <v>147298457.73351377</v>
      </c>
      <c r="K67" s="100">
        <v>120995640.10843334</v>
      </c>
      <c r="L67" s="100">
        <v>121697168.47989437</v>
      </c>
      <c r="M67" s="100">
        <v>85786829.985980883</v>
      </c>
      <c r="N67" s="101">
        <f t="shared" si="12"/>
        <v>1061175878.9853981</v>
      </c>
    </row>
    <row r="68" spans="1:14">
      <c r="A68" s="61" t="s">
        <v>247</v>
      </c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70"/>
    </row>
    <row r="69" spans="1:14">
      <c r="A69" s="61" t="s">
        <v>248</v>
      </c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70"/>
    </row>
    <row r="70" spans="1:14">
      <c r="A70" s="61" t="s">
        <v>250</v>
      </c>
      <c r="B70" s="98">
        <f>SUM(B71:B73)+SUM(B74:B78)*0.4</f>
        <v>25246579.325169507</v>
      </c>
      <c r="C70" s="98">
        <f>SUM(C71:C73)+SUM(C74:C78)*0.4</f>
        <v>25003157.036189403</v>
      </c>
      <c r="D70" s="98">
        <f>SUM(D71:D73)+SUM(D74:D78)*0.4</f>
        <v>34481624.123531282</v>
      </c>
      <c r="E70" s="98">
        <f t="shared" ref="E70:N70" si="13">SUM(E71:E73)+SUM(E74:E78)*0.4</f>
        <v>28650172.329843473</v>
      </c>
      <c r="F70" s="98">
        <f t="shared" si="13"/>
        <v>28742346.806344841</v>
      </c>
      <c r="G70" s="98">
        <f t="shared" si="13"/>
        <v>37212616.633003227</v>
      </c>
      <c r="H70" s="98">
        <f t="shared" si="13"/>
        <v>29678172.396379396</v>
      </c>
      <c r="I70" s="98">
        <f t="shared" si="13"/>
        <v>29565536.960076757</v>
      </c>
      <c r="J70" s="98">
        <f t="shared" si="13"/>
        <v>38744697.838968031</v>
      </c>
      <c r="K70" s="98">
        <f t="shared" si="13"/>
        <v>30771173.869268898</v>
      </c>
      <c r="L70" s="98">
        <f t="shared" si="13"/>
        <v>30401047.010249045</v>
      </c>
      <c r="M70" s="98">
        <f t="shared" si="13"/>
        <v>41050814.562132642</v>
      </c>
      <c r="N70" s="103">
        <f t="shared" si="13"/>
        <v>379547938.89115649</v>
      </c>
    </row>
    <row r="71" spans="1:14">
      <c r="A71" s="61" t="s">
        <v>251</v>
      </c>
      <c r="B71" s="100">
        <v>182835.56026100001</v>
      </c>
      <c r="C71" s="100">
        <v>182835.56026100001</v>
      </c>
      <c r="D71" s="100">
        <v>182835.56026100001</v>
      </c>
      <c r="E71" s="100">
        <v>182835.56026100001</v>
      </c>
      <c r="F71" s="100">
        <v>182835.56026100001</v>
      </c>
      <c r="G71" s="100">
        <v>182835.56026100001</v>
      </c>
      <c r="H71" s="100">
        <v>182835.56026100001</v>
      </c>
      <c r="I71" s="100">
        <v>182835.56026100001</v>
      </c>
      <c r="J71" s="100">
        <v>182835.56026100001</v>
      </c>
      <c r="K71" s="100">
        <v>182835.56026100001</v>
      </c>
      <c r="L71" s="100">
        <v>182835.56026100001</v>
      </c>
      <c r="M71" s="100">
        <v>182835.56026100001</v>
      </c>
      <c r="N71" s="101">
        <f>SUM(B71:M71)</f>
        <v>2194026.7231319998</v>
      </c>
    </row>
    <row r="72" spans="1:14">
      <c r="A72" s="61" t="s">
        <v>252</v>
      </c>
      <c r="B72" s="100">
        <v>405675.11456700001</v>
      </c>
      <c r="C72" s="100">
        <v>549797.34902099997</v>
      </c>
      <c r="D72" s="100">
        <v>504360.10679400002</v>
      </c>
      <c r="E72" s="100">
        <v>1005540.4453509999</v>
      </c>
      <c r="F72" s="100">
        <v>766539.41596200003</v>
      </c>
      <c r="G72" s="100">
        <v>685074.64929500001</v>
      </c>
      <c r="H72" s="100">
        <v>856069.86596199998</v>
      </c>
      <c r="I72" s="100">
        <v>722079.96596199996</v>
      </c>
      <c r="J72" s="100">
        <v>861211.265962</v>
      </c>
      <c r="K72" s="100">
        <v>710229.66596200003</v>
      </c>
      <c r="L72" s="100">
        <v>710229.66596200003</v>
      </c>
      <c r="M72" s="100">
        <v>732829.41656299995</v>
      </c>
      <c r="N72" s="101">
        <f t="shared" ref="N72:N78" si="14">SUM(B72:M72)</f>
        <v>8509636.9273630008</v>
      </c>
    </row>
    <row r="73" spans="1:14">
      <c r="A73" s="61" t="s">
        <v>253</v>
      </c>
      <c r="B73" s="100">
        <v>48254.22651</v>
      </c>
      <c r="C73" s="100">
        <v>48254.22651</v>
      </c>
      <c r="D73" s="100">
        <v>48254.22651</v>
      </c>
      <c r="E73" s="100">
        <v>48254.22651</v>
      </c>
      <c r="F73" s="100">
        <v>48254.22651</v>
      </c>
      <c r="G73" s="100">
        <v>48254.22651</v>
      </c>
      <c r="H73" s="100">
        <v>48254.22651</v>
      </c>
      <c r="I73" s="100">
        <v>48254.22651</v>
      </c>
      <c r="J73" s="100">
        <v>48254.22651</v>
      </c>
      <c r="K73" s="100">
        <v>48254.22651</v>
      </c>
      <c r="L73" s="100">
        <v>48254.22651</v>
      </c>
      <c r="M73" s="100">
        <v>48254.22651</v>
      </c>
      <c r="N73" s="101">
        <f t="shared" si="14"/>
        <v>579050.71811999998</v>
      </c>
    </row>
    <row r="74" spans="1:14">
      <c r="A74" s="61" t="s">
        <v>254</v>
      </c>
      <c r="B74" s="100">
        <v>8745353.6742579993</v>
      </c>
      <c r="C74" s="100">
        <v>8969601.8734959997</v>
      </c>
      <c r="D74" s="100">
        <v>9472677.0438599996</v>
      </c>
      <c r="E74" s="100">
        <v>9421289.2989610005</v>
      </c>
      <c r="F74" s="100">
        <v>8500255.5111439992</v>
      </c>
      <c r="G74" s="100">
        <v>9101456.2785379998</v>
      </c>
      <c r="H74" s="100">
        <v>9964390.438817</v>
      </c>
      <c r="I74" s="100">
        <v>8886044.6153769996</v>
      </c>
      <c r="J74" s="100">
        <v>9140196.1886769999</v>
      </c>
      <c r="K74" s="100">
        <v>10267319.55033</v>
      </c>
      <c r="L74" s="100">
        <v>10012634.153075</v>
      </c>
      <c r="M74" s="100">
        <v>9900930.4138409998</v>
      </c>
      <c r="N74" s="101">
        <f t="shared" si="14"/>
        <v>112382149.04037398</v>
      </c>
    </row>
    <row r="75" spans="1:14">
      <c r="A75" s="61" t="s">
        <v>255</v>
      </c>
      <c r="B75" s="100">
        <v>3714414</v>
      </c>
      <c r="C75" s="100">
        <v>3716915.7415189999</v>
      </c>
      <c r="D75" s="100">
        <v>3719401</v>
      </c>
      <c r="E75" s="100">
        <v>7433826.5640209997</v>
      </c>
      <c r="F75" s="100">
        <v>7486397.5238579996</v>
      </c>
      <c r="G75" s="100">
        <v>7434739.8331320006</v>
      </c>
      <c r="H75" s="100">
        <v>7434739.7633159999</v>
      </c>
      <c r="I75" s="100">
        <v>7544739.1798879998</v>
      </c>
      <c r="J75" s="100">
        <v>7767493.6931840004</v>
      </c>
      <c r="K75" s="100">
        <v>7767493.6931840004</v>
      </c>
      <c r="L75" s="100">
        <v>7767493.6931840004</v>
      </c>
      <c r="M75" s="100">
        <v>7767493.6931840004</v>
      </c>
      <c r="N75" s="101">
        <f t="shared" si="14"/>
        <v>79555148.378470004</v>
      </c>
    </row>
    <row r="76" spans="1:14">
      <c r="A76" s="61" t="s">
        <v>256</v>
      </c>
      <c r="B76" s="100">
        <v>14522547.129556108</v>
      </c>
      <c r="C76" s="100">
        <v>13523442.944619732</v>
      </c>
      <c r="D76" s="100">
        <v>35673701.319249958</v>
      </c>
      <c r="E76" s="100">
        <v>15880867.687867541</v>
      </c>
      <c r="F76" s="100">
        <v>16671134.774358884</v>
      </c>
      <c r="G76" s="100">
        <v>37863919.195946492</v>
      </c>
      <c r="H76" s="100">
        <v>16879102.348249204</v>
      </c>
      <c r="I76" s="100">
        <v>17475817.333080452</v>
      </c>
      <c r="J76" s="100">
        <v>40093049.201514006</v>
      </c>
      <c r="K76" s="100">
        <v>18589492.417083915</v>
      </c>
      <c r="L76" s="100">
        <v>17743175.477577236</v>
      </c>
      <c r="M76" s="100">
        <v>42829854.773079179</v>
      </c>
      <c r="N76" s="101">
        <f t="shared" si="14"/>
        <v>287746104.60218269</v>
      </c>
    </row>
    <row r="77" spans="1:14">
      <c r="A77" s="61" t="s">
        <v>257</v>
      </c>
      <c r="B77" s="100">
        <v>9634099.9593258239</v>
      </c>
      <c r="C77" s="100">
        <v>9047860.8749427106</v>
      </c>
      <c r="D77" s="100">
        <v>10271260.808696112</v>
      </c>
      <c r="E77" s="100">
        <v>10191452.842011059</v>
      </c>
      <c r="F77" s="100">
        <v>10644872.991484556</v>
      </c>
      <c r="G77" s="100">
        <v>10732010.885315493</v>
      </c>
      <c r="H77" s="100">
        <v>11222072.872853639</v>
      </c>
      <c r="I77" s="100">
        <v>11416254.051159654</v>
      </c>
      <c r="J77" s="100">
        <v>11410066.011747988</v>
      </c>
      <c r="K77" s="100">
        <v>11777671.061190879</v>
      </c>
      <c r="L77" s="100">
        <v>11692045.362015236</v>
      </c>
      <c r="M77" s="100">
        <v>12446638.471122328</v>
      </c>
      <c r="N77" s="101">
        <f t="shared" si="14"/>
        <v>130486306.19186546</v>
      </c>
    </row>
    <row r="78" spans="1:14">
      <c r="A78" s="61" t="s">
        <v>258</v>
      </c>
      <c r="B78" s="100">
        <v>24908121.296438828</v>
      </c>
      <c r="C78" s="100">
        <v>25297853.31641607</v>
      </c>
      <c r="D78" s="100">
        <v>25228395.40310964</v>
      </c>
      <c r="E78" s="100">
        <v>25606418.851443071</v>
      </c>
      <c r="F78" s="100">
        <v>26059133.20818416</v>
      </c>
      <c r="G78" s="100">
        <v>25609004.299411073</v>
      </c>
      <c r="H78" s="100">
        <v>25977226.435880147</v>
      </c>
      <c r="I78" s="100">
        <v>26208062.838854287</v>
      </c>
      <c r="J78" s="100">
        <v>25720186.870464593</v>
      </c>
      <c r="K78" s="100">
        <v>26172659.319550939</v>
      </c>
      <c r="L78" s="100">
        <v>26433970.207938645</v>
      </c>
      <c r="M78" s="100">
        <v>27272321.045770116</v>
      </c>
      <c r="N78" s="101">
        <f t="shared" si="14"/>
        <v>310493353.09346157</v>
      </c>
    </row>
    <row r="79" spans="1:14">
      <c r="A79" s="61" t="s">
        <v>259</v>
      </c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70"/>
    </row>
    <row r="80" spans="1:14">
      <c r="A80" s="61" t="s">
        <v>260</v>
      </c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70"/>
    </row>
    <row r="81" spans="1:16">
      <c r="A81" s="61" t="s">
        <v>262</v>
      </c>
      <c r="B81" s="98">
        <f>SUM(B82:B84)+SUM(B85:B89)*0.4</f>
        <v>119043324.75306191</v>
      </c>
      <c r="C81" s="98">
        <f>SUM(C82:C84)+SUM(C85:C89)*0.4</f>
        <v>130727039.11457646</v>
      </c>
      <c r="D81" s="98">
        <f>SUM(D82:D84)+SUM(D85:D89)*0.4</f>
        <v>164961064.92552605</v>
      </c>
      <c r="E81" s="98">
        <f t="shared" ref="E81:N81" si="15">SUM(E82:E84)+SUM(E85:E89)*0.4</f>
        <v>124796745.40730262</v>
      </c>
      <c r="F81" s="98">
        <f t="shared" si="15"/>
        <v>164742825.63077873</v>
      </c>
      <c r="G81" s="98">
        <f t="shared" si="15"/>
        <v>160410182.36744308</v>
      </c>
      <c r="H81" s="98">
        <f t="shared" si="15"/>
        <v>165435265.15667889</v>
      </c>
      <c r="I81" s="98">
        <f t="shared" si="15"/>
        <v>114149408.65512225</v>
      </c>
      <c r="J81" s="98">
        <f t="shared" si="15"/>
        <v>251566469.27464929</v>
      </c>
      <c r="K81" s="98">
        <f t="shared" si="15"/>
        <v>225906472.34932846</v>
      </c>
      <c r="L81" s="98">
        <f t="shared" si="15"/>
        <v>224377119.79354817</v>
      </c>
      <c r="M81" s="98">
        <f t="shared" si="15"/>
        <v>181800353.50186503</v>
      </c>
      <c r="N81" s="103">
        <f t="shared" si="15"/>
        <v>2027916270.9298804</v>
      </c>
    </row>
    <row r="82" spans="1:16">
      <c r="A82" s="61" t="s">
        <v>263</v>
      </c>
      <c r="B82" s="100">
        <v>12668425.172622999</v>
      </c>
      <c r="C82" s="100">
        <v>13975140.870215001</v>
      </c>
      <c r="D82" s="100">
        <v>13182281.302251</v>
      </c>
      <c r="E82" s="100">
        <v>13472701.393284</v>
      </c>
      <c r="F82" s="100">
        <v>14284383.014380001</v>
      </c>
      <c r="G82" s="100">
        <v>14843056.016159</v>
      </c>
      <c r="H82" s="100">
        <v>16480140.560875</v>
      </c>
      <c r="I82" s="100">
        <v>13927800.699508</v>
      </c>
      <c r="J82" s="100">
        <v>21047864.357666001</v>
      </c>
      <c r="K82" s="100">
        <v>19416264.287420001</v>
      </c>
      <c r="L82" s="100">
        <v>17485003.941004001</v>
      </c>
      <c r="M82" s="100">
        <v>-9624355.8119709995</v>
      </c>
      <c r="N82" s="101">
        <f>SUM(B82:M82)</f>
        <v>161158705.80341399</v>
      </c>
    </row>
    <row r="83" spans="1:16">
      <c r="A83" s="61" t="s">
        <v>264</v>
      </c>
      <c r="B83" s="100">
        <v>-691307.67016500002</v>
      </c>
      <c r="C83" s="100">
        <v>3712711.0803769999</v>
      </c>
      <c r="D83" s="100">
        <v>4489602.5197369996</v>
      </c>
      <c r="E83" s="100">
        <v>7739421.4792529996</v>
      </c>
      <c r="F83" s="100">
        <v>9311215.9341679998</v>
      </c>
      <c r="G83" s="100">
        <v>8582651.7082129996</v>
      </c>
      <c r="H83" s="100">
        <v>6936400.9827180002</v>
      </c>
      <c r="I83" s="100">
        <v>2180111.0195050002</v>
      </c>
      <c r="J83" s="100">
        <v>3600465.036535</v>
      </c>
      <c r="K83" s="100">
        <v>1642590.6429979999</v>
      </c>
      <c r="L83" s="100">
        <v>429011.97193399997</v>
      </c>
      <c r="M83" s="100">
        <v>-1345431.5125450001</v>
      </c>
      <c r="N83" s="101">
        <f t="shared" ref="N83:N89" si="16">SUM(B83:M83)</f>
        <v>46587443.192728005</v>
      </c>
    </row>
    <row r="84" spans="1:16">
      <c r="A84" s="61" t="s">
        <v>265</v>
      </c>
      <c r="B84" s="100">
        <v>-1617374.493914</v>
      </c>
      <c r="C84" s="100">
        <v>114873.633929</v>
      </c>
      <c r="D84" s="100">
        <v>2073419.5176200001</v>
      </c>
      <c r="E84" s="100">
        <v>1977619.1176710001</v>
      </c>
      <c r="F84" s="100">
        <v>4217925.2005820004</v>
      </c>
      <c r="G84" s="100">
        <v>4282439.2797870003</v>
      </c>
      <c r="H84" s="100">
        <v>5297477.2810399998</v>
      </c>
      <c r="I84" s="100">
        <v>4203892.4166759998</v>
      </c>
      <c r="J84" s="100">
        <v>3286000.9341640002</v>
      </c>
      <c r="K84" s="100">
        <v>4197133.6392599996</v>
      </c>
      <c r="L84" s="100">
        <v>5093841.5521560004</v>
      </c>
      <c r="M84" s="100">
        <v>2195609.7766470001</v>
      </c>
      <c r="N84" s="101">
        <f t="shared" si="16"/>
        <v>35322857.855618</v>
      </c>
    </row>
    <row r="85" spans="1:16">
      <c r="A85" s="61" t="s">
        <v>266</v>
      </c>
      <c r="B85" s="100">
        <v>61137469.857529998</v>
      </c>
      <c r="C85" s="100">
        <v>52570498.017240003</v>
      </c>
      <c r="D85" s="100">
        <v>59315931.357018001</v>
      </c>
      <c r="E85" s="100">
        <v>53276933.648883998</v>
      </c>
      <c r="F85" s="100">
        <v>60399837.349169999</v>
      </c>
      <c r="G85" s="100">
        <v>72792997.251050994</v>
      </c>
      <c r="H85" s="100">
        <v>93479536.485378996</v>
      </c>
      <c r="I85" s="100">
        <v>101645298.99656001</v>
      </c>
      <c r="J85" s="100">
        <v>125496891.081358</v>
      </c>
      <c r="K85" s="100">
        <v>157007827.41064799</v>
      </c>
      <c r="L85" s="100">
        <v>165429244.974843</v>
      </c>
      <c r="M85" s="100">
        <v>199611155.557419</v>
      </c>
      <c r="N85" s="101">
        <f t="shared" si="16"/>
        <v>1202163621.9870999</v>
      </c>
    </row>
    <row r="86" spans="1:16">
      <c r="A86" s="61" t="s">
        <v>267</v>
      </c>
      <c r="B86" s="100">
        <v>19835632</v>
      </c>
      <c r="C86" s="100">
        <v>21744075.380410001</v>
      </c>
      <c r="D86" s="100">
        <v>20832959</v>
      </c>
      <c r="E86" s="100">
        <v>7447146.250229124</v>
      </c>
      <c r="F86" s="100">
        <v>14668793.170977645</v>
      </c>
      <c r="G86" s="100">
        <v>11222206.381800763</v>
      </c>
      <c r="H86" s="100">
        <v>17541652.44463703</v>
      </c>
      <c r="I86" s="100">
        <v>19591777.242124259</v>
      </c>
      <c r="J86" s="100">
        <v>19578534.958905715</v>
      </c>
      <c r="K86" s="100">
        <v>27367663.508679729</v>
      </c>
      <c r="L86" s="100">
        <v>22779261.778928805</v>
      </c>
      <c r="M86" s="100">
        <v>18143225.620183848</v>
      </c>
      <c r="N86" s="101">
        <f t="shared" si="16"/>
        <v>220752927.73687693</v>
      </c>
    </row>
    <row r="87" spans="1:16">
      <c r="A87" s="61" t="s">
        <v>268</v>
      </c>
      <c r="B87" s="100">
        <v>37595744.946942374</v>
      </c>
      <c r="C87" s="100">
        <v>55621535.742727757</v>
      </c>
      <c r="D87" s="100">
        <v>116955093.82903372</v>
      </c>
      <c r="E87" s="100">
        <v>34897044.357835308</v>
      </c>
      <c r="F87" s="100">
        <v>64059008.776805215</v>
      </c>
      <c r="G87" s="100">
        <v>97801847.714314312</v>
      </c>
      <c r="H87" s="100">
        <v>39168957.309402011</v>
      </c>
      <c r="I87" s="100">
        <v>23744822.258941121</v>
      </c>
      <c r="J87" s="100">
        <v>148034882.58629799</v>
      </c>
      <c r="K87" s="100">
        <v>83981163.042076394</v>
      </c>
      <c r="L87" s="100">
        <v>85004880.058176517</v>
      </c>
      <c r="M87" s="100">
        <v>94105533.260774657</v>
      </c>
      <c r="N87" s="101">
        <f t="shared" si="16"/>
        <v>880970513.88332725</v>
      </c>
    </row>
    <row r="88" spans="1:16">
      <c r="A88" s="61" t="s">
        <v>269</v>
      </c>
      <c r="B88" s="100">
        <v>57463052.793556578</v>
      </c>
      <c r="C88" s="100">
        <v>51672440.861370914</v>
      </c>
      <c r="D88" s="100">
        <v>75002477.354281589</v>
      </c>
      <c r="E88" s="100">
        <v>74452722.364351705</v>
      </c>
      <c r="F88" s="100">
        <v>79962391.112778544</v>
      </c>
      <c r="G88" s="100">
        <v>66579201.252147406</v>
      </c>
      <c r="H88" s="100">
        <v>59722137.636937723</v>
      </c>
      <c r="I88" s="100">
        <v>39324432.434504993</v>
      </c>
      <c r="J88" s="100">
        <v>96944704.70049791</v>
      </c>
      <c r="K88" s="100">
        <v>90149889.399923116</v>
      </c>
      <c r="L88" s="100">
        <v>86123603.933922082</v>
      </c>
      <c r="M88" s="100">
        <v>55484678.004174508</v>
      </c>
      <c r="N88" s="101">
        <f t="shared" si="16"/>
        <v>832881731.84844697</v>
      </c>
    </row>
    <row r="89" spans="1:16">
      <c r="A89" s="61" t="s">
        <v>270</v>
      </c>
      <c r="B89" s="100">
        <v>95677054.763265803</v>
      </c>
      <c r="C89" s="100">
        <v>100702233.82338993</v>
      </c>
      <c r="D89" s="100">
        <v>90932942.424461737</v>
      </c>
      <c r="E89" s="100">
        <v>83943661.921436384</v>
      </c>
      <c r="F89" s="100">
        <v>123233223.29439041</v>
      </c>
      <c r="G89" s="100">
        <v>83358835.80889675</v>
      </c>
      <c r="H89" s="100">
        <v>131890831.95375891</v>
      </c>
      <c r="I89" s="100">
        <v>50287680.366452754</v>
      </c>
      <c r="J89" s="100">
        <v>169025334.03865105</v>
      </c>
      <c r="K89" s="100">
        <v>143119666.08779895</v>
      </c>
      <c r="L89" s="100">
        <v>144086165.07526502</v>
      </c>
      <c r="M89" s="100">
        <v>109091735.18178301</v>
      </c>
      <c r="N89" s="101">
        <f t="shared" si="16"/>
        <v>1325349364.7395506</v>
      </c>
    </row>
    <row r="90" spans="1:16">
      <c r="A90" s="61" t="s">
        <v>271</v>
      </c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70"/>
    </row>
    <row r="91" spans="1:16">
      <c r="A91" s="61" t="s">
        <v>272</v>
      </c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70"/>
    </row>
    <row r="92" spans="1:16">
      <c r="A92" s="61" t="s">
        <v>274</v>
      </c>
      <c r="B92" s="98">
        <f>SUM(B93:B95)+SUM(B96:B100)*0.4</f>
        <v>-43656415.120368853</v>
      </c>
      <c r="C92" s="98">
        <f>SUM(C93:C95)+SUM(C96:C100)*0.4</f>
        <v>-44345957.985985562</v>
      </c>
      <c r="D92" s="98">
        <f>SUM(D93:D95)+SUM(D96:D100)*0.4</f>
        <v>-40823049.591233909</v>
      </c>
      <c r="E92" s="98">
        <f t="shared" ref="E92:N92" si="17">SUM(E93:E95)+SUM(E96:E100)*0.4</f>
        <v>-41138721.383032121</v>
      </c>
      <c r="F92" s="98">
        <f t="shared" si="17"/>
        <v>-35521774.019152388</v>
      </c>
      <c r="G92" s="98">
        <f t="shared" si="17"/>
        <v>-36016318.636925511</v>
      </c>
      <c r="H92" s="98">
        <f t="shared" si="17"/>
        <v>-42109477.843551114</v>
      </c>
      <c r="I92" s="98">
        <f t="shared" si="17"/>
        <v>-43834364.528528027</v>
      </c>
      <c r="J92" s="98">
        <f t="shared" si="17"/>
        <v>-45424372.557075255</v>
      </c>
      <c r="K92" s="98">
        <f t="shared" si="17"/>
        <v>-42948215.798055328</v>
      </c>
      <c r="L92" s="98">
        <f t="shared" si="17"/>
        <v>-42324983.844406329</v>
      </c>
      <c r="M92" s="98">
        <f t="shared" si="17"/>
        <v>-41232356.512487255</v>
      </c>
      <c r="N92" s="101">
        <f t="shared" si="17"/>
        <v>-499376007.82080173</v>
      </c>
      <c r="P92" s="313">
        <f>N92/1000000</f>
        <v>-499.37600782080176</v>
      </c>
    </row>
    <row r="93" spans="1:16">
      <c r="A93" s="61" t="s">
        <v>275</v>
      </c>
      <c r="B93" s="100">
        <v>-7142795.1450059991</v>
      </c>
      <c r="C93" s="100">
        <v>-7033387.5918669999</v>
      </c>
      <c r="D93" s="100">
        <v>-3139027.6191519997</v>
      </c>
      <c r="E93" s="100">
        <v>-3275665.1629929999</v>
      </c>
      <c r="F93" s="100">
        <v>-2958446.1408350002</v>
      </c>
      <c r="G93" s="100">
        <v>-2862612.5918220002</v>
      </c>
      <c r="H93" s="100">
        <v>-3048687.5247670002</v>
      </c>
      <c r="I93" s="100">
        <v>-2975977.5111980001</v>
      </c>
      <c r="J93" s="100">
        <v>-2715598.2640940002</v>
      </c>
      <c r="K93" s="100">
        <v>-2829544.860291</v>
      </c>
      <c r="L93" s="100">
        <v>-2651482.6889380002</v>
      </c>
      <c r="M93" s="100">
        <v>190188.19631900001</v>
      </c>
      <c r="N93" s="101">
        <f>SUM(B93:M93)</f>
        <v>-40443036.90464399</v>
      </c>
    </row>
    <row r="94" spans="1:16">
      <c r="A94" s="61" t="s">
        <v>276</v>
      </c>
      <c r="B94" s="100">
        <v>-324652</v>
      </c>
      <c r="C94" s="100">
        <v>-257099</v>
      </c>
      <c r="D94" s="100">
        <v>-260343</v>
      </c>
      <c r="E94" s="100">
        <v>-263382</v>
      </c>
      <c r="F94" s="100">
        <v>-277805</v>
      </c>
      <c r="G94" s="100">
        <v>-262259</v>
      </c>
      <c r="H94" s="100">
        <v>-216648</v>
      </c>
      <c r="I94" s="100">
        <v>-279983</v>
      </c>
      <c r="J94" s="100">
        <v>-288161</v>
      </c>
      <c r="K94" s="100">
        <v>-299585</v>
      </c>
      <c r="L94" s="100">
        <v>-300329</v>
      </c>
      <c r="M94" s="100">
        <v>-263382</v>
      </c>
      <c r="N94" s="101">
        <f t="shared" ref="N94:N100" si="18">SUM(B94:M94)</f>
        <v>-3293628</v>
      </c>
    </row>
    <row r="95" spans="1:16">
      <c r="A95" s="61" t="s">
        <v>277</v>
      </c>
      <c r="B95" s="100">
        <v>-2039397.5089710001</v>
      </c>
      <c r="C95" s="100">
        <v>-2311938.4179690001</v>
      </c>
      <c r="D95" s="100">
        <v>-2161753.3638439998</v>
      </c>
      <c r="E95" s="100">
        <v>-2271236.905297</v>
      </c>
      <c r="F95" s="100">
        <v>-2099708.1787310001</v>
      </c>
      <c r="G95" s="100">
        <v>-2140730.0416640001</v>
      </c>
      <c r="H95" s="100">
        <v>-2101386.0191480001</v>
      </c>
      <c r="I95" s="100">
        <v>-2329726.6815289999</v>
      </c>
      <c r="J95" s="100">
        <v>-2176382.3507869998</v>
      </c>
      <c r="K95" s="100">
        <v>-2167827.9492429998</v>
      </c>
      <c r="L95" s="100">
        <v>-2183467.1532640001</v>
      </c>
      <c r="M95" s="100">
        <v>-2360141.467613</v>
      </c>
      <c r="N95" s="101">
        <f t="shared" si="18"/>
        <v>-26343696.038059998</v>
      </c>
    </row>
    <row r="96" spans="1:16">
      <c r="A96" s="61" t="s">
        <v>278</v>
      </c>
      <c r="B96" s="100">
        <v>-76280968.634272993</v>
      </c>
      <c r="C96" s="100">
        <v>-77801958.738051996</v>
      </c>
      <c r="D96" s="100">
        <v>-79137081.408159003</v>
      </c>
      <c r="E96" s="100">
        <v>-76988977.776259005</v>
      </c>
      <c r="F96" s="100">
        <v>-64277593.487967998</v>
      </c>
      <c r="G96" s="100">
        <v>-65835996.655587003</v>
      </c>
      <c r="H96" s="100">
        <v>-81017665.239443004</v>
      </c>
      <c r="I96" s="100">
        <v>-84991505.830751002</v>
      </c>
      <c r="J96" s="100">
        <v>-89716614.812067002</v>
      </c>
      <c r="K96" s="100">
        <v>-83434097.604923993</v>
      </c>
      <c r="L96" s="100">
        <v>-82428966.692159995</v>
      </c>
      <c r="M96" s="100">
        <v>-86664576.209275007</v>
      </c>
      <c r="N96" s="101">
        <f t="shared" si="18"/>
        <v>-948576003.08891809</v>
      </c>
    </row>
    <row r="97" spans="1:14">
      <c r="A97" s="61" t="s">
        <v>279</v>
      </c>
      <c r="B97" s="100">
        <v>-4757231</v>
      </c>
      <c r="C97" s="100">
        <v>-4711193.599556</v>
      </c>
      <c r="D97" s="100">
        <v>-4663479</v>
      </c>
      <c r="E97" s="100">
        <v>-7125355.1526918681</v>
      </c>
      <c r="F97" s="100">
        <v>-7047426.7503773086</v>
      </c>
      <c r="G97" s="100">
        <v>-6892417.9917933363</v>
      </c>
      <c r="H97" s="100">
        <v>-6732052.8539700219</v>
      </c>
      <c r="I97" s="100">
        <v>-6565805.095028555</v>
      </c>
      <c r="J97" s="100">
        <v>-6827588.8936475031</v>
      </c>
      <c r="K97" s="100">
        <v>-6648988.9674783442</v>
      </c>
      <c r="L97" s="100">
        <v>-6464027.1475229207</v>
      </c>
      <c r="M97" s="100">
        <v>-6272474.5775501085</v>
      </c>
      <c r="N97" s="101">
        <f t="shared" si="18"/>
        <v>-74708041.029615968</v>
      </c>
    </row>
    <row r="98" spans="1:14">
      <c r="A98" s="61" t="s">
        <v>280</v>
      </c>
      <c r="B98" s="100">
        <v>-1449557.2881436413</v>
      </c>
      <c r="C98" s="100">
        <v>-1435716.6895677692</v>
      </c>
      <c r="D98" s="100">
        <v>-1421101.9669134137</v>
      </c>
      <c r="E98" s="100">
        <v>-1319997.9030329613</v>
      </c>
      <c r="F98" s="100">
        <v>-1263365.7473425516</v>
      </c>
      <c r="G98" s="100">
        <v>-1248891.8444471227</v>
      </c>
      <c r="H98" s="100">
        <v>-1205744.6540143967</v>
      </c>
      <c r="I98" s="100">
        <v>-1162686.7433534064</v>
      </c>
      <c r="J98" s="100">
        <v>-1144401.7380695129</v>
      </c>
      <c r="K98" s="100">
        <v>-1113204.3056729694</v>
      </c>
      <c r="L98" s="100">
        <v>-1113839.8608770415</v>
      </c>
      <c r="M98" s="100">
        <v>-1082899.2552417901</v>
      </c>
      <c r="N98" s="101">
        <f t="shared" si="18"/>
        <v>-14961407.996676577</v>
      </c>
    </row>
    <row r="99" spans="1:14">
      <c r="A99" s="61" t="s">
        <v>281</v>
      </c>
      <c r="B99" s="100">
        <v>-1207344.4836269952</v>
      </c>
      <c r="C99" s="100">
        <v>-1196524.8283901233</v>
      </c>
      <c r="D99" s="100">
        <v>-1185094.7147053517</v>
      </c>
      <c r="E99" s="100">
        <v>-1104091.6991824664</v>
      </c>
      <c r="F99" s="100">
        <v>-1058866.1827171058</v>
      </c>
      <c r="G99" s="100">
        <v>-1047587.6113383134</v>
      </c>
      <c r="H99" s="100">
        <v>-1014911.2502208761</v>
      </c>
      <c r="I99" s="100">
        <v>-980565.0940556092</v>
      </c>
      <c r="J99" s="100">
        <v>-966227.5105155909</v>
      </c>
      <c r="K99" s="100">
        <v>-941495.86716998636</v>
      </c>
      <c r="L99" s="100">
        <v>-942452.23288386664</v>
      </c>
      <c r="M99" s="100">
        <v>-918012.66397723113</v>
      </c>
      <c r="N99" s="101">
        <f t="shared" si="18"/>
        <v>-12563174.138783518</v>
      </c>
    </row>
    <row r="100" spans="1:14">
      <c r="A100" s="61" t="s">
        <v>282</v>
      </c>
      <c r="B100" s="100">
        <v>-1678824.7599360002</v>
      </c>
      <c r="C100" s="100">
        <v>-1713438.5848080001</v>
      </c>
      <c r="D100" s="100">
        <v>-1748056.9308169992</v>
      </c>
      <c r="E100" s="100">
        <v>-1782670.7556890009</v>
      </c>
      <c r="F100" s="100">
        <v>-1817284.5805609999</v>
      </c>
      <c r="G100" s="100">
        <v>-1851898.4054329987</v>
      </c>
      <c r="H100" s="100">
        <v>-1886516.7514420021</v>
      </c>
      <c r="I100" s="100">
        <v>-1921130.5763139997</v>
      </c>
      <c r="J100" s="100">
        <v>-1955744.4011859999</v>
      </c>
      <c r="K100" s="100">
        <v>-1990358.226058</v>
      </c>
      <c r="L100" s="100">
        <v>-2024976.5720669997</v>
      </c>
      <c r="M100" s="100">
        <v>-2059590.3969389971</v>
      </c>
      <c r="N100" s="101">
        <f t="shared" si="18"/>
        <v>-22430490.94125</v>
      </c>
    </row>
    <row r="101" spans="1:14">
      <c r="A101" s="61" t="s">
        <v>283</v>
      </c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70"/>
    </row>
    <row r="102" spans="1:14">
      <c r="A102" s="61" t="s">
        <v>284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70"/>
    </row>
    <row r="103" spans="1:14">
      <c r="A103" s="61" t="s">
        <v>286</v>
      </c>
      <c r="B103" s="98">
        <f>SUM(B104:B106)+SUM(B107:B111)*0.4</f>
        <v>6874562.9029427152</v>
      </c>
      <c r="C103" s="98">
        <f>SUM(C104:C106)+SUM(C107:C111)*0.4</f>
        <v>1279358.3949234392</v>
      </c>
      <c r="D103" s="98">
        <f>SUM(D104:D106)+SUM(D107:D111)*0.4</f>
        <v>-1475554.4691400304</v>
      </c>
      <c r="E103" s="98">
        <f t="shared" ref="E103:N103" si="19">SUM(E104:E106)+SUM(E107:E111)*0.4</f>
        <v>-7709685.6281119864</v>
      </c>
      <c r="F103" s="98">
        <f t="shared" si="19"/>
        <v>-401455.8149237982</v>
      </c>
      <c r="G103" s="98">
        <f t="shared" si="19"/>
        <v>2430253.7398265945</v>
      </c>
      <c r="H103" s="98">
        <f t="shared" si="19"/>
        <v>-2150626.8642848902</v>
      </c>
      <c r="I103" s="98">
        <f t="shared" si="19"/>
        <v>-1928676.5206995977</v>
      </c>
      <c r="J103" s="98">
        <f t="shared" si="19"/>
        <v>-1770502.7654779842</v>
      </c>
      <c r="K103" s="98">
        <f t="shared" si="19"/>
        <v>-1832732.4404599061</v>
      </c>
      <c r="L103" s="98">
        <f t="shared" si="19"/>
        <v>-1479259.5660322604</v>
      </c>
      <c r="M103" s="98">
        <f t="shared" si="19"/>
        <v>-1414655.3225897248</v>
      </c>
      <c r="N103" s="103">
        <f t="shared" si="19"/>
        <v>-9578974.3540274315</v>
      </c>
    </row>
    <row r="104" spans="1:14">
      <c r="A104" s="61" t="s">
        <v>287</v>
      </c>
      <c r="B104" s="100">
        <v>7498613.5655589998</v>
      </c>
      <c r="C104" s="100">
        <v>4118624.1673170002</v>
      </c>
      <c r="D104" s="100">
        <v>777092.91731699998</v>
      </c>
      <c r="E104" s="100">
        <v>1077416.225482</v>
      </c>
      <c r="F104" s="100">
        <v>806160.19299300003</v>
      </c>
      <c r="G104" s="100">
        <v>1323706.3149079999</v>
      </c>
      <c r="H104" s="100">
        <v>633832.12625199999</v>
      </c>
      <c r="I104" s="100">
        <v>481996.57923700003</v>
      </c>
      <c r="J104" s="100">
        <v>916531.736408</v>
      </c>
      <c r="K104" s="100">
        <v>883311.33409500006</v>
      </c>
      <c r="L104" s="100">
        <v>1020101.614065</v>
      </c>
      <c r="M104" s="100">
        <v>832630.71545799996</v>
      </c>
      <c r="N104" s="101">
        <f>SUM(B104:M104)</f>
        <v>20370017.489090994</v>
      </c>
    </row>
    <row r="105" spans="1:14">
      <c r="A105" s="61" t="s">
        <v>288</v>
      </c>
      <c r="B105" s="100">
        <v>50950</v>
      </c>
      <c r="C105" s="100">
        <v>50950</v>
      </c>
      <c r="D105" s="100">
        <v>50950</v>
      </c>
      <c r="E105" s="100">
        <v>50950</v>
      </c>
      <c r="F105" s="100">
        <v>50950</v>
      </c>
      <c r="G105" s="100">
        <v>50950</v>
      </c>
      <c r="H105" s="100">
        <v>50950</v>
      </c>
      <c r="I105" s="100">
        <v>50950</v>
      </c>
      <c r="J105" s="100">
        <v>50950</v>
      </c>
      <c r="K105" s="100">
        <v>50950</v>
      </c>
      <c r="L105" s="100">
        <v>50950</v>
      </c>
      <c r="M105" s="100">
        <v>50950</v>
      </c>
      <c r="N105" s="101">
        <f t="shared" ref="N105:N111" si="20">SUM(B105:M105)</f>
        <v>611400</v>
      </c>
    </row>
    <row r="106" spans="1:14">
      <c r="A106" s="61" t="s">
        <v>289</v>
      </c>
      <c r="B106" s="100">
        <v>228371.121483</v>
      </c>
      <c r="C106" s="100">
        <v>228371.118854</v>
      </c>
      <c r="D106" s="100">
        <v>228371.120612</v>
      </c>
      <c r="E106" s="100">
        <v>228371.11794200001</v>
      </c>
      <c r="F106" s="100">
        <v>228371.117918</v>
      </c>
      <c r="G106" s="100">
        <v>228371.11876700001</v>
      </c>
      <c r="H106" s="100">
        <v>228371.11781200001</v>
      </c>
      <c r="I106" s="100">
        <v>355486.31877000001</v>
      </c>
      <c r="J106" s="100">
        <v>355486.31769599998</v>
      </c>
      <c r="K106" s="100">
        <v>355486.31800099998</v>
      </c>
      <c r="L106" s="100">
        <v>355486.317507</v>
      </c>
      <c r="M106" s="100">
        <v>355486.31879799999</v>
      </c>
      <c r="N106" s="101">
        <f t="shared" si="20"/>
        <v>3376029.4241600004</v>
      </c>
    </row>
    <row r="107" spans="1:14">
      <c r="A107" s="61" t="s">
        <v>290</v>
      </c>
      <c r="B107" s="100">
        <v>4316832.8316280004</v>
      </c>
      <c r="C107" s="100">
        <v>-8663777.7946049999</v>
      </c>
      <c r="D107" s="100">
        <v>-7160366.5162490001</v>
      </c>
      <c r="E107" s="100">
        <v>-24595186.437369999</v>
      </c>
      <c r="F107" s="100">
        <v>-5575664.2427200004</v>
      </c>
      <c r="G107" s="100">
        <v>593356.20147600002</v>
      </c>
      <c r="H107" s="100">
        <v>-9102738.5596719999</v>
      </c>
      <c r="I107" s="100">
        <v>-8474414.0484439991</v>
      </c>
      <c r="J107" s="100">
        <v>-9073040.7032270003</v>
      </c>
      <c r="K107" s="100">
        <v>-9114657.3865120001</v>
      </c>
      <c r="L107" s="100">
        <v>-8408557.0631140005</v>
      </c>
      <c r="M107" s="100">
        <v>-7771987.8091350012</v>
      </c>
      <c r="N107" s="101">
        <f t="shared" si="20"/>
        <v>-93030201.527943999</v>
      </c>
    </row>
    <row r="108" spans="1:14">
      <c r="A108" s="61" t="s">
        <v>291</v>
      </c>
      <c r="B108" s="100">
        <v>0</v>
      </c>
      <c r="C108" s="100">
        <v>0</v>
      </c>
      <c r="D108" s="100">
        <v>0</v>
      </c>
      <c r="E108" s="100">
        <v>0</v>
      </c>
      <c r="F108" s="100">
        <v>0</v>
      </c>
      <c r="G108" s="100">
        <v>0</v>
      </c>
      <c r="H108" s="100">
        <v>0</v>
      </c>
      <c r="I108" s="100">
        <v>0</v>
      </c>
      <c r="J108" s="100">
        <v>0</v>
      </c>
      <c r="K108" s="100">
        <v>0</v>
      </c>
      <c r="L108" s="100">
        <v>0</v>
      </c>
      <c r="M108" s="100">
        <v>0</v>
      </c>
      <c r="N108" s="101">
        <f t="shared" si="20"/>
        <v>0</v>
      </c>
    </row>
    <row r="109" spans="1:14">
      <c r="A109" s="61" t="s">
        <v>292</v>
      </c>
      <c r="B109" s="100">
        <v>-5556413.9083016831</v>
      </c>
      <c r="C109" s="100">
        <v>744879.78918963182</v>
      </c>
      <c r="D109" s="100">
        <v>723120.28911414498</v>
      </c>
      <c r="E109" s="100">
        <v>1843466.5286286268</v>
      </c>
      <c r="F109" s="100">
        <v>1782204.8252519958</v>
      </c>
      <c r="G109" s="100">
        <v>1424923.6871101048</v>
      </c>
      <c r="H109" s="100">
        <v>1403510.6057203666</v>
      </c>
      <c r="I109" s="100">
        <v>1395828.3485298902</v>
      </c>
      <c r="J109" s="100">
        <v>1265215.6642907544</v>
      </c>
      <c r="K109" s="100">
        <v>1224764.5442643454</v>
      </c>
      <c r="L109" s="100">
        <v>1066061.4937038159</v>
      </c>
      <c r="M109" s="100">
        <v>1068705.595645092</v>
      </c>
      <c r="N109" s="101">
        <f t="shared" si="20"/>
        <v>8386267.4631470852</v>
      </c>
    </row>
    <row r="110" spans="1:14">
      <c r="A110" s="61" t="s">
        <v>293</v>
      </c>
      <c r="B110" s="100">
        <v>-1018848.383574528</v>
      </c>
      <c r="C110" s="100">
        <v>122430.77729646473</v>
      </c>
      <c r="D110" s="100">
        <v>107324.95946228012</v>
      </c>
      <c r="E110" s="100">
        <v>85662.47990140706</v>
      </c>
      <c r="F110" s="100">
        <v>76116.602881009618</v>
      </c>
      <c r="G110" s="100">
        <v>49785.876792880925</v>
      </c>
      <c r="H110" s="100">
        <v>39777.683079408176</v>
      </c>
      <c r="I110" s="100">
        <v>35812.153147614983</v>
      </c>
      <c r="J110" s="100">
        <v>74147.98998128582</v>
      </c>
      <c r="K110" s="100">
        <v>83692.61085789041</v>
      </c>
      <c r="L110" s="100">
        <v>78001.825399533569</v>
      </c>
      <c r="M110" s="100">
        <v>68976.321375597618</v>
      </c>
      <c r="N110" s="101">
        <f t="shared" si="20"/>
        <v>-197119.10339915508</v>
      </c>
    </row>
    <row r="111" spans="1:14">
      <c r="A111" s="61" t="s">
        <v>294</v>
      </c>
      <c r="B111" s="100">
        <v>0</v>
      </c>
      <c r="C111" s="100">
        <v>0</v>
      </c>
      <c r="D111" s="100">
        <v>0</v>
      </c>
      <c r="E111" s="100">
        <v>0</v>
      </c>
      <c r="F111" s="100">
        <v>0</v>
      </c>
      <c r="G111" s="100">
        <v>0</v>
      </c>
      <c r="H111" s="100">
        <v>0</v>
      </c>
      <c r="I111" s="100">
        <v>0</v>
      </c>
      <c r="J111" s="100">
        <v>0</v>
      </c>
      <c r="K111" s="100">
        <v>0</v>
      </c>
      <c r="L111" s="100">
        <v>0</v>
      </c>
      <c r="M111" s="100">
        <v>0</v>
      </c>
      <c r="N111" s="101">
        <f t="shared" si="20"/>
        <v>0</v>
      </c>
    </row>
    <row r="112" spans="1:14">
      <c r="A112" s="61" t="s">
        <v>295</v>
      </c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97"/>
    </row>
    <row r="113" spans="1:14">
      <c r="A113" s="61" t="s">
        <v>296</v>
      </c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70"/>
    </row>
    <row r="114" spans="1:14">
      <c r="A114" s="61" t="s">
        <v>298</v>
      </c>
      <c r="B114" s="98">
        <f>SUM(B115:B117)+SUM(B118:B122)*0.4</f>
        <v>57845194.663871877</v>
      </c>
      <c r="C114" s="98">
        <f>SUM(C115:C117)+SUM(C118:C122)*0.4</f>
        <v>63566552.956001095</v>
      </c>
      <c r="D114" s="98">
        <f>SUM(D115:D117)+SUM(D118:D122)*0.4</f>
        <v>89073953.799176708</v>
      </c>
      <c r="E114" s="98">
        <f t="shared" ref="E114:N114" si="21">SUM(E115:E117)+SUM(E118:E122)*0.4</f>
        <v>48278474.255020685</v>
      </c>
      <c r="F114" s="98">
        <f t="shared" si="21"/>
        <v>101016835.10899901</v>
      </c>
      <c r="G114" s="98">
        <f t="shared" si="21"/>
        <v>90471998.854125947</v>
      </c>
      <c r="H114" s="98">
        <f t="shared" si="21"/>
        <v>92426105.445876673</v>
      </c>
      <c r="I114" s="98">
        <f t="shared" si="21"/>
        <v>39699926.332303755</v>
      </c>
      <c r="J114" s="98">
        <f t="shared" si="21"/>
        <v>166522530.25680971</v>
      </c>
      <c r="K114" s="98">
        <f t="shared" si="21"/>
        <v>151259694.6035952</v>
      </c>
      <c r="L114" s="98">
        <f t="shared" si="21"/>
        <v>151063289.33019674</v>
      </c>
      <c r="M114" s="98">
        <f t="shared" si="21"/>
        <v>98950545.065395772</v>
      </c>
      <c r="N114" s="103">
        <f t="shared" si="21"/>
        <v>1150175100.6713731</v>
      </c>
    </row>
    <row r="115" spans="1:14">
      <c r="A115" s="61" t="s">
        <v>299</v>
      </c>
      <c r="B115" s="100">
        <v>12841408.032915</v>
      </c>
      <c r="C115" s="100">
        <v>10877541.885405</v>
      </c>
      <c r="D115" s="100">
        <v>10637511.040154003</v>
      </c>
      <c r="E115" s="100">
        <v>11091616.895512</v>
      </c>
      <c r="F115" s="100">
        <v>11949261.506277001</v>
      </c>
      <c r="G115" s="100">
        <v>13121314.178982999</v>
      </c>
      <c r="H115" s="100">
        <v>13882449.602099</v>
      </c>
      <c r="I115" s="100">
        <v>11250984.207286</v>
      </c>
      <c r="J115" s="100">
        <v>19065962.269717999</v>
      </c>
      <c r="K115" s="100">
        <v>17287195.200962</v>
      </c>
      <c r="L115" s="100">
        <v>15670787.305870011</v>
      </c>
      <c r="M115" s="100">
        <v>-8784372.4604559988</v>
      </c>
      <c r="N115" s="101">
        <f>SUM(B115:M115)</f>
        <v>138891659.66472501</v>
      </c>
    </row>
    <row r="116" spans="1:14">
      <c r="A116" s="61" t="s">
        <v>300</v>
      </c>
      <c r="B116" s="100">
        <v>-1370684.784731</v>
      </c>
      <c r="C116" s="100">
        <v>2956764.7313560001</v>
      </c>
      <c r="D116" s="100">
        <v>3775849.412943</v>
      </c>
      <c r="E116" s="100">
        <v>6521449.0339019997</v>
      </c>
      <c r="F116" s="100">
        <v>8317821.5182060003</v>
      </c>
      <c r="G116" s="100">
        <v>7686268.0589180002</v>
      </c>
      <c r="H116" s="100">
        <v>5914633.1167559996</v>
      </c>
      <c r="I116" s="100">
        <v>1228998.053544</v>
      </c>
      <c r="J116" s="100">
        <v>2502042.7705740002</v>
      </c>
      <c r="K116" s="100">
        <v>683725.977037</v>
      </c>
      <c r="L116" s="100">
        <v>-530596.694028</v>
      </c>
      <c r="M116" s="100">
        <v>-2290692.9291079999</v>
      </c>
      <c r="N116" s="101">
        <f t="shared" ref="N116:N122" si="22">SUM(B116:M116)</f>
        <v>35395578.265368998</v>
      </c>
    </row>
    <row r="117" spans="1:14">
      <c r="A117" s="61" t="s">
        <v>301</v>
      </c>
      <c r="B117" s="100">
        <v>-3476655.1079119998</v>
      </c>
      <c r="C117" s="100">
        <v>-2016947.891696</v>
      </c>
      <c r="D117" s="100">
        <v>91783.047877000005</v>
      </c>
      <c r="E117" s="100">
        <v>-113500.896194</v>
      </c>
      <c r="F117" s="100">
        <v>2298333.9132579998</v>
      </c>
      <c r="G117" s="100">
        <v>2321826.1303790002</v>
      </c>
      <c r="H117" s="100">
        <v>3376208.1531929998</v>
      </c>
      <c r="I117" s="100">
        <v>2181397.8274070001</v>
      </c>
      <c r="J117" s="100">
        <v>1416850.674563</v>
      </c>
      <c r="K117" s="100">
        <v>2336537.7815069999</v>
      </c>
      <c r="L117" s="100">
        <v>3217606.4898879998</v>
      </c>
      <c r="M117" s="100">
        <v>142700.40132199999</v>
      </c>
      <c r="N117" s="101">
        <f t="shared" si="22"/>
        <v>11776140.523591999</v>
      </c>
    </row>
    <row r="118" spans="1:14">
      <c r="A118" s="61" t="s">
        <v>302</v>
      </c>
      <c r="B118" s="100">
        <v>-19572019.619374</v>
      </c>
      <c r="C118" s="100">
        <v>-42864840.388912991</v>
      </c>
      <c r="D118" s="100">
        <v>-36454193.611250997</v>
      </c>
      <c r="E118" s="100">
        <v>-57728519.863706008</v>
      </c>
      <c r="F118" s="100">
        <v>-17953675.892662998</v>
      </c>
      <c r="G118" s="100">
        <v>-1551099.4815979998</v>
      </c>
      <c r="H118" s="100">
        <v>-6605257.752553001</v>
      </c>
      <c r="I118" s="100">
        <v>-706665.498012</v>
      </c>
      <c r="J118" s="100">
        <v>17567039.377386998</v>
      </c>
      <c r="K118" s="100">
        <v>54191752.868882008</v>
      </c>
      <c r="L118" s="100">
        <v>64579087.066494003</v>
      </c>
      <c r="M118" s="100">
        <v>95273661.125167996</v>
      </c>
      <c r="N118" s="101">
        <f t="shared" si="22"/>
        <v>48175268.32986097</v>
      </c>
    </row>
    <row r="119" spans="1:14">
      <c r="A119" s="61" t="s">
        <v>303</v>
      </c>
      <c r="B119" s="100">
        <v>11363986.999999998</v>
      </c>
      <c r="C119" s="100">
        <v>13315966.039335001</v>
      </c>
      <c r="D119" s="100">
        <v>12450080</v>
      </c>
      <c r="E119" s="100">
        <v>-7112035.4664835753</v>
      </c>
      <c r="F119" s="100">
        <v>134968.89674228802</v>
      </c>
      <c r="G119" s="100">
        <v>-3104951.4431247581</v>
      </c>
      <c r="H119" s="100">
        <v>3374859.8273507943</v>
      </c>
      <c r="I119" s="100">
        <v>5481232.9672080819</v>
      </c>
      <c r="J119" s="100">
        <v>4983452.3720739596</v>
      </c>
      <c r="K119" s="100">
        <v>12951180.848017132</v>
      </c>
      <c r="L119" s="100">
        <v>8547740.9382216316</v>
      </c>
      <c r="M119" s="100">
        <v>4103257.3494494902</v>
      </c>
      <c r="N119" s="101">
        <f t="shared" si="22"/>
        <v>66489739.328790054</v>
      </c>
    </row>
    <row r="120" spans="1:14">
      <c r="A120" s="61" t="s">
        <v>304</v>
      </c>
      <c r="B120" s="100">
        <v>14683125.228688745</v>
      </c>
      <c r="C120" s="100">
        <v>39999624.923054241</v>
      </c>
      <c r="D120" s="100">
        <v>79147949.835419521</v>
      </c>
      <c r="E120" s="100">
        <v>18090849.037219226</v>
      </c>
      <c r="F120" s="100">
        <v>46346453.742859639</v>
      </c>
      <c r="G120" s="100">
        <v>58524429.348928854</v>
      </c>
      <c r="H120" s="100">
        <v>20824279.84936516</v>
      </c>
      <c r="I120" s="100">
        <v>4778968.5538452277</v>
      </c>
      <c r="J120" s="100">
        <v>106308422.10488252</v>
      </c>
      <c r="K120" s="100">
        <v>63717958.428528547</v>
      </c>
      <c r="L120" s="100">
        <v>65397602.49424585</v>
      </c>
      <c r="M120" s="100">
        <v>49414113.879984483</v>
      </c>
      <c r="N120" s="101">
        <f t="shared" si="22"/>
        <v>567233777.42702198</v>
      </c>
    </row>
    <row r="121" spans="1:14">
      <c r="A121" s="61" t="s">
        <v>305</v>
      </c>
      <c r="B121" s="100">
        <v>45602759.967029229</v>
      </c>
      <c r="C121" s="100">
        <v>41550485.935334541</v>
      </c>
      <c r="D121" s="100">
        <v>63653446.790342405</v>
      </c>
      <c r="E121" s="100">
        <v>63242840.3030596</v>
      </c>
      <c r="F121" s="100">
        <v>68334768.541457847</v>
      </c>
      <c r="G121" s="100">
        <v>54849388.632286526</v>
      </c>
      <c r="H121" s="100">
        <v>47524931.196942575</v>
      </c>
      <c r="I121" s="100">
        <v>26963425.442479886</v>
      </c>
      <c r="J121" s="100">
        <v>84642559.168215662</v>
      </c>
      <c r="K121" s="100">
        <v>77514415.082420006</v>
      </c>
      <c r="L121" s="100">
        <v>73567108.164377823</v>
      </c>
      <c r="M121" s="100">
        <v>42189003.190450579</v>
      </c>
      <c r="N121" s="101">
        <f t="shared" si="22"/>
        <v>689635132.41439664</v>
      </c>
    </row>
    <row r="122" spans="1:14">
      <c r="A122" s="61" t="s">
        <v>306</v>
      </c>
      <c r="B122" s="100">
        <v>72549963.732655719</v>
      </c>
      <c r="C122" s="100">
        <v>77371749.068529442</v>
      </c>
      <c r="D122" s="100">
        <v>67624742.730995819</v>
      </c>
      <c r="E122" s="100">
        <v>60454139.044412464</v>
      </c>
      <c r="F122" s="100">
        <v>99266030.139748201</v>
      </c>
      <c r="G122" s="100">
        <v>59638709.158122227</v>
      </c>
      <c r="H122" s="100">
        <v>108013223.31346613</v>
      </c>
      <c r="I122" s="100">
        <v>26079404.144645687</v>
      </c>
      <c r="J122" s="100">
        <v>145342713.33232766</v>
      </c>
      <c r="K122" s="100">
        <v>119005281.88237529</v>
      </c>
      <c r="L122" s="100">
        <v>119672191.9078275</v>
      </c>
      <c r="M122" s="100">
        <v>83727239.589041844</v>
      </c>
      <c r="N122" s="101">
        <f t="shared" si="22"/>
        <v>1038745388.044148</v>
      </c>
    </row>
    <row r="123" spans="1:14">
      <c r="A123" s="61" t="s">
        <v>307</v>
      </c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70"/>
    </row>
    <row r="124" spans="1:14">
      <c r="A124" s="61" t="s">
        <v>308</v>
      </c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70"/>
    </row>
    <row r="125" spans="1:14">
      <c r="A125" s="61" t="s">
        <v>310</v>
      </c>
      <c r="B125" s="98">
        <f>SUM(B126:B128)+SUM(B129:B133)*0.4</f>
        <v>-1619928.0161308052</v>
      </c>
      <c r="C125" s="98">
        <f>SUM(C126:C128)+SUM(C129:C133)*0.4</f>
        <v>-13899320.778366432</v>
      </c>
      <c r="D125" s="98">
        <f>SUM(D126:D128)+SUM(D129:D133)*0.4</f>
        <v>-1077302.3150881906</v>
      </c>
      <c r="E125" s="98">
        <f t="shared" ref="E125:N125" si="23">SUM(E126:E128)+SUM(E129:E133)*0.4</f>
        <v>-17228155.296583716</v>
      </c>
      <c r="F125" s="98">
        <f t="shared" si="23"/>
        <v>-19045884.82098832</v>
      </c>
      <c r="G125" s="98">
        <f t="shared" si="23"/>
        <v>-708367.38365341537</v>
      </c>
      <c r="H125" s="98">
        <f t="shared" si="23"/>
        <v>-16095282.760002881</v>
      </c>
      <c r="I125" s="98">
        <f t="shared" si="23"/>
        <v>-9392573.8237698823</v>
      </c>
      <c r="J125" s="98">
        <f t="shared" si="23"/>
        <v>-8524039.9316149019</v>
      </c>
      <c r="K125" s="98">
        <f t="shared" si="23"/>
        <v>-21924291.667121157</v>
      </c>
      <c r="L125" s="98">
        <f t="shared" si="23"/>
        <v>-19787289.33005384</v>
      </c>
      <c r="M125" s="98">
        <f t="shared" si="23"/>
        <v>-57548947.327277891</v>
      </c>
      <c r="N125" s="103">
        <f t="shared" si="23"/>
        <v>-186851383.45065144</v>
      </c>
    </row>
    <row r="126" spans="1:14">
      <c r="A126" s="61" t="s">
        <v>311</v>
      </c>
      <c r="B126" s="100">
        <v>-3210352.008229</v>
      </c>
      <c r="C126" s="100">
        <v>-2719385.471351</v>
      </c>
      <c r="D126" s="100">
        <v>-2659377.7600389998</v>
      </c>
      <c r="E126" s="100">
        <v>-2772904.2238779999</v>
      </c>
      <c r="F126" s="100">
        <v>-2987315.3765690001</v>
      </c>
      <c r="G126" s="100">
        <v>-3280328.5447459999</v>
      </c>
      <c r="H126" s="100">
        <v>-3470612.4005249999</v>
      </c>
      <c r="I126" s="100">
        <v>-2812746.0518209999</v>
      </c>
      <c r="J126" s="100">
        <v>-4766490.5674299998</v>
      </c>
      <c r="K126" s="100">
        <v>-4321798.8002399998</v>
      </c>
      <c r="L126" s="100">
        <v>-3917696.8264680002</v>
      </c>
      <c r="M126" s="100">
        <v>2196093.1151140002</v>
      </c>
      <c r="N126" s="101">
        <f>SUM(B126:M126)</f>
        <v>-34722914.916181996</v>
      </c>
    </row>
    <row r="127" spans="1:14">
      <c r="A127" s="61" t="s">
        <v>312</v>
      </c>
      <c r="B127" s="100">
        <v>274136.95694599999</v>
      </c>
      <c r="C127" s="100">
        <v>-591352.94627099996</v>
      </c>
      <c r="D127" s="100">
        <v>-755169.88258900004</v>
      </c>
      <c r="E127" s="100">
        <v>-1304289.80678</v>
      </c>
      <c r="F127" s="100">
        <v>-1663564.3036410001</v>
      </c>
      <c r="G127" s="100">
        <v>-1537253.6117839999</v>
      </c>
      <c r="H127" s="100">
        <v>-1182926.623351</v>
      </c>
      <c r="I127" s="100">
        <v>-245799.610709</v>
      </c>
      <c r="J127" s="100">
        <v>-500408.55411500001</v>
      </c>
      <c r="K127" s="100">
        <v>-136745.19540699999</v>
      </c>
      <c r="L127" s="100">
        <v>106119.338806</v>
      </c>
      <c r="M127" s="100">
        <v>458138.58582199999</v>
      </c>
      <c r="N127" s="101">
        <f t="shared" ref="N127:N133" si="24">SUM(B127:M127)</f>
        <v>-7079115.6530730017</v>
      </c>
    </row>
    <row r="128" spans="1:14">
      <c r="A128" s="61" t="s">
        <v>313</v>
      </c>
      <c r="B128" s="100">
        <v>0</v>
      </c>
      <c r="C128" s="100">
        <v>0</v>
      </c>
      <c r="D128" s="100">
        <v>-22945.761654000002</v>
      </c>
      <c r="E128" s="100">
        <v>0</v>
      </c>
      <c r="F128" s="100">
        <v>-574583.47915200004</v>
      </c>
      <c r="G128" s="100">
        <v>-580456.53293900006</v>
      </c>
      <c r="H128" s="100">
        <v>-844052.03843700001</v>
      </c>
      <c r="I128" s="100">
        <v>-545349.45704200002</v>
      </c>
      <c r="J128" s="100">
        <v>-354212.66977199999</v>
      </c>
      <c r="K128" s="100">
        <v>-584134.44561099994</v>
      </c>
      <c r="L128" s="100">
        <v>-804401.62246999994</v>
      </c>
      <c r="M128" s="100">
        <v>-35675.100533999997</v>
      </c>
      <c r="N128" s="101">
        <f t="shared" si="24"/>
        <v>-4345811.1076110005</v>
      </c>
    </row>
    <row r="129" spans="1:14">
      <c r="A129" s="61" t="s">
        <v>314</v>
      </c>
      <c r="B129" s="100">
        <v>0</v>
      </c>
      <c r="C129" s="100">
        <v>0</v>
      </c>
      <c r="D129" s="100">
        <v>0</v>
      </c>
      <c r="E129" s="100">
        <v>0</v>
      </c>
      <c r="F129" s="100">
        <v>0</v>
      </c>
      <c r="G129" s="100">
        <v>0</v>
      </c>
      <c r="H129" s="100">
        <v>0</v>
      </c>
      <c r="I129" s="100">
        <v>0</v>
      </c>
      <c r="J129" s="100">
        <v>0</v>
      </c>
      <c r="K129" s="100">
        <v>0</v>
      </c>
      <c r="L129" s="100">
        <v>0</v>
      </c>
      <c r="M129" s="100">
        <v>0</v>
      </c>
      <c r="N129" s="101">
        <f t="shared" si="24"/>
        <v>0</v>
      </c>
    </row>
    <row r="130" spans="1:14">
      <c r="A130" s="61" t="s">
        <v>315</v>
      </c>
      <c r="B130" s="100">
        <v>-2840997</v>
      </c>
      <c r="C130" s="100">
        <v>-3328991.5098339999</v>
      </c>
      <c r="D130" s="100">
        <v>-3112520</v>
      </c>
      <c r="E130" s="100">
        <v>125480.38203734846</v>
      </c>
      <c r="F130" s="100">
        <v>-654258.37142499164</v>
      </c>
      <c r="G130" s="100">
        <v>376696.00114693068</v>
      </c>
      <c r="H130" s="100">
        <v>-1145165.5320161211</v>
      </c>
      <c r="I130" s="100">
        <v>-1613196.8772448972</v>
      </c>
      <c r="J130" s="100">
        <v>-1541390.931440453</v>
      </c>
      <c r="K130" s="100">
        <v>-3488673.0688838991</v>
      </c>
      <c r="L130" s="100">
        <v>-2491572.6364460927</v>
      </c>
      <c r="M130" s="100">
        <v>-1332563.5967600022</v>
      </c>
      <c r="N130" s="101">
        <f t="shared" si="24"/>
        <v>-21047153.140866175</v>
      </c>
    </row>
    <row r="131" spans="1:14">
      <c r="A131" s="61" t="s">
        <v>316</v>
      </c>
      <c r="B131" s="100">
        <v>-5124771.4276218629</v>
      </c>
      <c r="C131" s="100">
        <v>-10760034.393270664</v>
      </c>
      <c r="D131" s="100">
        <v>-13030341.446737604</v>
      </c>
      <c r="E131" s="100">
        <v>-8037732.2269914392</v>
      </c>
      <c r="F131" s="100">
        <v>-14150241.791541085</v>
      </c>
      <c r="G131" s="100">
        <v>-4678220.4343035119</v>
      </c>
      <c r="H131" s="100">
        <v>-7938428.0025323248</v>
      </c>
      <c r="I131" s="100">
        <v>-3797563.0283642947</v>
      </c>
      <c r="J131" s="100">
        <v>-17008641.351747934</v>
      </c>
      <c r="K131" s="100">
        <v>-17241360.264271889</v>
      </c>
      <c r="L131" s="100">
        <v>-17181653.729555469</v>
      </c>
      <c r="M131" s="100">
        <v>-5274919.7567288596</v>
      </c>
      <c r="N131" s="101">
        <f t="shared" si="24"/>
        <v>-124223907.85366693</v>
      </c>
    </row>
    <row r="132" spans="1:14">
      <c r="A132" s="61" t="s">
        <v>317</v>
      </c>
      <c r="B132" s="100">
        <v>3408882.1958254082</v>
      </c>
      <c r="C132" s="100">
        <v>-4285497.1356413933</v>
      </c>
      <c r="D132" s="100">
        <v>-9876269.3317478113</v>
      </c>
      <c r="E132" s="100">
        <v>-8804028.099977646</v>
      </c>
      <c r="F132" s="100">
        <v>-7099090.167658003</v>
      </c>
      <c r="G132" s="100">
        <v>-12155337.784526622</v>
      </c>
      <c r="H132" s="100">
        <v>-5267615.8812524565</v>
      </c>
      <c r="I132" s="100">
        <v>-4052031.0813193908</v>
      </c>
      <c r="J132" s="100">
        <v>-10036786.347065212</v>
      </c>
      <c r="K132" s="100">
        <v>-7392411.7986372355</v>
      </c>
      <c r="L132" s="100">
        <v>-7256299.4898185767</v>
      </c>
      <c r="M132" s="100">
        <v>-163130095.61995265</v>
      </c>
      <c r="N132" s="101">
        <f t="shared" si="24"/>
        <v>-235946580.54177159</v>
      </c>
    </row>
    <row r="133" spans="1:14">
      <c r="A133" s="61" t="s">
        <v>318</v>
      </c>
      <c r="B133" s="100">
        <v>7847603.8196769413</v>
      </c>
      <c r="C133" s="100">
        <v>-8096932.8631150229</v>
      </c>
      <c r="D133" s="100">
        <v>31919608.50146994</v>
      </c>
      <c r="E133" s="100">
        <v>-16161123.21988255</v>
      </c>
      <c r="F133" s="100">
        <v>-12647463.823441723</v>
      </c>
      <c r="G133" s="100">
        <v>28181040.482222166</v>
      </c>
      <c r="H133" s="100">
        <v>-12143019.828423798</v>
      </c>
      <c r="I133" s="100">
        <v>-5008905.773566124</v>
      </c>
      <c r="J133" s="100">
        <v>21329498.279508844</v>
      </c>
      <c r="K133" s="100">
        <v>-14081587.932864856</v>
      </c>
      <c r="L133" s="100">
        <v>-10998749.69398446</v>
      </c>
      <c r="M133" s="100">
        <v>19318819.154241793</v>
      </c>
      <c r="N133" s="101">
        <f t="shared" si="24"/>
        <v>29458787.101841152</v>
      </c>
    </row>
    <row r="134" spans="1:14">
      <c r="A134" s="61" t="s">
        <v>319</v>
      </c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70"/>
    </row>
    <row r="135" spans="1:14">
      <c r="A135" s="61" t="s">
        <v>320</v>
      </c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70"/>
    </row>
    <row r="136" spans="1:14">
      <c r="A136" s="61" t="s">
        <v>322</v>
      </c>
      <c r="B136" s="98">
        <f>SUM(B137:B139)+SUM(B140:B144)*0.4</f>
        <v>56225266.647741072</v>
      </c>
      <c r="C136" s="98">
        <f>SUM(C137:C139)+SUM(C140:C144)*0.4</f>
        <v>49667232.177618518</v>
      </c>
      <c r="D136" s="98">
        <f>SUM(D137:D139)+SUM(D140:D144)*0.4</f>
        <v>87996651.484105945</v>
      </c>
      <c r="E136" s="98">
        <f t="shared" ref="E136:N136" si="25">SUM(E137:E139)+SUM(E140:E144)*0.4</f>
        <v>31050318.958436992</v>
      </c>
      <c r="F136" s="98">
        <f t="shared" si="25"/>
        <v>81970950.288010687</v>
      </c>
      <c r="G136" s="98">
        <f t="shared" si="25"/>
        <v>89763631.470441714</v>
      </c>
      <c r="H136" s="98">
        <f t="shared" si="25"/>
        <v>76330822.685940593</v>
      </c>
      <c r="I136" s="98">
        <f t="shared" si="25"/>
        <v>30307352.508499846</v>
      </c>
      <c r="J136" s="98">
        <f t="shared" si="25"/>
        <v>157998490.32519579</v>
      </c>
      <c r="K136" s="98">
        <f t="shared" si="25"/>
        <v>129335402.93645555</v>
      </c>
      <c r="L136" s="98">
        <f t="shared" si="25"/>
        <v>131276000.00015976</v>
      </c>
      <c r="M136" s="98">
        <f t="shared" si="25"/>
        <v>41401597.738116823</v>
      </c>
      <c r="N136" s="103">
        <f t="shared" si="25"/>
        <v>963323717.22072327</v>
      </c>
    </row>
    <row r="137" spans="1:14">
      <c r="A137" s="61" t="s">
        <v>323</v>
      </c>
      <c r="B137" s="100">
        <v>9631056.0246859994</v>
      </c>
      <c r="C137" s="100">
        <v>8158156.4140529996</v>
      </c>
      <c r="D137" s="100">
        <v>7978133.2801159993</v>
      </c>
      <c r="E137" s="100">
        <v>8318712.6716339998</v>
      </c>
      <c r="F137" s="100">
        <v>8961946.1297079995</v>
      </c>
      <c r="G137" s="100">
        <v>9840985.6342369989</v>
      </c>
      <c r="H137" s="100">
        <v>10411837.201574</v>
      </c>
      <c r="I137" s="100">
        <v>8438238.1554639991</v>
      </c>
      <c r="J137" s="100">
        <v>14299471.702289</v>
      </c>
      <c r="K137" s="100">
        <v>12965396.400721001</v>
      </c>
      <c r="L137" s="100">
        <v>11753090.479401991</v>
      </c>
      <c r="M137" s="100">
        <v>-6588279.3453420028</v>
      </c>
      <c r="N137" s="101">
        <f>SUM(B137:M137)</f>
        <v>104168744.74854198</v>
      </c>
    </row>
    <row r="138" spans="1:14">
      <c r="A138" s="61" t="s">
        <v>324</v>
      </c>
      <c r="B138" s="100">
        <v>-1096547.827785</v>
      </c>
      <c r="C138" s="100">
        <v>2365411.7850850001</v>
      </c>
      <c r="D138" s="100">
        <v>3020679.5303549999</v>
      </c>
      <c r="E138" s="100">
        <v>5217159.2271220004</v>
      </c>
      <c r="F138" s="100">
        <v>6654257.2145649996</v>
      </c>
      <c r="G138" s="100">
        <v>6149014.4471349996</v>
      </c>
      <c r="H138" s="100">
        <v>4731706.4934050003</v>
      </c>
      <c r="I138" s="100">
        <v>983198.44283499999</v>
      </c>
      <c r="J138" s="100">
        <v>2001634.216459</v>
      </c>
      <c r="K138" s="100">
        <v>546980.78162999998</v>
      </c>
      <c r="L138" s="100">
        <v>-424477.35522199998</v>
      </c>
      <c r="M138" s="100">
        <v>-1832554.343287</v>
      </c>
      <c r="N138" s="101">
        <f t="shared" ref="N138:N144" si="26">SUM(B138:M138)</f>
        <v>28316462.612296995</v>
      </c>
    </row>
    <row r="139" spans="1:14">
      <c r="A139" s="61" t="s">
        <v>325</v>
      </c>
      <c r="B139" s="100">
        <v>-3476655.1079119998</v>
      </c>
      <c r="C139" s="100">
        <v>-2016947.891696</v>
      </c>
      <c r="D139" s="100">
        <v>68837.286223000003</v>
      </c>
      <c r="E139" s="100">
        <v>-113500.896194</v>
      </c>
      <c r="F139" s="100">
        <v>1723750.434106</v>
      </c>
      <c r="G139" s="100">
        <v>1741369.5974409999</v>
      </c>
      <c r="H139" s="100">
        <v>2532156.1147560002</v>
      </c>
      <c r="I139" s="100">
        <v>1636048.3703660001</v>
      </c>
      <c r="J139" s="100">
        <v>1062638.0047909999</v>
      </c>
      <c r="K139" s="100">
        <v>1752403.335896</v>
      </c>
      <c r="L139" s="100">
        <v>2413204.8674169998</v>
      </c>
      <c r="M139" s="100">
        <v>107025.30078799999</v>
      </c>
      <c r="N139" s="101">
        <f t="shared" si="26"/>
        <v>7430329.4159820005</v>
      </c>
    </row>
    <row r="140" spans="1:14">
      <c r="A140" s="61" t="s">
        <v>326</v>
      </c>
      <c r="B140" s="100">
        <v>-19572019.619374</v>
      </c>
      <c r="C140" s="100">
        <v>-42864840.388912991</v>
      </c>
      <c r="D140" s="100">
        <v>-36454193.611250997</v>
      </c>
      <c r="E140" s="100">
        <v>-57728519.863706008</v>
      </c>
      <c r="F140" s="100">
        <v>-17953675.892662998</v>
      </c>
      <c r="G140" s="100">
        <v>-1551099.4815979998</v>
      </c>
      <c r="H140" s="100">
        <v>-6605257.752553001</v>
      </c>
      <c r="I140" s="100">
        <v>-706665.498012</v>
      </c>
      <c r="J140" s="100">
        <v>17567039.377386998</v>
      </c>
      <c r="K140" s="100">
        <v>54191752.868882008</v>
      </c>
      <c r="L140" s="100">
        <v>64579087.066494003</v>
      </c>
      <c r="M140" s="100">
        <v>95273661.125167996</v>
      </c>
      <c r="N140" s="101">
        <f t="shared" si="26"/>
        <v>48175268.32986097</v>
      </c>
    </row>
    <row r="141" spans="1:14">
      <c r="A141" s="61" t="s">
        <v>327</v>
      </c>
      <c r="B141" s="100">
        <v>8522990</v>
      </c>
      <c r="C141" s="100">
        <v>9986974.5295010004</v>
      </c>
      <c r="D141" s="100">
        <v>9337560</v>
      </c>
      <c r="E141" s="100">
        <f>E119+E130</f>
        <v>-6986555.0844462272</v>
      </c>
      <c r="F141" s="100">
        <f>F119+F130</f>
        <v>-519289.47468270361</v>
      </c>
      <c r="G141" s="100">
        <f t="shared" ref="G141:M141" si="27">G119+G130</f>
        <v>-2728255.4419778273</v>
      </c>
      <c r="H141" s="100">
        <f t="shared" si="27"/>
        <v>2229694.2953346735</v>
      </c>
      <c r="I141" s="100">
        <f t="shared" si="27"/>
        <v>3868036.0899631847</v>
      </c>
      <c r="J141" s="100">
        <f t="shared" si="27"/>
        <v>3442061.4406335065</v>
      </c>
      <c r="K141" s="100">
        <f t="shared" si="27"/>
        <v>9462507.7791332323</v>
      </c>
      <c r="L141" s="100">
        <f t="shared" si="27"/>
        <v>6056168.3017755393</v>
      </c>
      <c r="M141" s="100">
        <f t="shared" si="27"/>
        <v>2770693.7526894882</v>
      </c>
      <c r="N141" s="101">
        <f t="shared" si="26"/>
        <v>45442586.187923856</v>
      </c>
    </row>
    <row r="142" spans="1:14">
      <c r="A142" s="61" t="s">
        <v>328</v>
      </c>
      <c r="B142" s="100">
        <v>9558353.801066881</v>
      </c>
      <c r="C142" s="100">
        <v>29239590.529745687</v>
      </c>
      <c r="D142" s="100">
        <v>66117608.388720579</v>
      </c>
      <c r="E142" s="100">
        <v>10053116.810227795</v>
      </c>
      <c r="F142" s="100">
        <v>32196211.951318569</v>
      </c>
      <c r="G142" s="100">
        <v>53846208.914584339</v>
      </c>
      <c r="H142" s="100">
        <v>12885851.846874604</v>
      </c>
      <c r="I142" s="100">
        <v>981405.52552341565</v>
      </c>
      <c r="J142" s="100">
        <v>89299780.753091276</v>
      </c>
      <c r="K142" s="100">
        <v>46476598.164212689</v>
      </c>
      <c r="L142" s="100">
        <v>48215948.764735162</v>
      </c>
      <c r="M142" s="100">
        <v>44139194.123255663</v>
      </c>
      <c r="N142" s="101">
        <f t="shared" si="26"/>
        <v>443009869.57335669</v>
      </c>
    </row>
    <row r="143" spans="1:14">
      <c r="A143" s="61" t="s">
        <v>329</v>
      </c>
      <c r="B143" s="100">
        <v>49011642.162854634</v>
      </c>
      <c r="C143" s="100">
        <v>37264988.799693152</v>
      </c>
      <c r="D143" s="100">
        <v>53777177.45859459</v>
      </c>
      <c r="E143" s="100">
        <v>54438812.203081965</v>
      </c>
      <c r="F143" s="100">
        <v>61235678.373799883</v>
      </c>
      <c r="G143" s="100">
        <v>42694050.847718872</v>
      </c>
      <c r="H143" s="100">
        <v>42257315.315773621</v>
      </c>
      <c r="I143" s="100">
        <v>22911394.361075506</v>
      </c>
      <c r="J143" s="100">
        <v>74605772.821193621</v>
      </c>
      <c r="K143" s="100">
        <v>70122003.283782899</v>
      </c>
      <c r="L143" s="100">
        <v>66310808.674559191</v>
      </c>
      <c r="M143" s="100">
        <v>-120941092.42950213</v>
      </c>
      <c r="N143" s="101">
        <f t="shared" si="26"/>
        <v>453688551.87262583</v>
      </c>
    </row>
    <row r="144" spans="1:14">
      <c r="A144" s="61" t="s">
        <v>330</v>
      </c>
      <c r="B144" s="100">
        <v>80397567.552332669</v>
      </c>
      <c r="C144" s="100">
        <v>69274816.205414429</v>
      </c>
      <c r="D144" s="100">
        <v>99544351.232465729</v>
      </c>
      <c r="E144" s="100">
        <v>44293015.824529946</v>
      </c>
      <c r="F144" s="100">
        <v>86618566.316306442</v>
      </c>
      <c r="G144" s="100">
        <v>87819749.640344411</v>
      </c>
      <c r="H144" s="100">
        <v>95870203.485084072</v>
      </c>
      <c r="I144" s="100">
        <v>21070498.371037014</v>
      </c>
      <c r="J144" s="100">
        <v>166672211.61183652</v>
      </c>
      <c r="K144" s="100">
        <v>104923693.94951054</v>
      </c>
      <c r="L144" s="100">
        <v>108673442.21384297</v>
      </c>
      <c r="M144" s="100">
        <v>103046058.74328354</v>
      </c>
      <c r="N144" s="101">
        <f t="shared" si="26"/>
        <v>1068204175.1459883</v>
      </c>
    </row>
    <row r="145" spans="1:14">
      <c r="A145" s="61" t="s">
        <v>331</v>
      </c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70"/>
    </row>
    <row r="146" spans="1:14">
      <c r="A146" s="61" t="s">
        <v>332</v>
      </c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70"/>
    </row>
    <row r="147" spans="1:14">
      <c r="A147" s="61" t="s">
        <v>515</v>
      </c>
      <c r="B147" s="98">
        <f>SUM(B148:B150)+SUM(B151:B155)*0.4</f>
        <v>704432377.05999994</v>
      </c>
      <c r="C147" s="98">
        <f>SUM(C148:C150)+SUM(C151:C155)*0.4</f>
        <v>731393400.19000006</v>
      </c>
      <c r="D147" s="98">
        <f>SUM(D148:D150)+SUM(D151:D155)*0.4</f>
        <v>738877242.65999997</v>
      </c>
      <c r="E147" s="98">
        <f t="shared" ref="E147:N147" si="28">SUM(E148:E150)+SUM(E151:E155)*0.4</f>
        <v>755347215.96479201</v>
      </c>
      <c r="F147" s="98">
        <f t="shared" si="28"/>
        <v>743967949.14479208</v>
      </c>
      <c r="G147" s="98">
        <f t="shared" si="28"/>
        <v>730159596.56479204</v>
      </c>
      <c r="H147" s="98">
        <f t="shared" si="28"/>
        <v>821312492.13479209</v>
      </c>
      <c r="I147" s="98">
        <f t="shared" si="28"/>
        <v>803887747.11479199</v>
      </c>
      <c r="J147" s="98">
        <f t="shared" si="28"/>
        <v>832600058.83479202</v>
      </c>
      <c r="K147" s="98">
        <f t="shared" si="28"/>
        <v>797356578.48479199</v>
      </c>
      <c r="L147" s="98">
        <f t="shared" si="28"/>
        <v>786345488.05479205</v>
      </c>
      <c r="M147" s="98">
        <f t="shared" si="28"/>
        <v>787889237.05479205</v>
      </c>
      <c r="N147" s="103">
        <f t="shared" si="28"/>
        <v>787889237.05479205</v>
      </c>
    </row>
    <row r="148" spans="1:14">
      <c r="A148" s="61" t="s">
        <v>466</v>
      </c>
      <c r="B148" s="100">
        <v>0</v>
      </c>
      <c r="C148" s="100">
        <v>0</v>
      </c>
      <c r="D148" s="100">
        <v>0</v>
      </c>
      <c r="E148" s="100">
        <v>0</v>
      </c>
      <c r="F148" s="100">
        <v>0</v>
      </c>
      <c r="G148" s="100">
        <v>0</v>
      </c>
      <c r="H148" s="100">
        <v>0</v>
      </c>
      <c r="I148" s="100">
        <v>0</v>
      </c>
      <c r="J148" s="100">
        <v>0</v>
      </c>
      <c r="K148" s="100">
        <v>0</v>
      </c>
      <c r="L148" s="100">
        <v>0</v>
      </c>
      <c r="M148" s="100">
        <v>0</v>
      </c>
      <c r="N148" s="99">
        <f>M148</f>
        <v>0</v>
      </c>
    </row>
    <row r="149" spans="1:14">
      <c r="A149" s="61" t="s">
        <v>467</v>
      </c>
      <c r="B149" s="100">
        <v>73834171.060000002</v>
      </c>
      <c r="C149" s="100">
        <v>79515988.189999998</v>
      </c>
      <c r="D149" s="100">
        <v>78648526.659999996</v>
      </c>
      <c r="E149" s="100">
        <v>77781300.900000006</v>
      </c>
      <c r="F149" s="100">
        <v>71884573.079999998</v>
      </c>
      <c r="G149" s="100">
        <v>61915832.5</v>
      </c>
      <c r="H149" s="100">
        <v>54912962.07</v>
      </c>
      <c r="I149" s="100">
        <v>41878095.049999997</v>
      </c>
      <c r="J149" s="100">
        <v>36783220.770000003</v>
      </c>
      <c r="K149" s="100">
        <v>32645785.420000002</v>
      </c>
      <c r="L149" s="100">
        <v>35499999.990000002</v>
      </c>
      <c r="M149" s="100">
        <v>32499999.989999998</v>
      </c>
      <c r="N149" s="99">
        <f t="shared" ref="N149:N157" si="29">M149</f>
        <v>32499999.989999998</v>
      </c>
    </row>
    <row r="150" spans="1:14">
      <c r="A150" s="61" t="s">
        <v>468</v>
      </c>
      <c r="B150" s="100">
        <v>12979246</v>
      </c>
      <c r="C150" s="100">
        <v>26258452</v>
      </c>
      <c r="D150" s="100">
        <v>20609756</v>
      </c>
      <c r="E150" s="100">
        <v>23781474</v>
      </c>
      <c r="F150" s="100">
        <v>18298935</v>
      </c>
      <c r="G150" s="100">
        <v>14459323</v>
      </c>
      <c r="H150" s="100">
        <v>12615089</v>
      </c>
      <c r="I150" s="100">
        <v>18225211</v>
      </c>
      <c r="J150" s="100">
        <v>12032397</v>
      </c>
      <c r="K150" s="100">
        <v>13726352</v>
      </c>
      <c r="L150" s="100">
        <v>13861047</v>
      </c>
      <c r="M150" s="100">
        <v>18404796</v>
      </c>
      <c r="N150" s="99">
        <f t="shared" si="29"/>
        <v>18404796</v>
      </c>
    </row>
    <row r="151" spans="1:14">
      <c r="A151" s="61" t="s">
        <v>469</v>
      </c>
      <c r="B151" s="100">
        <v>1544047400</v>
      </c>
      <c r="C151" s="100">
        <v>1564047400</v>
      </c>
      <c r="D151" s="100">
        <v>1599047400</v>
      </c>
      <c r="E151" s="100">
        <v>1634461102.6619799</v>
      </c>
      <c r="F151" s="100">
        <v>1634461102.6619799</v>
      </c>
      <c r="G151" s="100">
        <v>1634461102.6619799</v>
      </c>
      <c r="H151" s="100">
        <v>1884461102.6619799</v>
      </c>
      <c r="I151" s="100">
        <v>1859461102.6619799</v>
      </c>
      <c r="J151" s="100">
        <v>1959461102.6619799</v>
      </c>
      <c r="K151" s="100">
        <v>1877461102.6619799</v>
      </c>
      <c r="L151" s="100">
        <v>1842461102.6619799</v>
      </c>
      <c r="M151" s="100">
        <v>1842461102.6619799</v>
      </c>
      <c r="N151" s="99">
        <f t="shared" si="29"/>
        <v>1842461102.6619799</v>
      </c>
    </row>
    <row r="152" spans="1:14">
      <c r="A152" s="61" t="s">
        <v>470</v>
      </c>
      <c r="B152" s="100">
        <v>0</v>
      </c>
      <c r="C152" s="100">
        <v>0</v>
      </c>
      <c r="D152" s="100">
        <v>0</v>
      </c>
      <c r="E152" s="100">
        <v>0</v>
      </c>
      <c r="F152" s="100">
        <v>0</v>
      </c>
      <c r="G152" s="100">
        <v>0</v>
      </c>
      <c r="H152" s="100">
        <v>0</v>
      </c>
      <c r="I152" s="100">
        <v>0</v>
      </c>
      <c r="J152" s="100">
        <v>0</v>
      </c>
      <c r="K152" s="100">
        <v>0</v>
      </c>
      <c r="L152" s="100">
        <v>0</v>
      </c>
      <c r="M152" s="100">
        <v>0</v>
      </c>
      <c r="N152" s="99">
        <f t="shared" si="29"/>
        <v>0</v>
      </c>
    </row>
    <row r="153" spans="1:14">
      <c r="A153" s="61" t="s">
        <v>471</v>
      </c>
      <c r="B153" s="100">
        <v>0</v>
      </c>
      <c r="C153" s="100">
        <v>0</v>
      </c>
      <c r="D153" s="100">
        <v>0</v>
      </c>
      <c r="E153" s="100">
        <v>0</v>
      </c>
      <c r="F153" s="100">
        <v>0</v>
      </c>
      <c r="G153" s="100">
        <v>0</v>
      </c>
      <c r="H153" s="100">
        <v>0</v>
      </c>
      <c r="I153" s="100">
        <v>0</v>
      </c>
      <c r="J153" s="100">
        <v>0</v>
      </c>
      <c r="K153" s="100">
        <v>0</v>
      </c>
      <c r="L153" s="100">
        <v>0</v>
      </c>
      <c r="M153" s="100">
        <v>0</v>
      </c>
      <c r="N153" s="99">
        <f t="shared" si="29"/>
        <v>0</v>
      </c>
    </row>
    <row r="154" spans="1:14">
      <c r="A154" s="61" t="s">
        <v>472</v>
      </c>
      <c r="B154" s="100">
        <v>0</v>
      </c>
      <c r="C154" s="100">
        <v>0</v>
      </c>
      <c r="D154" s="100">
        <v>0</v>
      </c>
      <c r="E154" s="100">
        <v>0</v>
      </c>
      <c r="F154" s="100">
        <v>0</v>
      </c>
      <c r="G154" s="100">
        <v>0</v>
      </c>
      <c r="H154" s="100">
        <v>0</v>
      </c>
      <c r="I154" s="100">
        <v>0</v>
      </c>
      <c r="J154" s="100">
        <v>0</v>
      </c>
      <c r="K154" s="100">
        <v>0</v>
      </c>
      <c r="L154" s="100">
        <v>0</v>
      </c>
      <c r="M154" s="100">
        <v>0</v>
      </c>
      <c r="N154" s="99">
        <f t="shared" si="29"/>
        <v>0</v>
      </c>
    </row>
    <row r="155" spans="1:14">
      <c r="A155" s="61" t="s">
        <v>473</v>
      </c>
      <c r="B155" s="100">
        <v>0</v>
      </c>
      <c r="C155" s="100">
        <v>0</v>
      </c>
      <c r="D155" s="100">
        <v>0</v>
      </c>
      <c r="E155" s="100">
        <v>0</v>
      </c>
      <c r="F155" s="100">
        <v>0</v>
      </c>
      <c r="G155" s="100">
        <v>0</v>
      </c>
      <c r="H155" s="100">
        <v>0</v>
      </c>
      <c r="I155" s="100">
        <v>0</v>
      </c>
      <c r="J155" s="100">
        <v>0</v>
      </c>
      <c r="K155" s="100">
        <v>0</v>
      </c>
      <c r="L155" s="100">
        <v>0</v>
      </c>
      <c r="M155" s="100">
        <v>0</v>
      </c>
      <c r="N155" s="99">
        <f t="shared" si="29"/>
        <v>0</v>
      </c>
    </row>
    <row r="156" spans="1:14">
      <c r="A156" s="61" t="s">
        <v>474</v>
      </c>
      <c r="B156" s="100">
        <v>0</v>
      </c>
      <c r="C156" s="100">
        <v>0</v>
      </c>
      <c r="D156" s="100">
        <v>0</v>
      </c>
      <c r="E156" s="100">
        <v>0</v>
      </c>
      <c r="F156" s="100">
        <v>0</v>
      </c>
      <c r="G156" s="100">
        <v>0</v>
      </c>
      <c r="H156" s="100">
        <v>0</v>
      </c>
      <c r="I156" s="100">
        <v>0</v>
      </c>
      <c r="J156" s="100">
        <v>0</v>
      </c>
      <c r="K156" s="100">
        <v>0</v>
      </c>
      <c r="L156" s="100">
        <v>0</v>
      </c>
      <c r="M156" s="100">
        <v>0</v>
      </c>
      <c r="N156" s="99">
        <f t="shared" si="29"/>
        <v>0</v>
      </c>
    </row>
    <row r="157" spans="1:14">
      <c r="A157" s="61" t="s">
        <v>475</v>
      </c>
      <c r="B157" s="100">
        <v>0</v>
      </c>
      <c r="C157" s="100">
        <v>0</v>
      </c>
      <c r="D157" s="100">
        <v>0</v>
      </c>
      <c r="E157" s="100">
        <v>0</v>
      </c>
      <c r="F157" s="100">
        <v>0</v>
      </c>
      <c r="G157" s="100">
        <v>0</v>
      </c>
      <c r="H157" s="100">
        <v>0</v>
      </c>
      <c r="I157" s="100">
        <v>0</v>
      </c>
      <c r="J157" s="100">
        <v>0</v>
      </c>
      <c r="K157" s="100">
        <v>0</v>
      </c>
      <c r="L157" s="100">
        <v>0</v>
      </c>
      <c r="M157" s="100">
        <v>0</v>
      </c>
      <c r="N157" s="99">
        <f t="shared" si="29"/>
        <v>0</v>
      </c>
    </row>
    <row r="158" spans="1:14">
      <c r="A158" s="61" t="s">
        <v>476</v>
      </c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70"/>
    </row>
    <row r="159" spans="1:14">
      <c r="A159" s="61" t="s">
        <v>477</v>
      </c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70"/>
    </row>
    <row r="160" spans="1:14">
      <c r="A160" s="61" t="s">
        <v>516</v>
      </c>
      <c r="B160" s="98">
        <f>SUM(B161:B163)+SUM(B164:B168)*0.4</f>
        <v>1505676702.7970102</v>
      </c>
      <c r="C160" s="98">
        <f>SUM(C161:C163)+SUM(C164:C168)*0.4</f>
        <v>1065954309.8881643</v>
      </c>
      <c r="D160" s="98">
        <f>SUM(D161:D163)+SUM(D164:D168)*0.4</f>
        <v>1101922685.957973</v>
      </c>
      <c r="E160" s="98">
        <f t="shared" ref="E160:N160" si="30">SUM(E161:E163)+SUM(E164:E168)*0.4</f>
        <v>959868779.6135304</v>
      </c>
      <c r="F160" s="98">
        <f t="shared" si="30"/>
        <v>1049850023.7646211</v>
      </c>
      <c r="G160" s="98">
        <f t="shared" si="30"/>
        <v>1214225775.6338835</v>
      </c>
      <c r="H160" s="98">
        <f t="shared" si="30"/>
        <v>1195959068.1634884</v>
      </c>
      <c r="I160" s="98">
        <f t="shared" si="30"/>
        <v>1256329557.3505085</v>
      </c>
      <c r="J160" s="98">
        <f t="shared" si="30"/>
        <v>1461446642.4474893</v>
      </c>
      <c r="K160" s="98">
        <f t="shared" si="30"/>
        <v>1358624957.0492771</v>
      </c>
      <c r="L160" s="98">
        <f t="shared" si="30"/>
        <v>1534972894.4801064</v>
      </c>
      <c r="M160" s="98">
        <f t="shared" si="30"/>
        <v>1749198159.6860981</v>
      </c>
      <c r="N160" s="98">
        <f t="shared" si="30"/>
        <v>1749198159.6860981</v>
      </c>
    </row>
    <row r="161" spans="1:14">
      <c r="A161" s="61" t="s">
        <v>479</v>
      </c>
      <c r="B161" s="100">
        <v>899592378.16878104</v>
      </c>
      <c r="C161" s="100">
        <v>516913006.39238799</v>
      </c>
      <c r="D161" s="100">
        <v>410864907.65035498</v>
      </c>
      <c r="E161" s="100">
        <v>408281784.11706603</v>
      </c>
      <c r="F161" s="100">
        <v>432667461.78618199</v>
      </c>
      <c r="G161" s="100">
        <v>395637285.98241401</v>
      </c>
      <c r="H161" s="100">
        <v>401879964.25948399</v>
      </c>
      <c r="I161" s="100">
        <v>430324209.29405397</v>
      </c>
      <c r="J161" s="100">
        <v>427699437.96364897</v>
      </c>
      <c r="K161" s="100">
        <v>435825438.22600299</v>
      </c>
      <c r="L161" s="100">
        <v>510981405.92685997</v>
      </c>
      <c r="M161" s="100">
        <v>481003047.897111</v>
      </c>
      <c r="N161" s="99">
        <f>M161</f>
        <v>481003047.897111</v>
      </c>
    </row>
    <row r="162" spans="1:14">
      <c r="A162" s="61" t="s">
        <v>480</v>
      </c>
      <c r="B162" s="100">
        <v>339777.79840600002</v>
      </c>
      <c r="C162" s="100">
        <v>672993.45594000001</v>
      </c>
      <c r="D162" s="100">
        <v>681402.74185200001</v>
      </c>
      <c r="E162" s="100">
        <v>576400.53234999999</v>
      </c>
      <c r="F162" s="100">
        <v>45532.963028999999</v>
      </c>
      <c r="G162" s="100">
        <v>312446.31981100002</v>
      </c>
      <c r="H162" s="100">
        <v>343004.58984799997</v>
      </c>
      <c r="I162" s="100">
        <v>488708.37719700002</v>
      </c>
      <c r="J162" s="100">
        <v>747981.70355099998</v>
      </c>
      <c r="K162" s="100">
        <v>120500.942989</v>
      </c>
      <c r="L162" s="100">
        <v>385595.97722599999</v>
      </c>
      <c r="M162" s="100">
        <v>125873.163797</v>
      </c>
      <c r="N162" s="99">
        <f t="shared" ref="N162:N170" si="31">M162</f>
        <v>125873.163797</v>
      </c>
    </row>
    <row r="163" spans="1:14">
      <c r="A163" s="61" t="s">
        <v>481</v>
      </c>
      <c r="B163" s="100">
        <v>0.159937</v>
      </c>
      <c r="C163" s="100">
        <v>0.31372100000000003</v>
      </c>
      <c r="D163" s="100">
        <v>-0.27301300000000001</v>
      </c>
      <c r="E163" s="100">
        <v>0.33074500000000001</v>
      </c>
      <c r="F163" s="100">
        <v>-0.109099</v>
      </c>
      <c r="G163" s="100">
        <v>0.267314</v>
      </c>
      <c r="H163" s="100">
        <v>-0.22375200000000001</v>
      </c>
      <c r="I163" s="100">
        <v>0.27898699999999999</v>
      </c>
      <c r="J163" s="100">
        <v>-0.13435</v>
      </c>
      <c r="K163" s="100">
        <v>0.49807000000000001</v>
      </c>
      <c r="L163" s="100">
        <v>0.12438200000000001</v>
      </c>
      <c r="M163" s="100">
        <v>-0.46068100000000001</v>
      </c>
      <c r="N163" s="99">
        <f t="shared" si="31"/>
        <v>-0.46068100000000001</v>
      </c>
    </row>
    <row r="164" spans="1:14">
      <c r="A164" s="61" t="s">
        <v>482</v>
      </c>
      <c r="B164" s="100">
        <v>220102195.80897599</v>
      </c>
      <c r="C164" s="100">
        <v>187796198.99991399</v>
      </c>
      <c r="D164" s="100">
        <v>182460014.82336798</v>
      </c>
      <c r="E164" s="100">
        <v>180042190.96016899</v>
      </c>
      <c r="F164" s="100">
        <v>180276338.723483</v>
      </c>
      <c r="G164" s="100">
        <v>159900580.20140001</v>
      </c>
      <c r="H164" s="100">
        <v>183486135.60370499</v>
      </c>
      <c r="I164" s="100">
        <v>188905462.495749</v>
      </c>
      <c r="J164" s="100">
        <v>162176863.66490099</v>
      </c>
      <c r="K164" s="100">
        <v>129543510.508818</v>
      </c>
      <c r="L164" s="100">
        <v>128791359.80137201</v>
      </c>
      <c r="M164" s="100">
        <v>178026245.661255</v>
      </c>
      <c r="N164" s="99">
        <f t="shared" si="31"/>
        <v>178026245.661255</v>
      </c>
    </row>
    <row r="165" spans="1:14">
      <c r="A165" s="61" t="s">
        <v>483</v>
      </c>
      <c r="B165" s="100">
        <v>60106546.756340005</v>
      </c>
      <c r="C165" s="100">
        <v>72115624.220721006</v>
      </c>
      <c r="D165" s="100">
        <v>27323845.710997004</v>
      </c>
      <c r="E165" s="100">
        <v>34167646.395328</v>
      </c>
      <c r="F165" s="100">
        <v>31238114.258673999</v>
      </c>
      <c r="G165" s="100">
        <v>63678838.925830998</v>
      </c>
      <c r="H165" s="100">
        <v>38662328.649801001</v>
      </c>
      <c r="I165" s="100">
        <v>59220423.434372999</v>
      </c>
      <c r="J165" s="100">
        <v>70746266.064197004</v>
      </c>
      <c r="K165" s="100">
        <v>40140276.797604002</v>
      </c>
      <c r="L165" s="100">
        <v>83124994.016742006</v>
      </c>
      <c r="M165" s="100">
        <v>98478936.128601</v>
      </c>
      <c r="N165" s="99">
        <f t="shared" si="31"/>
        <v>98478936.128601</v>
      </c>
    </row>
    <row r="166" spans="1:14">
      <c r="A166" s="61" t="s">
        <v>484</v>
      </c>
      <c r="B166" s="100">
        <v>229829241.09510526</v>
      </c>
      <c r="C166" s="100">
        <v>246316674.76791129</v>
      </c>
      <c r="D166" s="100">
        <v>339885502.0925619</v>
      </c>
      <c r="E166" s="100">
        <v>240021247.30540207</v>
      </c>
      <c r="F166" s="100">
        <v>265752219.36409521</v>
      </c>
      <c r="G166" s="100">
        <v>348598137.04223561</v>
      </c>
      <c r="H166" s="100">
        <v>396276291.52343291</v>
      </c>
      <c r="I166" s="100">
        <v>430068034.8904599</v>
      </c>
      <c r="J166" s="100">
        <v>578872513.69342554</v>
      </c>
      <c r="K166" s="100">
        <v>644245099.09759963</v>
      </c>
      <c r="L166" s="100">
        <v>745480753.44279742</v>
      </c>
      <c r="M166" s="100">
        <v>675610826.19287252</v>
      </c>
      <c r="N166" s="99">
        <f t="shared" si="31"/>
        <v>675610826.19287252</v>
      </c>
    </row>
    <row r="167" spans="1:14">
      <c r="A167" s="61" t="s">
        <v>485</v>
      </c>
      <c r="B167" s="100">
        <v>610140563.02907884</v>
      </c>
      <c r="C167" s="100">
        <v>561810520.91713905</v>
      </c>
      <c r="D167" s="100">
        <v>731610458.77264738</v>
      </c>
      <c r="E167" s="100">
        <v>673173638.90124059</v>
      </c>
      <c r="F167" s="100">
        <v>750118900.36499453</v>
      </c>
      <c r="G167" s="100">
        <v>924792908.39232361</v>
      </c>
      <c r="H167" s="100">
        <v>936198840.56551373</v>
      </c>
      <c r="I167" s="100">
        <v>1004383479.8128959</v>
      </c>
      <c r="J167" s="100">
        <v>1174176373.056483</v>
      </c>
      <c r="K167" s="100">
        <v>1084568446.7995081</v>
      </c>
      <c r="L167" s="100">
        <v>908020937.87092865</v>
      </c>
      <c r="M167" s="100">
        <v>1219921003.9244156</v>
      </c>
      <c r="N167" s="99">
        <f t="shared" si="31"/>
        <v>1219921003.9244156</v>
      </c>
    </row>
    <row r="168" spans="1:14">
      <c r="A168" s="61" t="s">
        <v>486</v>
      </c>
      <c r="B168" s="100">
        <v>394182819.98521513</v>
      </c>
      <c r="C168" s="100">
        <v>302881755.40960282</v>
      </c>
      <c r="D168" s="100">
        <v>444661118.19737297</v>
      </c>
      <c r="E168" s="100">
        <v>250121763.0212836</v>
      </c>
      <c r="F168" s="100">
        <v>315457000.10002583</v>
      </c>
      <c r="G168" s="100">
        <v>548719643.09907067</v>
      </c>
      <c r="H168" s="100">
        <v>429716652.50231838</v>
      </c>
      <c r="I168" s="100">
        <v>381214197.86719847</v>
      </c>
      <c r="J168" s="100">
        <v>596526040.80759144</v>
      </c>
      <c r="K168" s="100">
        <v>408200210.25200796</v>
      </c>
      <c r="L168" s="100">
        <v>693596685.99725556</v>
      </c>
      <c r="M168" s="100">
        <v>998136085.80753386</v>
      </c>
      <c r="N168" s="99">
        <f t="shared" si="31"/>
        <v>998136085.80753386</v>
      </c>
    </row>
    <row r="169" spans="1:14">
      <c r="A169" s="61" t="s">
        <v>487</v>
      </c>
      <c r="B169" s="100">
        <v>0</v>
      </c>
      <c r="C169" s="100">
        <v>0</v>
      </c>
      <c r="D169" s="100">
        <v>0</v>
      </c>
      <c r="E169" s="100">
        <v>0</v>
      </c>
      <c r="F169" s="100">
        <v>0</v>
      </c>
      <c r="G169" s="100">
        <v>0</v>
      </c>
      <c r="H169" s="100">
        <v>0</v>
      </c>
      <c r="I169" s="100">
        <v>0</v>
      </c>
      <c r="J169" s="100">
        <v>0</v>
      </c>
      <c r="K169" s="100">
        <v>0</v>
      </c>
      <c r="L169" s="100">
        <v>0</v>
      </c>
      <c r="M169" s="100">
        <v>0</v>
      </c>
      <c r="N169" s="99">
        <f t="shared" si="31"/>
        <v>0</v>
      </c>
    </row>
    <row r="170" spans="1:14">
      <c r="A170" s="61" t="s">
        <v>488</v>
      </c>
      <c r="B170" s="100">
        <v>0</v>
      </c>
      <c r="C170" s="100">
        <v>0</v>
      </c>
      <c r="D170" s="100">
        <v>0</v>
      </c>
      <c r="E170" s="100">
        <v>0</v>
      </c>
      <c r="F170" s="100">
        <v>0</v>
      </c>
      <c r="G170" s="100">
        <v>0</v>
      </c>
      <c r="H170" s="100">
        <v>0</v>
      </c>
      <c r="I170" s="100">
        <v>0</v>
      </c>
      <c r="J170" s="100">
        <v>0</v>
      </c>
      <c r="K170" s="100">
        <v>0</v>
      </c>
      <c r="L170" s="100">
        <v>0</v>
      </c>
      <c r="M170" s="100">
        <v>0</v>
      </c>
      <c r="N170" s="99">
        <f t="shared" si="31"/>
        <v>0</v>
      </c>
    </row>
    <row r="171" spans="1:14">
      <c r="A171" s="61" t="s">
        <v>489</v>
      </c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70"/>
    </row>
    <row r="172" spans="1:14">
      <c r="A172" s="61" t="s">
        <v>490</v>
      </c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70"/>
    </row>
    <row r="173" spans="1:14">
      <c r="A173" s="61" t="s">
        <v>517</v>
      </c>
      <c r="B173" s="98">
        <f>SUM(B174:B176)+SUM(B177:B181)*0.4</f>
        <v>801244325.73701024</v>
      </c>
      <c r="C173" s="98">
        <f>SUM(C174:C176)+SUM(C177:C181)*0.4</f>
        <v>334560909.69816422</v>
      </c>
      <c r="D173" s="98">
        <f>SUM(D174:D176)+SUM(D177:D181)*0.4</f>
        <v>363045443.29797304</v>
      </c>
      <c r="E173" s="98">
        <f t="shared" ref="E173:M173" si="32">SUM(E174:E176)+SUM(E177:E181)*0.4</f>
        <v>204521563.64873832</v>
      </c>
      <c r="F173" s="98">
        <f t="shared" si="32"/>
        <v>305882074.61982906</v>
      </c>
      <c r="G173" s="98">
        <f t="shared" si="32"/>
        <v>484066179.06909138</v>
      </c>
      <c r="H173" s="98">
        <f t="shared" si="32"/>
        <v>374646576.02869642</v>
      </c>
      <c r="I173" s="98">
        <f t="shared" si="32"/>
        <v>452441810.23571646</v>
      </c>
      <c r="J173" s="98">
        <f t="shared" si="32"/>
        <v>628846583.61269712</v>
      </c>
      <c r="K173" s="98">
        <f t="shared" si="32"/>
        <v>561268378.56448507</v>
      </c>
      <c r="L173" s="98">
        <f t="shared" si="32"/>
        <v>748627406.42531419</v>
      </c>
      <c r="M173" s="98">
        <f t="shared" si="32"/>
        <v>961308922.63130629</v>
      </c>
      <c r="N173" s="99">
        <f>M173</f>
        <v>961308922.63130629</v>
      </c>
    </row>
    <row r="174" spans="1:14">
      <c r="A174" s="61" t="s">
        <v>492</v>
      </c>
      <c r="B174" s="100">
        <v>899592378.16878104</v>
      </c>
      <c r="C174" s="100">
        <v>516913006.39238799</v>
      </c>
      <c r="D174" s="100">
        <v>410864907.65035498</v>
      </c>
      <c r="E174" s="100">
        <v>408281784.11706603</v>
      </c>
      <c r="F174" s="100">
        <v>432667461.78618199</v>
      </c>
      <c r="G174" s="100">
        <v>395637285.98241401</v>
      </c>
      <c r="H174" s="100">
        <v>401879964.25948399</v>
      </c>
      <c r="I174" s="100">
        <v>430324209.29405397</v>
      </c>
      <c r="J174" s="100">
        <v>427699437.96364897</v>
      </c>
      <c r="K174" s="100">
        <v>435825438.22600299</v>
      </c>
      <c r="L174" s="100">
        <v>510981405.92685997</v>
      </c>
      <c r="M174" s="100">
        <v>481003047.897111</v>
      </c>
      <c r="N174" s="99">
        <f t="shared" ref="N174:N181" si="33">M174</f>
        <v>481003047.897111</v>
      </c>
    </row>
    <row r="175" spans="1:14">
      <c r="A175" s="61" t="s">
        <v>493</v>
      </c>
      <c r="B175" s="100">
        <v>-73494393.261593997</v>
      </c>
      <c r="C175" s="100">
        <v>-78842994.734060004</v>
      </c>
      <c r="D175" s="100">
        <v>-77967123.918147996</v>
      </c>
      <c r="E175" s="100">
        <v>-77204900.367650002</v>
      </c>
      <c r="F175" s="100">
        <v>-71839040.116971001</v>
      </c>
      <c r="G175" s="100">
        <v>-61603386.180188999</v>
      </c>
      <c r="H175" s="100">
        <v>-54569957.480152003</v>
      </c>
      <c r="I175" s="100">
        <v>-41389386.672803</v>
      </c>
      <c r="J175" s="100">
        <v>-36035239.066449001</v>
      </c>
      <c r="K175" s="100">
        <v>-32525284.477011003</v>
      </c>
      <c r="L175" s="100">
        <v>-35114404.012774006</v>
      </c>
      <c r="M175" s="100">
        <v>-32374126.826203</v>
      </c>
      <c r="N175" s="99">
        <f t="shared" si="33"/>
        <v>-32374126.826203</v>
      </c>
    </row>
    <row r="176" spans="1:14">
      <c r="A176" s="61" t="s">
        <v>494</v>
      </c>
      <c r="B176" s="100">
        <v>-12979245.840063</v>
      </c>
      <c r="C176" s="100">
        <v>-26258451.686278999</v>
      </c>
      <c r="D176" s="100">
        <v>-20609756.273012999</v>
      </c>
      <c r="E176" s="100">
        <v>-23781473.669255</v>
      </c>
      <c r="F176" s="100">
        <v>-18298935.109099001</v>
      </c>
      <c r="G176" s="100">
        <v>-14459322.732686</v>
      </c>
      <c r="H176" s="100">
        <v>-12615089.223751999</v>
      </c>
      <c r="I176" s="100">
        <v>-18225210.721012998</v>
      </c>
      <c r="J176" s="100">
        <v>-12032397.13435</v>
      </c>
      <c r="K176" s="100">
        <v>-13726351.50193</v>
      </c>
      <c r="L176" s="100">
        <v>-13861046.875618</v>
      </c>
      <c r="M176" s="100">
        <v>-18404796.460680999</v>
      </c>
      <c r="N176" s="99">
        <f t="shared" si="33"/>
        <v>-18404796.460680999</v>
      </c>
    </row>
    <row r="177" spans="1:14">
      <c r="A177" s="61" t="s">
        <v>495</v>
      </c>
      <c r="B177" s="100">
        <v>-1323945204.1910238</v>
      </c>
      <c r="C177" s="100">
        <v>-1376251201.0000861</v>
      </c>
      <c r="D177" s="100">
        <v>-1416587385.1766319</v>
      </c>
      <c r="E177" s="100">
        <v>-1454418911.7018108</v>
      </c>
      <c r="F177" s="100">
        <v>-1454184763.9384968</v>
      </c>
      <c r="G177" s="100">
        <v>-1474560522.4605801</v>
      </c>
      <c r="H177" s="100">
        <v>-1700974967.058275</v>
      </c>
      <c r="I177" s="100">
        <v>-1670555640.1662309</v>
      </c>
      <c r="J177" s="100">
        <v>-1797284238.9970791</v>
      </c>
      <c r="K177" s="100">
        <v>-1747917592.153162</v>
      </c>
      <c r="L177" s="100">
        <v>-1713669742.8606081</v>
      </c>
      <c r="M177" s="100">
        <v>-1664434857.0007248</v>
      </c>
      <c r="N177" s="99">
        <f t="shared" si="33"/>
        <v>-1664434857.0007248</v>
      </c>
    </row>
    <row r="178" spans="1:14">
      <c r="A178" s="61" t="s">
        <v>496</v>
      </c>
      <c r="B178" s="100">
        <v>60106546.756340005</v>
      </c>
      <c r="C178" s="100">
        <v>72115624.220721006</v>
      </c>
      <c r="D178" s="100">
        <v>27323845.710997004</v>
      </c>
      <c r="E178" s="100">
        <v>34167646.395328</v>
      </c>
      <c r="F178" s="100">
        <v>31238114.258673999</v>
      </c>
      <c r="G178" s="100">
        <v>63678838.925830998</v>
      </c>
      <c r="H178" s="100">
        <v>38662328.649801001</v>
      </c>
      <c r="I178" s="100">
        <v>59220423.434372999</v>
      </c>
      <c r="J178" s="100">
        <v>70746266.064197004</v>
      </c>
      <c r="K178" s="100">
        <v>40140276.797604002</v>
      </c>
      <c r="L178" s="100">
        <v>83124994.016742006</v>
      </c>
      <c r="M178" s="100">
        <v>98478936.128601</v>
      </c>
      <c r="N178" s="99">
        <f t="shared" si="33"/>
        <v>98478936.128601</v>
      </c>
    </row>
    <row r="179" spans="1:14">
      <c r="A179" s="61" t="s">
        <v>497</v>
      </c>
      <c r="B179" s="100">
        <v>229829241.09510526</v>
      </c>
      <c r="C179" s="100">
        <v>246316674.76791129</v>
      </c>
      <c r="D179" s="100">
        <v>339885502.0925619</v>
      </c>
      <c r="E179" s="100">
        <v>240021247.30540207</v>
      </c>
      <c r="F179" s="100">
        <v>265752219.36409521</v>
      </c>
      <c r="G179" s="100">
        <v>348598137.04223561</v>
      </c>
      <c r="H179" s="100">
        <v>396276291.52343291</v>
      </c>
      <c r="I179" s="100">
        <v>430068034.8904599</v>
      </c>
      <c r="J179" s="100">
        <v>578872513.69342554</v>
      </c>
      <c r="K179" s="100">
        <v>644245099.09759963</v>
      </c>
      <c r="L179" s="100">
        <v>745480753.44279742</v>
      </c>
      <c r="M179" s="100">
        <v>675610826.19287252</v>
      </c>
      <c r="N179" s="99">
        <f t="shared" si="33"/>
        <v>675610826.19287252</v>
      </c>
    </row>
    <row r="180" spans="1:14">
      <c r="A180" s="61" t="s">
        <v>498</v>
      </c>
      <c r="B180" s="100">
        <v>610140563.02907884</v>
      </c>
      <c r="C180" s="100">
        <v>561810520.91713905</v>
      </c>
      <c r="D180" s="100">
        <v>731610458.77264738</v>
      </c>
      <c r="E180" s="100">
        <v>673173638.90124059</v>
      </c>
      <c r="F180" s="100">
        <v>750118900.36499453</v>
      </c>
      <c r="G180" s="100">
        <v>924792908.39232361</v>
      </c>
      <c r="H180" s="100">
        <v>936198840.56551373</v>
      </c>
      <c r="I180" s="100">
        <v>1004383479.8128959</v>
      </c>
      <c r="J180" s="100">
        <v>1174176373.056483</v>
      </c>
      <c r="K180" s="100">
        <v>1084568446.7995081</v>
      </c>
      <c r="L180" s="100">
        <v>908020937.87092865</v>
      </c>
      <c r="M180" s="100">
        <v>1219921003.9244156</v>
      </c>
      <c r="N180" s="99">
        <f t="shared" si="33"/>
        <v>1219921003.9244156</v>
      </c>
    </row>
    <row r="181" spans="1:14">
      <c r="A181" s="61" t="s">
        <v>499</v>
      </c>
      <c r="B181" s="100">
        <v>394182819.98521513</v>
      </c>
      <c r="C181" s="100">
        <v>302881755.40960282</v>
      </c>
      <c r="D181" s="100">
        <v>444661118.19737297</v>
      </c>
      <c r="E181" s="100">
        <v>250121763.0212836</v>
      </c>
      <c r="F181" s="100">
        <v>315457000.10002583</v>
      </c>
      <c r="G181" s="100">
        <v>548719643.09907067</v>
      </c>
      <c r="H181" s="100">
        <v>429716652.50231838</v>
      </c>
      <c r="I181" s="100">
        <v>381214197.86719847</v>
      </c>
      <c r="J181" s="100">
        <v>596526040.80759144</v>
      </c>
      <c r="K181" s="100">
        <v>408200210.25200796</v>
      </c>
      <c r="L181" s="100">
        <v>693596685.99725556</v>
      </c>
      <c r="M181" s="100">
        <v>998136085.80753386</v>
      </c>
      <c r="N181" s="99">
        <f t="shared" si="33"/>
        <v>998136085.80753386</v>
      </c>
    </row>
    <row r="182" spans="1:14">
      <c r="A182" s="61" t="s">
        <v>500</v>
      </c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70"/>
    </row>
    <row r="183" spans="1:14">
      <c r="A183" s="61" t="s">
        <v>501</v>
      </c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70"/>
    </row>
    <row r="184" spans="1:14">
      <c r="A184" s="61" t="s">
        <v>502</v>
      </c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70"/>
    </row>
    <row r="185" spans="1:14">
      <c r="A185" s="61" t="s">
        <v>503</v>
      </c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70"/>
    </row>
    <row r="186" spans="1:14">
      <c r="A186" s="61" t="s">
        <v>518</v>
      </c>
      <c r="B186" s="98">
        <f>SUM(B187:B189)+SUM(B190:B194)*0.4</f>
        <v>17106915.027101252</v>
      </c>
      <c r="C186" s="98">
        <f>SUM(C187:C189)+SUM(C190:C194)*0.4</f>
        <v>19602696.481339708</v>
      </c>
      <c r="D186" s="98">
        <f>SUM(D187:D189)+SUM(D190:D194)*0.4</f>
        <v>24036040.535508975</v>
      </c>
      <c r="E186" s="98">
        <f t="shared" ref="E186:N186" si="34">SUM(E187:E189)+SUM(E190:E194)*0.4</f>
        <v>26686021.24555888</v>
      </c>
      <c r="F186" s="98">
        <f t="shared" si="34"/>
        <v>25034260.014915049</v>
      </c>
      <c r="G186" s="98">
        <f t="shared" si="34"/>
        <v>31992288.156967476</v>
      </c>
      <c r="H186" s="98">
        <f t="shared" si="34"/>
        <v>26592282.364794701</v>
      </c>
      <c r="I186" s="98">
        <f t="shared" si="34"/>
        <v>29171587.704913594</v>
      </c>
      <c r="J186" s="98">
        <f t="shared" si="34"/>
        <v>32509707.776504505</v>
      </c>
      <c r="K186" s="98">
        <f t="shared" si="34"/>
        <v>26550276.641311198</v>
      </c>
      <c r="L186" s="98">
        <f t="shared" si="34"/>
        <v>24431071.224787146</v>
      </c>
      <c r="M186" s="98">
        <f t="shared" si="34"/>
        <v>27935253.51199393</v>
      </c>
      <c r="N186" s="103">
        <f t="shared" si="34"/>
        <v>311648400.68569636</v>
      </c>
    </row>
    <row r="187" spans="1:14">
      <c r="A187" s="61" t="s">
        <v>505</v>
      </c>
      <c r="B187" s="100">
        <v>71458.333333000002</v>
      </c>
      <c r="C187" s="100">
        <v>0</v>
      </c>
      <c r="D187" s="100">
        <v>0</v>
      </c>
      <c r="E187" s="100">
        <v>0</v>
      </c>
      <c r="F187" s="100">
        <v>38645.833333000002</v>
      </c>
      <c r="G187" s="100">
        <v>78750</v>
      </c>
      <c r="H187" s="100">
        <v>0</v>
      </c>
      <c r="I187" s="100">
        <v>250000</v>
      </c>
      <c r="J187" s="100">
        <v>85000</v>
      </c>
      <c r="K187" s="100">
        <v>100000</v>
      </c>
      <c r="L187" s="100">
        <v>0</v>
      </c>
      <c r="M187" s="100">
        <v>0</v>
      </c>
      <c r="N187" s="101">
        <f t="shared" ref="N187:N194" si="35">SUM(B187:M187)</f>
        <v>623854.16666600003</v>
      </c>
    </row>
    <row r="188" spans="1:14">
      <c r="A188" s="61" t="s">
        <v>506</v>
      </c>
      <c r="B188" s="100">
        <v>1389547</v>
      </c>
      <c r="C188" s="100">
        <v>1107800</v>
      </c>
      <c r="D188" s="100">
        <v>1247303</v>
      </c>
      <c r="E188" s="100">
        <v>8054500</v>
      </c>
      <c r="F188" s="100">
        <v>2412520</v>
      </c>
      <c r="G188" s="100">
        <v>3271000</v>
      </c>
      <c r="H188" s="100">
        <v>2410000</v>
      </c>
      <c r="I188" s="100">
        <v>984409</v>
      </c>
      <c r="J188" s="100">
        <v>2360000</v>
      </c>
      <c r="K188" s="100">
        <v>723567</v>
      </c>
      <c r="L188" s="100">
        <v>724816</v>
      </c>
      <c r="M188" s="100">
        <v>726604</v>
      </c>
      <c r="N188" s="101">
        <f t="shared" si="35"/>
        <v>25412066</v>
      </c>
    </row>
    <row r="189" spans="1:14">
      <c r="A189" s="61" t="s">
        <v>507</v>
      </c>
      <c r="B189" s="100">
        <v>0</v>
      </c>
      <c r="C189" s="100">
        <v>0</v>
      </c>
      <c r="D189" s="100">
        <v>0</v>
      </c>
      <c r="E189" s="100">
        <v>0</v>
      </c>
      <c r="F189" s="100">
        <v>0</v>
      </c>
      <c r="G189" s="100">
        <v>0</v>
      </c>
      <c r="H189" s="100">
        <v>0</v>
      </c>
      <c r="I189" s="100">
        <v>0</v>
      </c>
      <c r="J189" s="100">
        <v>0</v>
      </c>
      <c r="K189" s="100">
        <v>0</v>
      </c>
      <c r="L189" s="100">
        <v>0</v>
      </c>
      <c r="M189" s="100">
        <v>0</v>
      </c>
      <c r="N189" s="101">
        <f t="shared" si="35"/>
        <v>0</v>
      </c>
    </row>
    <row r="190" spans="1:14">
      <c r="A190" s="61" t="s">
        <v>508</v>
      </c>
      <c r="B190" s="100">
        <v>11490909.855599999</v>
      </c>
      <c r="C190" s="100">
        <v>11706479.324491</v>
      </c>
      <c r="D190" s="100">
        <v>11926092.876619</v>
      </c>
      <c r="E190" s="100">
        <v>17009756.930576999</v>
      </c>
      <c r="F190" s="100">
        <v>17328859.970594998</v>
      </c>
      <c r="G190" s="100">
        <v>21016606.409099001</v>
      </c>
      <c r="H190" s="100">
        <v>21410877.945333999</v>
      </c>
      <c r="I190" s="100">
        <v>21812546.015588999</v>
      </c>
      <c r="J190" s="100">
        <v>26666099.254609</v>
      </c>
      <c r="K190" s="100">
        <v>27166355.276625998</v>
      </c>
      <c r="L190" s="100">
        <v>33211195.321938004</v>
      </c>
      <c r="M190" s="100">
        <v>39477585</v>
      </c>
      <c r="N190" s="101">
        <f t="shared" si="35"/>
        <v>260223364.181077</v>
      </c>
    </row>
    <row r="191" spans="1:14">
      <c r="A191" s="61" t="s">
        <v>509</v>
      </c>
      <c r="B191" s="100">
        <v>3865061.1788329999</v>
      </c>
      <c r="C191" s="100">
        <v>2645574.6788329994</v>
      </c>
      <c r="D191" s="100">
        <v>3178974.6788330004</v>
      </c>
      <c r="E191" s="100">
        <v>3000000</v>
      </c>
      <c r="F191" s="100">
        <v>3000000</v>
      </c>
      <c r="G191" s="100">
        <v>3000000</v>
      </c>
      <c r="H191" s="100">
        <v>3000000</v>
      </c>
      <c r="I191" s="100">
        <v>3000000</v>
      </c>
      <c r="J191" s="100">
        <v>3000000</v>
      </c>
      <c r="K191" s="100">
        <v>3000000</v>
      </c>
      <c r="L191" s="100">
        <v>3000000</v>
      </c>
      <c r="M191" s="100">
        <v>3000000</v>
      </c>
      <c r="N191" s="101">
        <f t="shared" si="35"/>
        <v>36689610.536499001</v>
      </c>
    </row>
    <row r="192" spans="1:14">
      <c r="A192" s="61" t="s">
        <v>510</v>
      </c>
      <c r="B192" s="100">
        <v>10205331.199987624</v>
      </c>
      <c r="C192" s="100">
        <v>10415743.600025266</v>
      </c>
      <c r="D192" s="100">
        <v>10626183.483320443</v>
      </c>
      <c r="E192" s="100">
        <v>10836595.883320192</v>
      </c>
      <c r="F192" s="100">
        <v>11047008.283360125</v>
      </c>
      <c r="G192" s="100">
        <v>11257420.683319684</v>
      </c>
      <c r="H192" s="100">
        <v>11467860.566652758</v>
      </c>
      <c r="I192" s="100">
        <v>11678272.966694986</v>
      </c>
      <c r="J192" s="100">
        <v>11888685.36665225</v>
      </c>
      <c r="K192" s="100">
        <v>12099097.766651995</v>
      </c>
      <c r="L192" s="100">
        <v>12309537.650029851</v>
      </c>
      <c r="M192" s="100">
        <v>12519950.049984818</v>
      </c>
      <c r="N192" s="101">
        <f t="shared" si="35"/>
        <v>136351687.5</v>
      </c>
    </row>
    <row r="193" spans="1:14">
      <c r="A193" s="61" t="s">
        <v>511</v>
      </c>
      <c r="B193" s="100">
        <v>1113984</v>
      </c>
      <c r="C193" s="100">
        <v>10080974.4</v>
      </c>
      <c r="D193" s="100">
        <v>17978806.5</v>
      </c>
      <c r="E193" s="100">
        <v>10291151.699999999</v>
      </c>
      <c r="F193" s="100">
        <v>11495855.800000001</v>
      </c>
      <c r="G193" s="100">
        <v>27812451.100000001</v>
      </c>
      <c r="H193" s="100">
        <v>2128056.6</v>
      </c>
      <c r="I193" s="100">
        <v>18654075.799999997</v>
      </c>
      <c r="J193" s="100">
        <v>15183487.800000003</v>
      </c>
      <c r="K193" s="100">
        <v>7792141.8000000017</v>
      </c>
      <c r="L193" s="100">
        <v>2508189.6</v>
      </c>
      <c r="M193" s="100">
        <v>1184422.2</v>
      </c>
      <c r="N193" s="101">
        <f t="shared" si="35"/>
        <v>126223597.29999998</v>
      </c>
    </row>
    <row r="194" spans="1:14">
      <c r="A194" s="61" t="s">
        <v>512</v>
      </c>
      <c r="B194" s="100">
        <v>12439488.000000002</v>
      </c>
      <c r="C194" s="100">
        <v>11388469.200000001</v>
      </c>
      <c r="D194" s="100">
        <v>13261786.299999999</v>
      </c>
      <c r="E194" s="100">
        <v>5441298.5999999996</v>
      </c>
      <c r="F194" s="100">
        <v>13586011.4</v>
      </c>
      <c r="G194" s="100">
        <v>8519867.2000000011</v>
      </c>
      <c r="H194" s="100">
        <v>22448910.799999993</v>
      </c>
      <c r="I194" s="100">
        <v>14698051.979999999</v>
      </c>
      <c r="J194" s="100">
        <v>18423497.02</v>
      </c>
      <c r="K194" s="100">
        <v>14259179.260000002</v>
      </c>
      <c r="L194" s="100">
        <v>8236715.4899999993</v>
      </c>
      <c r="M194" s="100">
        <v>11839666.529999999</v>
      </c>
      <c r="N194" s="101">
        <f t="shared" si="35"/>
        <v>154542941.78</v>
      </c>
    </row>
    <row r="195" spans="1:14">
      <c r="A195" s="61" t="s">
        <v>513</v>
      </c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70"/>
    </row>
    <row r="196" spans="1:14">
      <c r="A196" s="61" t="s">
        <v>514</v>
      </c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71"/>
    </row>
  </sheetData>
  <pageMargins left="0.7" right="0.7" top="0.75" bottom="0.75" header="0.3" footer="0.3"/>
  <pageSetup orientation="portrait" r:id="rId1"/>
  <customProperties>
    <customPr name="_pios_id" r:id="rId2"/>
    <customPr name="CofWorksheetType" r:id="rId3"/>
    <customPr name="EpmWorksheetKeyString_GUID" r:id="rId4"/>
  </customPropertie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86BEA-8CFB-49F6-B267-0C53916205E8}">
  <sheetPr>
    <tabColor rgb="FF00B050"/>
  </sheetPr>
  <dimension ref="A1:Z81"/>
  <sheetViews>
    <sheetView workbookViewId="0">
      <selection activeCell="B3" sqref="B3:I3"/>
    </sheetView>
  </sheetViews>
  <sheetFormatPr defaultColWidth="8.81640625" defaultRowHeight="14.5"/>
  <cols>
    <col min="1" max="1" width="30.453125" bestFit="1" customWidth="1"/>
    <col min="2" max="2" width="11.54296875" bestFit="1" customWidth="1"/>
    <col min="3" max="4" width="10.81640625" bestFit="1" customWidth="1"/>
    <col min="5" max="5" width="10.7265625" bestFit="1" customWidth="1"/>
    <col min="6" max="6" width="12.453125" customWidth="1"/>
    <col min="7" max="7" width="10.81640625" bestFit="1" customWidth="1"/>
    <col min="8" max="10" width="9.81640625" bestFit="1" customWidth="1"/>
    <col min="11" max="11" width="11.54296875" bestFit="1" customWidth="1"/>
    <col min="12" max="13" width="10.81640625" bestFit="1" customWidth="1"/>
    <col min="14" max="14" width="10.54296875" bestFit="1" customWidth="1"/>
    <col min="15" max="15" width="11.54296875" bestFit="1" customWidth="1"/>
    <col min="16" max="16" width="10.81640625" bestFit="1" customWidth="1"/>
    <col min="17" max="23" width="10.54296875" bestFit="1" customWidth="1"/>
    <col min="24" max="24" width="8.81640625" bestFit="1" customWidth="1"/>
    <col min="25" max="25" width="9.81640625" bestFit="1" customWidth="1"/>
    <col min="26" max="26" width="8.81640625" bestFit="1" customWidth="1"/>
  </cols>
  <sheetData>
    <row r="1" spans="1:26">
      <c r="A1" s="60" t="s">
        <v>165</v>
      </c>
      <c r="B1" s="61" t="s">
        <v>168</v>
      </c>
      <c r="C1" s="61" t="s">
        <v>167</v>
      </c>
      <c r="D1" s="61" t="s">
        <v>129</v>
      </c>
      <c r="E1" s="61" t="s">
        <v>130</v>
      </c>
      <c r="F1" s="61" t="s">
        <v>131</v>
      </c>
      <c r="G1" s="61" t="s">
        <v>101</v>
      </c>
      <c r="H1" s="61" t="s">
        <v>102</v>
      </c>
      <c r="I1" s="61" t="s">
        <v>103</v>
      </c>
      <c r="J1" s="61" t="s">
        <v>104</v>
      </c>
      <c r="K1" s="61" t="s">
        <v>105</v>
      </c>
      <c r="L1" s="61" t="s">
        <v>106</v>
      </c>
      <c r="M1" s="61" t="s">
        <v>343</v>
      </c>
    </row>
    <row r="2" spans="1:26">
      <c r="A2" s="61" t="s">
        <v>334</v>
      </c>
      <c r="B2" s="102">
        <f>SUM(B3:B5)+SUM(B6:B10)*0.4</f>
        <v>-169655583.10378695</v>
      </c>
      <c r="C2" s="102">
        <f t="shared" ref="C2:M2" si="0">SUM(C3:C5)+SUM(C6:C10)*0.4</f>
        <v>176289723.78180358</v>
      </c>
      <c r="D2" s="102">
        <f t="shared" si="0"/>
        <v>266680671.49251091</v>
      </c>
      <c r="E2" s="102">
        <f t="shared" si="0"/>
        <v>-354290305.6448707</v>
      </c>
      <c r="F2" s="102">
        <f t="shared" si="0"/>
        <v>222623964.05314866</v>
      </c>
      <c r="G2" s="102">
        <f t="shared" si="0"/>
        <v>87153211.754852712</v>
      </c>
      <c r="H2" s="102">
        <f t="shared" si="0"/>
        <v>-292545080.78449339</v>
      </c>
      <c r="I2" s="102">
        <f t="shared" si="0"/>
        <v>221344967.00929224</v>
      </c>
      <c r="J2" s="102">
        <f t="shared" si="0"/>
        <v>107996734.683706</v>
      </c>
      <c r="K2" s="102">
        <f t="shared" si="0"/>
        <v>-285316411.97118044</v>
      </c>
      <c r="L2" s="102">
        <f t="shared" si="0"/>
        <v>294654321.31165308</v>
      </c>
      <c r="M2" s="102">
        <f t="shared" si="0"/>
        <v>27097207.691400528</v>
      </c>
    </row>
    <row r="3" spans="1:26">
      <c r="A3" s="61" t="s">
        <v>335</v>
      </c>
      <c r="B3" s="100">
        <v>9236421.6993320063</v>
      </c>
      <c r="C3" s="100">
        <v>27419076.787479989</v>
      </c>
      <c r="D3" s="100">
        <v>-33555673.013887994</v>
      </c>
      <c r="E3" s="100">
        <v>6175712.624493001</v>
      </c>
      <c r="F3" s="100">
        <v>26200505.013670001</v>
      </c>
      <c r="G3" s="100">
        <v>-66867948.782239996</v>
      </c>
      <c r="H3" s="100">
        <v>40989992.765508004</v>
      </c>
      <c r="I3" s="100">
        <v>29683561.106426992</v>
      </c>
      <c r="J3" s="100">
        <v>-33446949.986706007</v>
      </c>
      <c r="K3" s="100">
        <v>4449815.0121410079</v>
      </c>
      <c r="L3" s="100">
        <v>40259778.814220004</v>
      </c>
      <c r="M3" s="100">
        <v>-112119657.22235599</v>
      </c>
      <c r="N3" s="52">
        <f>SUM(B3:M3)</f>
        <v>-61575365.181918986</v>
      </c>
      <c r="O3" s="52">
        <f>'Tahmin-tl'!D148-N3</f>
        <v>78445108.592395991</v>
      </c>
    </row>
    <row r="4" spans="1:26">
      <c r="A4" s="61" t="s">
        <v>336</v>
      </c>
      <c r="B4" s="100">
        <v>-25741816.887877002</v>
      </c>
      <c r="C4" s="100">
        <v>14525882.282684002</v>
      </c>
      <c r="D4" s="100">
        <v>5369398.712698984</v>
      </c>
      <c r="E4" s="100">
        <v>20567801.388266034</v>
      </c>
      <c r="F4" s="100">
        <v>-9180068.1726390161</v>
      </c>
      <c r="G4" s="100">
        <v>18041365.803151991</v>
      </c>
      <c r="H4" s="100">
        <v>-7551303.8938719835</v>
      </c>
      <c r="I4" s="100">
        <v>-5168615.3690180164</v>
      </c>
      <c r="J4" s="100">
        <v>-1801896.2693119962</v>
      </c>
      <c r="K4" s="100">
        <v>-892002.76000899915</v>
      </c>
      <c r="L4" s="100">
        <v>-13492506.930103008</v>
      </c>
      <c r="M4" s="100">
        <v>5803851.7085240167</v>
      </c>
    </row>
    <row r="5" spans="1:26">
      <c r="A5" s="61" t="s">
        <v>337</v>
      </c>
      <c r="B5" s="100">
        <v>-21630091.228491977</v>
      </c>
      <c r="C5" s="100">
        <v>-7083467.6189695681</v>
      </c>
      <c r="D5" s="100">
        <v>1287016.7754124547</v>
      </c>
      <c r="E5" s="100">
        <v>-2459372.6415897328</v>
      </c>
      <c r="F5" s="100">
        <v>-2296240.0106620155</v>
      </c>
      <c r="G5" s="100">
        <v>5930190.4406207725</v>
      </c>
      <c r="H5" s="100">
        <v>-4384141.5053189704</v>
      </c>
      <c r="I5" s="100">
        <v>6745020.4957691841</v>
      </c>
      <c r="J5" s="100">
        <v>6256377.1982305758</v>
      </c>
      <c r="K5" s="100">
        <v>-10550785.852446102</v>
      </c>
      <c r="L5" s="100">
        <v>1374007.2328141797</v>
      </c>
      <c r="M5" s="100">
        <v>567619.70353982109</v>
      </c>
    </row>
    <row r="6" spans="1:26">
      <c r="A6" s="61" t="s">
        <v>520</v>
      </c>
      <c r="B6" s="100">
        <v>-161561206.45284414</v>
      </c>
      <c r="C6" s="100">
        <v>209680395.67545038</v>
      </c>
      <c r="D6" s="100">
        <v>11555939.125497453</v>
      </c>
      <c r="E6" s="100">
        <v>22468576.595706396</v>
      </c>
      <c r="F6" s="100">
        <v>3919286.713796407</v>
      </c>
      <c r="G6" s="100">
        <v>-27542511.328862831</v>
      </c>
      <c r="H6" s="100">
        <v>-178044381.86824852</v>
      </c>
      <c r="I6" s="100">
        <v>255082442.35840476</v>
      </c>
      <c r="J6" s="100">
        <v>-146648217.55313209</v>
      </c>
      <c r="K6" s="100">
        <v>170654922.16188997</v>
      </c>
      <c r="L6" s="100">
        <v>-7028457.2079343498</v>
      </c>
      <c r="M6" s="100">
        <v>21059657.97964564</v>
      </c>
    </row>
    <row r="7" spans="1:26">
      <c r="A7" s="61" t="s">
        <v>339</v>
      </c>
      <c r="B7" s="100">
        <v>49635377.608754039</v>
      </c>
      <c r="C7" s="100">
        <v>-34869460.808650054</v>
      </c>
      <c r="D7" s="100">
        <v>28739211.423125081</v>
      </c>
      <c r="E7" s="100">
        <v>-11910782.094500061</v>
      </c>
      <c r="F7" s="100">
        <v>1176275.7920260001</v>
      </c>
      <c r="G7" s="100">
        <v>35281039.388861001</v>
      </c>
      <c r="H7" s="100">
        <v>-21005479.941349</v>
      </c>
      <c r="I7" s="100">
        <v>24800908.269850001</v>
      </c>
      <c r="J7" s="100">
        <v>15755156.133819001</v>
      </c>
      <c r="K7" s="100">
        <v>-26141477.527681999</v>
      </c>
      <c r="L7" s="100">
        <v>47034544.994959995</v>
      </c>
      <c r="M7" s="100">
        <v>19570689.445873998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61" t="s">
        <v>340</v>
      </c>
      <c r="B8" s="100">
        <v>-120058521.77395058</v>
      </c>
      <c r="C8" s="100">
        <v>137008950.73552847</v>
      </c>
      <c r="D8" s="100">
        <v>48606260.304396354</v>
      </c>
      <c r="E8" s="100">
        <v>-154635058.76603624</v>
      </c>
      <c r="F8" s="100">
        <v>127764483.20815635</v>
      </c>
      <c r="G8" s="100">
        <v>46268542.857276268</v>
      </c>
      <c r="H8" s="100">
        <v>-66229263.062548086</v>
      </c>
      <c r="I8" s="100">
        <v>32455280.346272931</v>
      </c>
      <c r="J8" s="100">
        <v>74864303.726349413</v>
      </c>
      <c r="K8" s="100">
        <v>-107248613.45268482</v>
      </c>
      <c r="L8" s="100">
        <v>75692699.052364603</v>
      </c>
      <c r="M8" s="100">
        <v>110223491.57679862</v>
      </c>
    </row>
    <row r="9" spans="1:26">
      <c r="A9" s="61" t="s">
        <v>341</v>
      </c>
      <c r="B9" s="100">
        <v>142243978.19054344</v>
      </c>
      <c r="C9" s="100">
        <v>-168342005.44806412</v>
      </c>
      <c r="D9" s="100">
        <v>306881054.8783499</v>
      </c>
      <c r="E9" s="100">
        <v>-346595335.51478577</v>
      </c>
      <c r="F9" s="100">
        <v>131315371.98122728</v>
      </c>
      <c r="G9" s="100">
        <v>102077107.30611652</v>
      </c>
      <c r="H9" s="100">
        <v>-186181494.28625953</v>
      </c>
      <c r="I9" s="100">
        <v>87983256.595743656</v>
      </c>
      <c r="J9" s="100">
        <v>78102514.3394842</v>
      </c>
      <c r="K9" s="100">
        <v>-264672919.55133277</v>
      </c>
      <c r="L9" s="100">
        <v>116442847.75216047</v>
      </c>
      <c r="M9" s="100">
        <v>127951026.45245309</v>
      </c>
    </row>
    <row r="10" spans="1:26">
      <c r="A10" s="61" t="s">
        <v>342</v>
      </c>
      <c r="B10" s="100">
        <v>-239059869.28937766</v>
      </c>
      <c r="C10" s="100">
        <v>210092700.67225814</v>
      </c>
      <c r="D10" s="100">
        <v>338167356.81434995</v>
      </c>
      <c r="E10" s="100">
        <v>-455763517.76048434</v>
      </c>
      <c r="F10" s="100">
        <v>255574000.36174315</v>
      </c>
      <c r="G10" s="100">
        <v>169039832.50990891</v>
      </c>
      <c r="H10" s="100">
        <v>-352538451.21862084</v>
      </c>
      <c r="I10" s="100">
        <v>74890614.370013759</v>
      </c>
      <c r="J10" s="100">
        <v>320399252.70721304</v>
      </c>
      <c r="K10" s="100">
        <v>-468400507.55735624</v>
      </c>
      <c r="L10" s="100">
        <v>434140970.89525402</v>
      </c>
      <c r="M10" s="100">
        <v>53308618.299460351</v>
      </c>
    </row>
    <row r="11" spans="1:26">
      <c r="A11" s="61" t="s">
        <v>530</v>
      </c>
      <c r="B11" s="102">
        <f>SUM(B12:B14)+SUM(B15:B19)*0.4</f>
        <v>-186762498.13088819</v>
      </c>
      <c r="C11" s="102">
        <f t="shared" ref="C11:M11" si="1">SUM(C12:C14)+SUM(C15:C19)*0.4</f>
        <v>173793942.32756513</v>
      </c>
      <c r="D11" s="102">
        <f t="shared" si="1"/>
        <v>262247327.43834168</v>
      </c>
      <c r="E11" s="102">
        <f t="shared" si="1"/>
        <v>-358111491.59682387</v>
      </c>
      <c r="F11" s="102">
        <f t="shared" si="1"/>
        <v>222552318.58665231</v>
      </c>
      <c r="G11" s="102">
        <f t="shared" si="1"/>
        <v>79296540.413717777</v>
      </c>
      <c r="H11" s="102">
        <f t="shared" si="1"/>
        <v>-288345074.99232048</v>
      </c>
      <c r="I11" s="102">
        <f t="shared" si="1"/>
        <v>217565661.66917348</v>
      </c>
      <c r="J11" s="102">
        <f t="shared" si="1"/>
        <v>103458614.61211476</v>
      </c>
      <c r="K11" s="102">
        <f t="shared" si="1"/>
        <v>-280556980.83598733</v>
      </c>
      <c r="L11" s="102">
        <f t="shared" si="1"/>
        <v>295573526.72817695</v>
      </c>
      <c r="M11" s="102">
        <f t="shared" si="1"/>
        <v>22393025.404193789</v>
      </c>
      <c r="O11" s="114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</row>
    <row r="12" spans="1:26">
      <c r="A12" s="61" t="s">
        <v>522</v>
      </c>
      <c r="B12" s="100">
        <v>9164963.3659990057</v>
      </c>
      <c r="C12" s="100">
        <v>27490535.12081299</v>
      </c>
      <c r="D12" s="100">
        <v>-33555673.013887994</v>
      </c>
      <c r="E12" s="100">
        <v>6175712.624493001</v>
      </c>
      <c r="F12" s="100">
        <v>26161859.180337001</v>
      </c>
      <c r="G12" s="100">
        <v>-66908052.948906995</v>
      </c>
      <c r="H12" s="100">
        <v>41068742.765508004</v>
      </c>
      <c r="I12" s="100">
        <v>29433561.106426992</v>
      </c>
      <c r="J12" s="100">
        <v>-33281949.986706007</v>
      </c>
      <c r="K12" s="100">
        <v>4434815.0121410079</v>
      </c>
      <c r="L12" s="100">
        <v>40359778.814220004</v>
      </c>
      <c r="M12" s="100">
        <v>-112119657.22235599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61" t="s">
        <v>523</v>
      </c>
      <c r="B13" s="100">
        <v>-27131363.887877002</v>
      </c>
      <c r="C13" s="100">
        <v>14807629.282684002</v>
      </c>
      <c r="D13" s="100">
        <v>5229895.712698984</v>
      </c>
      <c r="E13" s="100">
        <v>13760604.388266034</v>
      </c>
      <c r="F13" s="100">
        <v>-3538088.172639017</v>
      </c>
      <c r="G13" s="100">
        <v>17182885.803151991</v>
      </c>
      <c r="H13" s="100">
        <v>-6690303.8938719835</v>
      </c>
      <c r="I13" s="100">
        <v>-3743024.3690180164</v>
      </c>
      <c r="J13" s="100">
        <v>-3177487.2693119962</v>
      </c>
      <c r="K13" s="100">
        <v>744430.23999100085</v>
      </c>
      <c r="L13" s="100">
        <v>-13493755.930103008</v>
      </c>
      <c r="M13" s="100">
        <v>5802063.7085240167</v>
      </c>
    </row>
    <row r="14" spans="1:26">
      <c r="A14" s="61" t="s">
        <v>524</v>
      </c>
      <c r="B14" s="100">
        <v>-21630091.228491977</v>
      </c>
      <c r="C14" s="100">
        <v>-7083467.6189695681</v>
      </c>
      <c r="D14" s="100">
        <v>1287016.7754124547</v>
      </c>
      <c r="E14" s="100">
        <v>-2459372.6415897328</v>
      </c>
      <c r="F14" s="100">
        <v>-2296240.0106620155</v>
      </c>
      <c r="G14" s="100">
        <v>5930190.4406207725</v>
      </c>
      <c r="H14" s="100">
        <v>-4384141.5053189704</v>
      </c>
      <c r="I14" s="100">
        <v>6745020.4957691841</v>
      </c>
      <c r="J14" s="100">
        <v>6256377.1982305758</v>
      </c>
      <c r="K14" s="100">
        <v>-10550785.852446102</v>
      </c>
      <c r="L14" s="100">
        <v>1374007.2328141797</v>
      </c>
      <c r="M14" s="100">
        <v>567619.70353982109</v>
      </c>
    </row>
    <row r="15" spans="1:26">
      <c r="A15" s="61" t="s">
        <v>525</v>
      </c>
      <c r="B15" s="100">
        <v>-173052116.30844414</v>
      </c>
      <c r="C15" s="100">
        <v>209464826.20655942</v>
      </c>
      <c r="D15" s="100">
        <v>11336325.573369451</v>
      </c>
      <c r="E15" s="100">
        <v>17384912.54174839</v>
      </c>
      <c r="F15" s="100">
        <v>3600183.6737784073</v>
      </c>
      <c r="G15" s="100">
        <v>-31230257.767366834</v>
      </c>
      <c r="H15" s="100">
        <v>-178438653.40448353</v>
      </c>
      <c r="I15" s="100">
        <v>254680774.28814974</v>
      </c>
      <c r="J15" s="100">
        <v>-151501770.79215211</v>
      </c>
      <c r="K15" s="100">
        <v>170154666.13987297</v>
      </c>
      <c r="L15" s="100">
        <v>-13073297.253246367</v>
      </c>
      <c r="M15" s="100">
        <v>14793268.301583663</v>
      </c>
    </row>
    <row r="16" spans="1:26">
      <c r="A16" s="61" t="s">
        <v>526</v>
      </c>
      <c r="B16" s="100">
        <v>45770316.429921031</v>
      </c>
      <c r="C16" s="100">
        <v>-33649974.308650047</v>
      </c>
      <c r="D16" s="100">
        <v>28205811.423125081</v>
      </c>
      <c r="E16" s="100">
        <v>-14659820.520425204</v>
      </c>
      <c r="F16" s="100">
        <v>-3132240.9508244367</v>
      </c>
      <c r="G16" s="100">
        <v>33034431.391154662</v>
      </c>
      <c r="H16" s="100">
        <v>-24005479.941348851</v>
      </c>
      <c r="I16" s="100">
        <v>21800908.269850366</v>
      </c>
      <c r="J16" s="100">
        <v>12755156.133818105</v>
      </c>
      <c r="K16" s="100">
        <v>-29141477.527682401</v>
      </c>
      <c r="L16" s="100">
        <v>44034544.994959585</v>
      </c>
      <c r="M16" s="100">
        <v>16570689.445874128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13">
      <c r="A17" s="61" t="s">
        <v>527</v>
      </c>
      <c r="B17" s="100">
        <v>-130263852.97393821</v>
      </c>
      <c r="C17" s="100">
        <v>136798538.33549085</v>
      </c>
      <c r="D17" s="100">
        <v>48395820.421101175</v>
      </c>
      <c r="E17" s="100">
        <v>-154845471.16603601</v>
      </c>
      <c r="F17" s="100">
        <v>127554070.80811644</v>
      </c>
      <c r="G17" s="100">
        <v>46058130.457316704</v>
      </c>
      <c r="H17" s="100">
        <v>-66439702.945881158</v>
      </c>
      <c r="I17" s="100">
        <v>32244867.946230691</v>
      </c>
      <c r="J17" s="100">
        <v>74653891.326392159</v>
      </c>
      <c r="K17" s="100">
        <v>-107459025.85268456</v>
      </c>
      <c r="L17" s="100">
        <v>75482259.168986738</v>
      </c>
      <c r="M17" s="100">
        <v>110013079.17684366</v>
      </c>
    </row>
    <row r="18" spans="1:13">
      <c r="A18" s="61" t="s">
        <v>528</v>
      </c>
      <c r="B18" s="100">
        <v>141129994.19054344</v>
      </c>
      <c r="C18" s="100">
        <v>-177308995.84806412</v>
      </c>
      <c r="D18" s="100">
        <v>298983222.77834988</v>
      </c>
      <c r="E18" s="100">
        <v>-338907680.71478575</v>
      </c>
      <c r="F18" s="100">
        <v>130110667.88122727</v>
      </c>
      <c r="G18" s="100">
        <v>85760512.006116495</v>
      </c>
      <c r="H18" s="100">
        <v>-160497099.7862595</v>
      </c>
      <c r="I18" s="100">
        <v>71457237.395743668</v>
      </c>
      <c r="J18" s="100">
        <v>81573102.339484215</v>
      </c>
      <c r="K18" s="100">
        <v>-257281573.5513328</v>
      </c>
      <c r="L18" s="100">
        <v>121726799.95216048</v>
      </c>
      <c r="M18" s="100">
        <v>129274793.85245307</v>
      </c>
    </row>
    <row r="19" spans="1:13">
      <c r="A19" s="61" t="s">
        <v>529</v>
      </c>
      <c r="B19" s="100">
        <v>-251499357.28937766</v>
      </c>
      <c r="C19" s="100">
        <v>211143719.47225815</v>
      </c>
      <c r="D19" s="100">
        <v>336294039.71434999</v>
      </c>
      <c r="E19" s="100">
        <v>-447943030.06048435</v>
      </c>
      <c r="F19" s="100">
        <v>247429287.56174314</v>
      </c>
      <c r="G19" s="100">
        <v>174105976.70990896</v>
      </c>
      <c r="H19" s="100">
        <v>-366467494.8186208</v>
      </c>
      <c r="I19" s="100">
        <v>82641473.190013766</v>
      </c>
      <c r="J19" s="100">
        <v>316673807.66721308</v>
      </c>
      <c r="K19" s="100">
        <v>-464236189.79735625</v>
      </c>
      <c r="L19" s="100">
        <v>440163434.665254</v>
      </c>
      <c r="M19" s="100">
        <v>49705667.25946033</v>
      </c>
    </row>
    <row r="20" spans="1:13">
      <c r="A20" s="61" t="s">
        <v>593</v>
      </c>
      <c r="B20" s="102">
        <f>SUM(B21:B23)+SUM(B24:B28)*0.4</f>
        <v>-169655583.10378695</v>
      </c>
      <c r="C20" s="102">
        <f t="shared" ref="C20:M20" si="2">SUM(C21:C23)+SUM(C24:C28)*0.4</f>
        <v>6634140.6780166235</v>
      </c>
      <c r="D20" s="102">
        <f t="shared" si="2"/>
        <v>273314812.17052758</v>
      </c>
      <c r="E20" s="102">
        <f t="shared" si="2"/>
        <v>-80975493.474343121</v>
      </c>
      <c r="F20" s="102">
        <f t="shared" si="2"/>
        <v>141648470.57880551</v>
      </c>
      <c r="G20" s="102">
        <f t="shared" si="2"/>
        <v>228801682.33365822</v>
      </c>
      <c r="H20" s="102">
        <f t="shared" si="2"/>
        <v>-63743398.450835109</v>
      </c>
      <c r="I20" s="102">
        <f t="shared" si="2"/>
        <v>157601568.55845708</v>
      </c>
      <c r="J20" s="102">
        <f t="shared" si="2"/>
        <v>265598303.24216309</v>
      </c>
      <c r="K20" s="102">
        <f t="shared" si="2"/>
        <v>-19718108.72901734</v>
      </c>
      <c r="L20" s="102">
        <f t="shared" si="2"/>
        <v>274936212.58263576</v>
      </c>
      <c r="M20" s="102">
        <f t="shared" si="2"/>
        <v>302033420.27403629</v>
      </c>
    </row>
    <row r="21" spans="1:13">
      <c r="A21" s="61" t="s">
        <v>576</v>
      </c>
      <c r="B21" s="100">
        <f t="shared" ref="B21:B28" si="3">B3</f>
        <v>9236421.6993320063</v>
      </c>
      <c r="C21" s="100">
        <f t="shared" ref="C21:M28" si="4">B21+C3</f>
        <v>36655498.486811996</v>
      </c>
      <c r="D21" s="100">
        <f t="shared" si="4"/>
        <v>3099825.4729240015</v>
      </c>
      <c r="E21" s="100">
        <f t="shared" si="4"/>
        <v>9275538.0974170025</v>
      </c>
      <c r="F21" s="100">
        <f t="shared" si="4"/>
        <v>35476043.111087002</v>
      </c>
      <c r="G21" s="100">
        <f t="shared" si="4"/>
        <v>-31391905.671152994</v>
      </c>
      <c r="H21" s="100">
        <f t="shared" si="4"/>
        <v>9598087.0943550095</v>
      </c>
      <c r="I21" s="100">
        <f t="shared" si="4"/>
        <v>39281648.200782001</v>
      </c>
      <c r="J21" s="100">
        <f t="shared" si="4"/>
        <v>5834698.2140759937</v>
      </c>
      <c r="K21" s="100">
        <f t="shared" si="4"/>
        <v>10284513.226217002</v>
      </c>
      <c r="L21" s="100">
        <f t="shared" si="4"/>
        <v>50544292.040437005</v>
      </c>
      <c r="M21" s="100">
        <f t="shared" si="4"/>
        <v>-61575365.181918986</v>
      </c>
    </row>
    <row r="22" spans="1:13">
      <c r="A22" s="61" t="s">
        <v>577</v>
      </c>
      <c r="B22" s="100">
        <f t="shared" si="3"/>
        <v>-25741816.887877002</v>
      </c>
      <c r="C22" s="100">
        <f t="shared" si="4"/>
        <v>-11215934.605193</v>
      </c>
      <c r="D22" s="100">
        <f t="shared" si="4"/>
        <v>-5846535.8924940163</v>
      </c>
      <c r="E22" s="100">
        <f t="shared" si="4"/>
        <v>14721265.495772019</v>
      </c>
      <c r="F22" s="100">
        <f t="shared" si="4"/>
        <v>5541197.323133003</v>
      </c>
      <c r="G22" s="100">
        <f t="shared" si="4"/>
        <v>23582563.126284994</v>
      </c>
      <c r="H22" s="100">
        <f t="shared" si="4"/>
        <v>16031259.232413011</v>
      </c>
      <c r="I22" s="100">
        <f t="shared" si="4"/>
        <v>10862643.863394994</v>
      </c>
      <c r="J22" s="100">
        <f t="shared" si="4"/>
        <v>9060747.5940829981</v>
      </c>
      <c r="K22" s="100">
        <f t="shared" si="4"/>
        <v>8168744.834073999</v>
      </c>
      <c r="L22" s="100">
        <f t="shared" si="4"/>
        <v>-5323762.0960290087</v>
      </c>
      <c r="M22" s="100">
        <f t="shared" si="4"/>
        <v>480089.61249500792</v>
      </c>
    </row>
    <row r="23" spans="1:13">
      <c r="A23" s="61" t="s">
        <v>579</v>
      </c>
      <c r="B23" s="100">
        <f t="shared" si="3"/>
        <v>-21630091.228491977</v>
      </c>
      <c r="C23" s="100">
        <f t="shared" si="4"/>
        <v>-28713558.847461544</v>
      </c>
      <c r="D23" s="100">
        <f t="shared" si="4"/>
        <v>-27426542.072049089</v>
      </c>
      <c r="E23" s="100">
        <f t="shared" si="4"/>
        <v>-29885914.71363882</v>
      </c>
      <c r="F23" s="100">
        <f t="shared" si="4"/>
        <v>-32182154.724300835</v>
      </c>
      <c r="G23" s="100">
        <f t="shared" si="4"/>
        <v>-26251964.283680063</v>
      </c>
      <c r="H23" s="100">
        <f t="shared" si="4"/>
        <v>-30636105.788999032</v>
      </c>
      <c r="I23" s="100">
        <f t="shared" si="4"/>
        <v>-23891085.293229848</v>
      </c>
      <c r="J23" s="100">
        <f t="shared" si="4"/>
        <v>-17634708.094999272</v>
      </c>
      <c r="K23" s="100">
        <f t="shared" si="4"/>
        <v>-28185493.947445374</v>
      </c>
      <c r="L23" s="100">
        <f t="shared" si="4"/>
        <v>-26811486.714631192</v>
      </c>
      <c r="M23" s="100">
        <f t="shared" si="4"/>
        <v>-26243867.01109137</v>
      </c>
    </row>
    <row r="24" spans="1:13">
      <c r="A24" s="61" t="s">
        <v>578</v>
      </c>
      <c r="B24" s="100">
        <f t="shared" si="3"/>
        <v>-161561206.45284414</v>
      </c>
      <c r="C24" s="100">
        <f t="shared" si="4"/>
        <v>48119189.222606242</v>
      </c>
      <c r="D24" s="100">
        <f t="shared" si="4"/>
        <v>59675128.348103695</v>
      </c>
      <c r="E24" s="100">
        <f t="shared" si="4"/>
        <v>82143704.94381009</v>
      </c>
      <c r="F24" s="100">
        <f t="shared" si="4"/>
        <v>86062991.657606497</v>
      </c>
      <c r="G24" s="100">
        <f t="shared" si="4"/>
        <v>58520480.328743666</v>
      </c>
      <c r="H24" s="100">
        <f t="shared" si="4"/>
        <v>-119523901.53950486</v>
      </c>
      <c r="I24" s="100">
        <f t="shared" si="4"/>
        <v>135558540.8188999</v>
      </c>
      <c r="J24" s="100">
        <f t="shared" si="4"/>
        <v>-11089676.734232187</v>
      </c>
      <c r="K24" s="100">
        <f t="shared" si="4"/>
        <v>159565245.42765778</v>
      </c>
      <c r="L24" s="100">
        <f t="shared" si="4"/>
        <v>152536788.21972343</v>
      </c>
      <c r="M24" s="100">
        <f t="shared" si="4"/>
        <v>173596446.19936907</v>
      </c>
    </row>
    <row r="25" spans="1:13">
      <c r="A25" s="61" t="s">
        <v>580</v>
      </c>
      <c r="B25" s="100">
        <f t="shared" si="3"/>
        <v>49635377.608754039</v>
      </c>
      <c r="C25" s="100">
        <f t="shared" si="4"/>
        <v>14765916.800103985</v>
      </c>
      <c r="D25" s="100">
        <f t="shared" si="4"/>
        <v>43505128.223229066</v>
      </c>
      <c r="E25" s="100">
        <f t="shared" si="4"/>
        <v>31594346.128729004</v>
      </c>
      <c r="F25" s="100">
        <f t="shared" si="4"/>
        <v>32770621.920755006</v>
      </c>
      <c r="G25" s="100">
        <f t="shared" si="4"/>
        <v>68051661.309615999</v>
      </c>
      <c r="H25" s="100">
        <f t="shared" si="4"/>
        <v>47046181.368267</v>
      </c>
      <c r="I25" s="100">
        <f t="shared" si="4"/>
        <v>71847089.638117</v>
      </c>
      <c r="J25" s="100">
        <f t="shared" si="4"/>
        <v>87602245.771935999</v>
      </c>
      <c r="K25" s="100">
        <f t="shared" si="4"/>
        <v>61460768.244254</v>
      </c>
      <c r="L25" s="100">
        <f t="shared" si="4"/>
        <v>108495313.239214</v>
      </c>
      <c r="M25" s="100">
        <f t="shared" si="4"/>
        <v>128066002.68508801</v>
      </c>
    </row>
    <row r="26" spans="1:13">
      <c r="A26" s="61" t="s">
        <v>581</v>
      </c>
      <c r="B26" s="100">
        <f t="shared" si="3"/>
        <v>-120058521.77395058</v>
      </c>
      <c r="C26" s="100">
        <f t="shared" si="4"/>
        <v>16950428.961577892</v>
      </c>
      <c r="D26" s="100">
        <f t="shared" si="4"/>
        <v>65556689.265974246</v>
      </c>
      <c r="E26" s="100">
        <f t="shared" si="4"/>
        <v>-89078369.500061989</v>
      </c>
      <c r="F26" s="100">
        <f t="shared" si="4"/>
        <v>38686113.708094358</v>
      </c>
      <c r="G26" s="100">
        <f t="shared" si="4"/>
        <v>84954656.565370619</v>
      </c>
      <c r="H26" s="100">
        <f t="shared" si="4"/>
        <v>18725393.502822533</v>
      </c>
      <c r="I26" s="100">
        <f t="shared" si="4"/>
        <v>51180673.849095464</v>
      </c>
      <c r="J26" s="100">
        <f t="shared" si="4"/>
        <v>126044977.57544488</v>
      </c>
      <c r="K26" s="100">
        <f t="shared" si="4"/>
        <v>18796364.122760057</v>
      </c>
      <c r="L26" s="100">
        <f t="shared" si="4"/>
        <v>94489063.17512466</v>
      </c>
      <c r="M26" s="100">
        <f t="shared" si="4"/>
        <v>204712554.75192326</v>
      </c>
    </row>
    <row r="27" spans="1:13">
      <c r="A27" s="61" t="s">
        <v>582</v>
      </c>
      <c r="B27" s="100">
        <f t="shared" si="3"/>
        <v>142243978.19054344</v>
      </c>
      <c r="C27" s="100">
        <f t="shared" si="4"/>
        <v>-26098027.257520676</v>
      </c>
      <c r="D27" s="100">
        <f t="shared" si="4"/>
        <v>280783027.62082922</v>
      </c>
      <c r="E27" s="100">
        <f t="shared" si="4"/>
        <v>-65812307.893956542</v>
      </c>
      <c r="F27" s="100">
        <f t="shared" si="4"/>
        <v>65503064.087270737</v>
      </c>
      <c r="G27" s="100">
        <f t="shared" si="4"/>
        <v>167580171.39338726</v>
      </c>
      <c r="H27" s="100">
        <f t="shared" si="4"/>
        <v>-18601322.892872274</v>
      </c>
      <c r="I27" s="100">
        <f t="shared" si="4"/>
        <v>69381933.702871382</v>
      </c>
      <c r="J27" s="100">
        <f t="shared" si="4"/>
        <v>147484448.0423556</v>
      </c>
      <c r="K27" s="100">
        <f t="shared" si="4"/>
        <v>-117188471.50897717</v>
      </c>
      <c r="L27" s="100">
        <f t="shared" si="4"/>
        <v>-745623.7568167001</v>
      </c>
      <c r="M27" s="100">
        <f t="shared" si="4"/>
        <v>127205402.69563639</v>
      </c>
    </row>
    <row r="28" spans="1:13">
      <c r="A28" s="61" t="s">
        <v>583</v>
      </c>
      <c r="B28" s="100">
        <f t="shared" si="3"/>
        <v>-239059869.28937766</v>
      </c>
      <c r="C28" s="100">
        <f t="shared" si="4"/>
        <v>-28967168.617119521</v>
      </c>
      <c r="D28" s="100">
        <f t="shared" si="4"/>
        <v>309200188.19723046</v>
      </c>
      <c r="E28" s="100">
        <f t="shared" si="4"/>
        <v>-146563329.56325388</v>
      </c>
      <c r="F28" s="100">
        <f t="shared" si="4"/>
        <v>109010670.79848927</v>
      </c>
      <c r="G28" s="100">
        <f t="shared" si="4"/>
        <v>278050503.30839819</v>
      </c>
      <c r="H28" s="100">
        <f t="shared" si="4"/>
        <v>-74487947.91022265</v>
      </c>
      <c r="I28" s="100">
        <f t="shared" si="4"/>
        <v>402666.45979110897</v>
      </c>
      <c r="J28" s="100">
        <f t="shared" si="4"/>
        <v>320801919.16700417</v>
      </c>
      <c r="K28" s="100">
        <f t="shared" si="4"/>
        <v>-147598588.39035207</v>
      </c>
      <c r="L28" s="100">
        <f t="shared" si="4"/>
        <v>286542382.50490195</v>
      </c>
      <c r="M28" s="100">
        <f t="shared" si="4"/>
        <v>339851000.8043623</v>
      </c>
    </row>
    <row r="29" spans="1:13">
      <c r="A29" s="61" t="s">
        <v>594</v>
      </c>
      <c r="B29" s="102">
        <f>SUM(B30:B32)+SUM(B33:B37)*0.4</f>
        <v>-130062003.1203102</v>
      </c>
      <c r="C29" s="102">
        <f t="shared" ref="C29:M29" si="5">SUM(C30:C32)+SUM(C33:C37)*0.4</f>
        <v>15859876.67806747</v>
      </c>
      <c r="D29" s="102">
        <f t="shared" si="5"/>
        <v>278755787.46303368</v>
      </c>
      <c r="E29" s="102">
        <f t="shared" si="5"/>
        <v>-83556351.880124599</v>
      </c>
      <c r="F29" s="102">
        <f t="shared" si="5"/>
        <v>146008786.50437009</v>
      </c>
      <c r="G29" s="102">
        <f t="shared" si="5"/>
        <v>205208172.45842442</v>
      </c>
      <c r="H29" s="102">
        <f t="shared" si="5"/>
        <v>-66374299.602683365</v>
      </c>
      <c r="I29" s="102">
        <f t="shared" si="5"/>
        <v>135117746.23391977</v>
      </c>
      <c r="J29" s="102">
        <f t="shared" si="5"/>
        <v>226842757.40560749</v>
      </c>
      <c r="K29" s="102">
        <f t="shared" si="5"/>
        <v>-28424767.401838556</v>
      </c>
      <c r="L29" s="102">
        <f t="shared" si="5"/>
        <v>247473653.80087021</v>
      </c>
      <c r="M29" s="102">
        <f t="shared" si="5"/>
        <v>259054651.48797706</v>
      </c>
    </row>
    <row r="30" spans="1:13">
      <c r="A30" s="61" t="s">
        <v>585</v>
      </c>
      <c r="B30" s="100">
        <v>9164963.3659990057</v>
      </c>
      <c r="C30" s="100">
        <v>36655498.486811996</v>
      </c>
      <c r="D30" s="100">
        <v>3099825.4729239997</v>
      </c>
      <c r="E30" s="100">
        <v>9275538.0974170007</v>
      </c>
      <c r="F30" s="100">
        <v>35437397.277754001</v>
      </c>
      <c r="G30" s="100">
        <v>-31470655.671152994</v>
      </c>
      <c r="H30" s="100">
        <v>9598087.0943550076</v>
      </c>
      <c r="I30" s="100">
        <v>39031648.200782001</v>
      </c>
      <c r="J30" s="100">
        <v>5749698.2140759937</v>
      </c>
      <c r="K30" s="100">
        <v>10184513.226217002</v>
      </c>
      <c r="L30" s="100">
        <v>50544292.040437005</v>
      </c>
      <c r="M30" s="100">
        <v>-61575365.181918994</v>
      </c>
    </row>
    <row r="31" spans="1:13">
      <c r="A31" s="61" t="s">
        <v>586</v>
      </c>
      <c r="B31" s="100">
        <v>-27131363.887877002</v>
      </c>
      <c r="C31" s="100">
        <v>-12323734.605193</v>
      </c>
      <c r="D31" s="100">
        <v>-7093838.8924940163</v>
      </c>
      <c r="E31" s="100">
        <v>6666765.495772019</v>
      </c>
      <c r="F31" s="100">
        <v>3128677.323133002</v>
      </c>
      <c r="G31" s="100">
        <v>20311563.126284994</v>
      </c>
      <c r="H31" s="100">
        <v>13621259.232413011</v>
      </c>
      <c r="I31" s="100">
        <v>9878234.8633949943</v>
      </c>
      <c r="J31" s="100">
        <v>6700747.5940829981</v>
      </c>
      <c r="K31" s="100">
        <v>7445177.834073999</v>
      </c>
      <c r="L31" s="100">
        <v>-6048578.0960290078</v>
      </c>
      <c r="M31" s="100">
        <v>-246514.38750499161</v>
      </c>
    </row>
    <row r="32" spans="1:13">
      <c r="A32" s="61" t="s">
        <v>587</v>
      </c>
      <c r="B32" s="100">
        <v>35070403.782086022</v>
      </c>
      <c r="C32" s="100">
        <v>114873.633929</v>
      </c>
      <c r="D32" s="100">
        <v>2050473.755966</v>
      </c>
      <c r="E32" s="100">
        <v>1977619.1176710001</v>
      </c>
      <c r="F32" s="100">
        <v>3643341.7214300004</v>
      </c>
      <c r="G32" s="100">
        <v>3701982.7468480002</v>
      </c>
      <c r="H32" s="100">
        <v>4453425.2426030003</v>
      </c>
      <c r="I32" s="100">
        <v>3658542.9596339995</v>
      </c>
      <c r="J32" s="100">
        <v>2931788.2643920002</v>
      </c>
      <c r="K32" s="100">
        <v>3612999.1936489996</v>
      </c>
      <c r="L32" s="100">
        <v>4289439.9296860006</v>
      </c>
      <c r="M32" s="100">
        <v>2159934.6761130001</v>
      </c>
    </row>
    <row r="33" spans="1:13">
      <c r="A33" s="61" t="s">
        <v>588</v>
      </c>
      <c r="B33" s="100">
        <v>-173052116.30844414</v>
      </c>
      <c r="C33" s="100">
        <v>36412709.898115262</v>
      </c>
      <c r="D33" s="100">
        <v>47749035.471484713</v>
      </c>
      <c r="E33" s="100">
        <v>65133948.013233103</v>
      </c>
      <c r="F33" s="100">
        <v>68734131.68701151</v>
      </c>
      <c r="G33" s="100">
        <v>37503873.919644676</v>
      </c>
      <c r="H33" s="100">
        <v>-140934779.48483884</v>
      </c>
      <c r="I33" s="100">
        <v>113745994.8033109</v>
      </c>
      <c r="J33" s="100">
        <v>-37755775.988841191</v>
      </c>
      <c r="K33" s="100">
        <v>132398890.15103179</v>
      </c>
      <c r="L33" s="100">
        <v>119325592.89778543</v>
      </c>
      <c r="M33" s="100">
        <v>134118861.19936909</v>
      </c>
    </row>
    <row r="34" spans="1:13">
      <c r="A34" s="61" t="s">
        <v>589</v>
      </c>
      <c r="B34" s="100">
        <v>45770316.429921031</v>
      </c>
      <c r="C34" s="100">
        <v>12120342.121270984</v>
      </c>
      <c r="D34" s="100">
        <v>40326153.544396065</v>
      </c>
      <c r="E34" s="100">
        <v>9198418.6498980001</v>
      </c>
      <c r="F34" s="100">
        <v>13693320.657627001</v>
      </c>
      <c r="G34" s="100">
        <v>11163739.43763</v>
      </c>
      <c r="H34" s="100">
        <v>16225806.821628001</v>
      </c>
      <c r="I34" s="100">
        <v>16692432.456898002</v>
      </c>
      <c r="J34" s="100">
        <v>17571409.723329999</v>
      </c>
      <c r="K34" s="100">
        <v>23573580.312743001</v>
      </c>
      <c r="L34" s="100">
        <v>20164277.735974997</v>
      </c>
      <c r="M34" s="100">
        <v>16447710.281914001</v>
      </c>
    </row>
    <row r="35" spans="1:13">
      <c r="A35" s="61" t="s">
        <v>590</v>
      </c>
      <c r="B35" s="100">
        <v>-130263852.97393821</v>
      </c>
      <c r="C35" s="100">
        <v>6534685.3615526324</v>
      </c>
      <c r="D35" s="100">
        <v>54930505.782653809</v>
      </c>
      <c r="E35" s="100">
        <v>-99914965.383382186</v>
      </c>
      <c r="F35" s="100">
        <v>27639105.424734242</v>
      </c>
      <c r="G35" s="100">
        <v>73697235.882050946</v>
      </c>
      <c r="H35" s="100">
        <v>7257532.936169791</v>
      </c>
      <c r="I35" s="100">
        <v>39502400.882400483</v>
      </c>
      <c r="J35" s="100">
        <v>114156292.20879264</v>
      </c>
      <c r="K35" s="100">
        <v>6697266.3561080769</v>
      </c>
      <c r="L35" s="100">
        <v>82179525.525094822</v>
      </c>
      <c r="M35" s="100">
        <v>192192604.70193848</v>
      </c>
    </row>
    <row r="36" spans="1:13">
      <c r="A36" s="61" t="s">
        <v>591</v>
      </c>
      <c r="B36" s="100">
        <v>141129994.19054344</v>
      </c>
      <c r="C36" s="100">
        <v>-36179001.657520682</v>
      </c>
      <c r="D36" s="100">
        <v>262804221.12082922</v>
      </c>
      <c r="E36" s="100">
        <v>-76103459.59395653</v>
      </c>
      <c r="F36" s="100">
        <v>54007208.28727074</v>
      </c>
      <c r="G36" s="100">
        <v>139767720.29338723</v>
      </c>
      <c r="H36" s="100">
        <v>-20729379.492872264</v>
      </c>
      <c r="I36" s="100">
        <v>50727857.902871408</v>
      </c>
      <c r="J36" s="100">
        <v>132300960.24235561</v>
      </c>
      <c r="K36" s="100">
        <v>-124980613.30897719</v>
      </c>
      <c r="L36" s="100">
        <v>-3253813.3568167132</v>
      </c>
      <c r="M36" s="100">
        <v>126020980.49563636</v>
      </c>
    </row>
    <row r="37" spans="1:13">
      <c r="A37" s="61" t="s">
        <v>592</v>
      </c>
      <c r="B37" s="100">
        <v>-251499357.28937766</v>
      </c>
      <c r="C37" s="100">
        <v>-40355637.817119509</v>
      </c>
      <c r="D37" s="100">
        <v>295938401.89723045</v>
      </c>
      <c r="E37" s="100">
        <v>-152004628.1632539</v>
      </c>
      <c r="F37" s="100">
        <v>95424659.398489252</v>
      </c>
      <c r="G37" s="100">
        <v>269530636.1083982</v>
      </c>
      <c r="H37" s="100">
        <v>-96936858.710222632</v>
      </c>
      <c r="I37" s="100">
        <v>-14295385.520208869</v>
      </c>
      <c r="J37" s="100">
        <v>302378422.14700419</v>
      </c>
      <c r="K37" s="100">
        <v>-161857767.65035206</v>
      </c>
      <c r="L37" s="100">
        <v>278305667.01490194</v>
      </c>
      <c r="M37" s="100">
        <v>328011334.27436227</v>
      </c>
    </row>
    <row r="38" spans="1:13">
      <c r="A38" s="61" t="s">
        <v>531</v>
      </c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5"/>
    </row>
    <row r="39" spans="1:13">
      <c r="A39" s="61" t="s">
        <v>532</v>
      </c>
      <c r="B39" s="64">
        <v>0</v>
      </c>
      <c r="C39" s="64">
        <v>0</v>
      </c>
      <c r="D39" s="64">
        <v>0</v>
      </c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v>0</v>
      </c>
      <c r="M39" s="65">
        <v>0</v>
      </c>
    </row>
    <row r="40" spans="1:13">
      <c r="A40" s="61" t="s">
        <v>533</v>
      </c>
      <c r="B40" s="64">
        <v>49.620793999999997</v>
      </c>
      <c r="C40" s="64">
        <v>46.632035000000002</v>
      </c>
      <c r="D40" s="64">
        <v>40.484012999999997</v>
      </c>
      <c r="E40" s="64">
        <v>33.103712999999999</v>
      </c>
      <c r="F40" s="64">
        <v>37.715940000000003</v>
      </c>
      <c r="G40" s="64">
        <v>26.200652999999999</v>
      </c>
      <c r="H40" s="64">
        <v>23.823858000000001</v>
      </c>
      <c r="I40" s="64">
        <v>29.456555000000002</v>
      </c>
      <c r="J40" s="64">
        <v>23.352716000000001</v>
      </c>
      <c r="K40" s="64">
        <v>26.941554</v>
      </c>
      <c r="L40" s="64">
        <v>40.688488</v>
      </c>
      <c r="M40" s="65">
        <v>40.876235000000001</v>
      </c>
    </row>
    <row r="41" spans="1:13">
      <c r="A41" s="61" t="s">
        <v>534</v>
      </c>
      <c r="B41" s="64">
        <v>79.960121999999998</v>
      </c>
      <c r="C41" s="64">
        <v>84.378345999999993</v>
      </c>
      <c r="D41" s="64">
        <v>78.722449999999995</v>
      </c>
      <c r="E41" s="64">
        <v>71.292889000000002</v>
      </c>
      <c r="F41" s="64">
        <v>68.438382000000004</v>
      </c>
      <c r="G41" s="64">
        <v>66.390398000000005</v>
      </c>
      <c r="H41" s="64">
        <v>58.966822999999998</v>
      </c>
      <c r="I41" s="64">
        <v>59.333703</v>
      </c>
      <c r="J41" s="64">
        <v>65.439428000000007</v>
      </c>
      <c r="K41" s="64">
        <v>68.560908999999995</v>
      </c>
      <c r="L41" s="64">
        <v>62.627057000000001</v>
      </c>
      <c r="M41" s="65">
        <v>65.051164999999997</v>
      </c>
    </row>
    <row r="42" spans="1:13">
      <c r="A42" s="61" t="s">
        <v>535</v>
      </c>
      <c r="B42" s="64">
        <v>78.112427999999994</v>
      </c>
      <c r="C42" s="64">
        <v>77.177970000000002</v>
      </c>
      <c r="D42" s="64">
        <v>75.465254999999999</v>
      </c>
      <c r="E42" s="64">
        <v>74.751490000000004</v>
      </c>
      <c r="F42" s="64">
        <v>72.923210999999995</v>
      </c>
      <c r="G42" s="64">
        <v>69.381170999999995</v>
      </c>
      <c r="H42" s="64">
        <v>69.886600000000001</v>
      </c>
      <c r="I42" s="64">
        <v>68.254524000000004</v>
      </c>
      <c r="J42" s="64">
        <v>66.842540999999997</v>
      </c>
      <c r="K42" s="64">
        <v>67.465306999999996</v>
      </c>
      <c r="L42" s="64">
        <v>67.030598999999995</v>
      </c>
      <c r="M42" s="65">
        <v>65.506105000000005</v>
      </c>
    </row>
    <row r="43" spans="1:13">
      <c r="A43" s="61" t="s">
        <v>536</v>
      </c>
      <c r="B43" s="64">
        <v>0</v>
      </c>
      <c r="C43" s="64">
        <v>0</v>
      </c>
      <c r="D43" s="64">
        <v>0</v>
      </c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5">
        <v>0</v>
      </c>
    </row>
    <row r="44" spans="1:13">
      <c r="A44" s="61" t="s">
        <v>537</v>
      </c>
      <c r="B44" s="64">
        <v>0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65">
        <v>0</v>
      </c>
    </row>
    <row r="45" spans="1:13">
      <c r="A45" s="61" t="s">
        <v>538</v>
      </c>
      <c r="B45" s="64">
        <v>0</v>
      </c>
      <c r="C45" s="64">
        <v>0</v>
      </c>
      <c r="D45" s="64">
        <v>0</v>
      </c>
      <c r="E45" s="64">
        <v>0</v>
      </c>
      <c r="F45" s="64">
        <v>0</v>
      </c>
      <c r="G45" s="64">
        <v>0</v>
      </c>
      <c r="H45" s="64">
        <v>0</v>
      </c>
      <c r="I45" s="64">
        <v>0</v>
      </c>
      <c r="J45" s="64">
        <v>0</v>
      </c>
      <c r="K45" s="64">
        <v>0</v>
      </c>
      <c r="L45" s="64">
        <v>0</v>
      </c>
      <c r="M45" s="65">
        <v>0</v>
      </c>
    </row>
    <row r="46" spans="1:13">
      <c r="A46" s="61" t="s">
        <v>539</v>
      </c>
      <c r="B46" s="64">
        <v>47.504905999999998</v>
      </c>
      <c r="C46" s="64">
        <v>52.164575999999997</v>
      </c>
      <c r="D46" s="64">
        <v>52.133780999999999</v>
      </c>
      <c r="E46" s="64">
        <v>51.326670999999997</v>
      </c>
      <c r="F46" s="64">
        <v>51.668312999999998</v>
      </c>
      <c r="G46" s="64">
        <v>51.790348999999999</v>
      </c>
      <c r="H46" s="64">
        <v>51.241509000000001</v>
      </c>
      <c r="I46" s="64">
        <v>52.670667000000002</v>
      </c>
      <c r="J46" s="64">
        <v>53.593989000000001</v>
      </c>
      <c r="K46" s="64">
        <v>51.239071000000003</v>
      </c>
      <c r="L46" s="64">
        <v>51.777191999999999</v>
      </c>
      <c r="M46" s="65">
        <v>51.321292</v>
      </c>
    </row>
    <row r="47" spans="1:13">
      <c r="A47" s="61" t="s">
        <v>540</v>
      </c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5"/>
    </row>
    <row r="48" spans="1:13">
      <c r="A48" s="61" t="s">
        <v>541</v>
      </c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5"/>
    </row>
    <row r="49" spans="1:13">
      <c r="A49" s="61" t="s">
        <v>542</v>
      </c>
    </row>
    <row r="50" spans="1:13">
      <c r="A50" s="61" t="s">
        <v>543</v>
      </c>
      <c r="B50" s="64">
        <v>0</v>
      </c>
      <c r="C50" s="64">
        <v>0</v>
      </c>
      <c r="D50" s="64">
        <v>0</v>
      </c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v>0</v>
      </c>
      <c r="M50" s="65">
        <v>0</v>
      </c>
    </row>
    <row r="51" spans="1:13">
      <c r="A51" s="61" t="s">
        <v>544</v>
      </c>
      <c r="B51" s="64">
        <v>130.67318499999999</v>
      </c>
      <c r="C51" s="64">
        <v>116.096349</v>
      </c>
      <c r="D51" s="64">
        <v>107.69444799999999</v>
      </c>
      <c r="E51" s="64">
        <v>101.85983</v>
      </c>
      <c r="F51" s="64">
        <v>98.039141000000001</v>
      </c>
      <c r="G51" s="64">
        <v>95.215931999999995</v>
      </c>
      <c r="H51" s="64">
        <v>93.466088999999997</v>
      </c>
      <c r="I51" s="64">
        <v>92.461579999999998</v>
      </c>
      <c r="J51" s="64">
        <v>92.416455999999997</v>
      </c>
      <c r="K51" s="64">
        <v>92.330954000000006</v>
      </c>
      <c r="L51" s="64">
        <v>92.344033999999994</v>
      </c>
      <c r="M51" s="65">
        <v>92.207059999999998</v>
      </c>
    </row>
    <row r="52" spans="1:13">
      <c r="A52" s="61" t="s">
        <v>545</v>
      </c>
      <c r="B52" s="64">
        <v>37.798729999999999</v>
      </c>
      <c r="C52" s="64">
        <v>33.531095999999998</v>
      </c>
      <c r="D52" s="64">
        <v>32.413907000000002</v>
      </c>
      <c r="E52" s="64">
        <v>33.409439999999996</v>
      </c>
      <c r="F52" s="64">
        <v>31.321681000000002</v>
      </c>
      <c r="G52" s="64">
        <v>29.025169999999999</v>
      </c>
      <c r="H52" s="64">
        <v>26.946511999999998</v>
      </c>
      <c r="I52" s="64">
        <v>32.057695000000002</v>
      </c>
      <c r="J52" s="64">
        <v>30.826036999999999</v>
      </c>
      <c r="K52" s="64">
        <v>36.324804</v>
      </c>
      <c r="L52" s="64">
        <v>29.930099999999999</v>
      </c>
      <c r="M52" s="65">
        <v>34.718997999999999</v>
      </c>
    </row>
    <row r="53" spans="1:13">
      <c r="A53" s="61" t="s">
        <v>546</v>
      </c>
      <c r="B53" s="64">
        <v>21.7833364</v>
      </c>
      <c r="C53" s="64">
        <v>21.642841600000001</v>
      </c>
      <c r="D53" s="64">
        <v>21.206572000000001</v>
      </c>
      <c r="E53" s="64">
        <v>20.808782400000002</v>
      </c>
      <c r="F53" s="64">
        <v>20.381889200000003</v>
      </c>
      <c r="G53" s="64">
        <v>19.296892400000001</v>
      </c>
      <c r="H53" s="64">
        <v>19.0131516</v>
      </c>
      <c r="I53" s="64">
        <v>18.487952400000001</v>
      </c>
      <c r="J53" s="64">
        <v>17.841613599999999</v>
      </c>
      <c r="K53" s="64">
        <v>17.537029999999998</v>
      </c>
      <c r="L53" s="64">
        <v>17.5246104</v>
      </c>
      <c r="M53" s="65">
        <v>17.091279199999999</v>
      </c>
    </row>
    <row r="54" spans="1:13">
      <c r="A54" s="61" t="s">
        <v>547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5">
        <v>0</v>
      </c>
    </row>
    <row r="55" spans="1:13">
      <c r="A55" s="61" t="s">
        <v>548</v>
      </c>
      <c r="B55" s="64">
        <v>0</v>
      </c>
      <c r="C55" s="64">
        <v>0</v>
      </c>
      <c r="D55" s="64">
        <v>0</v>
      </c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v>0</v>
      </c>
      <c r="M55" s="65">
        <v>0</v>
      </c>
    </row>
    <row r="56" spans="1:13">
      <c r="A56" s="61" t="s">
        <v>549</v>
      </c>
      <c r="B56" s="64">
        <v>0</v>
      </c>
      <c r="C56" s="64">
        <v>0</v>
      </c>
      <c r="D56" s="64">
        <v>0</v>
      </c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5">
        <v>0</v>
      </c>
    </row>
    <row r="57" spans="1:13">
      <c r="A57" s="61" t="s">
        <v>550</v>
      </c>
      <c r="B57" s="64">
        <v>20.107825200000001</v>
      </c>
      <c r="C57" s="64">
        <v>20.431888400000002</v>
      </c>
      <c r="D57" s="64">
        <v>19.796486400000003</v>
      </c>
      <c r="E57" s="64">
        <v>19.575780800000004</v>
      </c>
      <c r="F57" s="64">
        <v>19.8195564</v>
      </c>
      <c r="G57" s="64">
        <v>21.606784400000002</v>
      </c>
      <c r="H57" s="64">
        <v>20.949938400000001</v>
      </c>
      <c r="I57" s="64">
        <v>18.67886</v>
      </c>
      <c r="J57" s="64">
        <v>19.795433600000003</v>
      </c>
      <c r="K57" s="64">
        <v>22.0395824</v>
      </c>
      <c r="L57" s="64">
        <v>20.361782000000002</v>
      </c>
      <c r="M57" s="65">
        <v>18.813844400000001</v>
      </c>
    </row>
    <row r="58" spans="1:13">
      <c r="A58" s="61" t="s">
        <v>551</v>
      </c>
    </row>
    <row r="59" spans="1:13">
      <c r="A59" s="61" t="s">
        <v>552</v>
      </c>
    </row>
    <row r="60" spans="1:13">
      <c r="A60" s="61" t="s">
        <v>553</v>
      </c>
    </row>
    <row r="61" spans="1:13">
      <c r="A61" s="61" t="s">
        <v>554</v>
      </c>
      <c r="B61" s="64">
        <v>0</v>
      </c>
      <c r="C61" s="64">
        <v>0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5">
        <v>0</v>
      </c>
    </row>
    <row r="62" spans="1:13">
      <c r="A62" s="61" t="s">
        <v>555</v>
      </c>
      <c r="B62" s="64">
        <v>83</v>
      </c>
      <c r="C62" s="64">
        <v>56</v>
      </c>
      <c r="D62" s="64">
        <v>54</v>
      </c>
      <c r="E62" s="64">
        <v>52</v>
      </c>
      <c r="F62" s="64">
        <v>54</v>
      </c>
      <c r="G62" s="64">
        <v>56</v>
      </c>
      <c r="H62" s="64">
        <v>58</v>
      </c>
      <c r="I62" s="64">
        <v>70</v>
      </c>
      <c r="J62" s="64">
        <v>78</v>
      </c>
      <c r="K62" s="64">
        <v>87</v>
      </c>
      <c r="L62" s="64">
        <v>93</v>
      </c>
      <c r="M62" s="65">
        <v>90</v>
      </c>
    </row>
    <row r="63" spans="1:13">
      <c r="A63" s="61" t="s">
        <v>556</v>
      </c>
      <c r="B63" s="64">
        <v>81.749396000000004</v>
      </c>
      <c r="C63" s="64">
        <v>78.386241999999996</v>
      </c>
      <c r="D63" s="64">
        <v>80.350961999999996</v>
      </c>
      <c r="E63" s="64">
        <v>75.088893999999996</v>
      </c>
      <c r="F63" s="64">
        <v>70.332522999999995</v>
      </c>
      <c r="G63" s="64">
        <v>68.784565000000001</v>
      </c>
      <c r="H63" s="64">
        <v>60.657024</v>
      </c>
      <c r="I63" s="64">
        <v>61.819308999999997</v>
      </c>
      <c r="J63" s="64">
        <v>68.576993000000002</v>
      </c>
      <c r="K63" s="64">
        <v>71.988587999999993</v>
      </c>
      <c r="L63" s="64">
        <v>64.637826000000004</v>
      </c>
      <c r="M63" s="65">
        <v>67.298816000000002</v>
      </c>
    </row>
    <row r="64" spans="1:13">
      <c r="A64" s="61" t="s">
        <v>557</v>
      </c>
      <c r="B64" s="64">
        <v>103.643153</v>
      </c>
      <c r="C64" s="64">
        <v>101.147665</v>
      </c>
      <c r="D64" s="64">
        <v>96.937202999999997</v>
      </c>
      <c r="E64" s="64">
        <v>93.995446999999999</v>
      </c>
      <c r="F64" s="64">
        <v>90.695234999999997</v>
      </c>
      <c r="G64" s="64">
        <v>84.806027999999998</v>
      </c>
      <c r="H64" s="64">
        <v>83.101783999999995</v>
      </c>
      <c r="I64" s="64">
        <v>79.253626999999994</v>
      </c>
      <c r="J64" s="64">
        <v>75.903655000000001</v>
      </c>
      <c r="K64" s="64">
        <v>75.856888999999995</v>
      </c>
      <c r="L64" s="64">
        <v>75.522695999999996</v>
      </c>
      <c r="M64" s="65">
        <v>73.937826000000001</v>
      </c>
    </row>
    <row r="65" spans="1:13">
      <c r="A65" s="61" t="s">
        <v>558</v>
      </c>
      <c r="B65" s="64">
        <v>0</v>
      </c>
      <c r="C65" s="64">
        <v>0</v>
      </c>
      <c r="D65" s="64">
        <v>0</v>
      </c>
      <c r="E65" s="64">
        <v>0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v>0</v>
      </c>
      <c r="M65" s="65">
        <v>0</v>
      </c>
    </row>
    <row r="66" spans="1:13">
      <c r="A66" s="61" t="s">
        <v>559</v>
      </c>
      <c r="B66" s="64">
        <v>0</v>
      </c>
      <c r="C66" s="64">
        <v>0</v>
      </c>
      <c r="D66" s="64">
        <v>0</v>
      </c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5">
        <v>0</v>
      </c>
    </row>
    <row r="67" spans="1:13">
      <c r="A67" s="61" t="s">
        <v>560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v>0</v>
      </c>
      <c r="M67" s="65">
        <v>0</v>
      </c>
    </row>
    <row r="68" spans="1:13">
      <c r="A68" s="61" t="s">
        <v>561</v>
      </c>
      <c r="B68" s="64">
        <v>86.397227999999998</v>
      </c>
      <c r="C68" s="64">
        <v>89.848748000000001</v>
      </c>
      <c r="D68" s="64">
        <v>92.240860999999995</v>
      </c>
      <c r="E68" s="64">
        <v>79.614267999999996</v>
      </c>
      <c r="F68" s="64">
        <v>81.647268999999994</v>
      </c>
      <c r="G68" s="64">
        <v>91.845511000000002</v>
      </c>
      <c r="H68" s="64">
        <v>81.710020999999998</v>
      </c>
      <c r="I68" s="64">
        <v>77.490063000000006</v>
      </c>
      <c r="J68" s="64">
        <v>90.160786999999999</v>
      </c>
      <c r="K68" s="64">
        <v>78.480880999999997</v>
      </c>
      <c r="L68" s="64">
        <v>78.742801999999998</v>
      </c>
      <c r="M68" s="65">
        <v>89.901291000000001</v>
      </c>
    </row>
    <row r="69" spans="1:13">
      <c r="A69" s="61" t="s">
        <v>562</v>
      </c>
    </row>
    <row r="70" spans="1:13">
      <c r="A70" s="61" t="s">
        <v>563</v>
      </c>
    </row>
    <row r="71" spans="1:13">
      <c r="A71" s="61" t="s">
        <v>564</v>
      </c>
    </row>
    <row r="72" spans="1:13">
      <c r="A72" s="61" t="s">
        <v>565</v>
      </c>
      <c r="B72" s="64">
        <v>0</v>
      </c>
      <c r="C72" s="64">
        <v>0</v>
      </c>
      <c r="D72" s="64">
        <v>0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v>0</v>
      </c>
      <c r="M72" s="65">
        <v>0</v>
      </c>
    </row>
    <row r="73" spans="1:13">
      <c r="A73" s="61" t="s">
        <v>566</v>
      </c>
      <c r="B73" s="64">
        <v>68.391420000000011</v>
      </c>
      <c r="C73" s="64">
        <v>46.744324999999989</v>
      </c>
      <c r="D73" s="64">
        <v>29.002952999999991</v>
      </c>
      <c r="E73" s="64">
        <v>20.821919000000008</v>
      </c>
      <c r="F73" s="64">
        <v>29.808085000000005</v>
      </c>
      <c r="G73" s="64">
        <v>25.462834000000001</v>
      </c>
      <c r="H73" s="64">
        <v>34.671571999999998</v>
      </c>
      <c r="I73" s="64">
        <v>40.468367999999998</v>
      </c>
      <c r="J73" s="64">
        <v>42.733014999999995</v>
      </c>
      <c r="K73" s="64">
        <v>48.225825</v>
      </c>
      <c r="L73" s="64">
        <v>64.285157000000012</v>
      </c>
      <c r="M73" s="65">
        <v>66.711705999999978</v>
      </c>
    </row>
    <row r="74" spans="1:13">
      <c r="A74" s="61" t="s">
        <v>567</v>
      </c>
      <c r="B74" s="64">
        <v>20.34313499999999</v>
      </c>
      <c r="C74" s="64">
        <v>30.810308000000006</v>
      </c>
      <c r="D74" s="64">
        <v>32.415953000000002</v>
      </c>
      <c r="E74" s="64">
        <v>50.648183000000003</v>
      </c>
      <c r="F74" s="64">
        <v>43.863702000000018</v>
      </c>
      <c r="G74" s="64">
        <v>30.986643000000001</v>
      </c>
      <c r="H74" s="64">
        <v>35.589034999999996</v>
      </c>
      <c r="I74" s="64">
        <v>27.970161000000012</v>
      </c>
      <c r="J74" s="64">
        <v>28.757366000000005</v>
      </c>
      <c r="K74" s="64">
        <v>41.557514999999981</v>
      </c>
      <c r="L74" s="64">
        <v>33.713940000000008</v>
      </c>
      <c r="M74" s="65">
        <v>30.622948000000008</v>
      </c>
    </row>
    <row r="75" spans="1:13">
      <c r="A75" s="61" t="s">
        <v>568</v>
      </c>
      <c r="B75" s="64">
        <v>-9.607696599999997</v>
      </c>
      <c r="C75" s="64">
        <v>-9.9014291999999955</v>
      </c>
      <c r="D75" s="64">
        <v>-10.327691600000009</v>
      </c>
      <c r="E75" s="64">
        <v>-10.807990600000011</v>
      </c>
      <c r="F75" s="64">
        <v>-11.419385199999994</v>
      </c>
      <c r="G75" s="64">
        <v>-11.845164400000002</v>
      </c>
      <c r="H75" s="64">
        <v>-12.005513999999991</v>
      </c>
      <c r="I75" s="64">
        <v>-12.00982759999998</v>
      </c>
      <c r="J75" s="64">
        <v>-11.994371999999984</v>
      </c>
      <c r="K75" s="64">
        <v>-11.958483000000001</v>
      </c>
      <c r="L75" s="64">
        <v>-11.995661999999996</v>
      </c>
      <c r="M75" s="65">
        <v>-12.044351599999999</v>
      </c>
    </row>
    <row r="76" spans="1:13">
      <c r="A76" s="61" t="s">
        <v>569</v>
      </c>
      <c r="B76" s="64">
        <v>0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v>0</v>
      </c>
      <c r="M76" s="65">
        <v>0</v>
      </c>
    </row>
    <row r="77" spans="1:13">
      <c r="A77" s="61" t="s">
        <v>570</v>
      </c>
      <c r="B77" s="64">
        <v>21.668214599999999</v>
      </c>
      <c r="C77" s="64">
        <v>9.8869308000000018</v>
      </c>
      <c r="D77" s="64">
        <v>-7.3612079999999906</v>
      </c>
      <c r="E77" s="64">
        <v>-1.5222129999999936</v>
      </c>
      <c r="F77" s="64">
        <v>-0.12253759999998692</v>
      </c>
      <c r="G77" s="64">
        <v>-13.132515999999995</v>
      </c>
      <c r="H77" s="64">
        <v>-2.527579199999991</v>
      </c>
      <c r="I77" s="64">
        <v>0.48913679999999715</v>
      </c>
      <c r="J77" s="64">
        <v>-16.4316788</v>
      </c>
      <c r="K77" s="64">
        <v>-3.9957366000000007</v>
      </c>
      <c r="L77" s="64">
        <v>-3.0605123999999932</v>
      </c>
      <c r="M77" s="65">
        <v>-17.067629600000004</v>
      </c>
    </row>
    <row r="78" spans="1:13">
      <c r="A78" s="61" t="s">
        <v>571</v>
      </c>
      <c r="B78" s="64">
        <v>33.048508200000008</v>
      </c>
      <c r="C78" s="64">
        <v>37.147155799999993</v>
      </c>
      <c r="D78" s="64">
        <v>17.403437400000001</v>
      </c>
      <c r="E78" s="64">
        <v>31.579054599999999</v>
      </c>
      <c r="F78" s="64">
        <v>21.607725800000011</v>
      </c>
      <c r="G78" s="64">
        <v>1.6228772000000049</v>
      </c>
      <c r="H78" s="64">
        <v>17.423336400000011</v>
      </c>
      <c r="I78" s="64">
        <v>33.957793200000005</v>
      </c>
      <c r="J78" s="64">
        <v>25.673500199999999</v>
      </c>
      <c r="K78" s="64">
        <v>30.520933200000009</v>
      </c>
      <c r="L78" s="64">
        <v>19.912384000000003</v>
      </c>
      <c r="M78" s="65">
        <v>-2.4372390000000053</v>
      </c>
    </row>
    <row r="79" spans="1:13">
      <c r="A79" s="61" t="s">
        <v>572</v>
      </c>
      <c r="B79" s="64">
        <v>-8.813999999999993</v>
      </c>
      <c r="C79" s="64">
        <v>-3.2560000000000002</v>
      </c>
      <c r="D79" s="64">
        <v>-3.0019999999999953</v>
      </c>
      <c r="E79" s="64">
        <v>-2.2120000000000033</v>
      </c>
      <c r="F79" s="64">
        <v>-3.2979999999999876</v>
      </c>
      <c r="G79" s="64">
        <v>1.6380000000000052</v>
      </c>
      <c r="H79" s="64">
        <v>-2.6899999999999835</v>
      </c>
      <c r="I79" s="64">
        <v>-9.4879999999999853</v>
      </c>
      <c r="J79" s="64">
        <v>-8.8059999999999974</v>
      </c>
      <c r="K79" s="64">
        <v>-7.5560000000000116</v>
      </c>
      <c r="L79" s="64">
        <v>-4.304000000000002</v>
      </c>
      <c r="M79" s="65">
        <v>-10</v>
      </c>
    </row>
    <row r="80" spans="1:13">
      <c r="A80" s="61" t="s">
        <v>573</v>
      </c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5"/>
    </row>
    <row r="81" spans="1:13">
      <c r="A81" s="61" t="s">
        <v>574</v>
      </c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7"/>
    </row>
  </sheetData>
  <pageMargins left="0.7" right="0.7" top="0.75" bottom="0.75" header="0.3" footer="0.3"/>
  <customProperties>
    <customPr name="_pios_id" r:id="rId1"/>
    <customPr name="CofWorksheetType" r:id="rId2"/>
    <customPr name="EpmWorksheetKeyString_GUID" r:id="rId3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FEB22573B778C949A0F72ABA5F787E07" ma:contentTypeVersion="13" ma:contentTypeDescription="Yeni belge oluşturun." ma:contentTypeScope="" ma:versionID="42036572bb8709fea7d613fe9d641048">
  <xsd:schema xmlns:xsd="http://www.w3.org/2001/XMLSchema" xmlns:xs="http://www.w3.org/2001/XMLSchema" xmlns:p="http://schemas.microsoft.com/office/2006/metadata/properties" xmlns:ns2="ac36b02b-51e3-4706-aa13-2231510efbba" xmlns:ns3="ffc080de-1147-4725-b627-c3d89befa441" targetNamespace="http://schemas.microsoft.com/office/2006/metadata/properties" ma:root="true" ma:fieldsID="30257bddadbb6a299041d082aa1d0ed7" ns2:_="" ns3:_="">
    <xsd:import namespace="ac36b02b-51e3-4706-aa13-2231510efbba"/>
    <xsd:import namespace="ffc080de-1147-4725-b627-c3d89befa4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36b02b-51e3-4706-aa13-2231510efb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c080de-1147-4725-b627-c3d89befa44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Application xmlns="http://www.sap.com/cof/excel/application">
  <Version>2</Version>
  <Revision>2.7.500.88128</Revision>
</Application>
</file>

<file path=customXml/itemProps1.xml><?xml version="1.0" encoding="utf-8"?>
<ds:datastoreItem xmlns:ds="http://schemas.openxmlformats.org/officeDocument/2006/customXml" ds:itemID="{0A239BD3-DFD8-469B-BAB5-44BDF4AA73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36b02b-51e3-4706-aa13-2231510efbba"/>
    <ds:schemaRef ds:uri="ffc080de-1147-4725-b627-c3d89befa4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304FC2-174D-4C9E-A8D3-07FD86AC1A7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B2A5B59-66E9-4D9F-BEE0-E67AC4551D6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34A2CBA-0B0B-48DB-BA96-92798DB28FB5}">
  <ds:schemaRefs>
    <ds:schemaRef ds:uri="http://www.sap.com/cof/excel/applic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27</vt:i4>
      </vt:variant>
      <vt:variant>
        <vt:lpstr>Adlandırılmış Aralıklar</vt:lpstr>
      </vt:variant>
      <vt:variant>
        <vt:i4>10</vt:i4>
      </vt:variant>
    </vt:vector>
  </HeadingPairs>
  <TitlesOfParts>
    <vt:vector size="37" baseType="lpstr">
      <vt:lpstr>Finansal Raporlama AY</vt:lpstr>
      <vt:lpstr>Finansal Raporlama KÜM</vt:lpstr>
      <vt:lpstr>Finansal Raporlama Tahmin</vt:lpstr>
      <vt:lpstr>A -Döviz</vt:lpstr>
      <vt:lpstr>C-Döviz</vt:lpstr>
      <vt:lpstr>A-TRY</vt:lpstr>
      <vt:lpstr>C-TRY</vt:lpstr>
      <vt:lpstr>Özet Rapor</vt:lpstr>
      <vt:lpstr>HS</vt:lpstr>
      <vt:lpstr>Tahmin-eur</vt:lpstr>
      <vt:lpstr>Tahmin-tl</vt:lpstr>
      <vt:lpstr>Tahmin - Bağış, İş Gel. Hrç</vt:lpstr>
      <vt:lpstr>EBIDA Bridge</vt:lpstr>
      <vt:lpstr>Tahmin</vt:lpstr>
      <vt:lpstr>Tahmin (3)</vt:lpstr>
      <vt:lpstr>Tahmin (4)</vt:lpstr>
      <vt:lpstr>Tahmin Data</vt:lpstr>
      <vt:lpstr>Tahmin (2)</vt:lpstr>
      <vt:lpstr>Bağış - İş Geliştirme Hariç</vt:lpstr>
      <vt:lpstr>gerç aylık-eur</vt:lpstr>
      <vt:lpstr>gerç aylık-tl</vt:lpstr>
      <vt:lpstr>değişim aylık eur</vt:lpstr>
      <vt:lpstr>değişim-tl</vt:lpstr>
      <vt:lpstr>Bütçe aylık-Eur</vt:lpstr>
      <vt:lpstr>Bütçe Değişim eur</vt:lpstr>
      <vt:lpstr>Bütçe aylık-TL</vt:lpstr>
      <vt:lpstr>Bütçe Değişim TL</vt:lpstr>
      <vt:lpstr>SAPCrosstab1</vt:lpstr>
      <vt:lpstr>SAPCrosstab10</vt:lpstr>
      <vt:lpstr>SAPCrosstab2</vt:lpstr>
      <vt:lpstr>SAPCrosstab3</vt:lpstr>
      <vt:lpstr>SAPCrosstab4</vt:lpstr>
      <vt:lpstr>SAPCrosstab5</vt:lpstr>
      <vt:lpstr>SAPCrosstab6</vt:lpstr>
      <vt:lpstr>SAPCrosstab7</vt:lpstr>
      <vt:lpstr>SAPCrosstab8</vt:lpstr>
      <vt:lpstr>SAPCrosstab9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Burcu İrim</dc:creator>
  <cp:keywords/>
  <dc:description/>
  <cp:lastModifiedBy>Deniz Giray Karcı</cp:lastModifiedBy>
  <cp:revision/>
  <dcterms:created xsi:type="dcterms:W3CDTF">2020-01-28T11:14:29Z</dcterms:created>
  <dcterms:modified xsi:type="dcterms:W3CDTF">2025-10-20T08:41:27Z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  <property fmtid="{D5CDD505-2E9C-101B-9397-08002B2CF9AE}" pid="3" name="ContentTypeId">
    <vt:lpwstr>0x010100FEB22573B778C949A0F72ABA5F787E07</vt:lpwstr>
  </property>
</Properties>
</file>