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esktop\0. 마케팅기획팀\2025\12. 사업계획\2026년\test\"/>
    </mc:Choice>
  </mc:AlternateContent>
  <xr:revisionPtr revIDLastSave="0" documentId="13_ncr:1_{15F53745-063E-40CC-B07E-245FB71784CE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표지1" sheetId="16" r:id="rId1"/>
    <sheet name="1. 25년 사업계획 총현황" sheetId="9" r:id="rId2"/>
    <sheet name="2-1 공급전(총괄)" sheetId="2" r:id="rId3"/>
    <sheet name="2-2 공급전 상세" sheetId="3" r:id="rId4"/>
    <sheet name="3-1 공급량(총괄)" sheetId="4" r:id="rId5"/>
    <sheet name="3-1 공급량(총괄) (2)" sheetId="17" state="hidden" r:id="rId6"/>
    <sheet name="3-2 공급량상세" sheetId="5" r:id="rId7"/>
    <sheet name="4-1. 24년 기타경비 실적" sheetId="10" r:id="rId8"/>
    <sheet name="4-2. 25년 기타경비 계획" sheetId="11" r:id="rId9"/>
    <sheet name="4-3. 기타경비(중장기)" sheetId="12" r:id="rId10"/>
    <sheet name="5-1. 시설분담금_종합" sheetId="14" r:id="rId11"/>
    <sheet name="5-2. 시설분담금 상세" sheetId="15" r:id="rId12"/>
    <sheet name="참고1_공동주택현황" sheetId="1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2023년계약월별건수">SUM((MONTH([1]!_2023년계약[계약월])=참고1_공동주택현황!A$5)*1)</definedName>
    <definedName name="_2023년계약첫열순번">MATCH(참고1_공동주택현황!A$5,MONTH([1]!_2023년계약[계약월]),0)-1</definedName>
    <definedName name="_2023년공급월별건수">SUM((MONTH([1]!_2023년공급[공급월])=참고1_공동주택현황!A$5)*1)</definedName>
    <definedName name="_2023년공급첫열순번">MATCH(참고1_공동주택현황!A$5,MONTH([1]!_2023년공급[공급월]),0)-1</definedName>
    <definedName name="_2024년계약월별건수">SUM((MONTH([1]!_2024년계약[계약월])=참고1_공동주택현황!A$5)*1)</definedName>
    <definedName name="_2024년계약첫열순번">MATCH(참고1_공동주택현황!A$5,MONTH([1]!_2024년계약[계약월]),0)-1</definedName>
    <definedName name="_2024년공급월별건수">SUM((MONTH([1]!_2024년공급[공급월])=참고1_공동주택현황!A$5)*1)</definedName>
    <definedName name="_2024년공급첫열순번">MATCH(참고1_공동주택현황!A$5, MONTH([1]!_2024년공급[공급월]),0)-1</definedName>
    <definedName name="_2025년계약월별건수">SUM((MONTH([1]!_2025년계약[계약월])=참고1_공동주택현황!A$5)*1)</definedName>
    <definedName name="_2025년계약첫열순번">MATCH(참고1_공동주택현황!A$5,MONTH([1]!_2025년계약[계약월]),0)-1</definedName>
    <definedName name="_2025년공급월별건수">SUM((MONTH([1]!_2025년공급[공급월])=참고1_공동주택현황!A$5)*1)</definedName>
    <definedName name="_2025년공급첫열순번">MATCH(참고1_공동주택현황!A$5, MONTH([1]!_2025년공급[공급월]),0)-1</definedName>
    <definedName name="_2026년계약월별건수">SUM((MONTH([1]!_2026년계약[계약월])=참고1_공동주택현황!A$65)*1)</definedName>
    <definedName name="_2026년계약첫열순번">MATCH(참고1_공동주택현황!A$65,MONTH([1]!_2026년계약[계약월]),0)-1</definedName>
    <definedName name="_2026년공급월별건수">SUM((MONTH([1]!_2026년공급[공급월])=참고1_공동주택현황!A$65)*1)</definedName>
    <definedName name="_2026년공급첫열순번">MATCH(참고1_공동주택현황!A$65,MONTH([1]!_2026년공급[공급월]),0)-1</definedName>
    <definedName name="√">"SQRT"</definedName>
    <definedName name="Access_Button" hidden="1">"관로9701_ENG_List"</definedName>
    <definedName name="AccessDatabase" hidden="1">"D:\김상욱\기성\관로9701.mdb"</definedName>
    <definedName name="_xlnm.Criteria" localSheetId="5">#REF!</definedName>
    <definedName name="_xlnm.Criteria" localSheetId="10">#REF!</definedName>
    <definedName name="_xlnm.Criteria" localSheetId="11">#REF!</definedName>
    <definedName name="_xlnm.Criteria" localSheetId="0">#REF!</definedName>
    <definedName name="_xlnm.Criteria">#REF!</definedName>
    <definedName name="_xlnm.Print_Area" localSheetId="1">'1. 25년 사업계획 총현황'!$A$1:$L$44</definedName>
    <definedName name="_xlnm.Print_Area" localSheetId="2">'2-1 공급전(총괄)'!$A$1:$M$29</definedName>
    <definedName name="_xlnm.Print_Area" localSheetId="3">'2-2 공급전 상세'!$A$1:$O$123</definedName>
    <definedName name="_xlnm.Print_Area" localSheetId="4">'3-1 공급량(총괄)'!$A$1:$V$31</definedName>
    <definedName name="_xlnm.Print_Area" localSheetId="6">'3-2 공급량상세'!$A$1:$O$170</definedName>
    <definedName name="_xlnm.Print_Area" localSheetId="7">'4-1. 24년 기타경비 실적'!$A$1:$U$77</definedName>
    <definedName name="_xlnm.Print_Area" localSheetId="8">'4-2. 25년 기타경비 계획'!$A$1:$V$76</definedName>
    <definedName name="_xlnm.Print_Area" localSheetId="9">'4-3. 기타경비(중장기)'!$A$1:$U$152</definedName>
    <definedName name="_xlnm.Print_Area" localSheetId="10">'5-1. 시설분담금_종합'!$A$1:$K$26</definedName>
    <definedName name="_xlnm.Print_Area" localSheetId="11">'5-2. 시설분담금 상세'!$A$1:$P$112</definedName>
    <definedName name="_xlnm.Print_Area" localSheetId="0">표지1!$A$1:$Q$35</definedName>
    <definedName name="π">PI()</definedName>
    <definedName name="계획년도">[2]표지!$A$2</definedName>
    <definedName name="관경" localSheetId="5">#REF!</definedName>
    <definedName name="관경" localSheetId="0">#REF!</definedName>
    <definedName name="관경">#REF!</definedName>
    <definedName name="굴착길이" localSheetId="5">#REF!</definedName>
    <definedName name="굴착길이" localSheetId="0">#REF!</definedName>
    <definedName name="굴착길이">#REF!</definedName>
    <definedName name="단가표">[3]단가표!$A$7:$U$7</definedName>
    <definedName name="데이타" localSheetId="5">#REF!</definedName>
    <definedName name="데이타" localSheetId="10">#REF!</definedName>
    <definedName name="데이타" localSheetId="11">#REF!</definedName>
    <definedName name="데이타" localSheetId="0">#REF!</definedName>
    <definedName name="데이타">#REF!</definedName>
    <definedName name="매설심도" localSheetId="5">#REF!</definedName>
    <definedName name="매설심도" localSheetId="0">#REF!</definedName>
    <definedName name="매설심도">#REF!</definedName>
    <definedName name="복구편측여유" localSheetId="5">#REF!</definedName>
    <definedName name="복구편측여유" localSheetId="0">#REF!</definedName>
    <definedName name="복구편측여유">#REF!</definedName>
    <definedName name="비파괴검사매수" localSheetId="5">#REF!</definedName>
    <definedName name="비파괴검사매수" localSheetId="0">#REF!</definedName>
    <definedName name="비파괴검사매수">#REF!</definedName>
    <definedName name="수요자부담분">[4]관로종합명세!$H$5</definedName>
    <definedName name="야간할증율">5%</definedName>
    <definedName name="율">80%</definedName>
    <definedName name="이">[5]단가표!$A$7:$U$7</definedName>
    <definedName name="이사람">[5]단가표!$A$7:$U$7</definedName>
    <definedName name="이중관관경" localSheetId="5">#REF!</definedName>
    <definedName name="이중관관경" localSheetId="0">#REF!</definedName>
    <definedName name="이중관관경">#REF!</definedName>
    <definedName name="이중관길이" localSheetId="5">#REF!</definedName>
    <definedName name="이중관길이" localSheetId="0">#REF!</definedName>
    <definedName name="이중관길이">#REF!</definedName>
    <definedName name="인상율">1%</definedName>
    <definedName name="자재Rray1" localSheetId="5">#REF!</definedName>
    <definedName name="자재Rray1" localSheetId="0">#REF!</definedName>
    <definedName name="자재Rray1">#REF!</definedName>
    <definedName name="자재Rray2" localSheetId="5">#REF!</definedName>
    <definedName name="자재Rray2" localSheetId="0">#REF!</definedName>
    <definedName name="자재Rray2">#REF!</definedName>
    <definedName name="자재관경1" localSheetId="5">#REF!</definedName>
    <definedName name="자재관경1" localSheetId="0">#REF!</definedName>
    <definedName name="자재관경1">#REF!</definedName>
    <definedName name="자재관경2" localSheetId="5">#REF!</definedName>
    <definedName name="자재관경2" localSheetId="0">#REF!</definedName>
    <definedName name="자재관경2">#REF!</definedName>
    <definedName name="자재시트1" localSheetId="5">#REF!</definedName>
    <definedName name="자재시트1" localSheetId="0">#REF!</definedName>
    <definedName name="자재시트1">#REF!</definedName>
    <definedName name="자재시트2" localSheetId="5">#REF!</definedName>
    <definedName name="자재시트2" localSheetId="0">#REF!</definedName>
    <definedName name="자재시트2">#REF!</definedName>
    <definedName name="자재용접1" localSheetId="5">#REF!</definedName>
    <definedName name="자재용접1" localSheetId="0">#REF!</definedName>
    <definedName name="자재용접1">#REF!</definedName>
    <definedName name="자재용접2" localSheetId="5">#REF!</definedName>
    <definedName name="자재용접2" localSheetId="0">#REF!</definedName>
    <definedName name="자재용접2">#REF!</definedName>
    <definedName name="자재융착1" localSheetId="5">#REF!</definedName>
    <definedName name="자재융착1" localSheetId="0">#REF!</definedName>
    <definedName name="자재융착1">#REF!</definedName>
    <definedName name="자재융착2" localSheetId="5">#REF!</definedName>
    <definedName name="자재융착2" localSheetId="0">#REF!</definedName>
    <definedName name="자재융착2">#REF!</definedName>
    <definedName name="자재절단" localSheetId="5">#REF!</definedName>
    <definedName name="자재절단" localSheetId="0">#REF!</definedName>
    <definedName name="자재절단">#REF!</definedName>
    <definedName name="재질" localSheetId="5">#REF!</definedName>
    <definedName name="재질" localSheetId="0">#REF!</definedName>
    <definedName name="재질">#REF!</definedName>
    <definedName name="저압길이" localSheetId="5">#REF!</definedName>
    <definedName name="저압길이" localSheetId="0">#REF!</definedName>
    <definedName name="저압길이">#REF!</definedName>
    <definedName name="저압노출밸브" localSheetId="5">#REF!</definedName>
    <definedName name="저압노출밸브" localSheetId="0">#REF!</definedName>
    <definedName name="저압노출밸브">#REF!</definedName>
    <definedName name="저압매몰밸브" localSheetId="5">#REF!</definedName>
    <definedName name="저압매몰밸브" localSheetId="0">#REF!</definedName>
    <definedName name="저압매몰밸브">#REF!</definedName>
    <definedName name="저압연결">[3]인상계획!$D$24</definedName>
    <definedName name="저압이설">[3]인상계획!$D$27</definedName>
    <definedName name="절단폭" localSheetId="5">#REF!</definedName>
    <definedName name="절단폭" localSheetId="0">#REF!</definedName>
    <definedName name="절단폭">#REF!</definedName>
    <definedName name="정압기">[3]인상계획!$D$31</definedName>
    <definedName name="주야구분" localSheetId="5">#REF!</definedName>
    <definedName name="주야구분" localSheetId="0">#REF!</definedName>
    <definedName name="주야구분">#REF!</definedName>
    <definedName name="중압길이" localSheetId="5">#REF!</definedName>
    <definedName name="중압길이" localSheetId="0">#REF!</definedName>
    <definedName name="중압길이">#REF!</definedName>
    <definedName name="중압노출밸브" localSheetId="5">#REF!</definedName>
    <definedName name="중압노출밸브" localSheetId="0">#REF!</definedName>
    <definedName name="중압노출밸브">#REF!</definedName>
    <definedName name="중압매몰밸브" localSheetId="5">#REF!</definedName>
    <definedName name="중압매몰밸브" localSheetId="0">#REF!</definedName>
    <definedName name="중압매몰밸브">#REF!</definedName>
    <definedName name="중압연결">[3]인상계획!$D$23</definedName>
    <definedName name="중압이설">[3]인상계획!$D$26</definedName>
    <definedName name="축대하상길이" localSheetId="5">#REF!</definedName>
    <definedName name="축대하상길이" localSheetId="0">#REF!</definedName>
    <definedName name="축대하상길이">#REF!</definedName>
    <definedName name="퍼지밸브" localSheetId="5">#REF!</definedName>
    <definedName name="퍼지밸브" localSheetId="0">#REF!</definedName>
    <definedName name="퍼지밸브">#REF!</definedName>
    <definedName name="포장종류" localSheetId="5">#REF!</definedName>
    <definedName name="포장종류" localSheetId="0">#REF!</definedName>
    <definedName name="포장종류">#REF!</definedName>
    <definedName name="합계길이" localSheetId="5">#REF!</definedName>
    <definedName name="합계길이" localSheetId="0">#REF!</definedName>
    <definedName name="합계길이">#REF!</definedName>
    <definedName name="회차">32</definedName>
    <definedName name="휴식각">0.1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4" l="1"/>
  <c r="X20" i="4"/>
  <c r="X19" i="4"/>
  <c r="X18" i="4"/>
  <c r="X17" i="4"/>
  <c r="X16" i="4"/>
  <c r="X15" i="4"/>
  <c r="X13" i="4"/>
  <c r="X12" i="4"/>
  <c r="X11" i="4"/>
  <c r="X10" i="4"/>
  <c r="X9" i="4"/>
  <c r="X7" i="4"/>
  <c r="X6" i="4"/>
  <c r="X5" i="4"/>
  <c r="O92" i="5"/>
  <c r="O64" i="5"/>
  <c r="O63" i="5"/>
  <c r="O62" i="5"/>
  <c r="X8" i="4" l="1"/>
  <c r="X14" i="4"/>
  <c r="X22" i="4"/>
  <c r="X23" i="4"/>
  <c r="M34" i="12" l="1"/>
  <c r="T110" i="12"/>
  <c r="U110" i="12" s="1"/>
  <c r="D110" i="12" s="1"/>
  <c r="M110" i="12"/>
  <c r="T34" i="12"/>
  <c r="U34" i="12" s="1"/>
  <c r="D34" i="12" s="1"/>
  <c r="N34" i="11"/>
  <c r="U34" i="11"/>
  <c r="D34" i="11"/>
  <c r="C34" i="11"/>
  <c r="T34" i="10"/>
  <c r="M34" i="10"/>
  <c r="E34" i="10"/>
  <c r="U34" i="10" l="1"/>
  <c r="C110" i="12"/>
  <c r="E110" i="12"/>
  <c r="V34" i="11"/>
  <c r="E34" i="11" s="1"/>
  <c r="F34" i="11" l="1"/>
  <c r="C34" i="12"/>
  <c r="E34" i="12" s="1"/>
  <c r="O322" i="18"/>
  <c r="N322" i="18"/>
  <c r="M322" i="18"/>
  <c r="L322" i="18"/>
  <c r="K322" i="18"/>
  <c r="J322" i="18"/>
  <c r="I322" i="18"/>
  <c r="H322" i="18"/>
  <c r="G322" i="18"/>
  <c r="F322" i="18"/>
  <c r="E322" i="18"/>
  <c r="D322" i="18"/>
  <c r="C322" i="18"/>
  <c r="N314" i="18"/>
  <c r="M314" i="18"/>
  <c r="L314" i="18"/>
  <c r="K314" i="18"/>
  <c r="J314" i="18"/>
  <c r="I314" i="18"/>
  <c r="H314" i="18"/>
  <c r="G314" i="18"/>
  <c r="F314" i="18"/>
  <c r="E314" i="18"/>
  <c r="D314" i="18"/>
  <c r="C314" i="18"/>
  <c r="D269" i="18"/>
  <c r="E269" i="18" s="1"/>
  <c r="F269" i="18" s="1"/>
  <c r="G269" i="18" s="1"/>
  <c r="H269" i="18" s="1"/>
  <c r="I269" i="18" s="1"/>
  <c r="J269" i="18" s="1"/>
  <c r="K269" i="18" s="1"/>
  <c r="L269" i="18" s="1"/>
  <c r="M269" i="18" s="1"/>
  <c r="N269" i="18" s="1"/>
  <c r="O262" i="18"/>
  <c r="N262" i="18"/>
  <c r="M262" i="18"/>
  <c r="L262" i="18"/>
  <c r="K262" i="18"/>
  <c r="J262" i="18"/>
  <c r="I262" i="18"/>
  <c r="H262" i="18"/>
  <c r="G262" i="18"/>
  <c r="F262" i="18"/>
  <c r="E262" i="18"/>
  <c r="D262" i="18"/>
  <c r="C262" i="18"/>
  <c r="C254" i="18"/>
  <c r="C253" i="18"/>
  <c r="C247" i="18"/>
  <c r="C246" i="18"/>
  <c r="D233" i="18"/>
  <c r="E233" i="18" s="1"/>
  <c r="F233" i="18" s="1"/>
  <c r="G233" i="18" s="1"/>
  <c r="H233" i="18" s="1"/>
  <c r="I233" i="18" s="1"/>
  <c r="J233" i="18" s="1"/>
  <c r="K233" i="18" s="1"/>
  <c r="L233" i="18" s="1"/>
  <c r="M233" i="18" s="1"/>
  <c r="N233" i="18" s="1"/>
  <c r="O226" i="18"/>
  <c r="N226" i="18"/>
  <c r="M226" i="18"/>
  <c r="L226" i="18"/>
  <c r="K226" i="18"/>
  <c r="J226" i="18"/>
  <c r="I226" i="18"/>
  <c r="H226" i="18"/>
  <c r="G226" i="18"/>
  <c r="F226" i="18"/>
  <c r="E226" i="18"/>
  <c r="D226" i="18"/>
  <c r="C226" i="18"/>
  <c r="N219" i="18"/>
  <c r="M219" i="18"/>
  <c r="L219" i="18"/>
  <c r="K219" i="18"/>
  <c r="J219" i="18"/>
  <c r="I219" i="18"/>
  <c r="H219" i="18"/>
  <c r="G219" i="18"/>
  <c r="F219" i="18"/>
  <c r="E219" i="18"/>
  <c r="D219" i="18"/>
  <c r="C219" i="18"/>
  <c r="N187" i="18"/>
  <c r="M187" i="18"/>
  <c r="L187" i="18"/>
  <c r="K187" i="18"/>
  <c r="J187" i="18"/>
  <c r="I187" i="18"/>
  <c r="H187" i="18"/>
  <c r="G187" i="18"/>
  <c r="F187" i="18"/>
  <c r="E187" i="18"/>
  <c r="D187" i="18"/>
  <c r="C187" i="18"/>
  <c r="O138" i="18"/>
  <c r="D127" i="18"/>
  <c r="E127" i="18" s="1"/>
  <c r="F127" i="18" s="1"/>
  <c r="G127" i="18" s="1"/>
  <c r="H127" i="18" s="1"/>
  <c r="I127" i="18" s="1"/>
  <c r="J127" i="18" s="1"/>
  <c r="K127" i="18" s="1"/>
  <c r="L127" i="18" s="1"/>
  <c r="M127" i="18" s="1"/>
  <c r="N127" i="18" s="1"/>
  <c r="O120" i="18"/>
  <c r="N120" i="18"/>
  <c r="M120" i="18"/>
  <c r="L120" i="18"/>
  <c r="K120" i="18"/>
  <c r="J120" i="18"/>
  <c r="I120" i="18"/>
  <c r="H120" i="18"/>
  <c r="G120" i="18"/>
  <c r="F120" i="18"/>
  <c r="E120" i="18"/>
  <c r="D120" i="18"/>
  <c r="C120" i="18"/>
  <c r="N113" i="18"/>
  <c r="M113" i="18"/>
  <c r="L113" i="18"/>
  <c r="K113" i="18"/>
  <c r="J113" i="18"/>
  <c r="I113" i="18"/>
  <c r="H113" i="18"/>
  <c r="G113" i="18"/>
  <c r="F113" i="18"/>
  <c r="E113" i="18"/>
  <c r="D113" i="18"/>
  <c r="C113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O30" i="18"/>
  <c r="D5" i="18"/>
  <c r="O187" i="18" l="1"/>
  <c r="D247" i="18"/>
  <c r="D254" i="18"/>
  <c r="O219" i="18"/>
  <c r="O296" i="18"/>
  <c r="D246" i="18"/>
  <c r="D253" i="18"/>
  <c r="O248" i="18"/>
  <c r="I155" i="18"/>
  <c r="D155" i="18"/>
  <c r="L155" i="18"/>
  <c r="F155" i="18"/>
  <c r="N155" i="18"/>
  <c r="G155" i="18"/>
  <c r="H155" i="18"/>
  <c r="J155" i="18"/>
  <c r="C155" i="18"/>
  <c r="K155" i="18"/>
  <c r="E155" i="18"/>
  <c r="M155" i="18"/>
  <c r="O113" i="18"/>
  <c r="O81" i="18"/>
  <c r="C49" i="18"/>
  <c r="E5" i="18"/>
  <c r="O315" i="18" l="1"/>
  <c r="E253" i="18"/>
  <c r="E246" i="18"/>
  <c r="E254" i="18"/>
  <c r="E247" i="18"/>
  <c r="O155" i="18"/>
  <c r="F5" i="18"/>
  <c r="D49" i="18"/>
  <c r="F254" i="18" l="1"/>
  <c r="F247" i="18"/>
  <c r="F253" i="18"/>
  <c r="F246" i="18"/>
  <c r="G5" i="18"/>
  <c r="E49" i="18"/>
  <c r="G254" i="18" l="1"/>
  <c r="G247" i="18"/>
  <c r="G246" i="18"/>
  <c r="G253" i="18"/>
  <c r="H5" i="18"/>
  <c r="F49" i="18"/>
  <c r="H254" i="18" l="1"/>
  <c r="H247" i="18"/>
  <c r="H253" i="18"/>
  <c r="H246" i="18"/>
  <c r="I5" i="18"/>
  <c r="G49" i="18"/>
  <c r="I247" i="18" l="1"/>
  <c r="I253" i="18"/>
  <c r="I246" i="18"/>
  <c r="I254" i="18"/>
  <c r="J5" i="18"/>
  <c r="H49" i="18"/>
  <c r="J253" i="18" l="1"/>
  <c r="J246" i="18"/>
  <c r="J254" i="18"/>
  <c r="J247" i="18"/>
  <c r="I49" i="18"/>
  <c r="K5" i="18"/>
  <c r="K253" i="18" l="1"/>
  <c r="K246" i="18"/>
  <c r="K254" i="18"/>
  <c r="K247" i="18"/>
  <c r="J49" i="18"/>
  <c r="L5" i="18"/>
  <c r="L253" i="18" l="1"/>
  <c r="L246" i="18"/>
  <c r="L254" i="18"/>
  <c r="L247" i="18"/>
  <c r="K49" i="18"/>
  <c r="M5" i="18"/>
  <c r="M254" i="18" l="1"/>
  <c r="M247" i="18"/>
  <c r="M253" i="18"/>
  <c r="M246" i="18"/>
  <c r="N5" i="18"/>
  <c r="L49" i="18"/>
  <c r="N254" i="18" l="1"/>
  <c r="N247" i="18"/>
  <c r="N253" i="18"/>
  <c r="N246" i="18"/>
  <c r="M49" i="18"/>
  <c r="O255" i="18" l="1"/>
  <c r="N49" i="18"/>
  <c r="O49" i="18" s="1"/>
  <c r="O147" i="5" l="1"/>
  <c r="O119" i="5"/>
  <c r="O91" i="5"/>
  <c r="C72" i="5" l="1"/>
  <c r="D47" i="17" l="1"/>
  <c r="J46" i="17"/>
  <c r="J45" i="17"/>
  <c r="J47" i="17" s="1"/>
  <c r="J44" i="17"/>
  <c r="J43" i="17"/>
  <c r="J42" i="17"/>
  <c r="J41" i="17"/>
  <c r="J40" i="17"/>
  <c r="D39" i="17"/>
  <c r="J38" i="17"/>
  <c r="J37" i="17"/>
  <c r="J36" i="17"/>
  <c r="J35" i="17"/>
  <c r="J34" i="17"/>
  <c r="D33" i="17"/>
  <c r="D48" i="17" s="1"/>
  <c r="J32" i="17"/>
  <c r="I32" i="17"/>
  <c r="H32" i="17"/>
  <c r="G32" i="17"/>
  <c r="F32" i="17"/>
  <c r="E32" i="17"/>
  <c r="J31" i="17"/>
  <c r="I31" i="17"/>
  <c r="H31" i="17"/>
  <c r="G31" i="17"/>
  <c r="E31" i="17"/>
  <c r="F31" i="17" s="1"/>
  <c r="J30" i="17"/>
  <c r="I30" i="17"/>
  <c r="H30" i="17"/>
  <c r="G30" i="17"/>
  <c r="F30" i="17"/>
  <c r="E30" i="17"/>
  <c r="C65" i="5"/>
  <c r="J39" i="17" l="1"/>
  <c r="I33" i="17"/>
  <c r="H33" i="17"/>
  <c r="G33" i="17"/>
  <c r="J33" i="17"/>
  <c r="J48" i="17" s="1"/>
  <c r="E33" i="17"/>
  <c r="O148" i="5"/>
  <c r="I34" i="17" s="1"/>
  <c r="F33" i="17"/>
  <c r="F48" i="17" s="1"/>
  <c r="N86" i="3" l="1"/>
  <c r="M86" i="3"/>
  <c r="L86" i="3"/>
  <c r="K86" i="3"/>
  <c r="J86" i="3"/>
  <c r="I86" i="3"/>
  <c r="H86" i="3"/>
  <c r="G86" i="3"/>
  <c r="F86" i="3"/>
  <c r="E86" i="3"/>
  <c r="D86" i="3"/>
  <c r="C86" i="3"/>
  <c r="N85" i="3"/>
  <c r="M85" i="3"/>
  <c r="L85" i="3"/>
  <c r="K85" i="3"/>
  <c r="J85" i="3"/>
  <c r="I85" i="3"/>
  <c r="H85" i="3"/>
  <c r="G85" i="3"/>
  <c r="F85" i="3"/>
  <c r="E85" i="3"/>
  <c r="D85" i="3"/>
  <c r="C85" i="3"/>
  <c r="N84" i="3"/>
  <c r="M84" i="3"/>
  <c r="L84" i="3"/>
  <c r="K84" i="3"/>
  <c r="J84" i="3"/>
  <c r="I84" i="3"/>
  <c r="H84" i="3"/>
  <c r="G84" i="3"/>
  <c r="F84" i="3"/>
  <c r="E84" i="3"/>
  <c r="D84" i="3"/>
  <c r="C84" i="3"/>
  <c r="N83" i="3"/>
  <c r="M83" i="3"/>
  <c r="L83" i="3"/>
  <c r="K83" i="3"/>
  <c r="J83" i="3"/>
  <c r="I83" i="3"/>
  <c r="H83" i="3"/>
  <c r="G83" i="3"/>
  <c r="F83" i="3"/>
  <c r="E83" i="3"/>
  <c r="D83" i="3"/>
  <c r="C83" i="3"/>
  <c r="N81" i="3"/>
  <c r="M81" i="3"/>
  <c r="L81" i="3"/>
  <c r="K81" i="3"/>
  <c r="J81" i="3"/>
  <c r="I81" i="3"/>
  <c r="H81" i="3"/>
  <c r="G81" i="3"/>
  <c r="F81" i="3"/>
  <c r="E81" i="3"/>
  <c r="D81" i="3"/>
  <c r="C81" i="3"/>
  <c r="N80" i="3"/>
  <c r="M80" i="3"/>
  <c r="L80" i="3"/>
  <c r="K80" i="3"/>
  <c r="J80" i="3"/>
  <c r="I80" i="3"/>
  <c r="H80" i="3"/>
  <c r="G80" i="3"/>
  <c r="F80" i="3"/>
  <c r="E80" i="3"/>
  <c r="D80" i="3"/>
  <c r="C80" i="3"/>
  <c r="N78" i="3"/>
  <c r="M78" i="3"/>
  <c r="L78" i="3"/>
  <c r="K78" i="3"/>
  <c r="J78" i="3"/>
  <c r="I78" i="3"/>
  <c r="H78" i="3"/>
  <c r="G78" i="3"/>
  <c r="F78" i="3"/>
  <c r="E78" i="3"/>
  <c r="D78" i="3"/>
  <c r="C78" i="3"/>
  <c r="N77" i="3"/>
  <c r="M77" i="3"/>
  <c r="L77" i="3"/>
  <c r="K77" i="3"/>
  <c r="J77" i="3"/>
  <c r="I77" i="3"/>
  <c r="H77" i="3"/>
  <c r="G77" i="3"/>
  <c r="F77" i="3"/>
  <c r="E77" i="3"/>
  <c r="D77" i="3"/>
  <c r="C77" i="3"/>
  <c r="N76" i="3"/>
  <c r="M76" i="3"/>
  <c r="L76" i="3"/>
  <c r="K76" i="3"/>
  <c r="J76" i="3"/>
  <c r="I76" i="3"/>
  <c r="H76" i="3"/>
  <c r="G76" i="3"/>
  <c r="F76" i="3"/>
  <c r="E76" i="3"/>
  <c r="D76" i="3"/>
  <c r="C76" i="3"/>
  <c r="N75" i="3"/>
  <c r="M75" i="3"/>
  <c r="L75" i="3"/>
  <c r="K75" i="3"/>
  <c r="J75" i="3"/>
  <c r="I75" i="3"/>
  <c r="H75" i="3"/>
  <c r="G75" i="3"/>
  <c r="F75" i="3"/>
  <c r="E75" i="3"/>
  <c r="D75" i="3"/>
  <c r="C75" i="3"/>
  <c r="N73" i="3"/>
  <c r="M73" i="3"/>
  <c r="L73" i="3"/>
  <c r="K73" i="3"/>
  <c r="J73" i="3"/>
  <c r="I73" i="3"/>
  <c r="H73" i="3"/>
  <c r="G73" i="3"/>
  <c r="F73" i="3"/>
  <c r="E73" i="3"/>
  <c r="D73" i="3"/>
  <c r="C73" i="3"/>
  <c r="N72" i="3"/>
  <c r="M72" i="3"/>
  <c r="L72" i="3"/>
  <c r="K72" i="3"/>
  <c r="J72" i="3"/>
  <c r="I72" i="3"/>
  <c r="H72" i="3"/>
  <c r="G72" i="3"/>
  <c r="F72" i="3"/>
  <c r="E72" i="3"/>
  <c r="D72" i="3"/>
  <c r="C72" i="3"/>
  <c r="O121" i="3" l="1"/>
  <c r="O120" i="3"/>
  <c r="O119" i="3"/>
  <c r="O118" i="3"/>
  <c r="N117" i="3"/>
  <c r="N122" i="3" s="1"/>
  <c r="M117" i="3"/>
  <c r="M122" i="3" s="1"/>
  <c r="L117" i="3"/>
  <c r="L122" i="3" s="1"/>
  <c r="K117" i="3"/>
  <c r="K122" i="3" s="1"/>
  <c r="J117" i="3"/>
  <c r="J122" i="3" s="1"/>
  <c r="I117" i="3"/>
  <c r="I122" i="3" s="1"/>
  <c r="H117" i="3"/>
  <c r="H122" i="3" s="1"/>
  <c r="G117" i="3"/>
  <c r="G122" i="3" s="1"/>
  <c r="F117" i="3"/>
  <c r="F122" i="3" s="1"/>
  <c r="E117" i="3"/>
  <c r="E122" i="3" s="1"/>
  <c r="D117" i="3"/>
  <c r="D122" i="3" s="1"/>
  <c r="C117" i="3"/>
  <c r="O116" i="3"/>
  <c r="O115" i="3"/>
  <c r="O113" i="3"/>
  <c r="O112" i="3"/>
  <c r="O111" i="3"/>
  <c r="O110" i="3"/>
  <c r="N109" i="3"/>
  <c r="N114" i="3" s="1"/>
  <c r="M109" i="3"/>
  <c r="M114" i="3" s="1"/>
  <c r="L109" i="3"/>
  <c r="L114" i="3" s="1"/>
  <c r="K109" i="3"/>
  <c r="K114" i="3" s="1"/>
  <c r="J109" i="3"/>
  <c r="J114" i="3" s="1"/>
  <c r="I109" i="3"/>
  <c r="I114" i="3" s="1"/>
  <c r="H109" i="3"/>
  <c r="H114" i="3" s="1"/>
  <c r="G109" i="3"/>
  <c r="G114" i="3" s="1"/>
  <c r="F109" i="3"/>
  <c r="F114" i="3" s="1"/>
  <c r="E109" i="3"/>
  <c r="E114" i="3" s="1"/>
  <c r="D109" i="3"/>
  <c r="D114" i="3" s="1"/>
  <c r="C109" i="3"/>
  <c r="O108" i="3"/>
  <c r="O107" i="3"/>
  <c r="N82" i="3"/>
  <c r="N87" i="3" s="1"/>
  <c r="M82" i="3"/>
  <c r="M87" i="3" s="1"/>
  <c r="L82" i="3"/>
  <c r="L87" i="3" s="1"/>
  <c r="K82" i="3"/>
  <c r="K87" i="3" s="1"/>
  <c r="J82" i="3"/>
  <c r="J87" i="3" s="1"/>
  <c r="I82" i="3"/>
  <c r="I87" i="3" s="1"/>
  <c r="H82" i="3"/>
  <c r="H87" i="3" s="1"/>
  <c r="G82" i="3"/>
  <c r="G87" i="3" s="1"/>
  <c r="F82" i="3"/>
  <c r="F87" i="3" s="1"/>
  <c r="E82" i="3"/>
  <c r="E87" i="3" s="1"/>
  <c r="D82" i="3"/>
  <c r="D87" i="3" s="1"/>
  <c r="O80" i="3"/>
  <c r="D16" i="2" s="1"/>
  <c r="O77" i="3"/>
  <c r="I15" i="2" s="1"/>
  <c r="O76" i="3"/>
  <c r="H15" i="2" s="1"/>
  <c r="N74" i="3"/>
  <c r="N79" i="3" s="1"/>
  <c r="M74" i="3"/>
  <c r="M79" i="3" s="1"/>
  <c r="F74" i="3"/>
  <c r="F79" i="3" s="1"/>
  <c r="E74" i="3"/>
  <c r="E79" i="3" s="1"/>
  <c r="O117" i="3" l="1"/>
  <c r="O122" i="3" s="1"/>
  <c r="O109" i="3"/>
  <c r="O114" i="3" s="1"/>
  <c r="C122" i="3"/>
  <c r="C114" i="3"/>
  <c r="O81" i="3"/>
  <c r="E16" i="2" s="1"/>
  <c r="F16" i="2" s="1"/>
  <c r="G74" i="3"/>
  <c r="G79" i="3" s="1"/>
  <c r="H74" i="3"/>
  <c r="H79" i="3" s="1"/>
  <c r="O85" i="3"/>
  <c r="I16" i="2" s="1"/>
  <c r="I28" i="2" s="1"/>
  <c r="O86" i="3"/>
  <c r="J16" i="2" s="1"/>
  <c r="I74" i="3"/>
  <c r="I79" i="3" s="1"/>
  <c r="J74" i="3"/>
  <c r="J79" i="3" s="1"/>
  <c r="C82" i="3"/>
  <c r="O75" i="3"/>
  <c r="G15" i="2" s="1"/>
  <c r="O78" i="3"/>
  <c r="J15" i="2" s="1"/>
  <c r="O73" i="3"/>
  <c r="E15" i="2" s="1"/>
  <c r="O72" i="3"/>
  <c r="D15" i="2" s="1"/>
  <c r="K74" i="3"/>
  <c r="K79" i="3" s="1"/>
  <c r="D74" i="3"/>
  <c r="D79" i="3" s="1"/>
  <c r="L74" i="3"/>
  <c r="L79" i="3" s="1"/>
  <c r="C74" i="3"/>
  <c r="F15" i="2" l="1"/>
  <c r="K15" i="2" s="1"/>
  <c r="I6" i="9" s="1"/>
  <c r="D28" i="2"/>
  <c r="E28" i="2"/>
  <c r="O82" i="3"/>
  <c r="C87" i="3"/>
  <c r="O74" i="3"/>
  <c r="O79" i="3" s="1"/>
  <c r="C79" i="3"/>
  <c r="F28" i="2" l="1"/>
  <c r="L8" i="9"/>
  <c r="J8" i="9"/>
  <c r="G8" i="9"/>
  <c r="O146" i="5" l="1"/>
  <c r="D22" i="17"/>
  <c r="D14" i="17"/>
  <c r="D26" i="17" s="1"/>
  <c r="D8" i="17"/>
  <c r="J7" i="17"/>
  <c r="J6" i="17"/>
  <c r="J5" i="17" l="1"/>
  <c r="D23" i="17"/>
  <c r="D25" i="17"/>
  <c r="J8" i="17"/>
  <c r="J25" i="17" l="1"/>
  <c r="O111" i="15" l="1"/>
  <c r="N111" i="15"/>
  <c r="M111" i="15"/>
  <c r="L111" i="15"/>
  <c r="K111" i="15"/>
  <c r="J111" i="15"/>
  <c r="I111" i="15"/>
  <c r="H111" i="15"/>
  <c r="G111" i="15"/>
  <c r="F111" i="15"/>
  <c r="E111" i="15"/>
  <c r="D111" i="15"/>
  <c r="P110" i="15"/>
  <c r="P109" i="15"/>
  <c r="P108" i="15"/>
  <c r="P107" i="15"/>
  <c r="P106" i="15"/>
  <c r="P105" i="15"/>
  <c r="J13" i="14" s="1"/>
  <c r="P104" i="15"/>
  <c r="J12" i="14" s="1"/>
  <c r="O103" i="15"/>
  <c r="O112" i="15" s="1"/>
  <c r="N103" i="15"/>
  <c r="M103" i="15"/>
  <c r="L103" i="15"/>
  <c r="K103" i="15"/>
  <c r="J103" i="15"/>
  <c r="I103" i="15"/>
  <c r="H103" i="15"/>
  <c r="G103" i="15"/>
  <c r="G112" i="15" s="1"/>
  <c r="F103" i="15"/>
  <c r="E103" i="15"/>
  <c r="D103" i="15"/>
  <c r="P102" i="15"/>
  <c r="J10" i="14" s="1"/>
  <c r="P101" i="15"/>
  <c r="J9" i="14" s="1"/>
  <c r="P100" i="15"/>
  <c r="J8" i="14" s="1"/>
  <c r="P99" i="15"/>
  <c r="J7" i="14" s="1"/>
  <c r="P98" i="15"/>
  <c r="J6" i="14" s="1"/>
  <c r="P97" i="15"/>
  <c r="J5" i="14" s="1"/>
  <c r="P96" i="15"/>
  <c r="P95" i="15"/>
  <c r="P94" i="15"/>
  <c r="P93" i="15"/>
  <c r="P92" i="15"/>
  <c r="P91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P89" i="15"/>
  <c r="P88" i="15"/>
  <c r="P82" i="15"/>
  <c r="A33" i="15"/>
  <c r="A60" i="15" s="1"/>
  <c r="A87" i="15" s="1"/>
  <c r="O84" i="15"/>
  <c r="N84" i="15"/>
  <c r="M84" i="15"/>
  <c r="L84" i="15"/>
  <c r="K84" i="15"/>
  <c r="J84" i="15"/>
  <c r="I84" i="15"/>
  <c r="H84" i="15"/>
  <c r="G84" i="15"/>
  <c r="F84" i="15"/>
  <c r="E84" i="15"/>
  <c r="D84" i="15"/>
  <c r="P83" i="15"/>
  <c r="P81" i="15"/>
  <c r="P80" i="15"/>
  <c r="P79" i="15"/>
  <c r="P78" i="15"/>
  <c r="H13" i="14" s="1"/>
  <c r="P77" i="15"/>
  <c r="H12" i="14" s="1"/>
  <c r="O76" i="15"/>
  <c r="N76" i="15"/>
  <c r="M76" i="15"/>
  <c r="L76" i="15"/>
  <c r="K76" i="15"/>
  <c r="J76" i="15"/>
  <c r="I76" i="15"/>
  <c r="H76" i="15"/>
  <c r="G76" i="15"/>
  <c r="F76" i="15"/>
  <c r="E76" i="15"/>
  <c r="E85" i="15" s="1"/>
  <c r="D76" i="15"/>
  <c r="P75" i="15"/>
  <c r="H10" i="14" s="1"/>
  <c r="P74" i="15"/>
  <c r="H9" i="14" s="1"/>
  <c r="P73" i="15"/>
  <c r="H8" i="14" s="1"/>
  <c r="P72" i="15"/>
  <c r="H7" i="14" s="1"/>
  <c r="P71" i="15"/>
  <c r="H6" i="14" s="1"/>
  <c r="P70" i="15"/>
  <c r="H5" i="14" s="1"/>
  <c r="P69" i="15"/>
  <c r="P68" i="15"/>
  <c r="P67" i="15"/>
  <c r="P66" i="15"/>
  <c r="P65" i="15"/>
  <c r="P64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P62" i="15"/>
  <c r="P61" i="15"/>
  <c r="O56" i="15"/>
  <c r="N56" i="15"/>
  <c r="M56" i="15"/>
  <c r="L56" i="15"/>
  <c r="K56" i="15"/>
  <c r="J56" i="15"/>
  <c r="I56" i="15"/>
  <c r="G56" i="15"/>
  <c r="F56" i="15"/>
  <c r="E56" i="15"/>
  <c r="D56" i="15"/>
  <c r="P55" i="15"/>
  <c r="P54" i="15"/>
  <c r="H56" i="15"/>
  <c r="P52" i="15"/>
  <c r="P51" i="15"/>
  <c r="F13" i="14" s="1"/>
  <c r="O49" i="15"/>
  <c r="O57" i="15" s="1"/>
  <c r="N49" i="15"/>
  <c r="M49" i="15"/>
  <c r="M57" i="15" s="1"/>
  <c r="L49" i="15"/>
  <c r="K49" i="15"/>
  <c r="K57" i="15" s="1"/>
  <c r="J49" i="15"/>
  <c r="I49" i="15"/>
  <c r="H49" i="15"/>
  <c r="G49" i="15"/>
  <c r="F49" i="15"/>
  <c r="E49" i="15"/>
  <c r="D49" i="15"/>
  <c r="P48" i="15"/>
  <c r="F10" i="14" s="1"/>
  <c r="P47" i="15"/>
  <c r="F9" i="14" s="1"/>
  <c r="P46" i="15"/>
  <c r="F8" i="14" s="1"/>
  <c r="P45" i="15"/>
  <c r="F7" i="14" s="1"/>
  <c r="P44" i="15"/>
  <c r="F6" i="14" s="1"/>
  <c r="P43" i="15"/>
  <c r="F5" i="14" s="1"/>
  <c r="P42" i="15"/>
  <c r="P41" i="15"/>
  <c r="P40" i="15"/>
  <c r="P39" i="15"/>
  <c r="P38" i="15"/>
  <c r="P37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P35" i="15"/>
  <c r="P34" i="15"/>
  <c r="P25" i="15"/>
  <c r="P29" i="15"/>
  <c r="P27" i="15"/>
  <c r="O30" i="15"/>
  <c r="J30" i="15"/>
  <c r="I30" i="15"/>
  <c r="G30" i="15"/>
  <c r="F85" i="15" l="1"/>
  <c r="N85" i="15"/>
  <c r="E57" i="15"/>
  <c r="I112" i="15"/>
  <c r="H11" i="14"/>
  <c r="G85" i="15"/>
  <c r="O85" i="15"/>
  <c r="J11" i="14"/>
  <c r="F112" i="15"/>
  <c r="N112" i="15"/>
  <c r="P103" i="15"/>
  <c r="F11" i="14"/>
  <c r="I57" i="15"/>
  <c r="P36" i="15"/>
  <c r="E112" i="15"/>
  <c r="M112" i="15"/>
  <c r="H112" i="15"/>
  <c r="P90" i="15"/>
  <c r="L112" i="15"/>
  <c r="J112" i="15"/>
  <c r="P111" i="15"/>
  <c r="K112" i="15"/>
  <c r="D112" i="15"/>
  <c r="M85" i="15"/>
  <c r="J85" i="15"/>
  <c r="P84" i="15"/>
  <c r="K85" i="15"/>
  <c r="L85" i="15"/>
  <c r="H85" i="15"/>
  <c r="I85" i="15"/>
  <c r="P76" i="15"/>
  <c r="P63" i="15"/>
  <c r="D85" i="15"/>
  <c r="D57" i="15"/>
  <c r="F57" i="15"/>
  <c r="G57" i="15"/>
  <c r="L57" i="15"/>
  <c r="J57" i="15"/>
  <c r="N57" i="15"/>
  <c r="P50" i="15"/>
  <c r="F12" i="14" s="1"/>
  <c r="H57" i="15"/>
  <c r="P49" i="15"/>
  <c r="P53" i="15"/>
  <c r="P56" i="15" s="1"/>
  <c r="F14" i="14" s="1"/>
  <c r="H30" i="15"/>
  <c r="K30" i="15"/>
  <c r="L30" i="15"/>
  <c r="M30" i="15"/>
  <c r="P26" i="15"/>
  <c r="P28" i="15"/>
  <c r="D30" i="15"/>
  <c r="E30" i="15"/>
  <c r="F30" i="15"/>
  <c r="N30" i="15"/>
  <c r="P24" i="15"/>
  <c r="P112" i="15" l="1"/>
  <c r="J14" i="14"/>
  <c r="P85" i="15"/>
  <c r="H14" i="14"/>
  <c r="P57" i="15"/>
  <c r="P30" i="15"/>
  <c r="D14" i="14" s="1"/>
  <c r="P23" i="15" l="1"/>
  <c r="D13" i="14" s="1"/>
  <c r="I21" i="15"/>
  <c r="I31" i="15" s="1"/>
  <c r="E21" i="15"/>
  <c r="E31" i="15" s="1"/>
  <c r="J21" i="15"/>
  <c r="J31" i="15" s="1"/>
  <c r="F21" i="15"/>
  <c r="F31" i="15" s="1"/>
  <c r="L21" i="15"/>
  <c r="L31" i="15" s="1"/>
  <c r="K21" i="15"/>
  <c r="K31" i="15" s="1"/>
  <c r="H21" i="15"/>
  <c r="H31" i="15" s="1"/>
  <c r="D21" i="15"/>
  <c r="D31" i="15" s="1"/>
  <c r="P14" i="15"/>
  <c r="P13" i="15"/>
  <c r="P12" i="15"/>
  <c r="P11" i="15"/>
  <c r="P10" i="15"/>
  <c r="P9" i="15"/>
  <c r="N8" i="15"/>
  <c r="J8" i="15"/>
  <c r="F8" i="15"/>
  <c r="O8" i="15"/>
  <c r="K8" i="15"/>
  <c r="P7" i="15"/>
  <c r="M8" i="15"/>
  <c r="L8" i="15"/>
  <c r="I8" i="15"/>
  <c r="H8" i="15"/>
  <c r="E8" i="15"/>
  <c r="D8" i="15"/>
  <c r="P18" i="15" l="1"/>
  <c r="D8" i="14" s="1"/>
  <c r="P22" i="15"/>
  <c r="D12" i="14" s="1"/>
  <c r="P16" i="15"/>
  <c r="D6" i="14" s="1"/>
  <c r="P15" i="15"/>
  <c r="D5" i="14" s="1"/>
  <c r="O21" i="15"/>
  <c r="O31" i="15" s="1"/>
  <c r="M21" i="15"/>
  <c r="M31" i="15" s="1"/>
  <c r="P19" i="15"/>
  <c r="D9" i="14" s="1"/>
  <c r="P20" i="15"/>
  <c r="D10" i="14" s="1"/>
  <c r="P17" i="15"/>
  <c r="D7" i="14" s="1"/>
  <c r="N21" i="15"/>
  <c r="N31" i="15" s="1"/>
  <c r="G8" i="15"/>
  <c r="P8" i="15" s="1"/>
  <c r="G21" i="15"/>
  <c r="G31" i="15" s="1"/>
  <c r="P6" i="15"/>
  <c r="P21" i="15" l="1"/>
  <c r="P31" i="15" l="1"/>
  <c r="F15" i="14" l="1"/>
  <c r="K14" i="14"/>
  <c r="G14" i="14"/>
  <c r="E14" i="14"/>
  <c r="J15" i="14"/>
  <c r="K13" i="14"/>
  <c r="G13" i="14"/>
  <c r="E13" i="14"/>
  <c r="K12" i="14"/>
  <c r="G12" i="14"/>
  <c r="E12" i="14"/>
  <c r="C11" i="14"/>
  <c r="C15" i="14" s="1"/>
  <c r="K10" i="14"/>
  <c r="G10" i="14"/>
  <c r="E10" i="14"/>
  <c r="K9" i="14"/>
  <c r="G9" i="14"/>
  <c r="E9" i="14"/>
  <c r="K8" i="14"/>
  <c r="G8" i="14"/>
  <c r="E8" i="14"/>
  <c r="K7" i="14"/>
  <c r="G7" i="14"/>
  <c r="E7" i="14"/>
  <c r="K6" i="14"/>
  <c r="G6" i="14"/>
  <c r="E6" i="14"/>
  <c r="K5" i="14"/>
  <c r="G5" i="14"/>
  <c r="D11" i="14"/>
  <c r="D15" i="14" l="1"/>
  <c r="E11" i="14"/>
  <c r="E15" i="14" s="1"/>
  <c r="G11" i="14"/>
  <c r="G15" i="14" s="1"/>
  <c r="K11" i="14"/>
  <c r="K15" i="14" s="1"/>
  <c r="I6" i="14"/>
  <c r="I8" i="14"/>
  <c r="I9" i="14"/>
  <c r="I12" i="14"/>
  <c r="I13" i="14"/>
  <c r="I14" i="14"/>
  <c r="H15" i="14"/>
  <c r="I5" i="14"/>
  <c r="I7" i="14"/>
  <c r="I10" i="14"/>
  <c r="E5" i="14"/>
  <c r="I11" i="14" l="1"/>
  <c r="I15" i="14" s="1"/>
  <c r="N101" i="3" l="1"/>
  <c r="M101" i="3"/>
  <c r="L101" i="3"/>
  <c r="K101" i="3"/>
  <c r="J101" i="3"/>
  <c r="I101" i="3"/>
  <c r="H101" i="3"/>
  <c r="G101" i="3"/>
  <c r="F101" i="3"/>
  <c r="E101" i="3"/>
  <c r="D101" i="3"/>
  <c r="C101" i="3"/>
  <c r="O101" i="3" l="1"/>
  <c r="N70" i="3"/>
  <c r="M70" i="3"/>
  <c r="L70" i="3"/>
  <c r="K70" i="3"/>
  <c r="J70" i="3"/>
  <c r="I70" i="3"/>
  <c r="H70" i="3"/>
  <c r="G70" i="3"/>
  <c r="F70" i="3"/>
  <c r="E70" i="3"/>
  <c r="D70" i="3"/>
  <c r="C70" i="3"/>
  <c r="N69" i="3"/>
  <c r="M69" i="3"/>
  <c r="L69" i="3"/>
  <c r="K69" i="3"/>
  <c r="J69" i="3"/>
  <c r="I69" i="3"/>
  <c r="H69" i="3"/>
  <c r="G69" i="3"/>
  <c r="F69" i="3"/>
  <c r="E69" i="3"/>
  <c r="D69" i="3"/>
  <c r="C69" i="3"/>
  <c r="N68" i="3"/>
  <c r="M68" i="3"/>
  <c r="L68" i="3"/>
  <c r="K68" i="3"/>
  <c r="J68" i="3"/>
  <c r="I68" i="3"/>
  <c r="H68" i="3"/>
  <c r="G68" i="3"/>
  <c r="F68" i="3"/>
  <c r="E68" i="3"/>
  <c r="D68" i="3"/>
  <c r="C68" i="3"/>
  <c r="N67" i="3"/>
  <c r="M67" i="3"/>
  <c r="L67" i="3"/>
  <c r="K67" i="3"/>
  <c r="J67" i="3"/>
  <c r="I67" i="3"/>
  <c r="H67" i="3"/>
  <c r="G67" i="3"/>
  <c r="F67" i="3"/>
  <c r="E67" i="3"/>
  <c r="D67" i="3"/>
  <c r="C67" i="3"/>
  <c r="N65" i="3"/>
  <c r="M65" i="3"/>
  <c r="L65" i="3"/>
  <c r="K65" i="3"/>
  <c r="J65" i="3"/>
  <c r="I65" i="3"/>
  <c r="H65" i="3"/>
  <c r="G65" i="3"/>
  <c r="F65" i="3"/>
  <c r="E65" i="3"/>
  <c r="D65" i="3"/>
  <c r="C65" i="3"/>
  <c r="N64" i="3"/>
  <c r="M64" i="3"/>
  <c r="L64" i="3"/>
  <c r="K64" i="3"/>
  <c r="J64" i="3"/>
  <c r="I64" i="3"/>
  <c r="H64" i="3"/>
  <c r="G64" i="3"/>
  <c r="F64" i="3"/>
  <c r="E64" i="3"/>
  <c r="D64" i="3"/>
  <c r="C64" i="3"/>
  <c r="O64" i="3" l="1"/>
  <c r="G66" i="3"/>
  <c r="G71" i="3" s="1"/>
  <c r="E66" i="3"/>
  <c r="E71" i="3" s="1"/>
  <c r="M66" i="3"/>
  <c r="M71" i="3" s="1"/>
  <c r="K66" i="3"/>
  <c r="K71" i="3" s="1"/>
  <c r="F66" i="3"/>
  <c r="F71" i="3" s="1"/>
  <c r="N66" i="3"/>
  <c r="N71" i="3" s="1"/>
  <c r="D66" i="3"/>
  <c r="D71" i="3" s="1"/>
  <c r="L66" i="3"/>
  <c r="L71" i="3" s="1"/>
  <c r="H66" i="3"/>
  <c r="H71" i="3" s="1"/>
  <c r="O67" i="3"/>
  <c r="O69" i="3"/>
  <c r="O70" i="3"/>
  <c r="I66" i="3"/>
  <c r="I71" i="3" s="1"/>
  <c r="O68" i="3"/>
  <c r="J66" i="3"/>
  <c r="J71" i="3" s="1"/>
  <c r="O65" i="3"/>
  <c r="C66" i="3"/>
  <c r="C71" i="3" l="1"/>
  <c r="O66" i="3"/>
  <c r="O71" i="3" s="1"/>
  <c r="J12" i="2" l="1"/>
  <c r="I12" i="2"/>
  <c r="H12" i="2"/>
  <c r="G12" i="2"/>
  <c r="E12" i="2"/>
  <c r="D12" i="2"/>
  <c r="S151" i="12" l="1"/>
  <c r="R151" i="12"/>
  <c r="Q151" i="12"/>
  <c r="P151" i="12"/>
  <c r="O151" i="12"/>
  <c r="N151" i="12"/>
  <c r="L151" i="12"/>
  <c r="K151" i="12"/>
  <c r="J151" i="12"/>
  <c r="I151" i="12"/>
  <c r="H151" i="12"/>
  <c r="G151" i="12"/>
  <c r="C151" i="12"/>
  <c r="T150" i="12"/>
  <c r="M150" i="12"/>
  <c r="T149" i="12"/>
  <c r="M149" i="12"/>
  <c r="S148" i="12"/>
  <c r="R148" i="12"/>
  <c r="Q148" i="12"/>
  <c r="P148" i="12"/>
  <c r="O148" i="12"/>
  <c r="N148" i="12"/>
  <c r="L148" i="12"/>
  <c r="K148" i="12"/>
  <c r="J148" i="12"/>
  <c r="I148" i="12"/>
  <c r="H148" i="12"/>
  <c r="G148" i="12"/>
  <c r="T147" i="12"/>
  <c r="M147" i="12"/>
  <c r="T146" i="12"/>
  <c r="M146" i="12"/>
  <c r="S145" i="12"/>
  <c r="R145" i="12"/>
  <c r="Q145" i="12"/>
  <c r="P145" i="12"/>
  <c r="O145" i="12"/>
  <c r="N145" i="12"/>
  <c r="L145" i="12"/>
  <c r="K145" i="12"/>
  <c r="J145" i="12"/>
  <c r="I145" i="12"/>
  <c r="H145" i="12"/>
  <c r="G145" i="12"/>
  <c r="C145" i="12"/>
  <c r="T144" i="12"/>
  <c r="M144" i="12"/>
  <c r="T143" i="12"/>
  <c r="M143" i="12"/>
  <c r="S142" i="12"/>
  <c r="R142" i="12"/>
  <c r="Q142" i="12"/>
  <c r="P142" i="12"/>
  <c r="O142" i="12"/>
  <c r="N142" i="12"/>
  <c r="L142" i="12"/>
  <c r="K142" i="12"/>
  <c r="J142" i="12"/>
  <c r="I142" i="12"/>
  <c r="H142" i="12"/>
  <c r="G142" i="12"/>
  <c r="C142" i="12"/>
  <c r="T141" i="12"/>
  <c r="M141" i="12"/>
  <c r="T140" i="12"/>
  <c r="M140" i="12"/>
  <c r="U140" i="12" s="1"/>
  <c r="S139" i="12"/>
  <c r="R139" i="12"/>
  <c r="Q139" i="12"/>
  <c r="P139" i="12"/>
  <c r="O139" i="12"/>
  <c r="N139" i="12"/>
  <c r="L139" i="12"/>
  <c r="K139" i="12"/>
  <c r="J139" i="12"/>
  <c r="I139" i="12"/>
  <c r="H139" i="12"/>
  <c r="G139" i="12"/>
  <c r="C139" i="12"/>
  <c r="T138" i="12"/>
  <c r="M138" i="12"/>
  <c r="U138" i="12" s="1"/>
  <c r="D138" i="12" s="1"/>
  <c r="E138" i="12" s="1"/>
  <c r="T137" i="12"/>
  <c r="M137" i="12"/>
  <c r="S136" i="12"/>
  <c r="R136" i="12"/>
  <c r="Q136" i="12"/>
  <c r="P136" i="12"/>
  <c r="O136" i="12"/>
  <c r="N136" i="12"/>
  <c r="L136" i="12"/>
  <c r="K136" i="12"/>
  <c r="J136" i="12"/>
  <c r="I136" i="12"/>
  <c r="H136" i="12"/>
  <c r="G136" i="12"/>
  <c r="C136" i="12"/>
  <c r="T135" i="12"/>
  <c r="M135" i="12"/>
  <c r="T134" i="12"/>
  <c r="M134" i="12"/>
  <c r="S133" i="12"/>
  <c r="R133" i="12"/>
  <c r="Q133" i="12"/>
  <c r="P133" i="12"/>
  <c r="O133" i="12"/>
  <c r="N133" i="12"/>
  <c r="L133" i="12"/>
  <c r="K133" i="12"/>
  <c r="J133" i="12"/>
  <c r="I133" i="12"/>
  <c r="H133" i="12"/>
  <c r="G133" i="12"/>
  <c r="T132" i="12"/>
  <c r="M132" i="12"/>
  <c r="T131" i="12"/>
  <c r="M131" i="12"/>
  <c r="S130" i="12"/>
  <c r="R130" i="12"/>
  <c r="Q130" i="12"/>
  <c r="P130" i="12"/>
  <c r="O130" i="12"/>
  <c r="N130" i="12"/>
  <c r="L130" i="12"/>
  <c r="K130" i="12"/>
  <c r="J130" i="12"/>
  <c r="I130" i="12"/>
  <c r="H130" i="12"/>
  <c r="G130" i="12"/>
  <c r="T129" i="12"/>
  <c r="M129" i="12"/>
  <c r="T128" i="12"/>
  <c r="M128" i="12"/>
  <c r="S127" i="12"/>
  <c r="R127" i="12"/>
  <c r="Q127" i="12"/>
  <c r="P127" i="12"/>
  <c r="O127" i="12"/>
  <c r="N127" i="12"/>
  <c r="L127" i="12"/>
  <c r="K127" i="12"/>
  <c r="J127" i="12"/>
  <c r="I127" i="12"/>
  <c r="H127" i="12"/>
  <c r="G127" i="12"/>
  <c r="C127" i="12"/>
  <c r="T126" i="12"/>
  <c r="M126" i="12"/>
  <c r="T125" i="12"/>
  <c r="M125" i="12"/>
  <c r="S124" i="12"/>
  <c r="R124" i="12"/>
  <c r="Q124" i="12"/>
  <c r="P124" i="12"/>
  <c r="O124" i="12"/>
  <c r="N124" i="12"/>
  <c r="L124" i="12"/>
  <c r="K124" i="12"/>
  <c r="J124" i="12"/>
  <c r="I124" i="12"/>
  <c r="H124" i="12"/>
  <c r="G124" i="12"/>
  <c r="T123" i="12"/>
  <c r="M123" i="12"/>
  <c r="U123" i="12" s="1"/>
  <c r="D123" i="12" s="1"/>
  <c r="T122" i="12"/>
  <c r="M122" i="12"/>
  <c r="S121" i="12"/>
  <c r="R121" i="12"/>
  <c r="Q121" i="12"/>
  <c r="P121" i="12"/>
  <c r="O121" i="12"/>
  <c r="N121" i="12"/>
  <c r="L121" i="12"/>
  <c r="K121" i="12"/>
  <c r="J121" i="12"/>
  <c r="I121" i="12"/>
  <c r="H121" i="12"/>
  <c r="G121" i="12"/>
  <c r="C121" i="12"/>
  <c r="T120" i="12"/>
  <c r="M120" i="12"/>
  <c r="T119" i="12"/>
  <c r="M119" i="12"/>
  <c r="U119" i="12" s="1"/>
  <c r="D119" i="12" s="1"/>
  <c r="S118" i="12"/>
  <c r="R118" i="12"/>
  <c r="Q118" i="12"/>
  <c r="P118" i="12"/>
  <c r="O118" i="12"/>
  <c r="N118" i="12"/>
  <c r="L118" i="12"/>
  <c r="K118" i="12"/>
  <c r="J118" i="12"/>
  <c r="I118" i="12"/>
  <c r="H118" i="12"/>
  <c r="G118" i="12"/>
  <c r="C118" i="12"/>
  <c r="T117" i="12"/>
  <c r="M117" i="12"/>
  <c r="T116" i="12"/>
  <c r="M116" i="12"/>
  <c r="S115" i="12"/>
  <c r="R115" i="12"/>
  <c r="Q115" i="12"/>
  <c r="P115" i="12"/>
  <c r="O115" i="12"/>
  <c r="N115" i="12"/>
  <c r="L115" i="12"/>
  <c r="K115" i="12"/>
  <c r="J115" i="12"/>
  <c r="I115" i="12"/>
  <c r="H115" i="12"/>
  <c r="G115" i="12"/>
  <c r="T114" i="12"/>
  <c r="M114" i="12"/>
  <c r="T113" i="12"/>
  <c r="M113" i="12"/>
  <c r="S112" i="12"/>
  <c r="R112" i="12"/>
  <c r="Q112" i="12"/>
  <c r="P112" i="12"/>
  <c r="O112" i="12"/>
  <c r="N112" i="12"/>
  <c r="L112" i="12"/>
  <c r="K112" i="12"/>
  <c r="J112" i="12"/>
  <c r="I112" i="12"/>
  <c r="H112" i="12"/>
  <c r="G112" i="12"/>
  <c r="T111" i="12"/>
  <c r="M111" i="12"/>
  <c r="T109" i="12"/>
  <c r="M109" i="12"/>
  <c r="S108" i="12"/>
  <c r="R108" i="12"/>
  <c r="Q108" i="12"/>
  <c r="P108" i="12"/>
  <c r="O108" i="12"/>
  <c r="N108" i="12"/>
  <c r="L108" i="12"/>
  <c r="K108" i="12"/>
  <c r="J108" i="12"/>
  <c r="I108" i="12"/>
  <c r="H108" i="12"/>
  <c r="G108" i="12"/>
  <c r="T107" i="12"/>
  <c r="M107" i="12"/>
  <c r="T106" i="12"/>
  <c r="M106" i="12"/>
  <c r="S105" i="12"/>
  <c r="R105" i="12"/>
  <c r="Q105" i="12"/>
  <c r="P105" i="12"/>
  <c r="O105" i="12"/>
  <c r="N105" i="12"/>
  <c r="L105" i="12"/>
  <c r="K105" i="12"/>
  <c r="J105" i="12"/>
  <c r="I105" i="12"/>
  <c r="H105" i="12"/>
  <c r="G105" i="12"/>
  <c r="C105" i="12"/>
  <c r="T104" i="12"/>
  <c r="M104" i="12"/>
  <c r="U104" i="12" s="1"/>
  <c r="D104" i="12" s="1"/>
  <c r="E104" i="12" s="1"/>
  <c r="T103" i="12"/>
  <c r="M103" i="12"/>
  <c r="S102" i="12"/>
  <c r="R102" i="12"/>
  <c r="Q102" i="12"/>
  <c r="P102" i="12"/>
  <c r="O102" i="12"/>
  <c r="N102" i="12"/>
  <c r="L102" i="12"/>
  <c r="K102" i="12"/>
  <c r="J102" i="12"/>
  <c r="I102" i="12"/>
  <c r="H102" i="12"/>
  <c r="G102" i="12"/>
  <c r="T101" i="12"/>
  <c r="M101" i="12"/>
  <c r="U101" i="12" s="1"/>
  <c r="D101" i="12" s="1"/>
  <c r="T100" i="12"/>
  <c r="M100" i="12"/>
  <c r="T99" i="12"/>
  <c r="M99" i="12"/>
  <c r="S98" i="12"/>
  <c r="R98" i="12"/>
  <c r="Q98" i="12"/>
  <c r="P98" i="12"/>
  <c r="O98" i="12"/>
  <c r="N98" i="12"/>
  <c r="L98" i="12"/>
  <c r="K98" i="12"/>
  <c r="J98" i="12"/>
  <c r="I98" i="12"/>
  <c r="H98" i="12"/>
  <c r="G98" i="12"/>
  <c r="C98" i="12"/>
  <c r="T97" i="12"/>
  <c r="M97" i="12"/>
  <c r="U97" i="12" s="1"/>
  <c r="D97" i="12" s="1"/>
  <c r="E97" i="12" s="1"/>
  <c r="T96" i="12"/>
  <c r="M96" i="12"/>
  <c r="S95" i="12"/>
  <c r="R95" i="12"/>
  <c r="Q95" i="12"/>
  <c r="P95" i="12"/>
  <c r="O95" i="12"/>
  <c r="N95" i="12"/>
  <c r="L95" i="12"/>
  <c r="K95" i="12"/>
  <c r="J95" i="12"/>
  <c r="I95" i="12"/>
  <c r="H95" i="12"/>
  <c r="G95" i="12"/>
  <c r="T94" i="12"/>
  <c r="M94" i="12"/>
  <c r="U94" i="12" s="1"/>
  <c r="D94" i="12" s="1"/>
  <c r="T93" i="12"/>
  <c r="M93" i="12"/>
  <c r="S92" i="12"/>
  <c r="R92" i="12"/>
  <c r="Q92" i="12"/>
  <c r="P92" i="12"/>
  <c r="O92" i="12"/>
  <c r="N92" i="12"/>
  <c r="L92" i="12"/>
  <c r="K92" i="12"/>
  <c r="J92" i="12"/>
  <c r="I92" i="12"/>
  <c r="H92" i="12"/>
  <c r="G92" i="12"/>
  <c r="T91" i="12"/>
  <c r="M91" i="12"/>
  <c r="U91" i="12" s="1"/>
  <c r="D91" i="12" s="1"/>
  <c r="T90" i="12"/>
  <c r="M90" i="12"/>
  <c r="S89" i="12"/>
  <c r="R89" i="12"/>
  <c r="N89" i="12"/>
  <c r="K89" i="12"/>
  <c r="J89" i="12"/>
  <c r="I89" i="12"/>
  <c r="H89" i="12"/>
  <c r="G89" i="12"/>
  <c r="T88" i="12"/>
  <c r="M88" i="12"/>
  <c r="Q87" i="12"/>
  <c r="Q89" i="12" s="1"/>
  <c r="P87" i="12"/>
  <c r="P89" i="12" s="1"/>
  <c r="O87" i="12"/>
  <c r="O89" i="12" s="1"/>
  <c r="L87" i="12"/>
  <c r="M87" i="12" s="1"/>
  <c r="S86" i="12"/>
  <c r="R86" i="12"/>
  <c r="Q86" i="12"/>
  <c r="P86" i="12"/>
  <c r="O86" i="12"/>
  <c r="N86" i="12"/>
  <c r="L86" i="12"/>
  <c r="K86" i="12"/>
  <c r="J86" i="12"/>
  <c r="I86" i="12"/>
  <c r="H86" i="12"/>
  <c r="G86" i="12"/>
  <c r="C86" i="12"/>
  <c r="T85" i="12"/>
  <c r="M85" i="12"/>
  <c r="T84" i="12"/>
  <c r="M84" i="12"/>
  <c r="S83" i="12"/>
  <c r="R83" i="12"/>
  <c r="Q83" i="12"/>
  <c r="P83" i="12"/>
  <c r="O83" i="12"/>
  <c r="N83" i="12"/>
  <c r="L83" i="12"/>
  <c r="K83" i="12"/>
  <c r="J83" i="12"/>
  <c r="I83" i="12"/>
  <c r="H83" i="12"/>
  <c r="G83" i="12"/>
  <c r="T82" i="12"/>
  <c r="M82" i="12"/>
  <c r="T81" i="12"/>
  <c r="M81" i="12"/>
  <c r="S75" i="12"/>
  <c r="R75" i="12"/>
  <c r="Q75" i="12"/>
  <c r="P75" i="12"/>
  <c r="O75" i="12"/>
  <c r="N75" i="12"/>
  <c r="L75" i="12"/>
  <c r="K75" i="12"/>
  <c r="J75" i="12"/>
  <c r="I75" i="12"/>
  <c r="H75" i="12"/>
  <c r="G75" i="12"/>
  <c r="C75" i="12"/>
  <c r="T74" i="12"/>
  <c r="M74" i="12"/>
  <c r="T73" i="12"/>
  <c r="M73" i="12"/>
  <c r="S72" i="12"/>
  <c r="R72" i="12"/>
  <c r="Q72" i="12"/>
  <c r="P72" i="12"/>
  <c r="O72" i="12"/>
  <c r="N72" i="12"/>
  <c r="L72" i="12"/>
  <c r="K72" i="12"/>
  <c r="J72" i="12"/>
  <c r="I72" i="12"/>
  <c r="H72" i="12"/>
  <c r="G72" i="12"/>
  <c r="T71" i="12"/>
  <c r="M71" i="12"/>
  <c r="T70" i="12"/>
  <c r="M70" i="12"/>
  <c r="S69" i="12"/>
  <c r="R69" i="12"/>
  <c r="Q69" i="12"/>
  <c r="P69" i="12"/>
  <c r="O69" i="12"/>
  <c r="N69" i="12"/>
  <c r="L69" i="12"/>
  <c r="K69" i="12"/>
  <c r="J69" i="12"/>
  <c r="I69" i="12"/>
  <c r="H69" i="12"/>
  <c r="G69" i="12"/>
  <c r="C69" i="12"/>
  <c r="T68" i="12"/>
  <c r="M68" i="12"/>
  <c r="T67" i="12"/>
  <c r="M67" i="12"/>
  <c r="S66" i="12"/>
  <c r="R66" i="12"/>
  <c r="Q66" i="12"/>
  <c r="P66" i="12"/>
  <c r="O66" i="12"/>
  <c r="N66" i="12"/>
  <c r="L66" i="12"/>
  <c r="K66" i="12"/>
  <c r="J66" i="12"/>
  <c r="I66" i="12"/>
  <c r="H66" i="12"/>
  <c r="G66" i="12"/>
  <c r="C66" i="12"/>
  <c r="T65" i="12"/>
  <c r="M65" i="12"/>
  <c r="T64" i="12"/>
  <c r="M64" i="12"/>
  <c r="S63" i="12"/>
  <c r="R63" i="12"/>
  <c r="Q63" i="12"/>
  <c r="P63" i="12"/>
  <c r="O63" i="12"/>
  <c r="N63" i="12"/>
  <c r="L63" i="12"/>
  <c r="K63" i="12"/>
  <c r="J63" i="12"/>
  <c r="I63" i="12"/>
  <c r="H63" i="12"/>
  <c r="G63" i="12"/>
  <c r="C63" i="12"/>
  <c r="T62" i="12"/>
  <c r="M62" i="12"/>
  <c r="T61" i="12"/>
  <c r="M61" i="12"/>
  <c r="U61" i="12" s="1"/>
  <c r="S60" i="12"/>
  <c r="R60" i="12"/>
  <c r="Q60" i="12"/>
  <c r="P60" i="12"/>
  <c r="O60" i="12"/>
  <c r="N60" i="12"/>
  <c r="L60" i="12"/>
  <c r="K60" i="12"/>
  <c r="J60" i="12"/>
  <c r="I60" i="12"/>
  <c r="H60" i="12"/>
  <c r="G60" i="12"/>
  <c r="C60" i="12"/>
  <c r="T59" i="12"/>
  <c r="M59" i="12"/>
  <c r="T58" i="12"/>
  <c r="M58" i="12"/>
  <c r="S57" i="12"/>
  <c r="R57" i="12"/>
  <c r="Q57" i="12"/>
  <c r="P57" i="12"/>
  <c r="O57" i="12"/>
  <c r="N57" i="12"/>
  <c r="L57" i="12"/>
  <c r="K57" i="12"/>
  <c r="J57" i="12"/>
  <c r="I57" i="12"/>
  <c r="H57" i="12"/>
  <c r="G57" i="12"/>
  <c r="T56" i="12"/>
  <c r="M56" i="12"/>
  <c r="U56" i="12" s="1"/>
  <c r="D56" i="12" s="1"/>
  <c r="T55" i="12"/>
  <c r="M55" i="12"/>
  <c r="S54" i="12"/>
  <c r="R54" i="12"/>
  <c r="Q54" i="12"/>
  <c r="P54" i="12"/>
  <c r="O54" i="12"/>
  <c r="N54" i="12"/>
  <c r="L54" i="12"/>
  <c r="K54" i="12"/>
  <c r="J54" i="12"/>
  <c r="I54" i="12"/>
  <c r="H54" i="12"/>
  <c r="G54" i="12"/>
  <c r="T53" i="12"/>
  <c r="M53" i="12"/>
  <c r="T52" i="12"/>
  <c r="M52" i="12"/>
  <c r="S51" i="12"/>
  <c r="R51" i="12"/>
  <c r="Q51" i="12"/>
  <c r="P51" i="12"/>
  <c r="O51" i="12"/>
  <c r="N51" i="12"/>
  <c r="L51" i="12"/>
  <c r="K51" i="12"/>
  <c r="J51" i="12"/>
  <c r="I51" i="12"/>
  <c r="H51" i="12"/>
  <c r="G51" i="12"/>
  <c r="C51" i="12"/>
  <c r="T50" i="12"/>
  <c r="M50" i="12"/>
  <c r="U50" i="12" s="1"/>
  <c r="D50" i="12" s="1"/>
  <c r="E50" i="12" s="1"/>
  <c r="T49" i="12"/>
  <c r="M49" i="12"/>
  <c r="S48" i="12"/>
  <c r="R48" i="12"/>
  <c r="Q48" i="12"/>
  <c r="P48" i="12"/>
  <c r="O48" i="12"/>
  <c r="N48" i="12"/>
  <c r="L48" i="12"/>
  <c r="K48" i="12"/>
  <c r="J48" i="12"/>
  <c r="I48" i="12"/>
  <c r="H48" i="12"/>
  <c r="G48" i="12"/>
  <c r="T47" i="12"/>
  <c r="M47" i="12"/>
  <c r="T46" i="12"/>
  <c r="M46" i="12"/>
  <c r="S45" i="12"/>
  <c r="R45" i="12"/>
  <c r="Q45" i="12"/>
  <c r="P45" i="12"/>
  <c r="O45" i="12"/>
  <c r="N45" i="12"/>
  <c r="L45" i="12"/>
  <c r="K45" i="12"/>
  <c r="J45" i="12"/>
  <c r="I45" i="12"/>
  <c r="H45" i="12"/>
  <c r="G45" i="12"/>
  <c r="C45" i="12"/>
  <c r="T44" i="12"/>
  <c r="M44" i="12"/>
  <c r="T43" i="12"/>
  <c r="M43" i="12"/>
  <c r="S42" i="12"/>
  <c r="R42" i="12"/>
  <c r="Q42" i="12"/>
  <c r="P42" i="12"/>
  <c r="O42" i="12"/>
  <c r="N42" i="12"/>
  <c r="L42" i="12"/>
  <c r="K42" i="12"/>
  <c r="J42" i="12"/>
  <c r="I42" i="12"/>
  <c r="H42" i="12"/>
  <c r="G42" i="12"/>
  <c r="C42" i="12"/>
  <c r="T41" i="12"/>
  <c r="M41" i="12"/>
  <c r="T40" i="12"/>
  <c r="M40" i="12"/>
  <c r="S39" i="12"/>
  <c r="R39" i="12"/>
  <c r="Q39" i="12"/>
  <c r="P39" i="12"/>
  <c r="O39" i="12"/>
  <c r="N39" i="12"/>
  <c r="L39" i="12"/>
  <c r="K39" i="12"/>
  <c r="J39" i="12"/>
  <c r="I39" i="12"/>
  <c r="H39" i="12"/>
  <c r="G39" i="12"/>
  <c r="T38" i="12"/>
  <c r="M38" i="12"/>
  <c r="T37" i="12"/>
  <c r="M37" i="12"/>
  <c r="S36" i="12"/>
  <c r="R36" i="12"/>
  <c r="Q36" i="12"/>
  <c r="P36" i="12"/>
  <c r="O36" i="12"/>
  <c r="N36" i="12"/>
  <c r="L36" i="12"/>
  <c r="K36" i="12"/>
  <c r="J36" i="12"/>
  <c r="I36" i="12"/>
  <c r="H36" i="12"/>
  <c r="G36" i="12"/>
  <c r="T35" i="12"/>
  <c r="M35" i="12"/>
  <c r="T33" i="12"/>
  <c r="M33" i="12"/>
  <c r="S32" i="12"/>
  <c r="R32" i="12"/>
  <c r="Q32" i="12"/>
  <c r="P32" i="12"/>
  <c r="O32" i="12"/>
  <c r="N32" i="12"/>
  <c r="L32" i="12"/>
  <c r="K32" i="12"/>
  <c r="J32" i="12"/>
  <c r="I32" i="12"/>
  <c r="H32" i="12"/>
  <c r="G32" i="12"/>
  <c r="T31" i="12"/>
  <c r="M31" i="12"/>
  <c r="T30" i="12"/>
  <c r="M30" i="12"/>
  <c r="S29" i="12"/>
  <c r="R29" i="12"/>
  <c r="Q29" i="12"/>
  <c r="P29" i="12"/>
  <c r="O29" i="12"/>
  <c r="N29" i="12"/>
  <c r="L29" i="12"/>
  <c r="K29" i="12"/>
  <c r="J29" i="12"/>
  <c r="I29" i="12"/>
  <c r="H29" i="12"/>
  <c r="G29" i="12"/>
  <c r="C29" i="12"/>
  <c r="T28" i="12"/>
  <c r="M28" i="12"/>
  <c r="T27" i="12"/>
  <c r="M27" i="12"/>
  <c r="S26" i="12"/>
  <c r="R26" i="12"/>
  <c r="Q26" i="12"/>
  <c r="P26" i="12"/>
  <c r="O26" i="12"/>
  <c r="N26" i="12"/>
  <c r="L26" i="12"/>
  <c r="K26" i="12"/>
  <c r="J26" i="12"/>
  <c r="I26" i="12"/>
  <c r="H26" i="12"/>
  <c r="G26" i="12"/>
  <c r="T25" i="12"/>
  <c r="M25" i="12"/>
  <c r="T24" i="12"/>
  <c r="M24" i="12"/>
  <c r="T23" i="12"/>
  <c r="M23" i="12"/>
  <c r="S22" i="12"/>
  <c r="R22" i="12"/>
  <c r="Q22" i="12"/>
  <c r="P22" i="12"/>
  <c r="O22" i="12"/>
  <c r="N22" i="12"/>
  <c r="L22" i="12"/>
  <c r="K22" i="12"/>
  <c r="J22" i="12"/>
  <c r="I22" i="12"/>
  <c r="H22" i="12"/>
  <c r="G22" i="12"/>
  <c r="T21" i="12"/>
  <c r="M21" i="12"/>
  <c r="U21" i="12" s="1"/>
  <c r="D21" i="12" s="1"/>
  <c r="E21" i="12" s="1"/>
  <c r="T20" i="12"/>
  <c r="M20" i="12"/>
  <c r="S19" i="12"/>
  <c r="R19" i="12"/>
  <c r="Q19" i="12"/>
  <c r="P19" i="12"/>
  <c r="O19" i="12"/>
  <c r="N19" i="12"/>
  <c r="L19" i="12"/>
  <c r="K19" i="12"/>
  <c r="J19" i="12"/>
  <c r="I19" i="12"/>
  <c r="H19" i="12"/>
  <c r="G19" i="12"/>
  <c r="T18" i="12"/>
  <c r="M18" i="12"/>
  <c r="U18" i="12" s="1"/>
  <c r="D18" i="12" s="1"/>
  <c r="T17" i="12"/>
  <c r="M17" i="12"/>
  <c r="S16" i="12"/>
  <c r="R16" i="12"/>
  <c r="Q16" i="12"/>
  <c r="P16" i="12"/>
  <c r="O16" i="12"/>
  <c r="N16" i="12"/>
  <c r="L16" i="12"/>
  <c r="K16" i="12"/>
  <c r="J16" i="12"/>
  <c r="I16" i="12"/>
  <c r="H16" i="12"/>
  <c r="G16" i="12"/>
  <c r="T15" i="12"/>
  <c r="M15" i="12"/>
  <c r="U15" i="12" s="1"/>
  <c r="D15" i="12" s="1"/>
  <c r="C91" i="12" s="1"/>
  <c r="T14" i="12"/>
  <c r="M14" i="12"/>
  <c r="S13" i="12"/>
  <c r="R13" i="12"/>
  <c r="Q13" i="12"/>
  <c r="P13" i="12"/>
  <c r="O13" i="12"/>
  <c r="N13" i="12"/>
  <c r="L13" i="12"/>
  <c r="K13" i="12"/>
  <c r="J13" i="12"/>
  <c r="I13" i="12"/>
  <c r="H13" i="12"/>
  <c r="G13" i="12"/>
  <c r="T12" i="12"/>
  <c r="M12" i="12"/>
  <c r="U12" i="12" s="1"/>
  <c r="D12" i="12" s="1"/>
  <c r="T11" i="12"/>
  <c r="M11" i="12"/>
  <c r="S10" i="12"/>
  <c r="R10" i="12"/>
  <c r="Q10" i="12"/>
  <c r="P10" i="12"/>
  <c r="O10" i="12"/>
  <c r="N10" i="12"/>
  <c r="L10" i="12"/>
  <c r="K10" i="12"/>
  <c r="J10" i="12"/>
  <c r="I10" i="12"/>
  <c r="H10" i="12"/>
  <c r="G10" i="12"/>
  <c r="T9" i="12"/>
  <c r="M9" i="12"/>
  <c r="U9" i="12" s="1"/>
  <c r="D9" i="12" s="1"/>
  <c r="E9" i="12" s="1"/>
  <c r="T8" i="12"/>
  <c r="M8" i="12"/>
  <c r="S7" i="12"/>
  <c r="R7" i="12"/>
  <c r="Q7" i="12"/>
  <c r="P7" i="12"/>
  <c r="O7" i="12"/>
  <c r="N7" i="12"/>
  <c r="L7" i="12"/>
  <c r="K7" i="12"/>
  <c r="J7" i="12"/>
  <c r="I7" i="12"/>
  <c r="H7" i="12"/>
  <c r="G7" i="12"/>
  <c r="T6" i="12"/>
  <c r="M6" i="12"/>
  <c r="T5" i="12"/>
  <c r="M5" i="12"/>
  <c r="T75" i="11"/>
  <c r="S75" i="11"/>
  <c r="R75" i="11"/>
  <c r="Q75" i="11"/>
  <c r="P75" i="11"/>
  <c r="O75" i="11"/>
  <c r="M75" i="11"/>
  <c r="L75" i="11"/>
  <c r="K75" i="11"/>
  <c r="J75" i="11"/>
  <c r="I75" i="11"/>
  <c r="H75" i="11"/>
  <c r="D75" i="11"/>
  <c r="C75" i="11"/>
  <c r="U74" i="11"/>
  <c r="N74" i="11"/>
  <c r="U73" i="11"/>
  <c r="N73" i="11"/>
  <c r="T72" i="11"/>
  <c r="S72" i="11"/>
  <c r="R72" i="11"/>
  <c r="Q72" i="11"/>
  <c r="P72" i="11"/>
  <c r="O72" i="11"/>
  <c r="M72" i="11"/>
  <c r="L72" i="11"/>
  <c r="K72" i="11"/>
  <c r="J72" i="11"/>
  <c r="I72" i="11"/>
  <c r="H72" i="11"/>
  <c r="U71" i="11"/>
  <c r="N71" i="11"/>
  <c r="C71" i="11"/>
  <c r="C72" i="11" s="1"/>
  <c r="U70" i="11"/>
  <c r="N70" i="11"/>
  <c r="C70" i="11"/>
  <c r="T69" i="11"/>
  <c r="S69" i="11"/>
  <c r="R69" i="11"/>
  <c r="Q69" i="11"/>
  <c r="P69" i="11"/>
  <c r="O69" i="11"/>
  <c r="M69" i="11"/>
  <c r="L69" i="11"/>
  <c r="K69" i="11"/>
  <c r="J69" i="11"/>
  <c r="I69" i="11"/>
  <c r="H69" i="11"/>
  <c r="D69" i="11"/>
  <c r="C69" i="11"/>
  <c r="U68" i="11"/>
  <c r="V68" i="11" s="1"/>
  <c r="E68" i="11" s="1"/>
  <c r="F68" i="11" s="1"/>
  <c r="N68" i="11"/>
  <c r="U67" i="11"/>
  <c r="N67" i="11"/>
  <c r="T66" i="11"/>
  <c r="S66" i="11"/>
  <c r="R66" i="11"/>
  <c r="Q66" i="11"/>
  <c r="P66" i="11"/>
  <c r="O66" i="11"/>
  <c r="M66" i="11"/>
  <c r="L66" i="11"/>
  <c r="K66" i="11"/>
  <c r="J66" i="11"/>
  <c r="I66" i="11"/>
  <c r="H66" i="11"/>
  <c r="D66" i="11"/>
  <c r="C66" i="11"/>
  <c r="U65" i="11"/>
  <c r="N65" i="11"/>
  <c r="U64" i="11"/>
  <c r="N64" i="11"/>
  <c r="V64" i="11" s="1"/>
  <c r="T63" i="11"/>
  <c r="S63" i="11"/>
  <c r="R63" i="11"/>
  <c r="Q63" i="11"/>
  <c r="P63" i="11"/>
  <c r="O63" i="11"/>
  <c r="M63" i="11"/>
  <c r="L63" i="11"/>
  <c r="K63" i="11"/>
  <c r="J63" i="11"/>
  <c r="I63" i="11"/>
  <c r="H63" i="11"/>
  <c r="D63" i="11"/>
  <c r="C63" i="11"/>
  <c r="U62" i="11"/>
  <c r="N62" i="11"/>
  <c r="V62" i="11" s="1"/>
  <c r="E62" i="11" s="1"/>
  <c r="F62" i="11" s="1"/>
  <c r="U61" i="11"/>
  <c r="N61" i="11"/>
  <c r="T60" i="11"/>
  <c r="S60" i="11"/>
  <c r="R60" i="11"/>
  <c r="Q60" i="11"/>
  <c r="P60" i="11"/>
  <c r="O60" i="11"/>
  <c r="M60" i="11"/>
  <c r="L60" i="11"/>
  <c r="K60" i="11"/>
  <c r="J60" i="11"/>
  <c r="I60" i="11"/>
  <c r="H60" i="11"/>
  <c r="D60" i="11"/>
  <c r="C60" i="11"/>
  <c r="U59" i="11"/>
  <c r="N59" i="11"/>
  <c r="U58" i="11"/>
  <c r="N58" i="11"/>
  <c r="T57" i="11"/>
  <c r="S57" i="11"/>
  <c r="R57" i="11"/>
  <c r="Q57" i="11"/>
  <c r="P57" i="11"/>
  <c r="O57" i="11"/>
  <c r="M57" i="11"/>
  <c r="L57" i="11"/>
  <c r="K57" i="11"/>
  <c r="J57" i="11"/>
  <c r="I57" i="11"/>
  <c r="H57" i="11"/>
  <c r="N57" i="11" s="1"/>
  <c r="U56" i="11"/>
  <c r="N56" i="11"/>
  <c r="U55" i="11"/>
  <c r="N55" i="11"/>
  <c r="C55" i="11"/>
  <c r="C57" i="11" s="1"/>
  <c r="T54" i="11"/>
  <c r="S54" i="11"/>
  <c r="R54" i="11"/>
  <c r="Q54" i="11"/>
  <c r="P54" i="11"/>
  <c r="O54" i="11"/>
  <c r="M54" i="11"/>
  <c r="L54" i="11"/>
  <c r="K54" i="11"/>
  <c r="J54" i="11"/>
  <c r="I54" i="11"/>
  <c r="H54" i="11"/>
  <c r="U53" i="11"/>
  <c r="N53" i="11"/>
  <c r="U52" i="11"/>
  <c r="N52" i="11"/>
  <c r="C52" i="11"/>
  <c r="C54" i="11" s="1"/>
  <c r="T51" i="11"/>
  <c r="S51" i="11"/>
  <c r="R51" i="11"/>
  <c r="Q51" i="11"/>
  <c r="P51" i="11"/>
  <c r="O51" i="11"/>
  <c r="M51" i="11"/>
  <c r="L51" i="11"/>
  <c r="K51" i="11"/>
  <c r="J51" i="11"/>
  <c r="I51" i="11"/>
  <c r="H51" i="11"/>
  <c r="D51" i="11"/>
  <c r="C51" i="11"/>
  <c r="U50" i="11"/>
  <c r="N50" i="11"/>
  <c r="U49" i="11"/>
  <c r="N49" i="11"/>
  <c r="T48" i="11"/>
  <c r="S48" i="11"/>
  <c r="R48" i="11"/>
  <c r="Q48" i="11"/>
  <c r="P48" i="11"/>
  <c r="O48" i="11"/>
  <c r="M48" i="11"/>
  <c r="L48" i="11"/>
  <c r="K48" i="11"/>
  <c r="J48" i="11"/>
  <c r="I48" i="11"/>
  <c r="H48" i="11"/>
  <c r="U47" i="11"/>
  <c r="N47" i="11"/>
  <c r="C47" i="11"/>
  <c r="U46" i="11"/>
  <c r="N46" i="11"/>
  <c r="C46" i="11"/>
  <c r="T45" i="11"/>
  <c r="S45" i="11"/>
  <c r="R45" i="11"/>
  <c r="Q45" i="11"/>
  <c r="P45" i="11"/>
  <c r="O45" i="11"/>
  <c r="M45" i="11"/>
  <c r="L45" i="11"/>
  <c r="K45" i="11"/>
  <c r="J45" i="11"/>
  <c r="I45" i="11"/>
  <c r="H45" i="11"/>
  <c r="D45" i="11"/>
  <c r="C45" i="11"/>
  <c r="U44" i="11"/>
  <c r="N44" i="11"/>
  <c r="U43" i="11"/>
  <c r="N43" i="11"/>
  <c r="V43" i="11" s="1"/>
  <c r="E43" i="11" s="1"/>
  <c r="F43" i="11" s="1"/>
  <c r="T42" i="11"/>
  <c r="S42" i="11"/>
  <c r="R42" i="11"/>
  <c r="Q42" i="11"/>
  <c r="P42" i="11"/>
  <c r="O42" i="11"/>
  <c r="M42" i="11"/>
  <c r="L42" i="11"/>
  <c r="K42" i="11"/>
  <c r="J42" i="11"/>
  <c r="I42" i="11"/>
  <c r="H42" i="11"/>
  <c r="D42" i="11"/>
  <c r="C42" i="11"/>
  <c r="U41" i="11"/>
  <c r="N41" i="11"/>
  <c r="V41" i="11" s="1"/>
  <c r="E41" i="11" s="1"/>
  <c r="U40" i="11"/>
  <c r="N40" i="11"/>
  <c r="T39" i="11"/>
  <c r="S39" i="11"/>
  <c r="R39" i="11"/>
  <c r="U39" i="11" s="1"/>
  <c r="Q39" i="11"/>
  <c r="P39" i="11"/>
  <c r="O39" i="11"/>
  <c r="M39" i="11"/>
  <c r="L39" i="11"/>
  <c r="K39" i="11"/>
  <c r="J39" i="11"/>
  <c r="I39" i="11"/>
  <c r="H39" i="11"/>
  <c r="U38" i="11"/>
  <c r="N38" i="11"/>
  <c r="V38" i="11" s="1"/>
  <c r="E38" i="11" s="1"/>
  <c r="C38" i="11"/>
  <c r="U37" i="11"/>
  <c r="N37" i="11"/>
  <c r="C37" i="11"/>
  <c r="T36" i="11"/>
  <c r="S36" i="11"/>
  <c r="R36" i="11"/>
  <c r="Q36" i="11"/>
  <c r="P36" i="11"/>
  <c r="O36" i="11"/>
  <c r="M36" i="11"/>
  <c r="L36" i="11"/>
  <c r="K36" i="11"/>
  <c r="J36" i="11"/>
  <c r="I36" i="11"/>
  <c r="H36" i="11"/>
  <c r="U35" i="11"/>
  <c r="N35" i="11"/>
  <c r="C35" i="11"/>
  <c r="U33" i="11"/>
  <c r="N33" i="11"/>
  <c r="V33" i="11" s="1"/>
  <c r="E33" i="11" s="1"/>
  <c r="C33" i="11"/>
  <c r="C36" i="11" s="1"/>
  <c r="T32" i="11"/>
  <c r="S32" i="11"/>
  <c r="R32" i="11"/>
  <c r="Q32" i="11"/>
  <c r="P32" i="11"/>
  <c r="O32" i="11"/>
  <c r="M32" i="11"/>
  <c r="L32" i="11"/>
  <c r="K32" i="11"/>
  <c r="J32" i="11"/>
  <c r="I32" i="11"/>
  <c r="H32" i="11"/>
  <c r="U31" i="11"/>
  <c r="N31" i="11"/>
  <c r="C31" i="11"/>
  <c r="U30" i="11"/>
  <c r="N30" i="11"/>
  <c r="C30" i="11"/>
  <c r="T29" i="11"/>
  <c r="S29" i="11"/>
  <c r="R29" i="11"/>
  <c r="Q29" i="11"/>
  <c r="P29" i="11"/>
  <c r="O29" i="11"/>
  <c r="M29" i="11"/>
  <c r="L29" i="11"/>
  <c r="K29" i="11"/>
  <c r="J29" i="11"/>
  <c r="I29" i="11"/>
  <c r="H29" i="11"/>
  <c r="U28" i="11"/>
  <c r="N28" i="11"/>
  <c r="C28" i="11"/>
  <c r="U27" i="11"/>
  <c r="N27" i="11"/>
  <c r="C27" i="11"/>
  <c r="T26" i="11"/>
  <c r="S26" i="11"/>
  <c r="R26" i="11"/>
  <c r="Q26" i="11"/>
  <c r="P26" i="11"/>
  <c r="O26" i="11"/>
  <c r="M26" i="11"/>
  <c r="L26" i="11"/>
  <c r="K26" i="11"/>
  <c r="J26" i="11"/>
  <c r="I26" i="11"/>
  <c r="H26" i="11"/>
  <c r="U25" i="11"/>
  <c r="N25" i="11"/>
  <c r="C25" i="11"/>
  <c r="U24" i="11"/>
  <c r="N24" i="11"/>
  <c r="C24" i="11"/>
  <c r="U23" i="11"/>
  <c r="N23" i="11"/>
  <c r="C23" i="11"/>
  <c r="T22" i="11"/>
  <c r="S22" i="11"/>
  <c r="R22" i="11"/>
  <c r="Q22" i="11"/>
  <c r="P22" i="11"/>
  <c r="O22" i="11"/>
  <c r="M22" i="11"/>
  <c r="L22" i="11"/>
  <c r="K22" i="11"/>
  <c r="J22" i="11"/>
  <c r="I22" i="11"/>
  <c r="H22" i="11"/>
  <c r="D22" i="11"/>
  <c r="C22" i="11"/>
  <c r="U21" i="11"/>
  <c r="N21" i="11"/>
  <c r="U20" i="11"/>
  <c r="N20" i="11"/>
  <c r="T19" i="11"/>
  <c r="S19" i="11"/>
  <c r="R19" i="11"/>
  <c r="Q19" i="11"/>
  <c r="P19" i="11"/>
  <c r="O19" i="11"/>
  <c r="M19" i="11"/>
  <c r="L19" i="11"/>
  <c r="K19" i="11"/>
  <c r="J19" i="11"/>
  <c r="I19" i="11"/>
  <c r="H19" i="11"/>
  <c r="U18" i="11"/>
  <c r="N18" i="11"/>
  <c r="V18" i="11" s="1"/>
  <c r="E18" i="11" s="1"/>
  <c r="C18" i="11"/>
  <c r="U17" i="11"/>
  <c r="N17" i="11"/>
  <c r="C17" i="11"/>
  <c r="T16" i="11"/>
  <c r="S16" i="11"/>
  <c r="R16" i="11"/>
  <c r="Q16" i="11"/>
  <c r="P16" i="11"/>
  <c r="O16" i="11"/>
  <c r="M16" i="11"/>
  <c r="L16" i="11"/>
  <c r="K16" i="11"/>
  <c r="J16" i="11"/>
  <c r="I16" i="11"/>
  <c r="H16" i="11"/>
  <c r="U15" i="11"/>
  <c r="N15" i="11"/>
  <c r="C15" i="11"/>
  <c r="U14" i="11"/>
  <c r="N14" i="11"/>
  <c r="C14" i="11"/>
  <c r="T13" i="11"/>
  <c r="S13" i="11"/>
  <c r="O13" i="11"/>
  <c r="L13" i="11"/>
  <c r="K13" i="11"/>
  <c r="J13" i="11"/>
  <c r="I13" i="11"/>
  <c r="H13" i="11"/>
  <c r="U12" i="11"/>
  <c r="N12" i="11"/>
  <c r="C12" i="11"/>
  <c r="R11" i="11"/>
  <c r="R13" i="11" s="1"/>
  <c r="Q11" i="11"/>
  <c r="Q13" i="11" s="1"/>
  <c r="P11" i="11"/>
  <c r="P13" i="11" s="1"/>
  <c r="M11" i="11"/>
  <c r="C11" i="11"/>
  <c r="T10" i="11"/>
  <c r="S10" i="11"/>
  <c r="R10" i="11"/>
  <c r="Q10" i="11"/>
  <c r="P10" i="11"/>
  <c r="O10" i="11"/>
  <c r="M10" i="11"/>
  <c r="L10" i="11"/>
  <c r="K10" i="11"/>
  <c r="J10" i="11"/>
  <c r="I10" i="11"/>
  <c r="H10" i="11"/>
  <c r="D10" i="11"/>
  <c r="C10" i="11"/>
  <c r="U9" i="11"/>
  <c r="N9" i="11"/>
  <c r="V9" i="11" s="1"/>
  <c r="E9" i="11" s="1"/>
  <c r="F9" i="11" s="1"/>
  <c r="U8" i="11"/>
  <c r="N8" i="11"/>
  <c r="T7" i="11"/>
  <c r="S7" i="11"/>
  <c r="R7" i="11"/>
  <c r="Q7" i="11"/>
  <c r="P7" i="11"/>
  <c r="O7" i="11"/>
  <c r="M7" i="11"/>
  <c r="L7" i="11"/>
  <c r="K7" i="11"/>
  <c r="J7" i="11"/>
  <c r="I7" i="11"/>
  <c r="H7" i="11"/>
  <c r="U6" i="11"/>
  <c r="N6" i="11"/>
  <c r="C6" i="11"/>
  <c r="U5" i="11"/>
  <c r="N5" i="11"/>
  <c r="C5" i="11"/>
  <c r="C7" i="11" s="1"/>
  <c r="C82" i="10"/>
  <c r="D50" i="9" s="1"/>
  <c r="S76" i="10"/>
  <c r="R76" i="10"/>
  <c r="Q76" i="10"/>
  <c r="P76" i="10"/>
  <c r="O76" i="10"/>
  <c r="N76" i="10"/>
  <c r="L76" i="10"/>
  <c r="K76" i="10"/>
  <c r="J76" i="10"/>
  <c r="I76" i="10"/>
  <c r="H76" i="10"/>
  <c r="G76" i="10"/>
  <c r="C76" i="10"/>
  <c r="T75" i="10"/>
  <c r="M75" i="10"/>
  <c r="T74" i="10"/>
  <c r="M74" i="10"/>
  <c r="S73" i="10"/>
  <c r="R73" i="10"/>
  <c r="Q73" i="10"/>
  <c r="P73" i="10"/>
  <c r="O73" i="10"/>
  <c r="N73" i="10"/>
  <c r="L73" i="10"/>
  <c r="K73" i="10"/>
  <c r="J73" i="10"/>
  <c r="I73" i="10"/>
  <c r="H73" i="10"/>
  <c r="G73" i="10"/>
  <c r="C73" i="10"/>
  <c r="T72" i="10"/>
  <c r="M72" i="10"/>
  <c r="T71" i="10"/>
  <c r="M71" i="10"/>
  <c r="U71" i="10" s="1"/>
  <c r="D71" i="10" s="1"/>
  <c r="T70" i="10"/>
  <c r="M70" i="10"/>
  <c r="S69" i="10"/>
  <c r="R69" i="10"/>
  <c r="Q69" i="10"/>
  <c r="P69" i="10"/>
  <c r="O69" i="10"/>
  <c r="N69" i="10"/>
  <c r="L69" i="10"/>
  <c r="K69" i="10"/>
  <c r="J69" i="10"/>
  <c r="I69" i="10"/>
  <c r="H69" i="10"/>
  <c r="G69" i="10"/>
  <c r="C69" i="10"/>
  <c r="T68" i="10"/>
  <c r="M68" i="10"/>
  <c r="T67" i="10"/>
  <c r="U67" i="10" s="1"/>
  <c r="M67" i="10"/>
  <c r="S66" i="10"/>
  <c r="R66" i="10"/>
  <c r="Q66" i="10"/>
  <c r="P66" i="10"/>
  <c r="O66" i="10"/>
  <c r="N66" i="10"/>
  <c r="L66" i="10"/>
  <c r="K66" i="10"/>
  <c r="J66" i="10"/>
  <c r="I66" i="10"/>
  <c r="H66" i="10"/>
  <c r="G66" i="10"/>
  <c r="C66" i="10"/>
  <c r="D33" i="9" s="1"/>
  <c r="T65" i="10"/>
  <c r="M65" i="10"/>
  <c r="T64" i="10"/>
  <c r="M64" i="10"/>
  <c r="S63" i="10"/>
  <c r="R63" i="10"/>
  <c r="Q63" i="10"/>
  <c r="P63" i="10"/>
  <c r="O63" i="10"/>
  <c r="N63" i="10"/>
  <c r="L63" i="10"/>
  <c r="K63" i="10"/>
  <c r="J63" i="10"/>
  <c r="I63" i="10"/>
  <c r="H63" i="10"/>
  <c r="G63" i="10"/>
  <c r="C63" i="10"/>
  <c r="D32" i="9" s="1"/>
  <c r="T62" i="10"/>
  <c r="M62" i="10"/>
  <c r="T61" i="10"/>
  <c r="M61" i="10"/>
  <c r="S60" i="10"/>
  <c r="R60" i="10"/>
  <c r="Q60" i="10"/>
  <c r="P60" i="10"/>
  <c r="O60" i="10"/>
  <c r="N60" i="10"/>
  <c r="L60" i="10"/>
  <c r="K60" i="10"/>
  <c r="J60" i="10"/>
  <c r="I60" i="10"/>
  <c r="H60" i="10"/>
  <c r="G60" i="10"/>
  <c r="C60" i="10"/>
  <c r="T59" i="10"/>
  <c r="M59" i="10"/>
  <c r="T58" i="10"/>
  <c r="M58" i="10"/>
  <c r="S57" i="10"/>
  <c r="R57" i="10"/>
  <c r="Q57" i="10"/>
  <c r="P57" i="10"/>
  <c r="O57" i="10"/>
  <c r="N57" i="10"/>
  <c r="L57" i="10"/>
  <c r="K57" i="10"/>
  <c r="J57" i="10"/>
  <c r="I57" i="10"/>
  <c r="H57" i="10"/>
  <c r="G57" i="10"/>
  <c r="C57" i="10"/>
  <c r="T56" i="10"/>
  <c r="M56" i="10"/>
  <c r="T55" i="10"/>
  <c r="M55" i="10"/>
  <c r="U55" i="10" s="1"/>
  <c r="D55" i="10" s="1"/>
  <c r="D55" i="11" s="1"/>
  <c r="D57" i="11" s="1"/>
  <c r="S54" i="10"/>
  <c r="R54" i="10"/>
  <c r="Q54" i="10"/>
  <c r="P54" i="10"/>
  <c r="O54" i="10"/>
  <c r="N54" i="10"/>
  <c r="L54" i="10"/>
  <c r="K54" i="10"/>
  <c r="J54" i="10"/>
  <c r="I54" i="10"/>
  <c r="H54" i="10"/>
  <c r="G54" i="10"/>
  <c r="C54" i="10"/>
  <c r="T53" i="10"/>
  <c r="M53" i="10"/>
  <c r="T52" i="10"/>
  <c r="M52" i="10"/>
  <c r="S51" i="10"/>
  <c r="R51" i="10"/>
  <c r="Q51" i="10"/>
  <c r="P51" i="10"/>
  <c r="O51" i="10"/>
  <c r="N51" i="10"/>
  <c r="L51" i="10"/>
  <c r="K51" i="10"/>
  <c r="J51" i="10"/>
  <c r="I51" i="10"/>
  <c r="H51" i="10"/>
  <c r="G51" i="10"/>
  <c r="C51" i="10"/>
  <c r="D28" i="9" s="1"/>
  <c r="T50" i="10"/>
  <c r="M50" i="10"/>
  <c r="U50" i="10" s="1"/>
  <c r="D50" i="10" s="1"/>
  <c r="E50" i="10" s="1"/>
  <c r="T49" i="10"/>
  <c r="M49" i="10"/>
  <c r="S48" i="10"/>
  <c r="P48" i="10"/>
  <c r="O48" i="10"/>
  <c r="N48" i="10"/>
  <c r="L48" i="10"/>
  <c r="K48" i="10"/>
  <c r="J48" i="10"/>
  <c r="I48" i="10"/>
  <c r="H48" i="10"/>
  <c r="G48" i="10"/>
  <c r="C48" i="10"/>
  <c r="T47" i="10"/>
  <c r="M47" i="10"/>
  <c r="R46" i="10"/>
  <c r="R48" i="10" s="1"/>
  <c r="Q46" i="10"/>
  <c r="M46" i="10"/>
  <c r="S45" i="10"/>
  <c r="R45" i="10"/>
  <c r="Q45" i="10"/>
  <c r="P45" i="10"/>
  <c r="O45" i="10"/>
  <c r="N45" i="10"/>
  <c r="L45" i="10"/>
  <c r="K45" i="10"/>
  <c r="J45" i="10"/>
  <c r="I45" i="10"/>
  <c r="H45" i="10"/>
  <c r="G45" i="10"/>
  <c r="C45" i="10"/>
  <c r="D26" i="9" s="1"/>
  <c r="T44" i="10"/>
  <c r="M44" i="10"/>
  <c r="T43" i="10"/>
  <c r="M43" i="10"/>
  <c r="S42" i="10"/>
  <c r="R42" i="10"/>
  <c r="Q42" i="10"/>
  <c r="P42" i="10"/>
  <c r="O42" i="10"/>
  <c r="N42" i="10"/>
  <c r="L42" i="10"/>
  <c r="K42" i="10"/>
  <c r="J42" i="10"/>
  <c r="I42" i="10"/>
  <c r="H42" i="10"/>
  <c r="G42" i="10"/>
  <c r="C42" i="10"/>
  <c r="T41" i="10"/>
  <c r="M41" i="10"/>
  <c r="T40" i="10"/>
  <c r="M40" i="10"/>
  <c r="S39" i="10"/>
  <c r="R39" i="10"/>
  <c r="Q39" i="10"/>
  <c r="P39" i="10"/>
  <c r="O39" i="10"/>
  <c r="N39" i="10"/>
  <c r="L39" i="10"/>
  <c r="K39" i="10"/>
  <c r="J39" i="10"/>
  <c r="I39" i="10"/>
  <c r="H39" i="10"/>
  <c r="G39" i="10"/>
  <c r="C39" i="10"/>
  <c r="D24" i="9" s="1"/>
  <c r="T38" i="10"/>
  <c r="M38" i="10"/>
  <c r="T37" i="10"/>
  <c r="M37" i="10"/>
  <c r="U37" i="10" s="1"/>
  <c r="S36" i="10"/>
  <c r="R36" i="10"/>
  <c r="Q36" i="10"/>
  <c r="P36" i="10"/>
  <c r="O36" i="10"/>
  <c r="N36" i="10"/>
  <c r="L36" i="10"/>
  <c r="K36" i="10"/>
  <c r="J36" i="10"/>
  <c r="I36" i="10"/>
  <c r="H36" i="10"/>
  <c r="G36" i="10"/>
  <c r="C36" i="10"/>
  <c r="D23" i="9" s="1"/>
  <c r="T35" i="10"/>
  <c r="U35" i="10" s="1"/>
  <c r="M35" i="10"/>
  <c r="T33" i="10"/>
  <c r="M33" i="10"/>
  <c r="S32" i="10"/>
  <c r="R32" i="10"/>
  <c r="Q32" i="10"/>
  <c r="P32" i="10"/>
  <c r="O32" i="10"/>
  <c r="N32" i="10"/>
  <c r="L32" i="10"/>
  <c r="K32" i="10"/>
  <c r="J32" i="10"/>
  <c r="I32" i="10"/>
  <c r="H32" i="10"/>
  <c r="G32" i="10"/>
  <c r="C32" i="10"/>
  <c r="T31" i="10"/>
  <c r="M31" i="10"/>
  <c r="U31" i="10" s="1"/>
  <c r="D31" i="10" s="1"/>
  <c r="T30" i="10"/>
  <c r="M30" i="10"/>
  <c r="S29" i="10"/>
  <c r="R29" i="10"/>
  <c r="Q29" i="10"/>
  <c r="P29" i="10"/>
  <c r="O29" i="10"/>
  <c r="N29" i="10"/>
  <c r="L29" i="10"/>
  <c r="K29" i="10"/>
  <c r="J29" i="10"/>
  <c r="I29" i="10"/>
  <c r="H29" i="10"/>
  <c r="G29" i="10"/>
  <c r="C29" i="10"/>
  <c r="T28" i="10"/>
  <c r="M28" i="10"/>
  <c r="M27" i="10"/>
  <c r="U27" i="10" s="1"/>
  <c r="S26" i="10"/>
  <c r="R26" i="10"/>
  <c r="Q26" i="10"/>
  <c r="P26" i="10"/>
  <c r="O26" i="10"/>
  <c r="N26" i="10"/>
  <c r="L26" i="10"/>
  <c r="K26" i="10"/>
  <c r="J26" i="10"/>
  <c r="I26" i="10"/>
  <c r="H26" i="10"/>
  <c r="G26" i="10"/>
  <c r="C26" i="10"/>
  <c r="T25" i="10"/>
  <c r="M25" i="10"/>
  <c r="T24" i="10"/>
  <c r="U24" i="10" s="1"/>
  <c r="D24" i="10" s="1"/>
  <c r="M24" i="10"/>
  <c r="T23" i="10"/>
  <c r="M23" i="10"/>
  <c r="S22" i="10"/>
  <c r="R22" i="10"/>
  <c r="Q22" i="10"/>
  <c r="P22" i="10"/>
  <c r="O22" i="10"/>
  <c r="N22" i="10"/>
  <c r="L22" i="10"/>
  <c r="K22" i="10"/>
  <c r="J22" i="10"/>
  <c r="I22" i="10"/>
  <c r="H22" i="10"/>
  <c r="G22" i="10"/>
  <c r="C22" i="10"/>
  <c r="D19" i="9" s="1"/>
  <c r="T21" i="10"/>
  <c r="M21" i="10"/>
  <c r="T20" i="10"/>
  <c r="M20" i="10"/>
  <c r="S19" i="10"/>
  <c r="R19" i="10"/>
  <c r="Q19" i="10"/>
  <c r="P19" i="10"/>
  <c r="O19" i="10"/>
  <c r="N19" i="10"/>
  <c r="L19" i="10"/>
  <c r="K19" i="10"/>
  <c r="J19" i="10"/>
  <c r="I19" i="10"/>
  <c r="H19" i="10"/>
  <c r="G19" i="10"/>
  <c r="C19" i="10"/>
  <c r="D18" i="9" s="1"/>
  <c r="T18" i="10"/>
  <c r="M18" i="10"/>
  <c r="T17" i="10"/>
  <c r="M17" i="10"/>
  <c r="S16" i="10"/>
  <c r="R16" i="10"/>
  <c r="Q16" i="10"/>
  <c r="P16" i="10"/>
  <c r="O16" i="10"/>
  <c r="N16" i="10"/>
  <c r="L16" i="10"/>
  <c r="K16" i="10"/>
  <c r="J16" i="10"/>
  <c r="I16" i="10"/>
  <c r="H16" i="10"/>
  <c r="G16" i="10"/>
  <c r="C16" i="10"/>
  <c r="D17" i="9" s="1"/>
  <c r="T15" i="10"/>
  <c r="M15" i="10"/>
  <c r="T14" i="10"/>
  <c r="M14" i="10"/>
  <c r="U14" i="10" s="1"/>
  <c r="S13" i="10"/>
  <c r="P13" i="10"/>
  <c r="O13" i="10"/>
  <c r="N13" i="10"/>
  <c r="L13" i="10"/>
  <c r="K13" i="10"/>
  <c r="J13" i="10"/>
  <c r="I13" i="10"/>
  <c r="H13" i="10"/>
  <c r="G13" i="10"/>
  <c r="C13" i="10"/>
  <c r="D16" i="9" s="1"/>
  <c r="T12" i="10"/>
  <c r="M12" i="10"/>
  <c r="R11" i="10"/>
  <c r="R13" i="10" s="1"/>
  <c r="Q11" i="10"/>
  <c r="Q13" i="10" s="1"/>
  <c r="M11" i="10"/>
  <c r="S10" i="10"/>
  <c r="R10" i="10"/>
  <c r="Q10" i="10"/>
  <c r="P10" i="10"/>
  <c r="O10" i="10"/>
  <c r="N10" i="10"/>
  <c r="L10" i="10"/>
  <c r="K10" i="10"/>
  <c r="J10" i="10"/>
  <c r="I10" i="10"/>
  <c r="H10" i="10"/>
  <c r="G10" i="10"/>
  <c r="C10" i="10"/>
  <c r="D15" i="9" s="1"/>
  <c r="T9" i="10"/>
  <c r="M9" i="10"/>
  <c r="T8" i="10"/>
  <c r="M8" i="10"/>
  <c r="S7" i="10"/>
  <c r="R7" i="10"/>
  <c r="Q7" i="10"/>
  <c r="P7" i="10"/>
  <c r="O7" i="10"/>
  <c r="N7" i="10"/>
  <c r="L7" i="10"/>
  <c r="K7" i="10"/>
  <c r="J7" i="10"/>
  <c r="I7" i="10"/>
  <c r="H7" i="10"/>
  <c r="G7" i="10"/>
  <c r="C7" i="10"/>
  <c r="T6" i="10"/>
  <c r="M6" i="10"/>
  <c r="T5" i="10"/>
  <c r="M5" i="10"/>
  <c r="K43" i="9"/>
  <c r="I43" i="9"/>
  <c r="F43" i="9"/>
  <c r="E43" i="9"/>
  <c r="D43" i="9"/>
  <c r="L42" i="9"/>
  <c r="J42" i="9"/>
  <c r="G42" i="9"/>
  <c r="L41" i="9"/>
  <c r="J41" i="9"/>
  <c r="G41" i="9"/>
  <c r="L40" i="9"/>
  <c r="J40" i="9"/>
  <c r="G40" i="9"/>
  <c r="L38" i="9"/>
  <c r="J38" i="9"/>
  <c r="G38" i="9"/>
  <c r="D37" i="9"/>
  <c r="D36" i="9"/>
  <c r="D34" i="9"/>
  <c r="D31" i="9"/>
  <c r="D30" i="9"/>
  <c r="D29" i="9"/>
  <c r="D27" i="9"/>
  <c r="D25" i="9"/>
  <c r="D22" i="9"/>
  <c r="D21" i="9"/>
  <c r="D20" i="9"/>
  <c r="D14" i="9"/>
  <c r="K13" i="9"/>
  <c r="I13" i="9"/>
  <c r="F13" i="9"/>
  <c r="E13" i="9"/>
  <c r="D13" i="9"/>
  <c r="L12" i="9"/>
  <c r="J12" i="9"/>
  <c r="G12" i="9"/>
  <c r="L11" i="9"/>
  <c r="J11" i="9"/>
  <c r="G11" i="9"/>
  <c r="L10" i="9"/>
  <c r="J10" i="9"/>
  <c r="G10" i="9"/>
  <c r="U68" i="10" l="1"/>
  <c r="D68" i="10" s="1"/>
  <c r="E68" i="10" s="1"/>
  <c r="U55" i="12"/>
  <c r="U58" i="12"/>
  <c r="G13" i="9"/>
  <c r="U12" i="10"/>
  <c r="D12" i="10" s="1"/>
  <c r="U41" i="10"/>
  <c r="D41" i="10" s="1"/>
  <c r="M66" i="10"/>
  <c r="V74" i="11"/>
  <c r="E74" i="11" s="1"/>
  <c r="F74" i="11" s="1"/>
  <c r="U150" i="12"/>
  <c r="D150" i="12" s="1"/>
  <c r="E150" i="12" s="1"/>
  <c r="U53" i="10"/>
  <c r="D53" i="10" s="1"/>
  <c r="E53" i="10" s="1"/>
  <c r="M148" i="12"/>
  <c r="M19" i="10"/>
  <c r="T124" i="12"/>
  <c r="U73" i="12"/>
  <c r="C26" i="11"/>
  <c r="V28" i="11"/>
  <c r="E28" i="11" s="1"/>
  <c r="V44" i="11"/>
  <c r="E44" i="11" s="1"/>
  <c r="F44" i="11" s="1"/>
  <c r="V70" i="11"/>
  <c r="T29" i="12"/>
  <c r="U31" i="12"/>
  <c r="D31" i="12" s="1"/>
  <c r="E31" i="12" s="1"/>
  <c r="U38" i="12"/>
  <c r="D38" i="12" s="1"/>
  <c r="U82" i="12"/>
  <c r="U144" i="12"/>
  <c r="D144" i="12" s="1"/>
  <c r="E144" i="12" s="1"/>
  <c r="U125" i="12"/>
  <c r="U126" i="12"/>
  <c r="D126" i="12" s="1"/>
  <c r="E126" i="12" s="1"/>
  <c r="U81" i="12"/>
  <c r="U84" i="12"/>
  <c r="U103" i="12"/>
  <c r="U105" i="12" s="1"/>
  <c r="U35" i="12"/>
  <c r="D35" i="12" s="1"/>
  <c r="U8" i="12"/>
  <c r="U10" i="12" s="1"/>
  <c r="U6" i="12"/>
  <c r="U43" i="12"/>
  <c r="U46" i="12"/>
  <c r="D46" i="12" s="1"/>
  <c r="V35" i="11"/>
  <c r="E35" i="11" s="1"/>
  <c r="E36" i="11" s="1"/>
  <c r="F23" i="9" s="1"/>
  <c r="V12" i="11"/>
  <c r="E12" i="11" s="1"/>
  <c r="C12" i="12" s="1"/>
  <c r="V47" i="11"/>
  <c r="E47" i="11" s="1"/>
  <c r="C16" i="11"/>
  <c r="V17" i="11"/>
  <c r="E17" i="11" s="1"/>
  <c r="C17" i="12" s="1"/>
  <c r="U9" i="10"/>
  <c r="D9" i="10" s="1"/>
  <c r="E9" i="10" s="1"/>
  <c r="U38" i="10"/>
  <c r="D38" i="10" s="1"/>
  <c r="U39" i="10"/>
  <c r="M16" i="10"/>
  <c r="M36" i="10"/>
  <c r="N22" i="11"/>
  <c r="U57" i="11"/>
  <c r="M16" i="12"/>
  <c r="M19" i="12"/>
  <c r="M51" i="12"/>
  <c r="M54" i="12"/>
  <c r="T54" i="12"/>
  <c r="M86" i="12"/>
  <c r="T102" i="12"/>
  <c r="U5" i="10"/>
  <c r="D5" i="10" s="1"/>
  <c r="M13" i="10"/>
  <c r="T42" i="10"/>
  <c r="T46" i="10"/>
  <c r="U49" i="10"/>
  <c r="M73" i="10"/>
  <c r="V8" i="11"/>
  <c r="V10" i="11" s="1"/>
  <c r="V20" i="11"/>
  <c r="V37" i="11"/>
  <c r="V39" i="11" s="1"/>
  <c r="U42" i="11"/>
  <c r="N54" i="11"/>
  <c r="V59" i="11"/>
  <c r="E59" i="11" s="1"/>
  <c r="F59" i="11" s="1"/>
  <c r="V61" i="11"/>
  <c r="R76" i="12"/>
  <c r="U25" i="12"/>
  <c r="D25" i="12" s="1"/>
  <c r="C101" i="12" s="1"/>
  <c r="E101" i="12" s="1"/>
  <c r="M48" i="12"/>
  <c r="U65" i="12"/>
  <c r="D65" i="12" s="1"/>
  <c r="E65" i="12" s="1"/>
  <c r="U70" i="12"/>
  <c r="D70" i="12" s="1"/>
  <c r="J152" i="12"/>
  <c r="T105" i="12"/>
  <c r="U117" i="12"/>
  <c r="D117" i="12" s="1"/>
  <c r="M139" i="12"/>
  <c r="M151" i="12"/>
  <c r="C13" i="11"/>
  <c r="T72" i="12"/>
  <c r="M45" i="10"/>
  <c r="U61" i="10"/>
  <c r="U74" i="10"/>
  <c r="V30" i="11"/>
  <c r="N36" i="11"/>
  <c r="V40" i="11"/>
  <c r="V42" i="11" s="1"/>
  <c r="V50" i="11"/>
  <c r="E50" i="11" s="1"/>
  <c r="F50" i="11" s="1"/>
  <c r="U63" i="11"/>
  <c r="V65" i="11"/>
  <c r="E65" i="11" s="1"/>
  <c r="F65" i="11" s="1"/>
  <c r="V67" i="11"/>
  <c r="E67" i="11" s="1"/>
  <c r="F67" i="11" s="1"/>
  <c r="V71" i="11"/>
  <c r="E71" i="11" s="1"/>
  <c r="F37" i="9" s="1"/>
  <c r="U14" i="12"/>
  <c r="D14" i="12" s="1"/>
  <c r="U17" i="12"/>
  <c r="D17" i="12" s="1"/>
  <c r="D19" i="12" s="1"/>
  <c r="U20" i="12"/>
  <c r="U22" i="12" s="1"/>
  <c r="T42" i="12"/>
  <c r="U44" i="12"/>
  <c r="D44" i="12" s="1"/>
  <c r="E44" i="12" s="1"/>
  <c r="U52" i="12"/>
  <c r="U99" i="12"/>
  <c r="M118" i="12"/>
  <c r="U135" i="12"/>
  <c r="D135" i="12" s="1"/>
  <c r="E135" i="12" s="1"/>
  <c r="U30" i="10"/>
  <c r="U32" i="10" s="1"/>
  <c r="U15" i="10"/>
  <c r="D15" i="10" s="1"/>
  <c r="D15" i="11" s="1"/>
  <c r="T29" i="10"/>
  <c r="T32" i="10"/>
  <c r="U40" i="10"/>
  <c r="D40" i="10" s="1"/>
  <c r="C81" i="10"/>
  <c r="D49" i="9" s="1"/>
  <c r="U59" i="10"/>
  <c r="D59" i="10" s="1"/>
  <c r="E59" i="10" s="1"/>
  <c r="U64" i="10"/>
  <c r="R76" i="11"/>
  <c r="U10" i="11"/>
  <c r="N19" i="11"/>
  <c r="V52" i="11"/>
  <c r="E52" i="11" s="1"/>
  <c r="M39" i="12"/>
  <c r="M66" i="12"/>
  <c r="T69" i="12"/>
  <c r="M121" i="12"/>
  <c r="M124" i="12"/>
  <c r="U25" i="10"/>
  <c r="D25" i="10" s="1"/>
  <c r="D25" i="11" s="1"/>
  <c r="M29" i="10"/>
  <c r="M51" i="10"/>
  <c r="C19" i="11"/>
  <c r="U29" i="11"/>
  <c r="C32" i="11"/>
  <c r="U51" i="11"/>
  <c r="N63" i="11"/>
  <c r="U47" i="12"/>
  <c r="D47" i="12" s="1"/>
  <c r="C48" i="11"/>
  <c r="U28" i="10"/>
  <c r="D28" i="10" s="1"/>
  <c r="L43" i="9"/>
  <c r="U18" i="10"/>
  <c r="D18" i="10" s="1"/>
  <c r="U20" i="10"/>
  <c r="D20" i="10" s="1"/>
  <c r="U23" i="10"/>
  <c r="D23" i="10" s="1"/>
  <c r="U65" i="10"/>
  <c r="D65" i="10" s="1"/>
  <c r="E65" i="10" s="1"/>
  <c r="T76" i="10"/>
  <c r="V5" i="11"/>
  <c r="E5" i="11" s="1"/>
  <c r="V24" i="11"/>
  <c r="E24" i="11" s="1"/>
  <c r="C24" i="12" s="1"/>
  <c r="N45" i="11"/>
  <c r="U48" i="11"/>
  <c r="V53" i="11"/>
  <c r="E53" i="11" s="1"/>
  <c r="F53" i="11" s="1"/>
  <c r="N75" i="11"/>
  <c r="U75" i="11"/>
  <c r="T22" i="12"/>
  <c r="U24" i="12"/>
  <c r="D24" i="12" s="1"/>
  <c r="U27" i="12"/>
  <c r="U64" i="12"/>
  <c r="T87" i="12"/>
  <c r="U87" i="12" s="1"/>
  <c r="D87" i="12" s="1"/>
  <c r="L89" i="12"/>
  <c r="L152" i="12" s="1"/>
  <c r="T98" i="12"/>
  <c r="U106" i="12"/>
  <c r="D106" i="12" s="1"/>
  <c r="U109" i="12"/>
  <c r="U113" i="12"/>
  <c r="D113" i="12" s="1"/>
  <c r="U116" i="12"/>
  <c r="T139" i="12"/>
  <c r="U141" i="12"/>
  <c r="D141" i="12" s="1"/>
  <c r="E141" i="12" s="1"/>
  <c r="U146" i="12"/>
  <c r="D146" i="12" s="1"/>
  <c r="K36" i="9" s="1"/>
  <c r="E41" i="10"/>
  <c r="E25" i="9"/>
  <c r="F41" i="11"/>
  <c r="F25" i="9"/>
  <c r="G43" i="9"/>
  <c r="C77" i="10"/>
  <c r="M26" i="10"/>
  <c r="U44" i="10"/>
  <c r="D44" i="10" s="1"/>
  <c r="E44" i="10" s="1"/>
  <c r="U46" i="10"/>
  <c r="M48" i="10"/>
  <c r="Q48" i="10"/>
  <c r="T48" i="10" s="1"/>
  <c r="T66" i="10"/>
  <c r="U70" i="10"/>
  <c r="J76" i="11"/>
  <c r="S76" i="11"/>
  <c r="N16" i="11"/>
  <c r="N29" i="11"/>
  <c r="N42" i="11"/>
  <c r="U59" i="12"/>
  <c r="D59" i="12" s="1"/>
  <c r="E59" i="12" s="1"/>
  <c r="U74" i="12"/>
  <c r="D74" i="12" s="1"/>
  <c r="E74" i="12" s="1"/>
  <c r="U88" i="12"/>
  <c r="D88" i="12" s="1"/>
  <c r="M92" i="12"/>
  <c r="M98" i="12"/>
  <c r="U100" i="12"/>
  <c r="D100" i="12" s="1"/>
  <c r="U128" i="12"/>
  <c r="U131" i="12"/>
  <c r="D131" i="12" s="1"/>
  <c r="U134" i="12"/>
  <c r="U143" i="12"/>
  <c r="D143" i="12" s="1"/>
  <c r="T19" i="10"/>
  <c r="U21" i="10"/>
  <c r="D21" i="10" s="1"/>
  <c r="E21" i="10" s="1"/>
  <c r="M42" i="10"/>
  <c r="T54" i="10"/>
  <c r="U56" i="10"/>
  <c r="D56" i="10" s="1"/>
  <c r="E56" i="10" s="1"/>
  <c r="T76" i="11"/>
  <c r="C29" i="11"/>
  <c r="V31" i="11"/>
  <c r="E31" i="11" s="1"/>
  <c r="U32" i="11"/>
  <c r="V46" i="11"/>
  <c r="E46" i="11" s="1"/>
  <c r="N51" i="11"/>
  <c r="V73" i="11"/>
  <c r="V75" i="11" s="1"/>
  <c r="P76" i="12"/>
  <c r="T10" i="12"/>
  <c r="M42" i="12"/>
  <c r="T48" i="12"/>
  <c r="M57" i="12"/>
  <c r="T60" i="12"/>
  <c r="T75" i="12"/>
  <c r="S152" i="12"/>
  <c r="T11" i="10"/>
  <c r="T22" i="10"/>
  <c r="M32" i="10"/>
  <c r="M54" i="10"/>
  <c r="L76" i="11"/>
  <c r="V21" i="11"/>
  <c r="E21" i="11" s="1"/>
  <c r="F21" i="11" s="1"/>
  <c r="V25" i="11"/>
  <c r="E25" i="11" s="1"/>
  <c r="V27" i="11"/>
  <c r="V29" i="11" s="1"/>
  <c r="H76" i="12"/>
  <c r="U28" i="12"/>
  <c r="D28" i="12" s="1"/>
  <c r="E28" i="12" s="1"/>
  <c r="U30" i="12"/>
  <c r="D30" i="12" s="1"/>
  <c r="U33" i="12"/>
  <c r="U36" i="12" s="1"/>
  <c r="U37" i="12"/>
  <c r="U49" i="12"/>
  <c r="U67" i="12"/>
  <c r="D67" i="12" s="1"/>
  <c r="M89" i="12"/>
  <c r="T133" i="12"/>
  <c r="K152" i="12"/>
  <c r="R77" i="10"/>
  <c r="T36" i="10"/>
  <c r="V14" i="11"/>
  <c r="E14" i="11" s="1"/>
  <c r="V23" i="11"/>
  <c r="E23" i="11" s="1"/>
  <c r="U26" i="11"/>
  <c r="N32" i="11"/>
  <c r="N39" i="11"/>
  <c r="V49" i="11"/>
  <c r="E49" i="11" s="1"/>
  <c r="V55" i="11"/>
  <c r="M26" i="12"/>
  <c r="M45" i="12"/>
  <c r="M60" i="12"/>
  <c r="O152" i="12"/>
  <c r="U85" i="12"/>
  <c r="D85" i="12" s="1"/>
  <c r="E85" i="12" s="1"/>
  <c r="U90" i="12"/>
  <c r="U93" i="12"/>
  <c r="U95" i="12" s="1"/>
  <c r="U96" i="12"/>
  <c r="U98" i="12" s="1"/>
  <c r="U107" i="12"/>
  <c r="D107" i="12" s="1"/>
  <c r="T108" i="12"/>
  <c r="U111" i="12"/>
  <c r="D111" i="12" s="1"/>
  <c r="U137" i="12"/>
  <c r="U139" i="12" s="1"/>
  <c r="M142" i="12"/>
  <c r="D39" i="9"/>
  <c r="J77" i="10"/>
  <c r="U17" i="10"/>
  <c r="D17" i="10" s="1"/>
  <c r="M22" i="10"/>
  <c r="T39" i="10"/>
  <c r="U47" i="10"/>
  <c r="D47" i="10" s="1"/>
  <c r="T60" i="10"/>
  <c r="U62" i="10"/>
  <c r="D62" i="10" s="1"/>
  <c r="E62" i="10" s="1"/>
  <c r="V6" i="11"/>
  <c r="E6" i="11" s="1"/>
  <c r="U11" i="11"/>
  <c r="U22" i="11"/>
  <c r="U45" i="11"/>
  <c r="U54" i="11"/>
  <c r="N60" i="11"/>
  <c r="U66" i="11"/>
  <c r="N72" i="11"/>
  <c r="T16" i="12"/>
  <c r="M29" i="12"/>
  <c r="U40" i="12"/>
  <c r="T63" i="12"/>
  <c r="T66" i="12"/>
  <c r="G152" i="12"/>
  <c r="T86" i="12"/>
  <c r="M105" i="12"/>
  <c r="M127" i="12"/>
  <c r="T26" i="10"/>
  <c r="M60" i="10"/>
  <c r="P76" i="11"/>
  <c r="U60" i="11"/>
  <c r="N66" i="11"/>
  <c r="N69" i="11"/>
  <c r="U72" i="11"/>
  <c r="K76" i="12"/>
  <c r="T92" i="12"/>
  <c r="T95" i="12"/>
  <c r="M112" i="12"/>
  <c r="T118" i="12"/>
  <c r="U6" i="10"/>
  <c r="L77" i="10"/>
  <c r="U8" i="10"/>
  <c r="T16" i="10"/>
  <c r="U33" i="10"/>
  <c r="U36" i="10" s="1"/>
  <c r="M39" i="10"/>
  <c r="U43" i="10"/>
  <c r="T51" i="10"/>
  <c r="M57" i="10"/>
  <c r="U72" i="10"/>
  <c r="D72" i="10" s="1"/>
  <c r="E72" i="10" s="1"/>
  <c r="U75" i="10"/>
  <c r="D75" i="10" s="1"/>
  <c r="E75" i="10" s="1"/>
  <c r="N26" i="11"/>
  <c r="U36" i="11"/>
  <c r="V56" i="11"/>
  <c r="E56" i="11" s="1"/>
  <c r="F56" i="11" s="1"/>
  <c r="V58" i="11"/>
  <c r="E58" i="11" s="1"/>
  <c r="F58" i="11" s="1"/>
  <c r="U11" i="12"/>
  <c r="U23" i="12"/>
  <c r="M32" i="12"/>
  <c r="M36" i="12"/>
  <c r="U41" i="12"/>
  <c r="D41" i="12" s="1"/>
  <c r="T51" i="12"/>
  <c r="U53" i="12"/>
  <c r="D53" i="12" s="1"/>
  <c r="C129" i="12" s="1"/>
  <c r="U71" i="12"/>
  <c r="D71" i="12" s="1"/>
  <c r="I37" i="9" s="1"/>
  <c r="I152" i="12"/>
  <c r="R152" i="12"/>
  <c r="M108" i="12"/>
  <c r="M115" i="12"/>
  <c r="U120" i="12"/>
  <c r="D120" i="12" s="1"/>
  <c r="E120" i="12" s="1"/>
  <c r="U122" i="12"/>
  <c r="D122" i="12" s="1"/>
  <c r="M145" i="12"/>
  <c r="U147" i="12"/>
  <c r="D147" i="12" s="1"/>
  <c r="K37" i="9" s="1"/>
  <c r="L37" i="9" s="1"/>
  <c r="T148" i="12"/>
  <c r="T151" i="12"/>
  <c r="T10" i="10"/>
  <c r="U26" i="10"/>
  <c r="D31" i="11"/>
  <c r="E31" i="10"/>
  <c r="J13" i="9"/>
  <c r="D35" i="11"/>
  <c r="F35" i="11" s="1"/>
  <c r="E35" i="10"/>
  <c r="D35" i="9"/>
  <c r="U42" i="10"/>
  <c r="D71" i="11"/>
  <c r="E71" i="10"/>
  <c r="E37" i="9"/>
  <c r="L13" i="9"/>
  <c r="D6" i="10"/>
  <c r="M10" i="10"/>
  <c r="D12" i="11"/>
  <c r="F12" i="11" s="1"/>
  <c r="E12" i="10"/>
  <c r="D24" i="11"/>
  <c r="E24" i="10"/>
  <c r="D27" i="10"/>
  <c r="U29" i="10"/>
  <c r="D38" i="11"/>
  <c r="F38" i="11" s="1"/>
  <c r="E38" i="10"/>
  <c r="M7" i="10"/>
  <c r="G77" i="10"/>
  <c r="E18" i="10"/>
  <c r="D18" i="11"/>
  <c r="U16" i="10"/>
  <c r="U19" i="10"/>
  <c r="D47" i="11"/>
  <c r="E47" i="10"/>
  <c r="D49" i="10"/>
  <c r="U51" i="10"/>
  <c r="U76" i="10"/>
  <c r="D74" i="10"/>
  <c r="D8" i="10"/>
  <c r="U10" i="10"/>
  <c r="D28" i="11"/>
  <c r="F28" i="11" s="1"/>
  <c r="E28" i="10"/>
  <c r="O77" i="10"/>
  <c r="T7" i="10"/>
  <c r="U11" i="10"/>
  <c r="T13" i="10"/>
  <c r="D51" i="9"/>
  <c r="E37" i="11"/>
  <c r="E70" i="11"/>
  <c r="V72" i="11"/>
  <c r="D81" i="12"/>
  <c r="U83" i="12"/>
  <c r="H77" i="10"/>
  <c r="P77" i="10"/>
  <c r="D14" i="10"/>
  <c r="D37" i="10"/>
  <c r="T45" i="10"/>
  <c r="D64" i="10"/>
  <c r="M69" i="10"/>
  <c r="K76" i="11"/>
  <c r="C93" i="12"/>
  <c r="E67" i="12"/>
  <c r="I77" i="10"/>
  <c r="Q77" i="10"/>
  <c r="D67" i="10"/>
  <c r="U69" i="10"/>
  <c r="U7" i="11"/>
  <c r="C18" i="12"/>
  <c r="E18" i="12" s="1"/>
  <c r="F18" i="11"/>
  <c r="V19" i="11"/>
  <c r="E61" i="11"/>
  <c r="V63" i="11"/>
  <c r="C94" i="12"/>
  <c r="E94" i="12" s="1"/>
  <c r="J43" i="9"/>
  <c r="T63" i="10"/>
  <c r="N11" i="11"/>
  <c r="M13" i="11"/>
  <c r="M76" i="11" s="1"/>
  <c r="U13" i="11"/>
  <c r="V22" i="11"/>
  <c r="E20" i="11"/>
  <c r="C33" i="12"/>
  <c r="C47" i="12"/>
  <c r="U69" i="11"/>
  <c r="U13" i="12"/>
  <c r="D11" i="12"/>
  <c r="T89" i="12"/>
  <c r="K77" i="10"/>
  <c r="S77" i="10"/>
  <c r="D70" i="10"/>
  <c r="M76" i="10"/>
  <c r="O76" i="11"/>
  <c r="N10" i="11"/>
  <c r="V15" i="11"/>
  <c r="E15" i="11" s="1"/>
  <c r="E19" i="11"/>
  <c r="U19" i="11"/>
  <c r="E45" i="11"/>
  <c r="N48" i="11"/>
  <c r="C71" i="12"/>
  <c r="F71" i="11"/>
  <c r="E55" i="10"/>
  <c r="E8" i="11"/>
  <c r="U16" i="11"/>
  <c r="E30" i="11"/>
  <c r="C38" i="12"/>
  <c r="E38" i="12" s="1"/>
  <c r="U52" i="10"/>
  <c r="M63" i="10"/>
  <c r="T69" i="10"/>
  <c r="H76" i="11"/>
  <c r="N7" i="11"/>
  <c r="Q76" i="11"/>
  <c r="C35" i="12"/>
  <c r="E35" i="12" s="1"/>
  <c r="V36" i="11"/>
  <c r="D61" i="12"/>
  <c r="N77" i="10"/>
  <c r="T57" i="10"/>
  <c r="U58" i="10"/>
  <c r="D61" i="10"/>
  <c r="T73" i="10"/>
  <c r="I76" i="11"/>
  <c r="C39" i="11"/>
  <c r="V48" i="11"/>
  <c r="C52" i="12"/>
  <c r="C54" i="12" s="1"/>
  <c r="I76" i="12"/>
  <c r="Q76" i="12"/>
  <c r="T26" i="12"/>
  <c r="T112" i="12"/>
  <c r="T121" i="12"/>
  <c r="U127" i="12"/>
  <c r="T136" i="12"/>
  <c r="T145" i="12"/>
  <c r="U149" i="12"/>
  <c r="E40" i="11"/>
  <c r="E64" i="11"/>
  <c r="J76" i="12"/>
  <c r="T19" i="12"/>
  <c r="D33" i="12"/>
  <c r="D55" i="12"/>
  <c r="U57" i="12"/>
  <c r="U62" i="12"/>
  <c r="D62" i="12" s="1"/>
  <c r="E62" i="12" s="1"/>
  <c r="M69" i="12"/>
  <c r="D82" i="12"/>
  <c r="N152" i="12"/>
  <c r="D84" i="12"/>
  <c r="U86" i="12"/>
  <c r="E91" i="12"/>
  <c r="U114" i="12"/>
  <c r="D114" i="12" s="1"/>
  <c r="D116" i="12"/>
  <c r="U118" i="12"/>
  <c r="M136" i="12"/>
  <c r="U142" i="12"/>
  <c r="D140" i="12"/>
  <c r="V45" i="11"/>
  <c r="S76" i="12"/>
  <c r="T13" i="12"/>
  <c r="C90" i="12"/>
  <c r="C92" i="12" s="1"/>
  <c r="U39" i="12"/>
  <c r="D37" i="12"/>
  <c r="T45" i="12"/>
  <c r="C122" i="12"/>
  <c r="D64" i="12"/>
  <c r="M72" i="12"/>
  <c r="E119" i="12"/>
  <c r="D128" i="12"/>
  <c r="D6" i="12"/>
  <c r="L76" i="12"/>
  <c r="T7" i="12"/>
  <c r="M10" i="12"/>
  <c r="E12" i="12"/>
  <c r="C88" i="12"/>
  <c r="E88" i="12" s="1"/>
  <c r="D23" i="12"/>
  <c r="T32" i="12"/>
  <c r="N76" i="12"/>
  <c r="P152" i="12"/>
  <c r="T115" i="12"/>
  <c r="U121" i="12"/>
  <c r="T127" i="12"/>
  <c r="U5" i="12"/>
  <c r="M7" i="12"/>
  <c r="U16" i="12"/>
  <c r="C111" i="12"/>
  <c r="E111" i="12" s="1"/>
  <c r="D40" i="12"/>
  <c r="H152" i="12"/>
  <c r="Q152" i="12"/>
  <c r="U102" i="12"/>
  <c r="D99" i="12"/>
  <c r="M102" i="12"/>
  <c r="C107" i="12"/>
  <c r="U129" i="12"/>
  <c r="D129" i="12" s="1"/>
  <c r="U132" i="12"/>
  <c r="D132" i="12" s="1"/>
  <c r="M22" i="12"/>
  <c r="T36" i="12"/>
  <c r="T39" i="12"/>
  <c r="U51" i="12"/>
  <c r="D49" i="12"/>
  <c r="C132" i="12"/>
  <c r="E56" i="12"/>
  <c r="T57" i="12"/>
  <c r="D58" i="12"/>
  <c r="M63" i="12"/>
  <c r="G76" i="12"/>
  <c r="O76" i="12"/>
  <c r="M13" i="12"/>
  <c r="D16" i="12"/>
  <c r="D27" i="12"/>
  <c r="C114" i="12"/>
  <c r="U45" i="12"/>
  <c r="D43" i="12"/>
  <c r="D52" i="12"/>
  <c r="U68" i="12"/>
  <c r="D68" i="12" s="1"/>
  <c r="E68" i="12" s="1"/>
  <c r="M75" i="12"/>
  <c r="D90" i="12"/>
  <c r="U92" i="12"/>
  <c r="M95" i="12"/>
  <c r="M130" i="12"/>
  <c r="T130" i="12"/>
  <c r="M133" i="12"/>
  <c r="T142" i="12"/>
  <c r="U19" i="12"/>
  <c r="D8" i="12"/>
  <c r="D73" i="12"/>
  <c r="T83" i="12"/>
  <c r="D125" i="12"/>
  <c r="M83" i="12"/>
  <c r="U63" i="12" l="1"/>
  <c r="E73" i="11"/>
  <c r="E54" i="11"/>
  <c r="F31" i="11"/>
  <c r="U136" i="12"/>
  <c r="D48" i="12"/>
  <c r="U42" i="12"/>
  <c r="U112" i="12"/>
  <c r="D103" i="12"/>
  <c r="C19" i="12"/>
  <c r="E47" i="12"/>
  <c r="U124" i="12"/>
  <c r="D121" i="12"/>
  <c r="E121" i="12" s="1"/>
  <c r="U60" i="12"/>
  <c r="U54" i="12"/>
  <c r="E24" i="12"/>
  <c r="V57" i="11"/>
  <c r="E69" i="11"/>
  <c r="E55" i="11"/>
  <c r="G37" i="9"/>
  <c r="V51" i="11"/>
  <c r="V69" i="11"/>
  <c r="J37" i="9"/>
  <c r="V60" i="11"/>
  <c r="F24" i="11"/>
  <c r="G25" i="9"/>
  <c r="D44" i="9"/>
  <c r="D45" i="9" s="1"/>
  <c r="F25" i="11"/>
  <c r="E53" i="12"/>
  <c r="E25" i="10"/>
  <c r="D137" i="12"/>
  <c r="E137" i="12" s="1"/>
  <c r="U48" i="12"/>
  <c r="D134" i="12"/>
  <c r="D136" i="12" s="1"/>
  <c r="C25" i="12"/>
  <c r="E25" i="12" s="1"/>
  <c r="E17" i="12"/>
  <c r="D30" i="10"/>
  <c r="E15" i="10"/>
  <c r="U89" i="12"/>
  <c r="C76" i="11"/>
  <c r="C78" i="11" s="1"/>
  <c r="V7" i="11"/>
  <c r="D109" i="12"/>
  <c r="D112" i="12" s="1"/>
  <c r="U32" i="12"/>
  <c r="E27" i="11"/>
  <c r="E29" i="11" s="1"/>
  <c r="C123" i="12"/>
  <c r="E123" i="12" s="1"/>
  <c r="U26" i="12"/>
  <c r="X55" i="12" s="1"/>
  <c r="U66" i="12"/>
  <c r="V54" i="11"/>
  <c r="U45" i="10"/>
  <c r="X131" i="12"/>
  <c r="K49" i="9" s="1"/>
  <c r="C100" i="12"/>
  <c r="E100" i="12" s="1"/>
  <c r="U63" i="10"/>
  <c r="D57" i="10"/>
  <c r="V66" i="11"/>
  <c r="N13" i="11"/>
  <c r="D96" i="12"/>
  <c r="D98" i="12" s="1"/>
  <c r="D20" i="12"/>
  <c r="E20" i="12" s="1"/>
  <c r="U57" i="10"/>
  <c r="D33" i="10"/>
  <c r="E33" i="10" s="1"/>
  <c r="E129" i="12"/>
  <c r="X56" i="12"/>
  <c r="I50" i="9" s="1"/>
  <c r="U82" i="10"/>
  <c r="V26" i="11"/>
  <c r="U66" i="10"/>
  <c r="E117" i="12"/>
  <c r="K25" i="9"/>
  <c r="D148" i="12"/>
  <c r="E107" i="12"/>
  <c r="C36" i="12"/>
  <c r="K39" i="9"/>
  <c r="U73" i="10"/>
  <c r="M152" i="12"/>
  <c r="E60" i="11"/>
  <c r="F60" i="11" s="1"/>
  <c r="V32" i="11"/>
  <c r="U76" i="11"/>
  <c r="E41" i="12"/>
  <c r="I25" i="9"/>
  <c r="E71" i="12"/>
  <c r="C147" i="12"/>
  <c r="E147" i="12" s="1"/>
  <c r="U29" i="12"/>
  <c r="U145" i="12"/>
  <c r="D93" i="12"/>
  <c r="D95" i="12" s="1"/>
  <c r="D43" i="10"/>
  <c r="U48" i="10"/>
  <c r="D46" i="10"/>
  <c r="U75" i="12"/>
  <c r="V11" i="11"/>
  <c r="V80" i="11" s="1"/>
  <c r="F49" i="9" s="1"/>
  <c r="U22" i="10"/>
  <c r="U72" i="12"/>
  <c r="U108" i="12"/>
  <c r="U148" i="12"/>
  <c r="E132" i="12"/>
  <c r="F47" i="11"/>
  <c r="U7" i="10"/>
  <c r="C106" i="12"/>
  <c r="C108" i="12" s="1"/>
  <c r="D32" i="12"/>
  <c r="D45" i="12"/>
  <c r="E43" i="12"/>
  <c r="D89" i="12"/>
  <c r="U133" i="12"/>
  <c r="D142" i="12"/>
  <c r="E140" i="12"/>
  <c r="N76" i="11"/>
  <c r="C30" i="12"/>
  <c r="C32" i="12" s="1"/>
  <c r="E32" i="11"/>
  <c r="C15" i="12"/>
  <c r="E15" i="12" s="1"/>
  <c r="F15" i="11"/>
  <c r="D13" i="12"/>
  <c r="C87" i="12"/>
  <c r="C89" i="12" s="1"/>
  <c r="D33" i="11"/>
  <c r="D36" i="10"/>
  <c r="C5" i="12"/>
  <c r="E7" i="11"/>
  <c r="I27" i="9"/>
  <c r="E40" i="12"/>
  <c r="D42" i="12"/>
  <c r="E42" i="12" s="1"/>
  <c r="D39" i="12"/>
  <c r="C113" i="12"/>
  <c r="C115" i="12" s="1"/>
  <c r="E64" i="10"/>
  <c r="D66" i="10"/>
  <c r="D127" i="12"/>
  <c r="E125" i="12"/>
  <c r="E143" i="12"/>
  <c r="D145" i="12"/>
  <c r="D130" i="12"/>
  <c r="D22" i="12"/>
  <c r="C46" i="12"/>
  <c r="E48" i="11"/>
  <c r="F73" i="11"/>
  <c r="E75" i="11"/>
  <c r="F75" i="11" s="1"/>
  <c r="D69" i="10"/>
  <c r="E67" i="10"/>
  <c r="C14" i="12"/>
  <c r="E16" i="11"/>
  <c r="V81" i="11"/>
  <c r="M77" i="10"/>
  <c r="D51" i="12"/>
  <c r="E49" i="12"/>
  <c r="E19" i="12"/>
  <c r="I18" i="9"/>
  <c r="T76" i="12"/>
  <c r="U130" i="12"/>
  <c r="C131" i="12"/>
  <c r="C133" i="12" s="1"/>
  <c r="D57" i="12"/>
  <c r="E66" i="11"/>
  <c r="F64" i="11"/>
  <c r="D105" i="12"/>
  <c r="E103" i="12"/>
  <c r="D63" i="10"/>
  <c r="E61" i="10"/>
  <c r="E22" i="11"/>
  <c r="F20" i="11"/>
  <c r="D37" i="11"/>
  <c r="D39" i="11" s="1"/>
  <c r="D39" i="10"/>
  <c r="E37" i="10"/>
  <c r="D83" i="12"/>
  <c r="V16" i="11"/>
  <c r="C6" i="12"/>
  <c r="V6" i="12" s="1"/>
  <c r="D17" i="11"/>
  <c r="E17" i="10"/>
  <c r="D19" i="10"/>
  <c r="D124" i="12"/>
  <c r="E122" i="12"/>
  <c r="M76" i="12"/>
  <c r="E64" i="12"/>
  <c r="D66" i="12"/>
  <c r="E84" i="12"/>
  <c r="D86" i="12"/>
  <c r="E42" i="11"/>
  <c r="F42" i="11" s="1"/>
  <c r="F40" i="11"/>
  <c r="D58" i="10"/>
  <c r="U60" i="10"/>
  <c r="E57" i="10"/>
  <c r="E30" i="9"/>
  <c r="C55" i="12"/>
  <c r="C57" i="12" s="1"/>
  <c r="E57" i="11"/>
  <c r="F55" i="11"/>
  <c r="F61" i="11"/>
  <c r="E63" i="11"/>
  <c r="F49" i="11"/>
  <c r="E51" i="11"/>
  <c r="D30" i="11"/>
  <c r="D32" i="11" s="1"/>
  <c r="D32" i="10"/>
  <c r="E30" i="10"/>
  <c r="D11" i="10"/>
  <c r="U13" i="10"/>
  <c r="D76" i="10"/>
  <c r="E76" i="10" s="1"/>
  <c r="E74" i="10"/>
  <c r="D82" i="10"/>
  <c r="D6" i="11"/>
  <c r="X6" i="11" s="1"/>
  <c r="E6" i="10"/>
  <c r="E90" i="12"/>
  <c r="D92" i="12"/>
  <c r="D29" i="12"/>
  <c r="E27" i="12"/>
  <c r="U69" i="12"/>
  <c r="U7" i="12"/>
  <c r="D5" i="12"/>
  <c r="K26" i="9"/>
  <c r="C124" i="12"/>
  <c r="E116" i="12"/>
  <c r="D118" i="12"/>
  <c r="E118" i="12" s="1"/>
  <c r="D149" i="12"/>
  <c r="U151" i="12"/>
  <c r="D52" i="10"/>
  <c r="U54" i="10"/>
  <c r="F45" i="11"/>
  <c r="F26" i="9"/>
  <c r="D70" i="11"/>
  <c r="D72" i="11" s="1"/>
  <c r="E70" i="10"/>
  <c r="D73" i="10"/>
  <c r="E73" i="10" s="1"/>
  <c r="E36" i="9"/>
  <c r="E39" i="9" s="1"/>
  <c r="D115" i="12"/>
  <c r="D22" i="10"/>
  <c r="E20" i="10"/>
  <c r="C70" i="12"/>
  <c r="C72" i="12" s="1"/>
  <c r="E72" i="11"/>
  <c r="F36" i="9"/>
  <c r="D52" i="9"/>
  <c r="T77" i="10"/>
  <c r="D23" i="11"/>
  <c r="D26" i="11" s="1"/>
  <c r="E23" i="10"/>
  <c r="D26" i="10"/>
  <c r="D72" i="12"/>
  <c r="C146" i="12"/>
  <c r="I36" i="9"/>
  <c r="E58" i="12"/>
  <c r="D60" i="12"/>
  <c r="D10" i="12"/>
  <c r="E8" i="12"/>
  <c r="D54" i="12"/>
  <c r="E52" i="12"/>
  <c r="C128" i="12"/>
  <c r="C130" i="12" s="1"/>
  <c r="D26" i="12"/>
  <c r="C99" i="12"/>
  <c r="C102" i="12" s="1"/>
  <c r="C82" i="12"/>
  <c r="W82" i="12" s="1"/>
  <c r="E114" i="12"/>
  <c r="X132" i="12"/>
  <c r="D36" i="12"/>
  <c r="E33" i="12"/>
  <c r="C109" i="12"/>
  <c r="C112" i="12" s="1"/>
  <c r="C23" i="12"/>
  <c r="C26" i="12" s="1"/>
  <c r="E26" i="11"/>
  <c r="F69" i="11"/>
  <c r="F34" i="9"/>
  <c r="E10" i="11"/>
  <c r="F8" i="11"/>
  <c r="F29" i="9"/>
  <c r="U115" i="12"/>
  <c r="D69" i="12"/>
  <c r="D14" i="11"/>
  <c r="D16" i="11" s="1"/>
  <c r="D16" i="10"/>
  <c r="E14" i="10"/>
  <c r="E43" i="10"/>
  <c r="D45" i="10"/>
  <c r="D27" i="11"/>
  <c r="D29" i="11" s="1"/>
  <c r="E27" i="10"/>
  <c r="D29" i="10"/>
  <c r="D42" i="10"/>
  <c r="E42" i="10" s="1"/>
  <c r="E40" i="10"/>
  <c r="D7" i="10"/>
  <c r="D5" i="11"/>
  <c r="F5" i="11" s="1"/>
  <c r="E5" i="10"/>
  <c r="D133" i="12"/>
  <c r="T152" i="12"/>
  <c r="D75" i="12"/>
  <c r="E75" i="12" s="1"/>
  <c r="E73" i="12"/>
  <c r="I17" i="9"/>
  <c r="D102" i="12"/>
  <c r="D108" i="12"/>
  <c r="D63" i="12"/>
  <c r="E61" i="12"/>
  <c r="F18" i="9"/>
  <c r="C95" i="12"/>
  <c r="C37" i="12"/>
  <c r="C39" i="12" s="1"/>
  <c r="F37" i="11"/>
  <c r="E39" i="11"/>
  <c r="D10" i="10"/>
  <c r="E8" i="10"/>
  <c r="D51" i="10"/>
  <c r="E49" i="10"/>
  <c r="D139" i="12" l="1"/>
  <c r="E96" i="12"/>
  <c r="E113" i="12"/>
  <c r="Y56" i="12"/>
  <c r="V13" i="11"/>
  <c r="V76" i="11"/>
  <c r="V78" i="11" s="1"/>
  <c r="E134" i="12"/>
  <c r="U81" i="10"/>
  <c r="E49" i="9" s="1"/>
  <c r="E99" i="12"/>
  <c r="U77" i="10"/>
  <c r="E6" i="12"/>
  <c r="E30" i="12"/>
  <c r="F31" i="9"/>
  <c r="E50" i="9"/>
  <c r="E55" i="9" s="1"/>
  <c r="U83" i="10"/>
  <c r="E82" i="12"/>
  <c r="E131" i="12"/>
  <c r="U76" i="12"/>
  <c r="D46" i="11"/>
  <c r="E46" i="10"/>
  <c r="D48" i="10"/>
  <c r="E93" i="12"/>
  <c r="J25" i="9"/>
  <c r="L25" i="9"/>
  <c r="U152" i="12"/>
  <c r="E109" i="12"/>
  <c r="E11" i="11"/>
  <c r="E13" i="11" s="1"/>
  <c r="E26" i="10"/>
  <c r="E20" i="9"/>
  <c r="E66" i="10"/>
  <c r="E33" i="9"/>
  <c r="E16" i="10"/>
  <c r="E17" i="9"/>
  <c r="E136" i="12"/>
  <c r="K31" i="9"/>
  <c r="E22" i="10"/>
  <c r="E19" i="9"/>
  <c r="F51" i="11"/>
  <c r="F28" i="9"/>
  <c r="D19" i="11"/>
  <c r="F19" i="11" s="1"/>
  <c r="F17" i="11"/>
  <c r="E105" i="12"/>
  <c r="K21" i="9"/>
  <c r="J18" i="9"/>
  <c r="E22" i="12"/>
  <c r="I19" i="9"/>
  <c r="F14" i="9"/>
  <c r="I16" i="9"/>
  <c r="E142" i="12"/>
  <c r="K33" i="9"/>
  <c r="C11" i="12"/>
  <c r="E54" i="9"/>
  <c r="E112" i="12"/>
  <c r="K23" i="9"/>
  <c r="E66" i="12"/>
  <c r="I33" i="9"/>
  <c r="U81" i="11"/>
  <c r="F50" i="9"/>
  <c r="E128" i="12"/>
  <c r="E60" i="12"/>
  <c r="I31" i="9"/>
  <c r="E29" i="10"/>
  <c r="E21" i="9"/>
  <c r="J36" i="9"/>
  <c r="I39" i="9"/>
  <c r="L36" i="9"/>
  <c r="E115" i="12"/>
  <c r="K24" i="9"/>
  <c r="E52" i="10"/>
  <c r="D52" i="11"/>
  <c r="D54" i="10"/>
  <c r="F63" i="11"/>
  <c r="F32" i="9"/>
  <c r="E58" i="10"/>
  <c r="D60" i="10"/>
  <c r="F6" i="11"/>
  <c r="F66" i="11"/>
  <c r="F33" i="9"/>
  <c r="F14" i="11"/>
  <c r="E130" i="12"/>
  <c r="K29" i="9"/>
  <c r="E37" i="12"/>
  <c r="V5" i="12"/>
  <c r="C7" i="12"/>
  <c r="E89" i="12"/>
  <c r="K16" i="9"/>
  <c r="U80" i="11"/>
  <c r="E63" i="10"/>
  <c r="E32" i="9"/>
  <c r="E39" i="10"/>
  <c r="E24" i="9"/>
  <c r="E69" i="12"/>
  <c r="I34" i="9"/>
  <c r="J34" i="9" s="1"/>
  <c r="E106" i="12"/>
  <c r="F26" i="11"/>
  <c r="F20" i="9"/>
  <c r="E54" i="12"/>
  <c r="I29" i="9"/>
  <c r="J29" i="9" s="1"/>
  <c r="E70" i="12"/>
  <c r="F39" i="9"/>
  <c r="G39" i="9" s="1"/>
  <c r="G36" i="9"/>
  <c r="E29" i="12"/>
  <c r="I21" i="9"/>
  <c r="F27" i="11"/>
  <c r="E57" i="12"/>
  <c r="I30" i="9"/>
  <c r="E98" i="12"/>
  <c r="K19" i="9"/>
  <c r="F16" i="11"/>
  <c r="F17" i="9"/>
  <c r="E145" i="12"/>
  <c r="K34" i="9"/>
  <c r="E39" i="12"/>
  <c r="I24" i="9"/>
  <c r="E36" i="10"/>
  <c r="E23" i="9"/>
  <c r="G23" i="9" s="1"/>
  <c r="F30" i="11"/>
  <c r="E87" i="12"/>
  <c r="E32" i="10"/>
  <c r="E22" i="9"/>
  <c r="E127" i="12"/>
  <c r="K28" i="9"/>
  <c r="E36" i="12"/>
  <c r="I23" i="9"/>
  <c r="J23" i="9" s="1"/>
  <c r="E86" i="12"/>
  <c r="K15" i="9"/>
  <c r="E69" i="10"/>
  <c r="E34" i="9"/>
  <c r="G34" i="9" s="1"/>
  <c r="Y132" i="12"/>
  <c r="K50" i="9"/>
  <c r="K55" i="9" s="1"/>
  <c r="E139" i="12"/>
  <c r="K32" i="9"/>
  <c r="E95" i="12"/>
  <c r="K18" i="9"/>
  <c r="L18" i="9" s="1"/>
  <c r="F23" i="11"/>
  <c r="C148" i="12"/>
  <c r="E148" i="12" s="1"/>
  <c r="E146" i="12"/>
  <c r="F72" i="11"/>
  <c r="E149" i="12"/>
  <c r="D151" i="12"/>
  <c r="E151" i="12" s="1"/>
  <c r="X57" i="12"/>
  <c r="Y55" i="12"/>
  <c r="I49" i="9"/>
  <c r="E92" i="12"/>
  <c r="K17" i="9"/>
  <c r="L17" i="9" s="1"/>
  <c r="E11" i="10"/>
  <c r="D11" i="11"/>
  <c r="D13" i="11" s="1"/>
  <c r="D13" i="10"/>
  <c r="F29" i="11"/>
  <c r="F21" i="9"/>
  <c r="K14" i="9"/>
  <c r="F22" i="11"/>
  <c r="F19" i="9"/>
  <c r="E55" i="12"/>
  <c r="C16" i="12"/>
  <c r="E16" i="12" s="1"/>
  <c r="E14" i="12"/>
  <c r="F27" i="9"/>
  <c r="F32" i="11"/>
  <c r="F22" i="9"/>
  <c r="X133" i="12"/>
  <c r="E63" i="12"/>
  <c r="I32" i="9"/>
  <c r="X5" i="11"/>
  <c r="D7" i="11"/>
  <c r="E26" i="12"/>
  <c r="I20" i="9"/>
  <c r="E19" i="10"/>
  <c r="E18" i="9"/>
  <c r="G18" i="9" s="1"/>
  <c r="C48" i="12"/>
  <c r="E48" i="12" s="1"/>
  <c r="E46" i="12"/>
  <c r="E32" i="12"/>
  <c r="I22" i="9"/>
  <c r="E7" i="10"/>
  <c r="E14" i="9"/>
  <c r="F10" i="11"/>
  <c r="F15" i="9"/>
  <c r="E51" i="10"/>
  <c r="E28" i="9"/>
  <c r="E108" i="12"/>
  <c r="K22" i="9"/>
  <c r="I55" i="9"/>
  <c r="E10" i="10"/>
  <c r="E15" i="9"/>
  <c r="E133" i="12"/>
  <c r="K30" i="9"/>
  <c r="F39" i="11"/>
  <c r="F24" i="9"/>
  <c r="E102" i="12"/>
  <c r="K20" i="9"/>
  <c r="E45" i="10"/>
  <c r="E26" i="9"/>
  <c r="G26" i="9" s="1"/>
  <c r="E23" i="12"/>
  <c r="E10" i="12"/>
  <c r="I15" i="9"/>
  <c r="E72" i="12"/>
  <c r="F70" i="11"/>
  <c r="E5" i="12"/>
  <c r="C81" i="12"/>
  <c r="D7" i="12"/>
  <c r="F30" i="9"/>
  <c r="G30" i="9" s="1"/>
  <c r="F57" i="11"/>
  <c r="E124" i="12"/>
  <c r="K27" i="9"/>
  <c r="L27" i="9" s="1"/>
  <c r="E51" i="12"/>
  <c r="I28" i="9"/>
  <c r="D36" i="11"/>
  <c r="F36" i="11" s="1"/>
  <c r="F33" i="11"/>
  <c r="E45" i="12"/>
  <c r="I26" i="9"/>
  <c r="J26" i="9" s="1"/>
  <c r="Y131" i="12"/>
  <c r="F55" i="9" l="1"/>
  <c r="L20" i="9"/>
  <c r="L22" i="9"/>
  <c r="L19" i="9"/>
  <c r="E51" i="9"/>
  <c r="G15" i="9"/>
  <c r="G24" i="9"/>
  <c r="J31" i="9"/>
  <c r="J32" i="9"/>
  <c r="G20" i="9"/>
  <c r="L30" i="9"/>
  <c r="G19" i="9"/>
  <c r="J20" i="9"/>
  <c r="L16" i="9"/>
  <c r="F54" i="9"/>
  <c r="F11" i="11"/>
  <c r="E48" i="10"/>
  <c r="E27" i="9"/>
  <c r="G27" i="9" s="1"/>
  <c r="J28" i="9"/>
  <c r="D152" i="12"/>
  <c r="W152" i="12" s="1"/>
  <c r="D48" i="11"/>
  <c r="F48" i="11" s="1"/>
  <c r="F46" i="11"/>
  <c r="G17" i="9"/>
  <c r="G33" i="9"/>
  <c r="J15" i="9"/>
  <c r="J22" i="9"/>
  <c r="J17" i="9"/>
  <c r="D54" i="11"/>
  <c r="F54" i="11" s="1"/>
  <c r="F52" i="11"/>
  <c r="F13" i="11"/>
  <c r="F16" i="9"/>
  <c r="F35" i="9" s="1"/>
  <c r="E76" i="11"/>
  <c r="I54" i="9"/>
  <c r="I51" i="9"/>
  <c r="J33" i="9"/>
  <c r="C13" i="12"/>
  <c r="E13" i="12" s="1"/>
  <c r="E11" i="12"/>
  <c r="F7" i="11"/>
  <c r="G28" i="9"/>
  <c r="G14" i="9"/>
  <c r="J24" i="9"/>
  <c r="J30" i="9"/>
  <c r="L24" i="9"/>
  <c r="J27" i="9"/>
  <c r="J19" i="9"/>
  <c r="L28" i="9"/>
  <c r="L15" i="9"/>
  <c r="E60" i="10"/>
  <c r="E31" i="9"/>
  <c r="G31" i="9" s="1"/>
  <c r="L23" i="9"/>
  <c r="L33" i="9"/>
  <c r="L26" i="9"/>
  <c r="K35" i="9"/>
  <c r="E13" i="10"/>
  <c r="E16" i="9"/>
  <c r="K51" i="9"/>
  <c r="L34" i="9"/>
  <c r="L29" i="9"/>
  <c r="E54" i="10"/>
  <c r="D81" i="10"/>
  <c r="E29" i="9"/>
  <c r="G29" i="9" s="1"/>
  <c r="D77" i="10"/>
  <c r="G21" i="9"/>
  <c r="E7" i="12"/>
  <c r="D76" i="12"/>
  <c r="I14" i="9"/>
  <c r="L32" i="9"/>
  <c r="K54" i="9"/>
  <c r="J21" i="9"/>
  <c r="G32" i="9"/>
  <c r="J39" i="9"/>
  <c r="L39" i="9"/>
  <c r="F51" i="9"/>
  <c r="E56" i="9"/>
  <c r="L21" i="9"/>
  <c r="C83" i="12"/>
  <c r="V81" i="12"/>
  <c r="V82" i="12" s="1"/>
  <c r="E81" i="12"/>
  <c r="G22" i="9"/>
  <c r="L31" i="9"/>
  <c r="D76" i="11" l="1"/>
  <c r="D78" i="11" s="1"/>
  <c r="J16" i="9"/>
  <c r="F44" i="9"/>
  <c r="K44" i="9"/>
  <c r="J14" i="9"/>
  <c r="I35" i="9"/>
  <c r="L14" i="9"/>
  <c r="E78" i="11"/>
  <c r="F56" i="9"/>
  <c r="G16" i="9"/>
  <c r="I56" i="9"/>
  <c r="X76" i="12"/>
  <c r="K56" i="9"/>
  <c r="E35" i="9"/>
  <c r="E44" i="9" s="1"/>
  <c r="E45" i="9" s="1"/>
  <c r="E52" i="9" s="1"/>
  <c r="C152" i="12"/>
  <c r="E83" i="12"/>
  <c r="V77" i="10"/>
  <c r="E77" i="10"/>
  <c r="C76" i="12"/>
  <c r="W76" i="12" s="1"/>
  <c r="F76" i="11" l="1"/>
  <c r="F78" i="11"/>
  <c r="Y76" i="12"/>
  <c r="J35" i="9"/>
  <c r="I44" i="9"/>
  <c r="L44" i="9" s="1"/>
  <c r="V152" i="12"/>
  <c r="X152" i="12" s="1"/>
  <c r="E152" i="12"/>
  <c r="K45" i="9"/>
  <c r="K52" i="9" s="1"/>
  <c r="L35" i="9"/>
  <c r="G44" i="9"/>
  <c r="F45" i="9"/>
  <c r="F52" i="9" s="1"/>
  <c r="E76" i="12"/>
  <c r="G35" i="9"/>
  <c r="J44" i="9" l="1"/>
  <c r="I45" i="9"/>
  <c r="I52" i="9" s="1"/>
  <c r="J7" i="4" l="1"/>
  <c r="J6" i="4"/>
  <c r="J5" i="4"/>
  <c r="N169" i="5" l="1"/>
  <c r="M169" i="5"/>
  <c r="L169" i="5"/>
  <c r="K169" i="5"/>
  <c r="J169" i="5"/>
  <c r="I169" i="5"/>
  <c r="H169" i="5"/>
  <c r="G169" i="5"/>
  <c r="F169" i="5"/>
  <c r="E169" i="5"/>
  <c r="D169" i="5"/>
  <c r="C169" i="5"/>
  <c r="O168" i="5"/>
  <c r="O167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O163" i="5"/>
  <c r="O162" i="5"/>
  <c r="O161" i="5"/>
  <c r="O160" i="5"/>
  <c r="O159" i="5"/>
  <c r="O158" i="5"/>
  <c r="O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O155" i="5"/>
  <c r="O154" i="5"/>
  <c r="O153" i="5"/>
  <c r="O152" i="5"/>
  <c r="O151" i="5"/>
  <c r="O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O140" i="5"/>
  <c r="O139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O135" i="5"/>
  <c r="O134" i="5"/>
  <c r="O133" i="5"/>
  <c r="O132" i="5"/>
  <c r="O131" i="5"/>
  <c r="O130" i="5"/>
  <c r="O129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O127" i="5"/>
  <c r="O126" i="5"/>
  <c r="O125" i="5"/>
  <c r="O124" i="5"/>
  <c r="O123" i="5"/>
  <c r="O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O120" i="5"/>
  <c r="H34" i="17"/>
  <c r="O118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O112" i="5"/>
  <c r="O111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O107" i="5"/>
  <c r="O106" i="5"/>
  <c r="O105" i="5"/>
  <c r="O104" i="5"/>
  <c r="O103" i="5"/>
  <c r="O102" i="5"/>
  <c r="O101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O99" i="5"/>
  <c r="O98" i="5"/>
  <c r="O97" i="5"/>
  <c r="O96" i="5"/>
  <c r="O95" i="5"/>
  <c r="O94" i="5"/>
  <c r="N93" i="5"/>
  <c r="M93" i="5"/>
  <c r="L93" i="5"/>
  <c r="K93" i="5"/>
  <c r="J93" i="5"/>
  <c r="I93" i="5"/>
  <c r="H93" i="5"/>
  <c r="G93" i="5"/>
  <c r="F93" i="5"/>
  <c r="E93" i="5"/>
  <c r="D93" i="5"/>
  <c r="O90" i="5"/>
  <c r="N85" i="5"/>
  <c r="M85" i="5"/>
  <c r="L85" i="5"/>
  <c r="K85" i="5"/>
  <c r="J85" i="5"/>
  <c r="I85" i="5"/>
  <c r="H85" i="5"/>
  <c r="G85" i="5"/>
  <c r="F85" i="5"/>
  <c r="E85" i="5"/>
  <c r="D85" i="5"/>
  <c r="C85" i="5"/>
  <c r="O84" i="5"/>
  <c r="O83" i="5"/>
  <c r="N80" i="5"/>
  <c r="M80" i="5"/>
  <c r="L80" i="5"/>
  <c r="K80" i="5"/>
  <c r="J80" i="5"/>
  <c r="I80" i="5"/>
  <c r="H80" i="5"/>
  <c r="G80" i="5"/>
  <c r="F80" i="5"/>
  <c r="E80" i="5"/>
  <c r="D80" i="5"/>
  <c r="C80" i="5"/>
  <c r="O79" i="5"/>
  <c r="O78" i="5"/>
  <c r="O77" i="5"/>
  <c r="O76" i="5"/>
  <c r="O75" i="5"/>
  <c r="O74" i="5"/>
  <c r="O73" i="5"/>
  <c r="N72" i="5"/>
  <c r="M72" i="5"/>
  <c r="L72" i="5"/>
  <c r="K72" i="5"/>
  <c r="J72" i="5"/>
  <c r="I72" i="5"/>
  <c r="H72" i="5"/>
  <c r="G72" i="5"/>
  <c r="F72" i="5"/>
  <c r="E72" i="5"/>
  <c r="D72" i="5"/>
  <c r="O71" i="5"/>
  <c r="O70" i="5"/>
  <c r="O69" i="5"/>
  <c r="O68" i="5"/>
  <c r="O67" i="5"/>
  <c r="O66" i="5"/>
  <c r="N65" i="5"/>
  <c r="M65" i="5"/>
  <c r="L65" i="5"/>
  <c r="L81" i="5" s="1"/>
  <c r="L86" i="5" s="1"/>
  <c r="K65" i="5"/>
  <c r="K81" i="5" s="1"/>
  <c r="K86" i="5" s="1"/>
  <c r="J65" i="5"/>
  <c r="I65" i="5"/>
  <c r="H65" i="5"/>
  <c r="G65" i="5"/>
  <c r="F65" i="5"/>
  <c r="E65" i="5"/>
  <c r="D65" i="5"/>
  <c r="D81" i="5" s="1"/>
  <c r="D86" i="5" s="1"/>
  <c r="C81" i="5"/>
  <c r="F34" i="17"/>
  <c r="N57" i="5"/>
  <c r="M57" i="5"/>
  <c r="L57" i="5"/>
  <c r="K57" i="5"/>
  <c r="J57" i="5"/>
  <c r="I57" i="5"/>
  <c r="H57" i="5"/>
  <c r="G57" i="5"/>
  <c r="F57" i="5"/>
  <c r="E57" i="5"/>
  <c r="D57" i="5"/>
  <c r="C57" i="5"/>
  <c r="O56" i="5"/>
  <c r="O55" i="5"/>
  <c r="N52" i="5"/>
  <c r="M52" i="5"/>
  <c r="L52" i="5"/>
  <c r="K52" i="5"/>
  <c r="J52" i="5"/>
  <c r="I52" i="5"/>
  <c r="H52" i="5"/>
  <c r="G52" i="5"/>
  <c r="F52" i="5"/>
  <c r="E52" i="5"/>
  <c r="D52" i="5"/>
  <c r="C52" i="5"/>
  <c r="O51" i="5"/>
  <c r="O50" i="5"/>
  <c r="O49" i="5"/>
  <c r="O48" i="5"/>
  <c r="O47" i="5"/>
  <c r="O46" i="5"/>
  <c r="O45" i="5"/>
  <c r="N44" i="5"/>
  <c r="M44" i="5"/>
  <c r="L44" i="5"/>
  <c r="K44" i="5"/>
  <c r="J44" i="5"/>
  <c r="I44" i="5"/>
  <c r="H44" i="5"/>
  <c r="G44" i="5"/>
  <c r="F44" i="5"/>
  <c r="E44" i="5"/>
  <c r="D44" i="5"/>
  <c r="C44" i="5"/>
  <c r="O43" i="5"/>
  <c r="O42" i="5"/>
  <c r="O41" i="5"/>
  <c r="O40" i="5"/>
  <c r="O39" i="5"/>
  <c r="O38" i="5"/>
  <c r="N37" i="5"/>
  <c r="M37" i="5"/>
  <c r="L37" i="5"/>
  <c r="K37" i="5"/>
  <c r="J37" i="5"/>
  <c r="I37" i="5"/>
  <c r="H37" i="5"/>
  <c r="G37" i="5"/>
  <c r="F37" i="5"/>
  <c r="E37" i="5"/>
  <c r="D37" i="5"/>
  <c r="C37" i="5"/>
  <c r="O36" i="5"/>
  <c r="O35" i="5"/>
  <c r="O34" i="5"/>
  <c r="N62" i="3"/>
  <c r="M62" i="3"/>
  <c r="L62" i="3"/>
  <c r="K62" i="3"/>
  <c r="J62" i="3"/>
  <c r="I62" i="3"/>
  <c r="H62" i="3"/>
  <c r="G62" i="3"/>
  <c r="F62" i="3"/>
  <c r="E62" i="3"/>
  <c r="D62" i="3"/>
  <c r="C62" i="3"/>
  <c r="N61" i="3"/>
  <c r="M61" i="3"/>
  <c r="L61" i="3"/>
  <c r="K61" i="3"/>
  <c r="J61" i="3"/>
  <c r="I61" i="3"/>
  <c r="H61" i="3"/>
  <c r="G61" i="3"/>
  <c r="F61" i="3"/>
  <c r="E61" i="3"/>
  <c r="D61" i="3"/>
  <c r="C61" i="3"/>
  <c r="N60" i="3"/>
  <c r="M60" i="3"/>
  <c r="L60" i="3"/>
  <c r="K60" i="3"/>
  <c r="J60" i="3"/>
  <c r="I60" i="3"/>
  <c r="H60" i="3"/>
  <c r="G60" i="3"/>
  <c r="F60" i="3"/>
  <c r="E60" i="3"/>
  <c r="D60" i="3"/>
  <c r="C60" i="3"/>
  <c r="N59" i="3"/>
  <c r="M59" i="3"/>
  <c r="L59" i="3"/>
  <c r="K59" i="3"/>
  <c r="J59" i="3"/>
  <c r="I59" i="3"/>
  <c r="H59" i="3"/>
  <c r="G59" i="3"/>
  <c r="F59" i="3"/>
  <c r="E59" i="3"/>
  <c r="D59" i="3"/>
  <c r="C59" i="3"/>
  <c r="N57" i="3"/>
  <c r="M57" i="3"/>
  <c r="L57" i="3"/>
  <c r="K57" i="3"/>
  <c r="J57" i="3"/>
  <c r="I57" i="3"/>
  <c r="H57" i="3"/>
  <c r="G57" i="3"/>
  <c r="F57" i="3"/>
  <c r="E57" i="3"/>
  <c r="D57" i="3"/>
  <c r="C57" i="3"/>
  <c r="N56" i="3"/>
  <c r="N58" i="3" s="1"/>
  <c r="M56" i="3"/>
  <c r="L56" i="3"/>
  <c r="L58" i="3" s="1"/>
  <c r="K56" i="3"/>
  <c r="J56" i="3"/>
  <c r="I56" i="3"/>
  <c r="H56" i="3"/>
  <c r="G56" i="3"/>
  <c r="F56" i="3"/>
  <c r="F58" i="3" s="1"/>
  <c r="E56" i="3"/>
  <c r="D56" i="3"/>
  <c r="D58" i="3" s="1"/>
  <c r="C56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O134" i="3"/>
  <c r="O133" i="3"/>
  <c r="O132" i="3"/>
  <c r="O131" i="3"/>
  <c r="O130" i="3"/>
  <c r="O129" i="3"/>
  <c r="N93" i="3"/>
  <c r="M93" i="3"/>
  <c r="L93" i="3"/>
  <c r="K93" i="3"/>
  <c r="J93" i="3"/>
  <c r="I93" i="3"/>
  <c r="H93" i="3"/>
  <c r="G93" i="3"/>
  <c r="F93" i="3"/>
  <c r="E93" i="3"/>
  <c r="D93" i="3"/>
  <c r="C93" i="3"/>
  <c r="N48" i="3"/>
  <c r="M48" i="3"/>
  <c r="L48" i="3"/>
  <c r="K48" i="3"/>
  <c r="J48" i="3"/>
  <c r="I48" i="3"/>
  <c r="H48" i="3"/>
  <c r="G48" i="3"/>
  <c r="F48" i="3"/>
  <c r="E48" i="3"/>
  <c r="D48" i="3"/>
  <c r="C48" i="3"/>
  <c r="N40" i="3"/>
  <c r="N45" i="3" s="1"/>
  <c r="M40" i="3"/>
  <c r="M45" i="3" s="1"/>
  <c r="L40" i="3"/>
  <c r="L45" i="3" s="1"/>
  <c r="K40" i="3"/>
  <c r="K45" i="3" s="1"/>
  <c r="J40" i="3"/>
  <c r="J45" i="3" s="1"/>
  <c r="I40" i="3"/>
  <c r="H40" i="3"/>
  <c r="H45" i="3" s="1"/>
  <c r="G40" i="3"/>
  <c r="G45" i="3" s="1"/>
  <c r="F40" i="3"/>
  <c r="F45" i="3" s="1"/>
  <c r="E40" i="3"/>
  <c r="E45" i="3" s="1"/>
  <c r="D40" i="3"/>
  <c r="D45" i="3" s="1"/>
  <c r="C40" i="3"/>
  <c r="C45" i="3" s="1"/>
  <c r="N31" i="3"/>
  <c r="M31" i="3"/>
  <c r="L31" i="3"/>
  <c r="K31" i="3"/>
  <c r="J31" i="3"/>
  <c r="I31" i="3"/>
  <c r="H31" i="3"/>
  <c r="G31" i="3"/>
  <c r="F31" i="3"/>
  <c r="E31" i="3"/>
  <c r="D31" i="3"/>
  <c r="C31" i="3"/>
  <c r="I45" i="3"/>
  <c r="O44" i="3"/>
  <c r="J10" i="2" s="1"/>
  <c r="O43" i="3"/>
  <c r="I10" i="2" s="1"/>
  <c r="O42" i="3"/>
  <c r="H10" i="2" s="1"/>
  <c r="O41" i="3"/>
  <c r="G10" i="2" s="1"/>
  <c r="O39" i="3"/>
  <c r="E10" i="2" s="1"/>
  <c r="O38" i="3"/>
  <c r="D10" i="2" s="1"/>
  <c r="N23" i="3"/>
  <c r="M23" i="3"/>
  <c r="L23" i="3"/>
  <c r="K23" i="3"/>
  <c r="J23" i="3"/>
  <c r="I23" i="3"/>
  <c r="H23" i="3"/>
  <c r="G23" i="3"/>
  <c r="F23" i="3"/>
  <c r="E23" i="3"/>
  <c r="D23" i="3"/>
  <c r="C23" i="3"/>
  <c r="N15" i="3"/>
  <c r="M15" i="3"/>
  <c r="L15" i="3"/>
  <c r="K15" i="3"/>
  <c r="J15" i="3"/>
  <c r="I15" i="3"/>
  <c r="H15" i="3"/>
  <c r="G15" i="3"/>
  <c r="F15" i="3"/>
  <c r="E15" i="3"/>
  <c r="D15" i="3"/>
  <c r="C15" i="3"/>
  <c r="N7" i="3"/>
  <c r="M7" i="3"/>
  <c r="L7" i="3"/>
  <c r="K7" i="3"/>
  <c r="J7" i="3"/>
  <c r="I7" i="3"/>
  <c r="H7" i="3"/>
  <c r="G7" i="3"/>
  <c r="F7" i="3"/>
  <c r="E7" i="3"/>
  <c r="D7" i="3"/>
  <c r="C7" i="3"/>
  <c r="I37" i="17" l="1"/>
  <c r="H37" i="17"/>
  <c r="G40" i="17"/>
  <c r="G41" i="17"/>
  <c r="G36" i="17"/>
  <c r="G37" i="17"/>
  <c r="G38" i="17"/>
  <c r="F40" i="17"/>
  <c r="F41" i="17"/>
  <c r="F38" i="17"/>
  <c r="F36" i="17"/>
  <c r="F37" i="17"/>
  <c r="E38" i="17"/>
  <c r="E40" i="17"/>
  <c r="E41" i="17"/>
  <c r="E36" i="17"/>
  <c r="E37" i="17"/>
  <c r="K58" i="3"/>
  <c r="E58" i="3"/>
  <c r="M58" i="3"/>
  <c r="K109" i="5"/>
  <c r="K114" i="5" s="1"/>
  <c r="H43" i="17"/>
  <c r="I15" i="17"/>
  <c r="I15" i="4"/>
  <c r="E44" i="17"/>
  <c r="F16" i="17"/>
  <c r="F16" i="4"/>
  <c r="G46" i="17"/>
  <c r="H18" i="17"/>
  <c r="H18" i="4"/>
  <c r="I11" i="17"/>
  <c r="I11" i="4"/>
  <c r="H44" i="17"/>
  <c r="I16" i="17"/>
  <c r="I16" i="4"/>
  <c r="I40" i="17"/>
  <c r="J12" i="17"/>
  <c r="J12" i="4"/>
  <c r="I45" i="17"/>
  <c r="J17" i="17"/>
  <c r="J17" i="4"/>
  <c r="F6" i="4"/>
  <c r="E34" i="17"/>
  <c r="E45" i="17"/>
  <c r="F17" i="17"/>
  <c r="F17" i="4"/>
  <c r="F46" i="17"/>
  <c r="G18" i="17"/>
  <c r="G18" i="4"/>
  <c r="H19" i="17"/>
  <c r="H19" i="4"/>
  <c r="H40" i="17"/>
  <c r="I12" i="17"/>
  <c r="I12" i="4"/>
  <c r="H45" i="17"/>
  <c r="I17" i="17"/>
  <c r="I17" i="4"/>
  <c r="I41" i="17"/>
  <c r="J13" i="17"/>
  <c r="J13" i="4"/>
  <c r="I46" i="17"/>
  <c r="J18" i="17"/>
  <c r="J18" i="4"/>
  <c r="G45" i="17"/>
  <c r="H17" i="17"/>
  <c r="H17" i="4"/>
  <c r="I44" i="17"/>
  <c r="J16" i="17"/>
  <c r="J16" i="4"/>
  <c r="E46" i="17"/>
  <c r="F18" i="17"/>
  <c r="F18" i="4"/>
  <c r="G19" i="17"/>
  <c r="G19" i="4"/>
  <c r="H20" i="17"/>
  <c r="H20" i="4"/>
  <c r="H41" i="17"/>
  <c r="I13" i="17"/>
  <c r="I13" i="4"/>
  <c r="H46" i="17"/>
  <c r="I18" i="17"/>
  <c r="I18" i="4"/>
  <c r="J19" i="17"/>
  <c r="J19" i="4"/>
  <c r="E43" i="17"/>
  <c r="F15" i="17"/>
  <c r="F15" i="4"/>
  <c r="J11" i="17"/>
  <c r="J11" i="4"/>
  <c r="F19" i="17"/>
  <c r="F19" i="4"/>
  <c r="G20" i="17"/>
  <c r="G20" i="4"/>
  <c r="H21" i="17"/>
  <c r="H21" i="4"/>
  <c r="I19" i="17"/>
  <c r="I19" i="4"/>
  <c r="J20" i="17"/>
  <c r="J20" i="4"/>
  <c r="F20" i="17"/>
  <c r="F20" i="4"/>
  <c r="G21" i="17"/>
  <c r="G21" i="4"/>
  <c r="I20" i="17"/>
  <c r="I20" i="4"/>
  <c r="G165" i="5"/>
  <c r="G170" i="5" s="1"/>
  <c r="I36" i="17"/>
  <c r="J9" i="17"/>
  <c r="J9" i="4"/>
  <c r="J21" i="17"/>
  <c r="J21" i="4"/>
  <c r="F21" i="17"/>
  <c r="F21" i="4"/>
  <c r="G43" i="17"/>
  <c r="H15" i="17"/>
  <c r="H15" i="4"/>
  <c r="G137" i="5"/>
  <c r="G142" i="5" s="1"/>
  <c r="H36" i="17"/>
  <c r="I9" i="17"/>
  <c r="I9" i="4"/>
  <c r="I21" i="17"/>
  <c r="I21" i="4"/>
  <c r="H38" i="17"/>
  <c r="I10" i="17"/>
  <c r="I10" i="4"/>
  <c r="G44" i="17"/>
  <c r="H16" i="17"/>
  <c r="H16" i="4"/>
  <c r="I38" i="17"/>
  <c r="J10" i="17"/>
  <c r="J10" i="4"/>
  <c r="I43" i="17"/>
  <c r="J15" i="17"/>
  <c r="J15" i="4"/>
  <c r="F43" i="17"/>
  <c r="G15" i="17"/>
  <c r="G15" i="4"/>
  <c r="F44" i="17"/>
  <c r="G16" i="17"/>
  <c r="G16" i="4"/>
  <c r="F45" i="17"/>
  <c r="G17" i="17"/>
  <c r="G17" i="4"/>
  <c r="I6" i="17"/>
  <c r="I6" i="4"/>
  <c r="I7" i="17"/>
  <c r="I7" i="4"/>
  <c r="I5" i="17"/>
  <c r="I5" i="4"/>
  <c r="H5" i="17"/>
  <c r="H5" i="4"/>
  <c r="H6" i="17"/>
  <c r="H6" i="4"/>
  <c r="G6" i="17"/>
  <c r="G6" i="4"/>
  <c r="G7" i="17"/>
  <c r="G7" i="4"/>
  <c r="G5" i="17"/>
  <c r="G5" i="4"/>
  <c r="J58" i="3"/>
  <c r="O83" i="3"/>
  <c r="G16" i="2" s="1"/>
  <c r="O84" i="3"/>
  <c r="H16" i="2" s="1"/>
  <c r="H28" i="2" s="1"/>
  <c r="H13" i="17"/>
  <c r="H13" i="4"/>
  <c r="H9" i="17"/>
  <c r="H9" i="4"/>
  <c r="H10" i="17"/>
  <c r="H10" i="4"/>
  <c r="H11" i="17"/>
  <c r="H11" i="4"/>
  <c r="H12" i="17"/>
  <c r="H12" i="4"/>
  <c r="G13" i="17"/>
  <c r="G13" i="4"/>
  <c r="G11" i="17"/>
  <c r="G11" i="4"/>
  <c r="G12" i="17"/>
  <c r="G12" i="4"/>
  <c r="G10" i="17"/>
  <c r="G10" i="4"/>
  <c r="G9" i="17"/>
  <c r="G9" i="4"/>
  <c r="F13" i="17"/>
  <c r="F13" i="4"/>
  <c r="F11" i="17"/>
  <c r="F11" i="4"/>
  <c r="F12" i="17"/>
  <c r="F12" i="4"/>
  <c r="F10" i="17"/>
  <c r="F10" i="4"/>
  <c r="F9" i="17"/>
  <c r="F9" i="4"/>
  <c r="F7" i="17"/>
  <c r="F7" i="4"/>
  <c r="F5" i="17"/>
  <c r="F5" i="4"/>
  <c r="C58" i="3"/>
  <c r="I58" i="3"/>
  <c r="O135" i="3"/>
  <c r="G58" i="3"/>
  <c r="H58" i="3"/>
  <c r="E165" i="5"/>
  <c r="E170" i="5" s="1"/>
  <c r="D109" i="5"/>
  <c r="D114" i="5" s="1"/>
  <c r="L109" i="5"/>
  <c r="L114" i="5" s="1"/>
  <c r="H165" i="5"/>
  <c r="H170" i="5" s="1"/>
  <c r="F165" i="5"/>
  <c r="F170" i="5" s="1"/>
  <c r="N165" i="5"/>
  <c r="N170" i="5" s="1"/>
  <c r="C137" i="5"/>
  <c r="C142" i="5" s="1"/>
  <c r="K137" i="5"/>
  <c r="K142" i="5" s="1"/>
  <c r="I165" i="5"/>
  <c r="I170" i="5" s="1"/>
  <c r="F109" i="5"/>
  <c r="F114" i="5" s="1"/>
  <c r="N109" i="5"/>
  <c r="N114" i="5" s="1"/>
  <c r="J165" i="5"/>
  <c r="J170" i="5" s="1"/>
  <c r="G109" i="5"/>
  <c r="G114" i="5" s="1"/>
  <c r="C165" i="5"/>
  <c r="C170" i="5" s="1"/>
  <c r="D53" i="5"/>
  <c r="D58" i="5" s="1"/>
  <c r="H109" i="5"/>
  <c r="H114" i="5" s="1"/>
  <c r="D165" i="5"/>
  <c r="D170" i="5" s="1"/>
  <c r="L165" i="5"/>
  <c r="L170" i="5" s="1"/>
  <c r="M165" i="5"/>
  <c r="M170" i="5" s="1"/>
  <c r="O108" i="5"/>
  <c r="O113" i="5"/>
  <c r="O164" i="5"/>
  <c r="J109" i="5"/>
  <c r="J114" i="5" s="1"/>
  <c r="O128" i="5"/>
  <c r="L137" i="5"/>
  <c r="L142" i="5" s="1"/>
  <c r="O169" i="5"/>
  <c r="J53" i="5"/>
  <c r="J58" i="5" s="1"/>
  <c r="G81" i="5"/>
  <c r="G86" i="5" s="1"/>
  <c r="O72" i="5"/>
  <c r="M81" i="5"/>
  <c r="M86" i="5" s="1"/>
  <c r="E137" i="5"/>
  <c r="E142" i="5" s="1"/>
  <c r="M137" i="5"/>
  <c r="M142" i="5" s="1"/>
  <c r="K165" i="5"/>
  <c r="K170" i="5" s="1"/>
  <c r="C53" i="5"/>
  <c r="C58" i="5" s="1"/>
  <c r="K53" i="5"/>
  <c r="K58" i="5" s="1"/>
  <c r="H81" i="5"/>
  <c r="H86" i="5" s="1"/>
  <c r="F81" i="5"/>
  <c r="F86" i="5" s="1"/>
  <c r="N81" i="5"/>
  <c r="N86" i="5" s="1"/>
  <c r="O80" i="5"/>
  <c r="H137" i="5"/>
  <c r="H142" i="5" s="1"/>
  <c r="F137" i="5"/>
  <c r="F142" i="5" s="1"/>
  <c r="N137" i="5"/>
  <c r="N142" i="5" s="1"/>
  <c r="O136" i="5"/>
  <c r="L53" i="5"/>
  <c r="L58" i="5" s="1"/>
  <c r="I81" i="5"/>
  <c r="I86" i="5" s="1"/>
  <c r="E109" i="5"/>
  <c r="E114" i="5" s="1"/>
  <c r="M109" i="5"/>
  <c r="M114" i="5" s="1"/>
  <c r="O100" i="5"/>
  <c r="I137" i="5"/>
  <c r="I142" i="5" s="1"/>
  <c r="O141" i="5"/>
  <c r="J81" i="5"/>
  <c r="J86" i="5" s="1"/>
  <c r="O85" i="5"/>
  <c r="I109" i="5"/>
  <c r="I114" i="5" s="1"/>
  <c r="J137" i="5"/>
  <c r="J142" i="5" s="1"/>
  <c r="O156" i="5"/>
  <c r="O149" i="5"/>
  <c r="O121" i="5"/>
  <c r="D137" i="5"/>
  <c r="D142" i="5" s="1"/>
  <c r="C86" i="5"/>
  <c r="E81" i="5"/>
  <c r="E86" i="5" s="1"/>
  <c r="O65" i="5"/>
  <c r="O57" i="5"/>
  <c r="G53" i="5"/>
  <c r="G58" i="5" s="1"/>
  <c r="O52" i="5"/>
  <c r="H53" i="5"/>
  <c r="H58" i="5" s="1"/>
  <c r="I53" i="5"/>
  <c r="I58" i="5" s="1"/>
  <c r="E53" i="5"/>
  <c r="E58" i="5" s="1"/>
  <c r="M53" i="5"/>
  <c r="M58" i="5" s="1"/>
  <c r="F53" i="5"/>
  <c r="F58" i="5" s="1"/>
  <c r="N53" i="5"/>
  <c r="N58" i="5" s="1"/>
  <c r="O44" i="5"/>
  <c r="O37" i="5"/>
  <c r="O40" i="3"/>
  <c r="O45" i="3" s="1"/>
  <c r="F47" i="17" l="1"/>
  <c r="I42" i="17"/>
  <c r="I35" i="17"/>
  <c r="H42" i="17"/>
  <c r="H35" i="17"/>
  <c r="G42" i="17"/>
  <c r="F42" i="17"/>
  <c r="F35" i="17"/>
  <c r="F39" i="17" s="1"/>
  <c r="E42" i="17"/>
  <c r="E35" i="17"/>
  <c r="E47" i="17"/>
  <c r="W13" i="17"/>
  <c r="E39" i="17"/>
  <c r="Q15" i="17"/>
  <c r="W15" i="17"/>
  <c r="Q12" i="17"/>
  <c r="W12" i="17"/>
  <c r="U18" i="17"/>
  <c r="O18" i="17"/>
  <c r="W9" i="17"/>
  <c r="Q9" i="17"/>
  <c r="J14" i="17"/>
  <c r="F22" i="17"/>
  <c r="N20" i="17"/>
  <c r="T20" i="17"/>
  <c r="G22" i="17"/>
  <c r="W16" i="17"/>
  <c r="Q16" i="17"/>
  <c r="W10" i="17"/>
  <c r="Q10" i="17"/>
  <c r="W20" i="17"/>
  <c r="J22" i="17"/>
  <c r="Q20" i="17"/>
  <c r="O19" i="17"/>
  <c r="U19" i="17"/>
  <c r="V16" i="17"/>
  <c r="P16" i="17"/>
  <c r="Q19" i="17"/>
  <c r="W19" i="17"/>
  <c r="I39" i="17"/>
  <c r="G28" i="2"/>
  <c r="W21" i="17"/>
  <c r="V21" i="17"/>
  <c r="P21" i="17"/>
  <c r="P18" i="17"/>
  <c r="V18" i="17"/>
  <c r="N19" i="17"/>
  <c r="T19" i="17"/>
  <c r="U17" i="17"/>
  <c r="O17" i="17"/>
  <c r="O15" i="17"/>
  <c r="U15" i="17"/>
  <c r="E48" i="17"/>
  <c r="H39" i="17"/>
  <c r="V20" i="17"/>
  <c r="P20" i="17"/>
  <c r="I22" i="17"/>
  <c r="V19" i="17"/>
  <c r="P19" i="17"/>
  <c r="Q11" i="17"/>
  <c r="W11" i="17"/>
  <c r="G47" i="17"/>
  <c r="V17" i="17"/>
  <c r="P17" i="17"/>
  <c r="T18" i="17"/>
  <c r="N18" i="17"/>
  <c r="Q17" i="17"/>
  <c r="W17" i="17"/>
  <c r="O16" i="17"/>
  <c r="U16" i="17"/>
  <c r="I14" i="17"/>
  <c r="H47" i="17"/>
  <c r="I47" i="17"/>
  <c r="V15" i="17"/>
  <c r="P15" i="17"/>
  <c r="O20" i="17"/>
  <c r="U20" i="17"/>
  <c r="H22" i="17"/>
  <c r="Q21" i="17"/>
  <c r="T21" i="17"/>
  <c r="N21" i="17"/>
  <c r="U21" i="17"/>
  <c r="O21" i="17"/>
  <c r="Q13" i="17"/>
  <c r="W18" i="17"/>
  <c r="Q18" i="17"/>
  <c r="N17" i="17"/>
  <c r="T17" i="17"/>
  <c r="N16" i="17"/>
  <c r="T16" i="17"/>
  <c r="N15" i="17"/>
  <c r="T15" i="17"/>
  <c r="Q7" i="17"/>
  <c r="W7" i="17"/>
  <c r="Q6" i="17"/>
  <c r="W6" i="17"/>
  <c r="Q5" i="17"/>
  <c r="W5" i="17"/>
  <c r="I8" i="17"/>
  <c r="G14" i="17"/>
  <c r="G8" i="17"/>
  <c r="G25" i="17" s="1"/>
  <c r="O87" i="3"/>
  <c r="H14" i="17"/>
  <c r="T13" i="17"/>
  <c r="O13" i="17"/>
  <c r="N13" i="17"/>
  <c r="V13" i="17"/>
  <c r="U13" i="17"/>
  <c r="P13" i="17"/>
  <c r="T10" i="17"/>
  <c r="U10" i="17"/>
  <c r="N10" i="17"/>
  <c r="V10" i="17"/>
  <c r="O10" i="17"/>
  <c r="P10" i="17"/>
  <c r="T12" i="17"/>
  <c r="V12" i="17"/>
  <c r="P12" i="17"/>
  <c r="N12" i="17"/>
  <c r="O12" i="17"/>
  <c r="U12" i="17"/>
  <c r="O11" i="17"/>
  <c r="N11" i="17"/>
  <c r="U11" i="17"/>
  <c r="P11" i="17"/>
  <c r="T11" i="17"/>
  <c r="V11" i="17"/>
  <c r="N9" i="17"/>
  <c r="T9" i="17"/>
  <c r="U9" i="17"/>
  <c r="O9" i="17"/>
  <c r="V9" i="17"/>
  <c r="F14" i="17"/>
  <c r="P9" i="17"/>
  <c r="N7" i="17"/>
  <c r="P7" i="17"/>
  <c r="T7" i="17"/>
  <c r="V7" i="17"/>
  <c r="O5" i="17"/>
  <c r="V5" i="17"/>
  <c r="P5" i="17"/>
  <c r="T5" i="17"/>
  <c r="U5" i="17"/>
  <c r="N5" i="17"/>
  <c r="O165" i="5"/>
  <c r="O81" i="5"/>
  <c r="O170" i="5"/>
  <c r="O142" i="5"/>
  <c r="O137" i="5"/>
  <c r="O86" i="5"/>
  <c r="O58" i="5"/>
  <c r="O53" i="5"/>
  <c r="V22" i="17" l="1"/>
  <c r="U22" i="17"/>
  <c r="G26" i="17"/>
  <c r="Q22" i="17"/>
  <c r="I48" i="17"/>
  <c r="N22" i="17"/>
  <c r="I26" i="17"/>
  <c r="W22" i="17"/>
  <c r="J26" i="17"/>
  <c r="O22" i="17"/>
  <c r="J23" i="17"/>
  <c r="W14" i="17"/>
  <c r="H48" i="17"/>
  <c r="Q14" i="17"/>
  <c r="P22" i="17"/>
  <c r="T22" i="17"/>
  <c r="G23" i="17"/>
  <c r="Q8" i="17"/>
  <c r="I25" i="17"/>
  <c r="Q25" i="17" s="1"/>
  <c r="I23" i="17"/>
  <c r="W8" i="17"/>
  <c r="H26" i="17"/>
  <c r="O14" i="17"/>
  <c r="P14" i="17"/>
  <c r="N14" i="17"/>
  <c r="F26" i="17"/>
  <c r="V14" i="17"/>
  <c r="T14" i="17"/>
  <c r="U14" i="17"/>
  <c r="P21" i="4"/>
  <c r="O21" i="4"/>
  <c r="N21" i="4"/>
  <c r="M21" i="4"/>
  <c r="P20" i="4"/>
  <c r="O20" i="4"/>
  <c r="N20" i="4"/>
  <c r="M20" i="4"/>
  <c r="P19" i="4"/>
  <c r="O19" i="4"/>
  <c r="N19" i="4"/>
  <c r="M19" i="4"/>
  <c r="P18" i="4"/>
  <c r="O18" i="4"/>
  <c r="N18" i="4"/>
  <c r="M18" i="4"/>
  <c r="P17" i="4"/>
  <c r="O17" i="4"/>
  <c r="N17" i="4"/>
  <c r="M17" i="4"/>
  <c r="P16" i="4"/>
  <c r="O16" i="4"/>
  <c r="N16" i="4"/>
  <c r="M16" i="4"/>
  <c r="P15" i="4"/>
  <c r="O15" i="4"/>
  <c r="N15" i="4"/>
  <c r="M15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7" i="4"/>
  <c r="O7" i="4"/>
  <c r="M7" i="4"/>
  <c r="P6" i="4"/>
  <c r="O6" i="4"/>
  <c r="N6" i="4"/>
  <c r="M6" i="4"/>
  <c r="P5" i="4"/>
  <c r="O5" i="4"/>
  <c r="N5" i="4"/>
  <c r="M5" i="4"/>
  <c r="Q23" i="17" l="1"/>
  <c r="W23" i="17"/>
  <c r="Q26" i="17"/>
  <c r="Q27" i="17" s="1"/>
  <c r="N22" i="4"/>
  <c r="P22" i="4"/>
  <c r="P26" i="17"/>
  <c r="P27" i="17" s="1"/>
  <c r="N26" i="17"/>
  <c r="N27" i="17" s="1"/>
  <c r="O26" i="17"/>
  <c r="O27" i="17" s="1"/>
  <c r="M22" i="4"/>
  <c r="P8" i="4"/>
  <c r="O22" i="4"/>
  <c r="P14" i="4"/>
  <c r="O8" i="4"/>
  <c r="M8" i="4"/>
  <c r="O14" i="4"/>
  <c r="M14" i="4"/>
  <c r="N14" i="4"/>
  <c r="P23" i="4" l="1"/>
  <c r="M23" i="4"/>
  <c r="O23" i="4"/>
  <c r="V16" i="4"/>
  <c r="U16" i="4"/>
  <c r="T16" i="4"/>
  <c r="S16" i="4"/>
  <c r="V17" i="4"/>
  <c r="U17" i="4"/>
  <c r="T17" i="4"/>
  <c r="S17" i="4"/>
  <c r="O28" i="5" l="1"/>
  <c r="O27" i="5"/>
  <c r="N29" i="5"/>
  <c r="M29" i="5"/>
  <c r="L29" i="5"/>
  <c r="K29" i="5"/>
  <c r="J29" i="5"/>
  <c r="I29" i="5"/>
  <c r="H29" i="5"/>
  <c r="G29" i="5"/>
  <c r="F29" i="5"/>
  <c r="E29" i="5"/>
  <c r="D29" i="5"/>
  <c r="C29" i="5"/>
  <c r="O23" i="5"/>
  <c r="O22" i="5"/>
  <c r="O21" i="5"/>
  <c r="O20" i="5"/>
  <c r="O19" i="5"/>
  <c r="O18" i="5"/>
  <c r="O17" i="5"/>
  <c r="O15" i="5"/>
  <c r="O14" i="5"/>
  <c r="O13" i="5"/>
  <c r="O12" i="5"/>
  <c r="O11" i="5"/>
  <c r="O10" i="5"/>
  <c r="O8" i="5"/>
  <c r="O7" i="5"/>
  <c r="O6" i="5"/>
  <c r="N24" i="5"/>
  <c r="M24" i="5"/>
  <c r="L24" i="5"/>
  <c r="K24" i="5"/>
  <c r="J24" i="5"/>
  <c r="I24" i="5"/>
  <c r="H24" i="5"/>
  <c r="G24" i="5"/>
  <c r="F24" i="5"/>
  <c r="E24" i="5"/>
  <c r="D24" i="5"/>
  <c r="C24" i="5"/>
  <c r="N16" i="5"/>
  <c r="M16" i="5"/>
  <c r="L16" i="5"/>
  <c r="K16" i="5"/>
  <c r="J16" i="5"/>
  <c r="I16" i="5"/>
  <c r="H16" i="5"/>
  <c r="G16" i="5"/>
  <c r="F16" i="5"/>
  <c r="E16" i="5"/>
  <c r="D16" i="5"/>
  <c r="C16" i="5"/>
  <c r="N9" i="5"/>
  <c r="M9" i="5"/>
  <c r="L9" i="5"/>
  <c r="K9" i="5"/>
  <c r="J9" i="5"/>
  <c r="I9" i="5"/>
  <c r="H9" i="5"/>
  <c r="G9" i="5"/>
  <c r="F9" i="5"/>
  <c r="E9" i="5"/>
  <c r="D9" i="5"/>
  <c r="C9" i="5"/>
  <c r="J8" i="4"/>
  <c r="J25" i="4" s="1"/>
  <c r="J39" i="4" s="1"/>
  <c r="I8" i="4"/>
  <c r="I25" i="4" s="1"/>
  <c r="I39" i="4" s="1"/>
  <c r="J14" i="4"/>
  <c r="I14" i="4"/>
  <c r="V14" i="4" s="1"/>
  <c r="J22" i="4"/>
  <c r="I22" i="4"/>
  <c r="H22" i="4"/>
  <c r="G22" i="4"/>
  <c r="F22" i="4"/>
  <c r="D22" i="4"/>
  <c r="V21" i="4"/>
  <c r="U21" i="4"/>
  <c r="T21" i="4"/>
  <c r="V20" i="4"/>
  <c r="U20" i="4"/>
  <c r="T20" i="4"/>
  <c r="V19" i="4"/>
  <c r="U19" i="4"/>
  <c r="T19" i="4"/>
  <c r="V18" i="4"/>
  <c r="U18" i="4"/>
  <c r="T18" i="4"/>
  <c r="V15" i="4"/>
  <c r="U15" i="4"/>
  <c r="T15" i="4"/>
  <c r="V13" i="4"/>
  <c r="U13" i="4"/>
  <c r="T13" i="4"/>
  <c r="V12" i="4"/>
  <c r="U12" i="4"/>
  <c r="T12" i="4"/>
  <c r="V11" i="4"/>
  <c r="U11" i="4"/>
  <c r="T11" i="4"/>
  <c r="V10" i="4"/>
  <c r="U10" i="4"/>
  <c r="T10" i="4"/>
  <c r="V9" i="4"/>
  <c r="U9" i="4"/>
  <c r="T9" i="4"/>
  <c r="V7" i="4"/>
  <c r="U7" i="4"/>
  <c r="V6" i="4"/>
  <c r="U6" i="4"/>
  <c r="T6" i="4"/>
  <c r="V5" i="4"/>
  <c r="U5" i="4"/>
  <c r="T5" i="4"/>
  <c r="S21" i="4"/>
  <c r="S20" i="4"/>
  <c r="S19" i="4"/>
  <c r="S18" i="4"/>
  <c r="S15" i="4"/>
  <c r="S13" i="4"/>
  <c r="S12" i="4"/>
  <c r="S11" i="4"/>
  <c r="S10" i="4"/>
  <c r="S9" i="4"/>
  <c r="S7" i="4"/>
  <c r="S6" i="4"/>
  <c r="S5" i="4"/>
  <c r="H14" i="4"/>
  <c r="G14" i="4"/>
  <c r="F14" i="4"/>
  <c r="D14" i="4"/>
  <c r="G8" i="4"/>
  <c r="G25" i="4" s="1"/>
  <c r="G39" i="4" s="1"/>
  <c r="F8" i="4"/>
  <c r="F25" i="4" s="1"/>
  <c r="F39" i="4" s="1"/>
  <c r="D8" i="4"/>
  <c r="J14" i="2"/>
  <c r="J27" i="2" s="1"/>
  <c r="I14" i="2"/>
  <c r="I27" i="2" s="1"/>
  <c r="H14" i="2"/>
  <c r="H27" i="2" s="1"/>
  <c r="G14" i="2"/>
  <c r="G27" i="2" s="1"/>
  <c r="E14" i="2"/>
  <c r="E27" i="2" s="1"/>
  <c r="D14" i="2"/>
  <c r="D27" i="2" s="1"/>
  <c r="N63" i="3"/>
  <c r="M63" i="3"/>
  <c r="L63" i="3"/>
  <c r="K63" i="3"/>
  <c r="J63" i="3"/>
  <c r="I63" i="3"/>
  <c r="H63" i="3"/>
  <c r="G63" i="3"/>
  <c r="F63" i="3"/>
  <c r="E63" i="3"/>
  <c r="D63" i="3"/>
  <c r="C63" i="3"/>
  <c r="O62" i="3"/>
  <c r="J13" i="2" s="1"/>
  <c r="O61" i="3"/>
  <c r="I13" i="2" s="1"/>
  <c r="O60" i="3"/>
  <c r="H13" i="2" s="1"/>
  <c r="O59" i="3"/>
  <c r="G13" i="2" s="1"/>
  <c r="O58" i="3"/>
  <c r="O57" i="3"/>
  <c r="E13" i="2" s="1"/>
  <c r="O56" i="3"/>
  <c r="D13" i="2" s="1"/>
  <c r="U39" i="4" l="1"/>
  <c r="O39" i="4"/>
  <c r="M39" i="4"/>
  <c r="S39" i="4"/>
  <c r="V39" i="4"/>
  <c r="P39" i="4"/>
  <c r="D23" i="4"/>
  <c r="D37" i="4" s="1"/>
  <c r="D25" i="4"/>
  <c r="D39" i="4" s="1"/>
  <c r="S25" i="4"/>
  <c r="M25" i="4"/>
  <c r="P25" i="4"/>
  <c r="O25" i="4"/>
  <c r="V25" i="4"/>
  <c r="U25" i="4"/>
  <c r="F27" i="2"/>
  <c r="K27" i="2" s="1"/>
  <c r="E12" i="4"/>
  <c r="R12" i="4" s="1"/>
  <c r="E12" i="17"/>
  <c r="E21" i="4"/>
  <c r="R21" i="4" s="1"/>
  <c r="E21" i="17"/>
  <c r="O24" i="5"/>
  <c r="E6" i="4"/>
  <c r="R6" i="4" s="1"/>
  <c r="E6" i="17"/>
  <c r="E15" i="4"/>
  <c r="Q15" i="4" s="1"/>
  <c r="E15" i="17"/>
  <c r="E5" i="4"/>
  <c r="E5" i="17"/>
  <c r="E7" i="4"/>
  <c r="L7" i="4" s="1"/>
  <c r="E7" i="17"/>
  <c r="E16" i="4"/>
  <c r="Q16" i="4" s="1"/>
  <c r="E16" i="17"/>
  <c r="E20" i="4"/>
  <c r="R20" i="4" s="1"/>
  <c r="E20" i="17"/>
  <c r="E13" i="4"/>
  <c r="Q13" i="4" s="1"/>
  <c r="E13" i="17"/>
  <c r="J25" i="5"/>
  <c r="E9" i="4"/>
  <c r="E9" i="17"/>
  <c r="E17" i="4"/>
  <c r="Q17" i="4" s="1"/>
  <c r="E17" i="17"/>
  <c r="E18" i="4"/>
  <c r="L18" i="4" s="1"/>
  <c r="E18" i="17"/>
  <c r="E11" i="4"/>
  <c r="R11" i="4" s="1"/>
  <c r="E11" i="17"/>
  <c r="E10" i="4"/>
  <c r="R10" i="4" s="1"/>
  <c r="E10" i="17"/>
  <c r="E19" i="4"/>
  <c r="K19" i="4" s="1"/>
  <c r="E19" i="17"/>
  <c r="O29" i="5"/>
  <c r="J23" i="4"/>
  <c r="J37" i="4" s="1"/>
  <c r="G23" i="4"/>
  <c r="T22" i="4"/>
  <c r="V22" i="4"/>
  <c r="I26" i="2"/>
  <c r="G26" i="2"/>
  <c r="H26" i="2"/>
  <c r="E17" i="2"/>
  <c r="E18" i="2" s="1"/>
  <c r="E25" i="2"/>
  <c r="J26" i="2"/>
  <c r="G17" i="2"/>
  <c r="G18" i="2" s="1"/>
  <c r="G25" i="2"/>
  <c r="D26" i="2"/>
  <c r="D17" i="2"/>
  <c r="D18" i="2" s="1"/>
  <c r="D25" i="2"/>
  <c r="F13" i="2"/>
  <c r="K13" i="2" s="1"/>
  <c r="E6" i="9" s="1"/>
  <c r="H17" i="2"/>
  <c r="H18" i="2" s="1"/>
  <c r="H25" i="2"/>
  <c r="E26" i="2"/>
  <c r="I17" i="2"/>
  <c r="I18" i="2" s="1"/>
  <c r="I25" i="2"/>
  <c r="J25" i="2"/>
  <c r="I23" i="4"/>
  <c r="U14" i="4"/>
  <c r="V8" i="4"/>
  <c r="S22" i="4"/>
  <c r="S8" i="4"/>
  <c r="U22" i="4"/>
  <c r="S14" i="4"/>
  <c r="T14" i="4"/>
  <c r="U8" i="4"/>
  <c r="F23" i="4"/>
  <c r="F37" i="4" s="1"/>
  <c r="R5" i="4"/>
  <c r="C25" i="5"/>
  <c r="H25" i="5"/>
  <c r="R13" i="4"/>
  <c r="K11" i="4"/>
  <c r="K5" i="4"/>
  <c r="L5" i="4"/>
  <c r="Q5" i="4"/>
  <c r="L21" i="4"/>
  <c r="K21" i="4"/>
  <c r="G25" i="5"/>
  <c r="I25" i="5"/>
  <c r="K25" i="5"/>
  <c r="D25" i="5"/>
  <c r="L25" i="5"/>
  <c r="M25" i="5"/>
  <c r="F25" i="5"/>
  <c r="N25" i="5"/>
  <c r="O16" i="5"/>
  <c r="E25" i="5"/>
  <c r="O9" i="5"/>
  <c r="O63" i="3"/>
  <c r="L12" i="4" l="1"/>
  <c r="K18" i="4"/>
  <c r="K12" i="4"/>
  <c r="L16" i="4"/>
  <c r="G26" i="4"/>
  <c r="G40" i="4" s="1"/>
  <c r="G37" i="4"/>
  <c r="K10" i="4"/>
  <c r="I7" i="9"/>
  <c r="I37" i="4"/>
  <c r="P37" i="4" s="1"/>
  <c r="Q21" i="4"/>
  <c r="Q6" i="4"/>
  <c r="E8" i="4"/>
  <c r="E25" i="4" s="1"/>
  <c r="E39" i="4" s="1"/>
  <c r="D26" i="4"/>
  <c r="D40" i="4" s="1"/>
  <c r="D7" i="9"/>
  <c r="J26" i="4"/>
  <c r="J40" i="4" s="1"/>
  <c r="K7" i="9"/>
  <c r="L7" i="9" s="1"/>
  <c r="F26" i="4"/>
  <c r="F7" i="9"/>
  <c r="Q12" i="4"/>
  <c r="D30" i="5"/>
  <c r="C30" i="5"/>
  <c r="E30" i="5"/>
  <c r="G30" i="5"/>
  <c r="N30" i="5"/>
  <c r="K30" i="5"/>
  <c r="J30" i="5"/>
  <c r="F30" i="5"/>
  <c r="H30" i="5"/>
  <c r="I30" i="5"/>
  <c r="M30" i="5"/>
  <c r="L30" i="5"/>
  <c r="I26" i="4"/>
  <c r="I40" i="4" s="1"/>
  <c r="L11" i="4"/>
  <c r="K13" i="4"/>
  <c r="K7" i="4"/>
  <c r="L13" i="4"/>
  <c r="Q11" i="4"/>
  <c r="L20" i="4"/>
  <c r="L22" i="4" s="1"/>
  <c r="K17" i="4"/>
  <c r="L10" i="4"/>
  <c r="K16" i="4"/>
  <c r="L15" i="4"/>
  <c r="E22" i="4"/>
  <c r="K10" i="17"/>
  <c r="R10" i="17"/>
  <c r="S10" i="17"/>
  <c r="L10" i="17"/>
  <c r="M10" i="17" s="1"/>
  <c r="K9" i="17"/>
  <c r="R9" i="17"/>
  <c r="E14" i="17"/>
  <c r="L9" i="17"/>
  <c r="S9" i="17"/>
  <c r="K16" i="17"/>
  <c r="R16" i="17"/>
  <c r="L16" i="17"/>
  <c r="M16" i="17" s="1"/>
  <c r="S16" i="17"/>
  <c r="R6" i="17"/>
  <c r="K6" i="17"/>
  <c r="F6" i="17"/>
  <c r="R9" i="4"/>
  <c r="Q9" i="4"/>
  <c r="K6" i="4"/>
  <c r="K8" i="4" s="1"/>
  <c r="Q10" i="4"/>
  <c r="R11" i="17"/>
  <c r="K11" i="17"/>
  <c r="S11" i="17"/>
  <c r="L11" i="17"/>
  <c r="M11" i="17" s="1"/>
  <c r="K7" i="17"/>
  <c r="R7" i="17"/>
  <c r="L7" i="17"/>
  <c r="M7" i="17" s="1"/>
  <c r="S7" i="17"/>
  <c r="L17" i="4"/>
  <c r="K15" i="4"/>
  <c r="R17" i="4"/>
  <c r="E14" i="4"/>
  <c r="Q14" i="4" s="1"/>
  <c r="K9" i="4"/>
  <c r="R16" i="4"/>
  <c r="L6" i="4"/>
  <c r="L8" i="4" s="1"/>
  <c r="Q7" i="4"/>
  <c r="R7" i="4"/>
  <c r="K21" i="17"/>
  <c r="R21" i="17"/>
  <c r="S21" i="17"/>
  <c r="L21" i="17"/>
  <c r="M21" i="17" s="1"/>
  <c r="L9" i="4"/>
  <c r="R18" i="17"/>
  <c r="K18" i="17"/>
  <c r="S18" i="17"/>
  <c r="L18" i="17"/>
  <c r="M18" i="17" s="1"/>
  <c r="K13" i="17"/>
  <c r="R13" i="17"/>
  <c r="L13" i="17"/>
  <c r="M13" i="17" s="1"/>
  <c r="S13" i="17"/>
  <c r="K5" i="17"/>
  <c r="R5" i="17"/>
  <c r="E8" i="17"/>
  <c r="L5" i="17"/>
  <c r="S5" i="17"/>
  <c r="Q19" i="4"/>
  <c r="R19" i="4"/>
  <c r="Q18" i="4"/>
  <c r="R18" i="4"/>
  <c r="K12" i="17"/>
  <c r="R12" i="17"/>
  <c r="L12" i="17"/>
  <c r="M12" i="17" s="1"/>
  <c r="S12" i="17"/>
  <c r="K20" i="4"/>
  <c r="K22" i="4" s="1"/>
  <c r="L19" i="4"/>
  <c r="R15" i="4"/>
  <c r="Q20" i="4"/>
  <c r="R19" i="17"/>
  <c r="K19" i="17"/>
  <c r="S19" i="17"/>
  <c r="L19" i="17"/>
  <c r="M19" i="17" s="1"/>
  <c r="K17" i="17"/>
  <c r="R17" i="17"/>
  <c r="L17" i="17"/>
  <c r="M17" i="17" s="1"/>
  <c r="S17" i="17"/>
  <c r="K20" i="17"/>
  <c r="K22" i="17" s="1"/>
  <c r="R20" i="17"/>
  <c r="E22" i="17"/>
  <c r="S20" i="17"/>
  <c r="L20" i="17"/>
  <c r="K15" i="17"/>
  <c r="R15" i="17"/>
  <c r="S15" i="17"/>
  <c r="L15" i="17"/>
  <c r="M15" i="17" s="1"/>
  <c r="V23" i="4"/>
  <c r="F26" i="2"/>
  <c r="K26" i="2" s="1"/>
  <c r="F25" i="2"/>
  <c r="K25" i="2" s="1"/>
  <c r="S23" i="4"/>
  <c r="U23" i="4"/>
  <c r="O25" i="5"/>
  <c r="V37" i="4" l="1"/>
  <c r="K14" i="4"/>
  <c r="P40" i="4"/>
  <c r="V40" i="4"/>
  <c r="L39" i="4"/>
  <c r="K39" i="4"/>
  <c r="Q39" i="4"/>
  <c r="R39" i="4"/>
  <c r="R8" i="4"/>
  <c r="J7" i="9"/>
  <c r="M37" i="4"/>
  <c r="S37" i="4"/>
  <c r="M26" i="4"/>
  <c r="F40" i="4"/>
  <c r="O40" i="4" s="1"/>
  <c r="U37" i="4"/>
  <c r="O37" i="4"/>
  <c r="S26" i="4"/>
  <c r="Q8" i="4"/>
  <c r="O30" i="5"/>
  <c r="L25" i="4"/>
  <c r="K25" i="4"/>
  <c r="R25" i="4"/>
  <c r="Q25" i="4"/>
  <c r="P26" i="4"/>
  <c r="O26" i="4"/>
  <c r="V26" i="4"/>
  <c r="U26" i="4"/>
  <c r="L14" i="4"/>
  <c r="L23" i="4" s="1"/>
  <c r="R14" i="17"/>
  <c r="S14" i="17"/>
  <c r="M20" i="17"/>
  <c r="L22" i="17"/>
  <c r="M22" i="17" s="1"/>
  <c r="L6" i="17"/>
  <c r="M6" i="17" s="1"/>
  <c r="S6" i="17"/>
  <c r="U6" i="17"/>
  <c r="P6" i="17"/>
  <c r="P8" i="17" s="1"/>
  <c r="P23" i="17" s="1"/>
  <c r="T6" i="17"/>
  <c r="V6" i="17"/>
  <c r="N6" i="17"/>
  <c r="N8" i="17" s="1"/>
  <c r="N23" i="17" s="1"/>
  <c r="F8" i="17"/>
  <c r="O6" i="17"/>
  <c r="E26" i="17"/>
  <c r="R22" i="17"/>
  <c r="S22" i="17"/>
  <c r="M5" i="17"/>
  <c r="R22" i="4"/>
  <c r="Q22" i="4"/>
  <c r="E25" i="17"/>
  <c r="K25" i="17" s="1"/>
  <c r="E23" i="17"/>
  <c r="R23" i="17" s="1"/>
  <c r="R8" i="17"/>
  <c r="K14" i="17"/>
  <c r="R14" i="4"/>
  <c r="E23" i="4"/>
  <c r="E37" i="4" s="1"/>
  <c r="M9" i="17"/>
  <c r="L14" i="17"/>
  <c r="M14" i="17" s="1"/>
  <c r="K8" i="17"/>
  <c r="K23" i="4"/>
  <c r="U40" i="4" l="1"/>
  <c r="Q37" i="4"/>
  <c r="K37" i="4"/>
  <c r="L37" i="4"/>
  <c r="R37" i="4"/>
  <c r="L40" i="4"/>
  <c r="R40" i="4"/>
  <c r="S40" i="4"/>
  <c r="M40" i="4"/>
  <c r="E26" i="4"/>
  <c r="E40" i="4" s="1"/>
  <c r="E7" i="9"/>
  <c r="G7" i="9" s="1"/>
  <c r="K23" i="17"/>
  <c r="K26" i="17"/>
  <c r="L26" i="17"/>
  <c r="L27" i="17" s="1"/>
  <c r="F25" i="17"/>
  <c r="F23" i="17"/>
  <c r="T8" i="17"/>
  <c r="V8" i="17"/>
  <c r="S8" i="17"/>
  <c r="R23" i="4"/>
  <c r="Q23" i="4"/>
  <c r="L8" i="17"/>
  <c r="N106" i="3"/>
  <c r="M106" i="3"/>
  <c r="L106" i="3"/>
  <c r="K106" i="3"/>
  <c r="J106" i="3"/>
  <c r="I106" i="3"/>
  <c r="H106" i="3"/>
  <c r="G106" i="3"/>
  <c r="F106" i="3"/>
  <c r="E106" i="3"/>
  <c r="D106" i="3"/>
  <c r="C106" i="3"/>
  <c r="O105" i="3"/>
  <c r="O104" i="3"/>
  <c r="O103" i="3"/>
  <c r="O102" i="3"/>
  <c r="O100" i="3"/>
  <c r="O99" i="3"/>
  <c r="N98" i="3"/>
  <c r="M98" i="3"/>
  <c r="L98" i="3"/>
  <c r="K98" i="3"/>
  <c r="J98" i="3"/>
  <c r="I98" i="3"/>
  <c r="H98" i="3"/>
  <c r="G98" i="3"/>
  <c r="F98" i="3"/>
  <c r="E98" i="3"/>
  <c r="D98" i="3"/>
  <c r="C98" i="3"/>
  <c r="O97" i="3"/>
  <c r="O96" i="3"/>
  <c r="O95" i="3"/>
  <c r="O94" i="3"/>
  <c r="O93" i="3"/>
  <c r="O92" i="3"/>
  <c r="O91" i="3"/>
  <c r="N53" i="3"/>
  <c r="M53" i="3"/>
  <c r="L53" i="3"/>
  <c r="K53" i="3"/>
  <c r="J53" i="3"/>
  <c r="I53" i="3"/>
  <c r="H53" i="3"/>
  <c r="G53" i="3"/>
  <c r="F53" i="3"/>
  <c r="E53" i="3"/>
  <c r="D53" i="3"/>
  <c r="C53" i="3"/>
  <c r="O52" i="3"/>
  <c r="O51" i="3"/>
  <c r="I11" i="2" s="1"/>
  <c r="I24" i="2" s="1"/>
  <c r="O50" i="3"/>
  <c r="H11" i="2" s="1"/>
  <c r="H24" i="2" s="1"/>
  <c r="O49" i="3"/>
  <c r="G11" i="2" s="1"/>
  <c r="G24" i="2" s="1"/>
  <c r="O48" i="3"/>
  <c r="O47" i="3"/>
  <c r="E11" i="2" s="1"/>
  <c r="E24" i="2" s="1"/>
  <c r="O46" i="3"/>
  <c r="D11" i="2" s="1"/>
  <c r="D24" i="2" s="1"/>
  <c r="N36" i="3"/>
  <c r="M36" i="3"/>
  <c r="L36" i="3"/>
  <c r="K36" i="3"/>
  <c r="J36" i="3"/>
  <c r="I36" i="3"/>
  <c r="H36" i="3"/>
  <c r="G36" i="3"/>
  <c r="F36" i="3"/>
  <c r="E36" i="3"/>
  <c r="D36" i="3"/>
  <c r="C36" i="3"/>
  <c r="O35" i="3"/>
  <c r="J9" i="2" s="1"/>
  <c r="O34" i="3"/>
  <c r="I9" i="2" s="1"/>
  <c r="O33" i="3"/>
  <c r="H9" i="2" s="1"/>
  <c r="O32" i="3"/>
  <c r="G9" i="2" s="1"/>
  <c r="O31" i="3"/>
  <c r="O30" i="3"/>
  <c r="E9" i="2" s="1"/>
  <c r="O29" i="3"/>
  <c r="N28" i="3"/>
  <c r="M28" i="3"/>
  <c r="L28" i="3"/>
  <c r="K28" i="3"/>
  <c r="J28" i="3"/>
  <c r="I28" i="3"/>
  <c r="H28" i="3"/>
  <c r="G28" i="3"/>
  <c r="F28" i="3"/>
  <c r="E28" i="3"/>
  <c r="D28" i="3"/>
  <c r="C28" i="3"/>
  <c r="O27" i="3"/>
  <c r="O26" i="3"/>
  <c r="I8" i="2" s="1"/>
  <c r="O25" i="3"/>
  <c r="H8" i="2" s="1"/>
  <c r="O24" i="3"/>
  <c r="G8" i="2" s="1"/>
  <c r="O23" i="3"/>
  <c r="O22" i="3"/>
  <c r="E8" i="2" s="1"/>
  <c r="O21" i="3"/>
  <c r="N20" i="3"/>
  <c r="M20" i="3"/>
  <c r="L20" i="3"/>
  <c r="K20" i="3"/>
  <c r="J20" i="3"/>
  <c r="I20" i="3"/>
  <c r="H20" i="3"/>
  <c r="G20" i="3"/>
  <c r="F20" i="3"/>
  <c r="E20" i="3"/>
  <c r="D20" i="3"/>
  <c r="C20" i="3"/>
  <c r="O19" i="3"/>
  <c r="J7" i="2" s="1"/>
  <c r="J23" i="2" s="1"/>
  <c r="O18" i="3"/>
  <c r="I7" i="2" s="1"/>
  <c r="I23" i="2" s="1"/>
  <c r="O17" i="3"/>
  <c r="H7" i="2" s="1"/>
  <c r="H23" i="2" s="1"/>
  <c r="O16" i="3"/>
  <c r="G7" i="2" s="1"/>
  <c r="G23" i="2" s="1"/>
  <c r="O15" i="3"/>
  <c r="O14" i="3"/>
  <c r="E7" i="2" s="1"/>
  <c r="E23" i="2" s="1"/>
  <c r="O13" i="3"/>
  <c r="N12" i="3"/>
  <c r="M12" i="3"/>
  <c r="L12" i="3"/>
  <c r="K12" i="3"/>
  <c r="J12" i="3"/>
  <c r="I12" i="3"/>
  <c r="H12" i="3"/>
  <c r="G12" i="3"/>
  <c r="F12" i="3"/>
  <c r="E12" i="3"/>
  <c r="D12" i="3"/>
  <c r="C12" i="3"/>
  <c r="O11" i="3"/>
  <c r="J6" i="2" s="1"/>
  <c r="J19" i="2" s="1"/>
  <c r="O10" i="3"/>
  <c r="I6" i="2" s="1"/>
  <c r="I19" i="2" s="1"/>
  <c r="O9" i="3"/>
  <c r="H6" i="2" s="1"/>
  <c r="H19" i="2" s="1"/>
  <c r="O8" i="3"/>
  <c r="G6" i="2" s="1"/>
  <c r="G19" i="2" s="1"/>
  <c r="O7" i="3"/>
  <c r="O6" i="3"/>
  <c r="E6" i="2" s="1"/>
  <c r="O5" i="3"/>
  <c r="D6" i="2" s="1"/>
  <c r="D19" i="2" s="1"/>
  <c r="Q40" i="4" l="1"/>
  <c r="K40" i="4"/>
  <c r="L26" i="4"/>
  <c r="K26" i="4"/>
  <c r="Q26" i="4"/>
  <c r="R26" i="4"/>
  <c r="D9" i="2"/>
  <c r="D22" i="2" s="1"/>
  <c r="D7" i="2"/>
  <c r="D23" i="2" s="1"/>
  <c r="D8" i="2"/>
  <c r="T23" i="17"/>
  <c r="S23" i="17"/>
  <c r="V23" i="17"/>
  <c r="J11" i="2"/>
  <c r="J24" i="2" s="1"/>
  <c r="J17" i="2"/>
  <c r="J18" i="2" s="1"/>
  <c r="L25" i="17"/>
  <c r="N25" i="17"/>
  <c r="P25" i="17"/>
  <c r="M8" i="17"/>
  <c r="L23" i="17"/>
  <c r="M23" i="17" s="1"/>
  <c r="J8" i="2"/>
  <c r="J21" i="2" s="1"/>
  <c r="H22" i="2"/>
  <c r="I22" i="2"/>
  <c r="G22" i="2"/>
  <c r="J22" i="2"/>
  <c r="E22" i="2"/>
  <c r="E21" i="2"/>
  <c r="G20" i="2"/>
  <c r="F24" i="2"/>
  <c r="H20" i="2"/>
  <c r="I20" i="2"/>
  <c r="G21" i="2"/>
  <c r="E20" i="2"/>
  <c r="H21" i="2"/>
  <c r="F6" i="2"/>
  <c r="K6" i="2" s="1"/>
  <c r="E19" i="2"/>
  <c r="F19" i="2" s="1"/>
  <c r="K19" i="2" s="1"/>
  <c r="I21" i="2"/>
  <c r="J20" i="2"/>
  <c r="O106" i="3"/>
  <c r="O98" i="3"/>
  <c r="O53" i="3"/>
  <c r="O28" i="3"/>
  <c r="O20" i="3"/>
  <c r="Q20" i="3" s="1"/>
  <c r="O36" i="3"/>
  <c r="O12" i="3"/>
  <c r="F18" i="2"/>
  <c r="F17" i="2"/>
  <c r="F14" i="2"/>
  <c r="F12" i="2"/>
  <c r="F11" i="2"/>
  <c r="F10" i="2"/>
  <c r="F8" i="2"/>
  <c r="F5" i="2"/>
  <c r="P36" i="3" l="1"/>
  <c r="D20" i="2"/>
  <c r="F9" i="2"/>
  <c r="K9" i="2" s="1"/>
  <c r="P28" i="3"/>
  <c r="F7" i="2"/>
  <c r="K7" i="2" s="1"/>
  <c r="L7" i="2" s="1"/>
  <c r="D21" i="2"/>
  <c r="F21" i="2" s="1"/>
  <c r="K21" i="2" s="1"/>
  <c r="K24" i="2"/>
  <c r="K17" i="2"/>
  <c r="J28" i="2"/>
  <c r="K28" i="2" s="1"/>
  <c r="K16" i="2"/>
  <c r="F20" i="2"/>
  <c r="K20" i="2" s="1"/>
  <c r="F22" i="2"/>
  <c r="K22" i="2" s="1"/>
  <c r="F23" i="2"/>
  <c r="K23" i="2" s="1"/>
  <c r="K14" i="2"/>
  <c r="L15" i="2" s="1"/>
  <c r="K5" i="2"/>
  <c r="L6" i="2" s="1"/>
  <c r="K12" i="2"/>
  <c r="K8" i="2"/>
  <c r="K10" i="2"/>
  <c r="K11" i="2"/>
  <c r="K18" i="2"/>
  <c r="L18" i="2" l="1"/>
  <c r="L16" i="2"/>
  <c r="K6" i="9"/>
  <c r="L6" i="9" s="1"/>
  <c r="L11" i="2"/>
  <c r="L14" i="2"/>
  <c r="F6" i="9"/>
  <c r="L13" i="2"/>
  <c r="D6" i="9"/>
  <c r="L10" i="2"/>
  <c r="L8" i="2"/>
  <c r="L9" i="2"/>
  <c r="J6" i="9" l="1"/>
  <c r="G6" i="9"/>
  <c r="G34" i="17" l="1"/>
  <c r="H7" i="17"/>
  <c r="U7" i="17" s="1"/>
  <c r="C93" i="5"/>
  <c r="O93" i="5" s="1"/>
  <c r="H7" i="4"/>
  <c r="T7" i="4" s="1"/>
  <c r="G35" i="17" l="1"/>
  <c r="C109" i="5"/>
  <c r="C114" i="5" s="1"/>
  <c r="O114" i="5" s="1"/>
  <c r="G39" i="17"/>
  <c r="G48" i="17" s="1"/>
  <c r="H8" i="4"/>
  <c r="H25" i="4" s="1"/>
  <c r="H39" i="4" s="1"/>
  <c r="N7" i="4"/>
  <c r="N8" i="4" s="1"/>
  <c r="N23" i="4" s="1"/>
  <c r="O7" i="17"/>
  <c r="O8" i="17" s="1"/>
  <c r="O23" i="17" s="1"/>
  <c r="H8" i="17"/>
  <c r="N39" i="4" l="1"/>
  <c r="T39" i="4"/>
  <c r="T25" i="4"/>
  <c r="N25" i="4"/>
  <c r="O109" i="5"/>
  <c r="U8" i="17"/>
  <c r="H25" i="17"/>
  <c r="O25" i="17" s="1"/>
  <c r="H23" i="17"/>
  <c r="U23" i="17" s="1"/>
  <c r="H23" i="4"/>
  <c r="H37" i="4" s="1"/>
  <c r="T8" i="4"/>
  <c r="N37" i="4" l="1"/>
  <c r="T37" i="4"/>
  <c r="T23" i="4"/>
  <c r="H26" i="4"/>
  <c r="H40" i="4" s="1"/>
  <c r="N40" i="4" l="1"/>
  <c r="T40" i="4"/>
  <c r="N26" i="4"/>
  <c r="T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33" authorId="0" shapeId="0" xr:uid="{00000000-0006-0000-0000-000001000000}">
      <text>
        <r>
          <rPr>
            <b/>
            <sz val="18"/>
            <color indexed="81"/>
            <rFont val="맑은 고딕"/>
            <family val="3"/>
            <charset val="129"/>
          </rPr>
          <t>해당 본부 결재라인 수정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5" authorId="0" shapeId="0" xr:uid="{00000000-0006-0000-0800-000001000000}">
      <text>
        <r>
          <rPr>
            <b/>
            <sz val="18"/>
            <color indexed="81"/>
            <rFont val="맑은 고딕"/>
            <family val="3"/>
            <charset val="129"/>
          </rPr>
          <t>전년도 팀 작성 전표 현황 참고
당해년도 계획분 작성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2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고령군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정산
</t>
        </r>
      </text>
    </comment>
    <comment ref="N2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user: 2023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정산분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환불</t>
        </r>
      </text>
    </comment>
    <comment ref="N52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고령군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정산
</t>
        </r>
      </text>
    </comment>
    <comment ref="N53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user: 2023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정산분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환불</t>
        </r>
      </text>
    </comment>
    <comment ref="N79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고령군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정산
</t>
        </r>
      </text>
    </comment>
    <comment ref="N80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user: 2023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정산분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환불</t>
        </r>
      </text>
    </comment>
    <comment ref="N106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2023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고령군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정산
</t>
        </r>
      </text>
    </comment>
    <comment ref="N107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user: 2023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정산분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환불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82" authorId="0" shapeId="0" xr:uid="{A5F3576D-AF72-4477-86A6-F6A5C172564E}">
      <text>
        <r>
          <rPr>
            <b/>
            <sz val="11"/>
            <color indexed="81"/>
            <rFont val="Tahoma"/>
            <family val="2"/>
          </rPr>
          <t>2021</t>
        </r>
        <r>
          <rPr>
            <b/>
            <sz val="11"/>
            <color indexed="81"/>
            <rFont val="돋움"/>
            <family val="3"/>
            <charset val="129"/>
          </rPr>
          <t>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입주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H188" authorId="0" shapeId="0" xr:uid="{817A5515-1545-4C35-8B12-13BF554C0E90}">
      <text>
        <r>
          <rPr>
            <b/>
            <sz val="11"/>
            <color indexed="81"/>
            <rFont val="Tahoma"/>
            <family val="2"/>
          </rPr>
          <t>2021</t>
        </r>
        <r>
          <rPr>
            <b/>
            <sz val="11"/>
            <color indexed="81"/>
            <rFont val="돋움"/>
            <family val="3"/>
            <charset val="129"/>
          </rPr>
          <t>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입주</t>
        </r>
        <r>
          <rPr>
            <sz val="11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<sst xmlns="http://schemas.openxmlformats.org/spreadsheetml/2006/main" count="2947" uniqueCount="524">
  <si>
    <t>금         액</t>
    <phoneticPr fontId="4" type="noConversion"/>
  </si>
  <si>
    <t>구분</t>
    <phoneticPr fontId="4" type="noConversion"/>
  </si>
  <si>
    <t>내역</t>
    <phoneticPr fontId="4" type="noConversion"/>
  </si>
  <si>
    <t>'24년</t>
    <phoneticPr fontId="4" type="noConversion"/>
  </si>
  <si>
    <t>'25년</t>
    <phoneticPr fontId="4" type="noConversion"/>
  </si>
  <si>
    <t>'26년</t>
    <phoneticPr fontId="4" type="noConversion"/>
  </si>
  <si>
    <t>계획</t>
    <phoneticPr fontId="4" type="noConversion"/>
  </si>
  <si>
    <t>실적</t>
    <phoneticPr fontId="4" type="noConversion"/>
  </si>
  <si>
    <t>비고</t>
    <phoneticPr fontId="4" type="noConversion"/>
  </si>
  <si>
    <t>계획</t>
  </si>
  <si>
    <t>신규투자</t>
    <phoneticPr fontId="4" type="noConversion"/>
  </si>
  <si>
    <t>소 계</t>
    <phoneticPr fontId="4" type="noConversion"/>
  </si>
  <si>
    <t>복 리 후 생 비</t>
  </si>
  <si>
    <t>보 건 방 역 비</t>
  </si>
  <si>
    <t>여 비 교 통 비</t>
    <phoneticPr fontId="4" type="noConversion"/>
  </si>
  <si>
    <t>기타경비</t>
    <phoneticPr fontId="4" type="noConversion"/>
  </si>
  <si>
    <t>자  동  차  비</t>
  </si>
  <si>
    <t>통    신    비</t>
    <phoneticPr fontId="4" type="noConversion"/>
  </si>
  <si>
    <t>수 도 광 열 비</t>
  </si>
  <si>
    <t>소  모  품  비</t>
  </si>
  <si>
    <t>수    선    비</t>
  </si>
  <si>
    <t>도 서 인 쇄 비</t>
    <phoneticPr fontId="4" type="noConversion"/>
  </si>
  <si>
    <t>광 고 선 전 비</t>
  </si>
  <si>
    <t>제  수  수  료</t>
  </si>
  <si>
    <t>요금고지수수료</t>
  </si>
  <si>
    <t>회          비</t>
  </si>
  <si>
    <t>교 육 훈 련 비</t>
  </si>
  <si>
    <t>보    험    료</t>
  </si>
  <si>
    <t>접    대    비</t>
  </si>
  <si>
    <t>세 금 과 공 과</t>
  </si>
  <si>
    <t>도 로 점 용 료</t>
  </si>
  <si>
    <t>운    반    비</t>
  </si>
  <si>
    <t>전 산 처 리 비</t>
  </si>
  <si>
    <t>지 급 임 차 료</t>
  </si>
  <si>
    <t>LPG영업중계수수료</t>
  </si>
  <si>
    <t>영업 외 수익</t>
    <phoneticPr fontId="4" type="noConversion"/>
  </si>
  <si>
    <t>수요자원 감축수입(DR TFT)</t>
  </si>
  <si>
    <t>주식회사나경 특약해지 위약금</t>
  </si>
  <si>
    <t>영업 외 비용</t>
    <phoneticPr fontId="4" type="noConversion"/>
  </si>
  <si>
    <t>총 계</t>
    <phoneticPr fontId="4" type="noConversion"/>
  </si>
  <si>
    <t>'27년</t>
    <phoneticPr fontId="4" type="noConversion"/>
  </si>
  <si>
    <t>가정용</t>
    <phoneticPr fontId="4" type="noConversion"/>
  </si>
  <si>
    <t>아파트</t>
    <phoneticPr fontId="4" type="noConversion"/>
  </si>
  <si>
    <t>단독주택</t>
    <phoneticPr fontId="4" type="noConversion"/>
  </si>
  <si>
    <t>중앙난방</t>
    <phoneticPr fontId="4" type="noConversion"/>
  </si>
  <si>
    <t>소계</t>
  </si>
  <si>
    <t>소계</t>
    <phoneticPr fontId="4" type="noConversion"/>
  </si>
  <si>
    <t>업무용</t>
    <phoneticPr fontId="4" type="noConversion"/>
  </si>
  <si>
    <t>산업용</t>
    <phoneticPr fontId="4" type="noConversion"/>
  </si>
  <si>
    <t>기타</t>
  </si>
  <si>
    <t>기타</t>
    <phoneticPr fontId="4" type="noConversion"/>
  </si>
  <si>
    <t>합계</t>
    <phoneticPr fontId="4" type="noConversion"/>
  </si>
  <si>
    <t>2024년 실적</t>
    <phoneticPr fontId="4" type="noConversion"/>
  </si>
  <si>
    <t>2026년 계획</t>
    <phoneticPr fontId="4" type="noConversion"/>
  </si>
  <si>
    <t>2027년 계획</t>
    <phoneticPr fontId="4" type="noConversion"/>
  </si>
  <si>
    <t>신규
개발전</t>
    <phoneticPr fontId="4" type="noConversion"/>
  </si>
  <si>
    <t>순증가</t>
    <phoneticPr fontId="4" type="noConversion"/>
  </si>
  <si>
    <t>누계</t>
    <phoneticPr fontId="4" type="noConversion"/>
  </si>
  <si>
    <t>① 2024년 실적</t>
    <phoneticPr fontId="4" type="noConversion"/>
  </si>
  <si>
    <t>②/①</t>
    <phoneticPr fontId="4" type="noConversion"/>
  </si>
  <si>
    <t>③/②</t>
    <phoneticPr fontId="4" type="noConversion"/>
  </si>
  <si>
    <t>② 2025년 누계</t>
    <phoneticPr fontId="4" type="noConversion"/>
  </si>
  <si>
    <t>2-2. 공급전 실적 및 계획(상세)</t>
    <phoneticPr fontId="4" type="noConversion"/>
  </si>
  <si>
    <t>2-1. 공급전 실적 및 계획(총괄)</t>
    <phoneticPr fontId="4" type="noConversion"/>
  </si>
  <si>
    <t>1. 신규개발전</t>
    <phoneticPr fontId="4" type="noConversion"/>
  </si>
  <si>
    <t>공동주택</t>
    <phoneticPr fontId="4" type="noConversion"/>
  </si>
  <si>
    <t>가정용 소계</t>
    <phoneticPr fontId="4" type="noConversion"/>
  </si>
  <si>
    <t>열병합</t>
    <phoneticPr fontId="4" type="noConversion"/>
  </si>
  <si>
    <t>1월</t>
  </si>
  <si>
    <t>1월</t>
    <phoneticPr fontId="4" type="noConversion"/>
  </si>
  <si>
    <t>2월</t>
  </si>
  <si>
    <t>2월</t>
    <phoneticPr fontId="4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</si>
  <si>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</si>
  <si>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</si>
  <si>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</si>
  <si>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</si>
  <si>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</si>
  <si>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</si>
  <si>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</si>
  <si>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</si>
  <si>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</si>
  <si>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</si>
  <si>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2024년</t>
    <phoneticPr fontId="4" type="noConversion"/>
  </si>
  <si>
    <t>2024년
실적</t>
    <phoneticPr fontId="4" type="noConversion"/>
  </si>
  <si>
    <t>2025년
(best)</t>
    <phoneticPr fontId="4" type="noConversion"/>
  </si>
  <si>
    <t>2025년
(normal)</t>
    <phoneticPr fontId="4" type="noConversion"/>
  </si>
  <si>
    <t>2026년
계획</t>
    <phoneticPr fontId="4" type="noConversion"/>
  </si>
  <si>
    <t>2027년
계획</t>
    <phoneticPr fontId="4" type="noConversion"/>
  </si>
  <si>
    <t>① 2024년 계획</t>
  </si>
  <si>
    <t>① 2024년 계획</t>
    <phoneticPr fontId="4" type="noConversion"/>
  </si>
  <si>
    <t>② 2024년 실적</t>
  </si>
  <si>
    <t>② 2024년 실적</t>
    <phoneticPr fontId="4" type="noConversion"/>
  </si>
  <si>
    <t>③ 2025년(N) 계획</t>
  </si>
  <si>
    <t>③ 2025년(N) 계획</t>
    <phoneticPr fontId="4" type="noConversion"/>
  </si>
  <si>
    <t>④ 2025년(B) 계획</t>
    <phoneticPr fontId="4" type="noConversion"/>
  </si>
  <si>
    <t>⑥ 2026년 계획</t>
    <phoneticPr fontId="4" type="noConversion"/>
  </si>
  <si>
    <t>⑦ 2027년 계획</t>
    <phoneticPr fontId="4" type="noConversion"/>
  </si>
  <si>
    <t>④/③</t>
    <phoneticPr fontId="4" type="noConversion"/>
  </si>
  <si>
    <t>⑤/③</t>
    <phoneticPr fontId="4" type="noConversion"/>
  </si>
  <si>
    <t>⑥/③</t>
    <phoneticPr fontId="4" type="noConversion"/>
  </si>
  <si>
    <t>⑦/⑥</t>
    <phoneticPr fontId="4" type="noConversion"/>
  </si>
  <si>
    <t>2. 순증가</t>
    <phoneticPr fontId="4" type="noConversion"/>
  </si>
  <si>
    <t>영업용</t>
    <phoneticPr fontId="4" type="noConversion"/>
  </si>
  <si>
    <t>3. 폐전</t>
    <phoneticPr fontId="4" type="noConversion"/>
  </si>
  <si>
    <t>⑤ 2025년(C) 계획</t>
    <phoneticPr fontId="4" type="noConversion"/>
  </si>
  <si>
    <t>3-1. 공급량 실적 및 계획(총괄)</t>
    <phoneticPr fontId="4" type="noConversion"/>
  </si>
  <si>
    <t>취사용</t>
    <phoneticPr fontId="4" type="noConversion"/>
  </si>
  <si>
    <t>개별난방</t>
    <phoneticPr fontId="4" type="noConversion"/>
  </si>
  <si>
    <t>일반용1</t>
    <phoneticPr fontId="4" type="noConversion"/>
  </si>
  <si>
    <t>일반용2</t>
    <phoneticPr fontId="4" type="noConversion"/>
  </si>
  <si>
    <t>업무난방</t>
    <phoneticPr fontId="4" type="noConversion"/>
  </si>
  <si>
    <t>냉난방용</t>
    <phoneticPr fontId="4" type="noConversion"/>
  </si>
  <si>
    <t>주한미군</t>
    <phoneticPr fontId="4" type="noConversion"/>
  </si>
  <si>
    <t>수송용</t>
    <phoneticPr fontId="4" type="noConversion"/>
  </si>
  <si>
    <t>CNG</t>
    <phoneticPr fontId="4" type="noConversion"/>
  </si>
  <si>
    <t>2024년 계획</t>
    <phoneticPr fontId="4" type="noConversion"/>
  </si>
  <si>
    <t>2025년</t>
    <phoneticPr fontId="4" type="noConversion"/>
  </si>
  <si>
    <t>① 계획</t>
    <phoneticPr fontId="4" type="noConversion"/>
  </si>
  <si>
    <t>② 실적</t>
    <phoneticPr fontId="4" type="noConversion"/>
  </si>
  <si>
    <t>③ normal</t>
    <phoneticPr fontId="4" type="noConversion"/>
  </si>
  <si>
    <t>④ best</t>
    <phoneticPr fontId="4" type="noConversion"/>
  </si>
  <si>
    <t>영업
업무용</t>
    <phoneticPr fontId="4" type="noConversion"/>
  </si>
  <si>
    <t>대비</t>
    <phoneticPr fontId="4" type="noConversion"/>
  </si>
  <si>
    <t>2026년</t>
    <phoneticPr fontId="4" type="noConversion"/>
  </si>
  <si>
    <t>2027년</t>
    <phoneticPr fontId="4" type="noConversion"/>
  </si>
  <si>
    <t>⑥</t>
    <phoneticPr fontId="4" type="noConversion"/>
  </si>
  <si>
    <t>⑦</t>
    <phoneticPr fontId="4" type="noConversion"/>
  </si>
  <si>
    <t>3-2. 공급량 실적 및 계획 상세</t>
    <phoneticPr fontId="4" type="noConversion"/>
  </si>
  <si>
    <t>BIO</t>
    <phoneticPr fontId="4" type="noConversion"/>
  </si>
  <si>
    <t>냉난방</t>
    <phoneticPr fontId="4" type="noConversion"/>
  </si>
  <si>
    <t>열병합용</t>
    <phoneticPr fontId="4" type="noConversion"/>
  </si>
  <si>
    <t>연료전지</t>
    <phoneticPr fontId="4" type="noConversion"/>
  </si>
  <si>
    <t>자가열전용</t>
    <phoneticPr fontId="4" type="noConversion"/>
  </si>
  <si>
    <t>열전용설비용</t>
    <phoneticPr fontId="4" type="noConversion"/>
  </si>
  <si>
    <t>1. 2024년 실적</t>
    <phoneticPr fontId="4" type="noConversion"/>
  </si>
  <si>
    <t>(단위 : GJ)</t>
    <phoneticPr fontId="4" type="noConversion"/>
  </si>
  <si>
    <t>세너지</t>
  </si>
  <si>
    <t>총 공급량
(자가소모량포함)</t>
    <phoneticPr fontId="4" type="noConversion"/>
  </si>
  <si>
    <t>자가
소모량</t>
    <phoneticPr fontId="4" type="noConversion"/>
  </si>
  <si>
    <t>증감</t>
    <phoneticPr fontId="4" type="noConversion"/>
  </si>
  <si>
    <t>②-①</t>
    <phoneticPr fontId="4" type="noConversion"/>
  </si>
  <si>
    <t>③-②</t>
    <phoneticPr fontId="4" type="noConversion"/>
  </si>
  <si>
    <t>④-③</t>
    <phoneticPr fontId="4" type="noConversion"/>
  </si>
  <si>
    <t>⑤-③</t>
    <phoneticPr fontId="4" type="noConversion"/>
  </si>
  <si>
    <t>⑦-⑥</t>
    <phoneticPr fontId="4" type="noConversion"/>
  </si>
  <si>
    <t>⑥-③</t>
    <phoneticPr fontId="4" type="noConversion"/>
  </si>
  <si>
    <t>3월</t>
    <phoneticPr fontId="4" type="noConversion"/>
  </si>
  <si>
    <t>4월</t>
    <phoneticPr fontId="4" type="noConversion"/>
  </si>
  <si>
    <t>용도변경</t>
    <phoneticPr fontId="4" type="noConversion"/>
  </si>
  <si>
    <t>2. 2025년 계획(normal)</t>
    <phoneticPr fontId="4" type="noConversion"/>
  </si>
  <si>
    <t>3. 2025년 계획(best)</t>
    <phoneticPr fontId="4" type="noConversion"/>
  </si>
  <si>
    <t>5. 2026년 계획</t>
    <phoneticPr fontId="4" type="noConversion"/>
  </si>
  <si>
    <t>6. 2027년 계획</t>
    <phoneticPr fontId="4" type="noConversion"/>
  </si>
  <si>
    <r>
      <t xml:space="preserve">⑤ </t>
    </r>
    <r>
      <rPr>
        <sz val="9"/>
        <color theme="1"/>
        <rFont val="맑은 고딕"/>
        <family val="3"/>
        <charset val="129"/>
        <scheme val="minor"/>
      </rPr>
      <t>conservative</t>
    </r>
    <phoneticPr fontId="4" type="noConversion"/>
  </si>
  <si>
    <t>(단위: 천원)</t>
    <phoneticPr fontId="4" type="noConversion"/>
  </si>
  <si>
    <t>계정과목</t>
    <phoneticPr fontId="4" type="noConversion"/>
  </si>
  <si>
    <t>사업계획</t>
    <phoneticPr fontId="4" type="noConversion"/>
  </si>
  <si>
    <t>상      반      기</t>
  </si>
  <si>
    <t>하      반      기</t>
  </si>
  <si>
    <t>대비(%)</t>
    <phoneticPr fontId="4" type="noConversion"/>
  </si>
  <si>
    <t>계</t>
  </si>
  <si>
    <t>업무 식대(마케팅팀)</t>
  </si>
  <si>
    <t>복리후생비</t>
    <phoneticPr fontId="4" type="noConversion"/>
  </si>
  <si>
    <t>업무 식대(에너지솔루션팀)</t>
  </si>
  <si>
    <t>보건방역비</t>
  </si>
  <si>
    <t>국내출장비(마케팅팀)</t>
  </si>
  <si>
    <t>여비교통비</t>
  </si>
  <si>
    <t>국내출장비(에너지솔루션팀)</t>
  </si>
  <si>
    <t>주차통행료(마케팅팀)</t>
  </si>
  <si>
    <t>자동차비</t>
  </si>
  <si>
    <t>주차통행료(에너지솔루션팀)</t>
  </si>
  <si>
    <t>사유지 내용증명 발송</t>
  </si>
  <si>
    <t>통신비</t>
  </si>
  <si>
    <t>기타 우편</t>
  </si>
  <si>
    <t>수도광열비</t>
  </si>
  <si>
    <t>공급규정 책자 인쇄</t>
  </si>
  <si>
    <t>소모품비</t>
  </si>
  <si>
    <t>소모품비(마케팅팀)</t>
  </si>
  <si>
    <t>도시가스 사용계약서 인쇄</t>
  </si>
  <si>
    <t>업무용테블릿PC 수리</t>
  </si>
  <si>
    <t>수선비</t>
  </si>
  <si>
    <t>도서구입비(에너지솔루션팀)</t>
  </si>
  <si>
    <t>도서인쇄비</t>
  </si>
  <si>
    <t>도서구입비(마케팅팀)</t>
  </si>
  <si>
    <t>도 서 인 쇄 비</t>
  </si>
  <si>
    <t>마케팅팀</t>
  </si>
  <si>
    <t>광고선전비</t>
  </si>
  <si>
    <t>에너지솔루션팀</t>
  </si>
  <si>
    <t>등기부등본 발급비용 등</t>
  </si>
  <si>
    <t>제수수료</t>
  </si>
  <si>
    <t>AI 서비스 수수료(에너지솔루션팀)</t>
  </si>
  <si>
    <t>요금고지수수료</t>
    <phoneticPr fontId="4" type="noConversion"/>
  </si>
  <si>
    <t>회비</t>
  </si>
  <si>
    <t>교육훈련비</t>
    <phoneticPr fontId="4" type="noConversion"/>
  </si>
  <si>
    <t>보험료</t>
  </si>
  <si>
    <t>경쟁연료 도시가스 전환(마케팅팀)</t>
  </si>
  <si>
    <t>접대비</t>
  </si>
  <si>
    <t>지상권 설정 수수료</t>
  </si>
  <si>
    <t>세금과공과</t>
  </si>
  <si>
    <t>도로점용료</t>
  </si>
  <si>
    <t>운반비</t>
  </si>
  <si>
    <t>전산처리비</t>
  </si>
  <si>
    <t>지급임차료</t>
  </si>
  <si>
    <t>영업외수익</t>
    <phoneticPr fontId="4" type="noConversion"/>
  </si>
  <si>
    <t>영업외비용</t>
    <phoneticPr fontId="4" type="noConversion"/>
  </si>
  <si>
    <t>합 계</t>
    <phoneticPr fontId="4" type="noConversion"/>
  </si>
  <si>
    <t>마케팅팀</t>
    <phoneticPr fontId="4" type="noConversion"/>
  </si>
  <si>
    <t>에너지솔루션</t>
    <phoneticPr fontId="4" type="noConversion"/>
  </si>
  <si>
    <t>(단위: 천원)</t>
  </si>
  <si>
    <t>전년실적</t>
    <phoneticPr fontId="4" type="noConversion"/>
  </si>
  <si>
    <t>영업외비용</t>
  </si>
  <si>
    <t>마케팅</t>
    <phoneticPr fontId="4" type="noConversion"/>
  </si>
  <si>
    <t>전년</t>
    <phoneticPr fontId="4" type="noConversion"/>
  </si>
  <si>
    <t>소 계</t>
  </si>
  <si>
    <t>에너지</t>
    <phoneticPr fontId="4" type="noConversion"/>
  </si>
  <si>
    <t>1. 2025년 사업계획 총현황</t>
    <phoneticPr fontId="4" type="noConversion"/>
  </si>
  <si>
    <t>24년 실적대비(%)</t>
    <phoneticPr fontId="4" type="noConversion"/>
  </si>
  <si>
    <t>25년 대비(%)</t>
    <phoneticPr fontId="4" type="noConversion"/>
  </si>
  <si>
    <t>26년 대비(%)</t>
    <phoneticPr fontId="4" type="noConversion"/>
  </si>
  <si>
    <t>2025년 계획</t>
    <phoneticPr fontId="4" type="noConversion"/>
  </si>
  <si>
    <t>에너지솔루션팀</t>
    <phoneticPr fontId="4" type="noConversion"/>
  </si>
  <si>
    <t xml:space="preserve"> 2025년도 사업계획</t>
    <phoneticPr fontId="4" type="noConversion"/>
  </si>
  <si>
    <t>결
재</t>
    <phoneticPr fontId="4" type="noConversion"/>
  </si>
  <si>
    <t>본부장</t>
    <phoneticPr fontId="33" type="noConversion"/>
  </si>
  <si>
    <t>/</t>
    <phoneticPr fontId="34" type="noConversion"/>
  </si>
  <si>
    <t>순증가
(증감량)</t>
    <phoneticPr fontId="4" type="noConversion"/>
  </si>
  <si>
    <t>신규
개발전
(증감량)</t>
    <phoneticPr fontId="4" type="noConversion"/>
  </si>
  <si>
    <t>대비</t>
    <phoneticPr fontId="4" type="noConversion"/>
  </si>
  <si>
    <t>②/①</t>
    <phoneticPr fontId="4" type="noConversion"/>
  </si>
  <si>
    <t>③/②</t>
    <phoneticPr fontId="4" type="noConversion"/>
  </si>
  <si>
    <t>④/③</t>
    <phoneticPr fontId="4" type="noConversion"/>
  </si>
  <si>
    <t>⑤/③</t>
    <phoneticPr fontId="4" type="noConversion"/>
  </si>
  <si>
    <t>⑥/③</t>
    <phoneticPr fontId="4" type="noConversion"/>
  </si>
  <si>
    <t>⑦/⑥</t>
    <phoneticPr fontId="4" type="noConversion"/>
  </si>
  <si>
    <t>4. 2025년 계획(conservative)</t>
    <phoneticPr fontId="4" type="noConversion"/>
  </si>
  <si>
    <t>4-1. 2024년 기타경비 실적</t>
    <phoneticPr fontId="4" type="noConversion"/>
  </si>
  <si>
    <t>4-2. 2025년 기타경비 계획</t>
    <phoneticPr fontId="4" type="noConversion"/>
  </si>
  <si>
    <t>4-3. 중장기 기타경비 계획(2026년)</t>
    <phoneticPr fontId="4" type="noConversion"/>
  </si>
  <si>
    <t>4-3. 중장기 기타경비 계획(2027년)</t>
    <phoneticPr fontId="4" type="noConversion"/>
  </si>
  <si>
    <t>구    분</t>
    <phoneticPr fontId="33" type="noConversion"/>
  </si>
  <si>
    <t>2024년</t>
    <phoneticPr fontId="33" type="noConversion"/>
  </si>
  <si>
    <t>2025년</t>
    <phoneticPr fontId="33" type="noConversion"/>
  </si>
  <si>
    <t>2026년</t>
    <phoneticPr fontId="33" type="noConversion"/>
  </si>
  <si>
    <t>계획</t>
    <phoneticPr fontId="33" type="noConversion"/>
  </si>
  <si>
    <t>추정실적</t>
    <phoneticPr fontId="33" type="noConversion"/>
  </si>
  <si>
    <t>증감</t>
    <phoneticPr fontId="33" type="noConversion"/>
  </si>
  <si>
    <t>2024년 대비</t>
    <phoneticPr fontId="33" type="noConversion"/>
  </si>
  <si>
    <t>2025년 대비</t>
    <phoneticPr fontId="33" type="noConversion"/>
  </si>
  <si>
    <t>일반시설
분담금</t>
    <phoneticPr fontId="33" type="noConversion"/>
  </si>
  <si>
    <t>가정용</t>
  </si>
  <si>
    <t>가정용(취사)</t>
    <phoneticPr fontId="33" type="noConversion"/>
  </si>
  <si>
    <t>영업용</t>
  </si>
  <si>
    <t>업무용</t>
  </si>
  <si>
    <t>산업용</t>
  </si>
  <si>
    <t>열병합</t>
    <phoneticPr fontId="33" type="noConversion"/>
  </si>
  <si>
    <t>취사전용시설분담금</t>
  </si>
  <si>
    <t>수요가부담시설분담금</t>
  </si>
  <si>
    <t>공사비분담금 등</t>
    <phoneticPr fontId="33" type="noConversion"/>
  </si>
  <si>
    <t>총  계</t>
    <phoneticPr fontId="33" type="noConversion"/>
  </si>
  <si>
    <t>비   고</t>
    <phoneticPr fontId="33" type="noConversion"/>
  </si>
  <si>
    <t xml:space="preserve"> ○ 공사비 분담금 등 감소 (-15.2억)</t>
  </si>
  <si>
    <t xml:space="preserve">  - 경산시 지자체 지원(27억)</t>
  </si>
  <si>
    <t xml:space="preserve">  - 경산시 지자체 지원(16.8억)</t>
  </si>
  <si>
    <t xml:space="preserve">  - 택지수요가부담시설분담금(5.0억)</t>
  </si>
  <si>
    <t>5-1. 시설분담금 실적(추정) 및 계획(2025~2027년)</t>
    <phoneticPr fontId="36" type="noConversion"/>
  </si>
  <si>
    <t>2027년</t>
    <phoneticPr fontId="33" type="noConversion"/>
  </si>
  <si>
    <t>2026년 대비</t>
    <phoneticPr fontId="33" type="noConversion"/>
  </si>
  <si>
    <t>※ 시설분담금 계획</t>
    <phoneticPr fontId="36" type="noConversion"/>
  </si>
  <si>
    <t>구분</t>
    <phoneticPr fontId="33" type="noConversion"/>
  </si>
  <si>
    <t>적용등급</t>
    <phoneticPr fontId="33" type="noConversion"/>
  </si>
  <si>
    <t>1월</t>
    <phoneticPr fontId="36" type="noConversion"/>
  </si>
  <si>
    <t>2월</t>
    <phoneticPr fontId="36" type="noConversion"/>
  </si>
  <si>
    <t>합계</t>
    <phoneticPr fontId="33" type="noConversion"/>
  </si>
  <si>
    <t>계약전</t>
    <phoneticPr fontId="33" type="noConversion"/>
  </si>
  <si>
    <t>아파트</t>
  </si>
  <si>
    <t>단독주택</t>
    <phoneticPr fontId="33" type="noConversion"/>
  </si>
  <si>
    <t>가정용 계</t>
    <phoneticPr fontId="33" type="noConversion"/>
  </si>
  <si>
    <t>개별난방</t>
    <phoneticPr fontId="33" type="noConversion"/>
  </si>
  <si>
    <t>취사전용</t>
    <phoneticPr fontId="33" type="noConversion"/>
  </si>
  <si>
    <t>영업용</t>
    <phoneticPr fontId="33" type="noConversion"/>
  </si>
  <si>
    <t>업무용</t>
    <phoneticPr fontId="33" type="noConversion"/>
  </si>
  <si>
    <t>산업용</t>
    <phoneticPr fontId="33" type="noConversion"/>
  </si>
  <si>
    <t>열병합 등</t>
    <phoneticPr fontId="33" type="noConversion"/>
  </si>
  <si>
    <t>일반시설분담금</t>
    <phoneticPr fontId="33" type="noConversion"/>
  </si>
  <si>
    <t>가정용</t>
    <phoneticPr fontId="33" type="noConversion"/>
  </si>
  <si>
    <t>취사전용시설분담금</t>
    <phoneticPr fontId="33" type="noConversion"/>
  </si>
  <si>
    <t>수요가부담시설분담금</t>
    <phoneticPr fontId="33" type="noConversion"/>
  </si>
  <si>
    <t>지자체지원사업(고령)</t>
  </si>
  <si>
    <t>지자체지원사업(경산)</t>
  </si>
  <si>
    <t>지자체지원사업(달성군)</t>
  </si>
  <si>
    <t>소  계</t>
    <phoneticPr fontId="33" type="noConversion"/>
  </si>
  <si>
    <t>경산대임지구(수요가부담시설분담금)</t>
  </si>
  <si>
    <t>대구연호지구(수요가부담시설분담금)</t>
  </si>
  <si>
    <t>합  계</t>
    <phoneticPr fontId="33" type="noConversion"/>
  </si>
  <si>
    <t>5-2. 시설분담금 실적 및 계획 상세(2025~2027년)</t>
    <phoneticPr fontId="36" type="noConversion"/>
  </si>
  <si>
    <t>추가 수요가
시설분담금 및
 공사비 분담금</t>
    <phoneticPr fontId="4" type="noConversion"/>
  </si>
  <si>
    <t>금호워터폴리스(공사비분담금)</t>
  </si>
  <si>
    <t xml:space="preserve"> ○ 취사전용시설분담금 증가(1.0억)</t>
    <phoneticPr fontId="4" type="noConversion"/>
  </si>
  <si>
    <t xml:space="preserve">   - 달서 SK뷰(1,196전)</t>
    <phoneticPr fontId="4" type="noConversion"/>
  </si>
  <si>
    <t xml:space="preserve"> ○ 수요가시설분담금 감소(-0.5억)</t>
    <phoneticPr fontId="4" type="noConversion"/>
  </si>
  <si>
    <t xml:space="preserve">   - 택지수요가부담시설분담금 및 공사비 분담금 감소 (-0.8억)</t>
    <phoneticPr fontId="4" type="noConversion"/>
  </si>
  <si>
    <t xml:space="preserve"> - 2024년 대비 계약전 감소(-5,284전)</t>
    <phoneticPr fontId="4" type="noConversion"/>
  </si>
  <si>
    <t xml:space="preserve"> ○ 취사전용시설분담금 감소(-1.0억)</t>
    <phoneticPr fontId="4" type="noConversion"/>
  </si>
  <si>
    <t xml:space="preserve"> ○ 수요가시설분담금 감소(-0.2억)</t>
    <phoneticPr fontId="4" type="noConversion"/>
  </si>
  <si>
    <t xml:space="preserve"> ○ 공사비 분담금 등 증가 (6.6억)</t>
    <phoneticPr fontId="41" type="noConversion"/>
  </si>
  <si>
    <t xml:space="preserve">  - 고령군 지자체지원 (4.95억)</t>
    <phoneticPr fontId="4" type="noConversion"/>
  </si>
  <si>
    <t xml:space="preserve">  - 경산시 지자체 지원(27.0억)</t>
    <phoneticPr fontId="4" type="noConversion"/>
  </si>
  <si>
    <t xml:space="preserve">  - 달성군 지자체지원 (31.4억)</t>
    <phoneticPr fontId="4" type="noConversion"/>
  </si>
  <si>
    <t xml:space="preserve">  4-3. 중장기 기타경비 계획</t>
    <phoneticPr fontId="4" type="noConversion"/>
  </si>
  <si>
    <t>마케팅관련팀</t>
    <phoneticPr fontId="28" type="noConversion"/>
  </si>
  <si>
    <t>작성</t>
    <phoneticPr fontId="41" type="noConversion"/>
  </si>
  <si>
    <t>검 토</t>
    <phoneticPr fontId="33" type="noConversion"/>
  </si>
  <si>
    <t>에너지솔루션팀</t>
    <phoneticPr fontId="41" type="noConversion"/>
  </si>
  <si>
    <t>이시범</t>
    <phoneticPr fontId="41" type="noConversion"/>
  </si>
  <si>
    <t>서정걸</t>
    <phoneticPr fontId="41" type="noConversion"/>
  </si>
  <si>
    <t>전우철</t>
    <phoneticPr fontId="41" type="noConversion"/>
  </si>
  <si>
    <t>1. 2025년 사업계획 총현황</t>
    <phoneticPr fontId="51" type="noConversion"/>
  </si>
  <si>
    <t xml:space="preserve">  2-2. 공급전 실적 및 계획(상세)</t>
    <phoneticPr fontId="4" type="noConversion"/>
  </si>
  <si>
    <t>2. 공급전 계획</t>
    <phoneticPr fontId="4" type="noConversion"/>
  </si>
  <si>
    <t>3. 공급량 계획</t>
    <phoneticPr fontId="51" type="noConversion"/>
  </si>
  <si>
    <t xml:space="preserve">  3-1. 공급량 실적 및 계획(총괄)</t>
    <phoneticPr fontId="51" type="noConversion"/>
  </si>
  <si>
    <t xml:space="preserve">  2-1. 공급전 실적 및 계획(총괄)</t>
    <phoneticPr fontId="4" type="noConversion"/>
  </si>
  <si>
    <t xml:space="preserve">  3-2. 공급량 실적 및 계획(상세)</t>
    <phoneticPr fontId="51" type="noConversion"/>
  </si>
  <si>
    <t>4. 기타경비 계획</t>
    <phoneticPr fontId="51" type="noConversion"/>
  </si>
  <si>
    <t xml:space="preserve">  4-1. 2024년 기타경비 실적</t>
    <phoneticPr fontId="4" type="noConversion"/>
  </si>
  <si>
    <t xml:space="preserve">  4-2. 2025년 기타경비 계획</t>
    <phoneticPr fontId="4" type="noConversion"/>
  </si>
  <si>
    <t>5. 시설분담금 계획</t>
    <phoneticPr fontId="41" type="noConversion"/>
  </si>
  <si>
    <t xml:space="preserve"> 5.1 시설분담금 실적 및 계획(총괄)</t>
    <phoneticPr fontId="41" type="noConversion"/>
  </si>
  <si>
    <t xml:space="preserve"> 5.2 시설분담금 실적 및 계획(상세)</t>
    <phoneticPr fontId="41" type="noConversion"/>
  </si>
  <si>
    <t>마케팅팀</t>
    <phoneticPr fontId="41" type="noConversion"/>
  </si>
  <si>
    <t>정시모</t>
    <phoneticPr fontId="41" type="noConversion"/>
  </si>
  <si>
    <r>
      <t>202</t>
    </r>
    <r>
      <rPr>
        <b/>
        <sz val="20"/>
        <rFont val="맑은 고딕"/>
        <family val="1"/>
        <charset val="129"/>
      </rPr>
      <t>4</t>
    </r>
    <r>
      <rPr>
        <b/>
        <sz val="20"/>
        <rFont val="가을체"/>
        <family val="1"/>
        <charset val="129"/>
      </rPr>
      <t xml:space="preserve">년  10월  </t>
    </r>
    <r>
      <rPr>
        <b/>
        <sz val="20"/>
        <rFont val="맑은 고딕"/>
        <family val="1"/>
        <charset val="129"/>
      </rPr>
      <t xml:space="preserve">   </t>
    </r>
    <r>
      <rPr>
        <b/>
        <sz val="20"/>
        <rFont val="가을체"/>
        <family val="1"/>
        <charset val="129"/>
      </rPr>
      <t>일</t>
    </r>
    <phoneticPr fontId="4" type="noConversion"/>
  </si>
  <si>
    <t>가정용 외</t>
    <phoneticPr fontId="4" type="noConversion"/>
  </si>
  <si>
    <t>수요개발</t>
    <phoneticPr fontId="4" type="noConversion"/>
  </si>
  <si>
    <t>공급전(순증가)</t>
    <phoneticPr fontId="4" type="noConversion"/>
  </si>
  <si>
    <t>④ 2026년 계획</t>
    <phoneticPr fontId="4" type="noConversion"/>
  </si>
  <si>
    <t>⑤ 2027년 계획</t>
    <phoneticPr fontId="4" type="noConversion"/>
  </si>
  <si>
    <t>④/③</t>
    <phoneticPr fontId="4" type="noConversion"/>
  </si>
  <si>
    <t>⑤/④</t>
    <phoneticPr fontId="4" type="noConversion"/>
  </si>
  <si>
    <t>⑤-④</t>
    <phoneticPr fontId="4" type="noConversion"/>
  </si>
  <si>
    <t>증감</t>
    <phoneticPr fontId="4" type="noConversion"/>
  </si>
  <si>
    <t>공급량(GJ)</t>
    <phoneticPr fontId="4" type="noConversion"/>
  </si>
  <si>
    <t>2024년 공동주택 계약 및 공급 사업계획</t>
    <phoneticPr fontId="51" type="noConversion"/>
  </si>
  <si>
    <t>1. 개발계획</t>
    <phoneticPr fontId="34" type="noConversion"/>
  </si>
  <si>
    <t>구분</t>
    <phoneticPr fontId="34" type="noConversion"/>
  </si>
  <si>
    <t>상   반  기</t>
    <phoneticPr fontId="34" type="noConversion"/>
  </si>
  <si>
    <t>하   반  기</t>
    <phoneticPr fontId="34" type="noConversion"/>
  </si>
  <si>
    <t>년간
(계)</t>
    <phoneticPr fontId="34" type="noConversion"/>
  </si>
  <si>
    <t>공급전</t>
    <phoneticPr fontId="41" type="noConversion"/>
  </si>
  <si>
    <t>공동주택
[공급]</t>
    <phoneticPr fontId="34" type="noConversion"/>
  </si>
  <si>
    <t>전수</t>
    <phoneticPr fontId="34" type="noConversion"/>
  </si>
  <si>
    <t>계약전</t>
    <phoneticPr fontId="41" type="noConversion"/>
  </si>
  <si>
    <t>공동주택
[계약]
Normal</t>
    <phoneticPr fontId="34" type="noConversion"/>
  </si>
  <si>
    <t>전수</t>
    <phoneticPr fontId="41" type="noConversion"/>
  </si>
  <si>
    <t>공동주택
[계약]
BEST</t>
    <phoneticPr fontId="34" type="noConversion"/>
  </si>
  <si>
    <t>공동주택
[계약]
CONS'</t>
    <phoneticPr fontId="34" type="noConversion"/>
  </si>
  <si>
    <t>2.공동주택 취사 공급전</t>
    <phoneticPr fontId="34" type="noConversion"/>
  </si>
  <si>
    <t>취사 전용 아파트명</t>
    <phoneticPr fontId="41" type="noConversion"/>
  </si>
  <si>
    <t>입주월</t>
    <phoneticPr fontId="41" type="noConversion"/>
  </si>
  <si>
    <t>세대수</t>
    <phoneticPr fontId="41" type="noConversion"/>
  </si>
  <si>
    <t>1월</t>
    <phoneticPr fontId="41" type="noConversion"/>
  </si>
  <si>
    <t>달서SK뷰</t>
    <phoneticPr fontId="4" type="noConversion"/>
  </si>
  <si>
    <t>공급전수 계</t>
    <phoneticPr fontId="41" type="noConversion"/>
  </si>
  <si>
    <t>2025년 공동주택 계약 및 공급 사업계획</t>
    <phoneticPr fontId="51" type="noConversion"/>
  </si>
  <si>
    <t>대구죽전행복주택</t>
  </si>
  <si>
    <t>화성파크드림구수산공원</t>
  </si>
  <si>
    <t>엘크루가우디움만촌</t>
  </si>
  <si>
    <t>대구역자이더스타</t>
  </si>
  <si>
    <t>대명동289-9주거복합 (힐스테이트)</t>
  </si>
  <si>
    <t>빌리브라디체</t>
  </si>
  <si>
    <t>해링턴플레이스감삼3차</t>
  </si>
  <si>
    <t>두류스타힐스</t>
  </si>
  <si>
    <t>명덕역루지움푸르나임</t>
  </si>
  <si>
    <t>신천동동부정류장후적지주거복합</t>
  </si>
  <si>
    <t>영대병원역골드클래스센트럴</t>
  </si>
  <si>
    <t>달서롯데캐슬센트럴스카이</t>
  </si>
  <si>
    <t>범어공원풀비체</t>
  </si>
  <si>
    <t/>
  </si>
  <si>
    <t>이안엑소디움에이펙스</t>
  </si>
  <si>
    <t>힐스테이트대구역퍼스트</t>
  </si>
  <si>
    <t>힐스테이트동인</t>
  </si>
  <si>
    <t>힐스테이트서대구역센트럴</t>
  </si>
  <si>
    <t>두류역자이</t>
  </si>
  <si>
    <t>더샵동성로센트리엘</t>
  </si>
  <si>
    <t>범어아이파크 2차A</t>
  </si>
  <si>
    <t>파피에르반월당역</t>
  </si>
  <si>
    <t>경산2차아이파크</t>
  </si>
  <si>
    <t>수성포레스트스위첸</t>
  </si>
  <si>
    <t>힐스테이트대구역퍼스트2차</t>
  </si>
  <si>
    <t>태왕디아너스오페라</t>
  </si>
  <si>
    <t>범어아이파크 2차B</t>
  </si>
  <si>
    <t>두류역서한포레스트</t>
  </si>
  <si>
    <t>e편한세상동대구역센텀스퀘어</t>
  </si>
  <si>
    <t>힐스테이트대명센트럴2차</t>
  </si>
  <si>
    <t>달성우신미가뷰2차</t>
  </si>
  <si>
    <t>해링턴플레이스트라이빗</t>
  </si>
  <si>
    <t>힐스테이트칠성더오페라</t>
  </si>
  <si>
    <t>대구역센트레빌더오페라</t>
  </si>
  <si>
    <t>e편한세상명덕역퍼스트마크</t>
  </si>
  <si>
    <t>호반써밋하이브파크</t>
  </si>
  <si>
    <t>대명자이그랜드시티</t>
  </si>
  <si>
    <t xml:space="preserve">힐스테이트동대구센트럴 </t>
  </si>
  <si>
    <t>달서푸르지오시그니처</t>
  </si>
  <si>
    <t>태왕아너스프리미어</t>
  </si>
  <si>
    <t>범어자이 (범어동 48-26)</t>
  </si>
  <si>
    <t>신천동푸르지오(신천동311-4)</t>
  </si>
  <si>
    <t>대구MBC부지 주거복합 (범어동1)</t>
  </si>
  <si>
    <t>2026년 공동주택 계약 및 공급 사업계획</t>
    <phoneticPr fontId="51" type="noConversion"/>
  </si>
  <si>
    <t>더샵달서센트엘로</t>
  </si>
  <si>
    <t>호반써밋더센트럴 (봉산동 168-69)</t>
  </si>
  <si>
    <t>본리동 661-9번지 주상복합</t>
  </si>
  <si>
    <t>수성센트레빌어반포레</t>
  </si>
  <si>
    <t>힐스테이트동대구센트럴 (신천동 137-1)</t>
  </si>
  <si>
    <t>사일동 15-1 대구사일동더샵</t>
  </si>
  <si>
    <t>복현지구 주거환경개선사업 (복현동 617-8)</t>
  </si>
  <si>
    <t>2027년 공동주택 계약 및 공급 사업계획</t>
    <phoneticPr fontId="51" type="noConversion"/>
  </si>
  <si>
    <t>3. 개발계획</t>
    <phoneticPr fontId="34" type="noConversion"/>
  </si>
  <si>
    <t>4.공동주택 취사 공급전</t>
    <phoneticPr fontId="34" type="noConversion"/>
  </si>
  <si>
    <t>대명동주상복합신축(대명동1123-1)</t>
  </si>
  <si>
    <t>대구동인동더샵 (동인동1가 9)</t>
  </si>
  <si>
    <t>학정역지구도시개발사업공동주택 (학정동732-1)</t>
  </si>
  <si>
    <t>칠성동더퍼스트주거복합 (칠성동2가 378-23)</t>
  </si>
  <si>
    <t>비산동1303-3주거복합</t>
  </si>
  <si>
    <t>황금동851-13주거복합</t>
  </si>
  <si>
    <t>대구대명행복주택</t>
  </si>
  <si>
    <t>범어동174-1주거복합</t>
  </si>
  <si>
    <t>노원동2가주택재개발사업 (노원동2가 319)</t>
  </si>
  <si>
    <t>침산1소규모재건축(침산동100-10)</t>
  </si>
  <si>
    <t>감삼동170-1주거복합(힐스테이트죽전역)</t>
  </si>
  <si>
    <t>태평로2가 37-3주거복합</t>
  </si>
  <si>
    <t>본리동 398-1 주거복합</t>
  </si>
  <si>
    <t>본리동 416 주거복합</t>
  </si>
  <si>
    <t>금호워터폴리스 F1</t>
  </si>
  <si>
    <t>금호워터폴리스 F2</t>
  </si>
  <si>
    <t>송현주공3단지재건축(상인센트럴자이)</t>
  </si>
  <si>
    <t>케이비하나스테이 대구포정임대오피스텔</t>
  </si>
  <si>
    <t>죽전역 에일린의뜰</t>
  </si>
  <si>
    <t>한양수자인더팰리시티(1단지)</t>
  </si>
  <si>
    <t>동대구역 골드클래스</t>
  </si>
  <si>
    <t>힐스테이트앞산센트럴</t>
  </si>
  <si>
    <t>호반써밋수성</t>
  </si>
  <si>
    <t>힐스테이트감삼센트럴</t>
  </si>
  <si>
    <t>만촌역태왕디아너스 아파트</t>
  </si>
  <si>
    <t>서대구역 센텀 화성파크드림1단지</t>
  </si>
  <si>
    <t>교대역푸르지오트레힐즈</t>
  </si>
  <si>
    <t>안심뉴타운행복주택</t>
  </si>
  <si>
    <t>반고개역푸르지오엘리비엔</t>
  </si>
  <si>
    <t>죽전역 태왕아너스</t>
  </si>
  <si>
    <t>대구용산자이</t>
  </si>
  <si>
    <t>한양수자인더팰리시티(2단지)</t>
  </si>
  <si>
    <t>힐스테이트 동인센트럴</t>
  </si>
  <si>
    <t>해링턴플레이스 감삼2차(더베스트)</t>
  </si>
  <si>
    <t xml:space="preserve">달서SK뷰 </t>
  </si>
  <si>
    <t>장기동동서프라임36.5</t>
  </si>
  <si>
    <t>서대구역 센텀 화성파크드림2단지</t>
  </si>
  <si>
    <t>화원동화아이위시</t>
  </si>
  <si>
    <t>방촌동1084-38공동주택(아이센스)</t>
  </si>
  <si>
    <t>힐스테이트만촌역</t>
  </si>
  <si>
    <t>대구침산행복주택</t>
  </si>
  <si>
    <t>동대구역센텀화성파크드림</t>
  </si>
  <si>
    <t>힐스테이트도원센트럴</t>
  </si>
  <si>
    <t>대구역 오페라 스위첸</t>
  </si>
  <si>
    <t>뉴센트럴두산위브더제니스</t>
  </si>
  <si>
    <t xml:space="preserve">중앙로역푸르지오더센트럴 </t>
  </si>
  <si>
    <t>동성로SK리더스뷰</t>
  </si>
  <si>
    <t>대봉서한이다음</t>
  </si>
  <si>
    <t>해링턴플레이스반월당 2차 아파트</t>
  </si>
  <si>
    <t xml:space="preserve">두류중흥S클래스센텀포레 </t>
  </si>
  <si>
    <t>다산월드메르디앙엔라체</t>
  </si>
  <si>
    <t>경산 하양 A7BL 제일풍경채</t>
  </si>
  <si>
    <t xml:space="preserve">동대구푸르지오브리센트 </t>
  </si>
  <si>
    <t>범어아이파크1차</t>
  </si>
  <si>
    <t>힐스테이트달성공원역</t>
  </si>
  <si>
    <t>힐스테이트만촌엘퍼스트</t>
  </si>
  <si>
    <t>더샵 프리미엘</t>
  </si>
  <si>
    <t>북구청역 푸르지오 에듀포레</t>
  </si>
  <si>
    <t>더샵디어엘로</t>
  </si>
  <si>
    <t>수성못 화성파크드림</t>
  </si>
  <si>
    <t>펜타힐즈푸르지오2차</t>
  </si>
  <si>
    <t>상인푸르지오센터파크 아파트</t>
  </si>
  <si>
    <t>힐스테이트황금역1차</t>
  </si>
  <si>
    <t>수성엘코어하이엔드타워 오피스텔</t>
  </si>
  <si>
    <t>경산아이파크</t>
  </si>
  <si>
    <t>월배라온프라이빗디엘</t>
  </si>
  <si>
    <t>괴전동516-3공동주택 아파트</t>
  </si>
  <si>
    <t>힐스테이트황금역2차</t>
  </si>
  <si>
    <t>동대구엘크루에비뉴원</t>
  </si>
  <si>
    <t>파동 수성레이크우방아이유쉘</t>
  </si>
  <si>
    <t>두류센트레빌더파크</t>
  </si>
  <si>
    <t>봉무로하스</t>
  </si>
  <si>
    <t>대구역한라하우젠트센트로</t>
  </si>
  <si>
    <t>수성 푸르지오 리버센트</t>
  </si>
  <si>
    <t xml:space="preserve">힐스테이트 대구역 오페라	</t>
  </si>
  <si>
    <t>센트럴대원칸타빌 아파트</t>
  </si>
  <si>
    <t>더센트럴화성파크드림</t>
  </si>
  <si>
    <t>힐스테이트대명센트럴 1차 아파트</t>
  </si>
  <si>
    <t>수성자이르네</t>
  </si>
  <si>
    <t>빌리브루센트</t>
  </si>
  <si>
    <t>(단위 : 원)</t>
    <phoneticPr fontId="4" type="noConversion"/>
  </si>
  <si>
    <t>(금액 : 천원)</t>
    <phoneticPr fontId="4" type="noConversion"/>
  </si>
  <si>
    <t>에너지솔루션팀(대용량수요처간담회)</t>
  </si>
  <si>
    <t>에너지솔루션팀(대용량수요처간담회)</t>
    <phoneticPr fontId="4" type="noConversion"/>
  </si>
  <si>
    <t>에너지솔루션팀(홍보용그념품)</t>
  </si>
  <si>
    <t>에너지솔루션팀(홍보용그념품)</t>
    <phoneticPr fontId="4" type="noConversion"/>
  </si>
  <si>
    <t>2025년
(conservative)</t>
    <phoneticPr fontId="4" type="noConversion"/>
  </si>
  <si>
    <t xml:space="preserve">   - 사업계획대비 계약전 증가(1,257전)</t>
    <phoneticPr fontId="4" type="noConversion"/>
  </si>
  <si>
    <t xml:space="preserve">   ※ 공사비 분담금 내역 (63.3억)</t>
    <phoneticPr fontId="41" type="noConversion"/>
  </si>
  <si>
    <t xml:space="preserve"> ○ 일반시설분담금 감소 (-10.9억)</t>
    <phoneticPr fontId="4" type="noConversion"/>
  </si>
  <si>
    <t xml:space="preserve"> - 2025년 대비 계약전 감소(-16,069전)</t>
    <phoneticPr fontId="41" type="noConversion"/>
  </si>
  <si>
    <t xml:space="preserve"> ○ 수요가시설분담금 감소(-0.2억)</t>
    <phoneticPr fontId="4" type="noConversion"/>
  </si>
  <si>
    <t xml:space="preserve"> ○ 공사비 분담금 등 감소 (-26.4억)</t>
    <phoneticPr fontId="41" type="noConversion"/>
  </si>
  <si>
    <t xml:space="preserve">   - 지자체 지원사업(고령군, 경산시, 달성군) 감소 (-1.4억)</t>
    <phoneticPr fontId="4" type="noConversion"/>
  </si>
  <si>
    <t xml:space="preserve"> ○ 공사비분담금 감소 (-2.2억)</t>
    <phoneticPr fontId="4" type="noConversion"/>
  </si>
  <si>
    <t xml:space="preserve">   ※ 공사비 분담금 내역 (37.0억)</t>
    <phoneticPr fontId="4" type="noConversion"/>
  </si>
  <si>
    <t xml:space="preserve">  - 고령군 지자체지원 (4.95억)</t>
    <phoneticPr fontId="4" type="noConversion"/>
  </si>
  <si>
    <t xml:space="preserve"> ○ 일반시설분담금 증가 (6.3억)</t>
    <phoneticPr fontId="4" type="noConversion"/>
  </si>
  <si>
    <t xml:space="preserve"> - 2026년 대비 계약전 증가(8,753전)</t>
    <phoneticPr fontId="4" type="noConversion"/>
  </si>
  <si>
    <t xml:space="preserve"> ○ 수요가시설분담금 감소(-0.05억)</t>
    <phoneticPr fontId="4" type="noConversion"/>
  </si>
  <si>
    <t xml:space="preserve"> ○ 일반시설분담금 증가 (0.7억)</t>
    <phoneticPr fontId="4" type="noConversion"/>
  </si>
  <si>
    <t xml:space="preserve"> ○ 일반시설분담금 감소 (-5.4억)</t>
    <phoneticPr fontId="4" type="noConversion"/>
  </si>
  <si>
    <t xml:space="preserve">   ※ 공사비 분담금 내역 (21.8억)</t>
    <phoneticPr fontId="4" type="noConversion"/>
  </si>
  <si>
    <t>(단위 : 천원)</t>
    <phoneticPr fontId="4" type="noConversion"/>
  </si>
  <si>
    <t>(단위:천㎥)</t>
    <phoneticPr fontId="4" type="noConversion"/>
  </si>
  <si>
    <t>(금액: 천원)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</si>
</sst>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%"/>
    <numFmt numFmtId="178" formatCode="#,##0,"/>
    <numFmt numFmtId="179" formatCode="#,##0.0_ "/>
    <numFmt numFmtId="180" formatCode="0.0_);[Red]\(0.0\)"/>
    <numFmt numFmtId="181" formatCode="0.0_ "/>
    <numFmt numFmtId="182" formatCode="0.0"/>
    <numFmt numFmtId="183" formatCode="#&quot;년&quot;"/>
    <numFmt numFmtId="184" formatCode="#,##0_);[Red]\(#,##0\)"/>
    <numFmt numFmtId="185" formatCode="0&quot;월&quot;"/>
    <numFmt numFmtId="186" formatCode="0_);[Red]\(0\)"/>
    <numFmt numFmtId="187" formatCode="yyyy\.mm"/>
    <numFmt numFmtId="188" formatCode="yyyy&quot;년&quot;\ m&quot;월&quot;;@"/>
  </numFmts>
  <fonts count="8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굴림체"/>
      <family val="3"/>
      <charset val="129"/>
    </font>
    <font>
      <b/>
      <sz val="11"/>
      <name val="굴림체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0" tint="-4.9989318521683403E-2"/>
      <name val="굴림체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color indexed="81"/>
      <name val="맑은 고딕"/>
      <family val="3"/>
      <charset val="129"/>
    </font>
    <font>
      <sz val="11"/>
      <name val="굴림"/>
      <family val="3"/>
      <charset val="129"/>
    </font>
    <font>
      <b/>
      <sz val="30"/>
      <name val="가을체"/>
      <family val="1"/>
      <charset val="129"/>
    </font>
    <font>
      <b/>
      <sz val="48"/>
      <name val="가을체"/>
      <family val="1"/>
      <charset val="129"/>
    </font>
    <font>
      <b/>
      <sz val="14"/>
      <name val="가을체"/>
      <family val="1"/>
      <charset val="129"/>
    </font>
    <font>
      <sz val="14"/>
      <name val="굴림체"/>
      <family val="3"/>
      <charset val="129"/>
    </font>
    <font>
      <b/>
      <sz val="16"/>
      <name val="가을체"/>
      <family val="1"/>
      <charset val="129"/>
    </font>
    <font>
      <sz val="16"/>
      <name val="굴림체"/>
      <family val="3"/>
      <charset val="129"/>
    </font>
    <font>
      <b/>
      <sz val="20"/>
      <name val="가을체"/>
      <family val="1"/>
      <charset val="129"/>
    </font>
    <font>
      <b/>
      <sz val="24"/>
      <name val="가을체"/>
      <family val="1"/>
      <charset val="129"/>
    </font>
    <font>
      <sz val="24"/>
      <name val="굴림체"/>
      <family val="3"/>
      <charset val="129"/>
    </font>
    <font>
      <b/>
      <sz val="30"/>
      <name val="바탕체"/>
      <family val="1"/>
      <charset val="129"/>
    </font>
    <font>
      <sz val="11"/>
      <name val="Arial"/>
      <family val="2"/>
    </font>
    <font>
      <sz val="30"/>
      <name val="굴림체"/>
      <family val="3"/>
      <charset val="129"/>
    </font>
    <font>
      <b/>
      <sz val="36"/>
      <name val="가을체"/>
      <family val="1"/>
      <charset val="129"/>
    </font>
    <font>
      <b/>
      <sz val="12"/>
      <name val="가을체"/>
      <family val="1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8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name val="굴림"/>
      <family val="3"/>
      <charset val="129"/>
    </font>
    <font>
      <b/>
      <sz val="20"/>
      <name val="굴림"/>
      <family val="3"/>
      <charset val="129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8"/>
      <name val="맑은 고딕"/>
      <family val="3"/>
      <charset val="129"/>
      <scheme val="minor"/>
    </font>
    <font>
      <b/>
      <sz val="14"/>
      <name val="굴림체"/>
      <family val="3"/>
      <charset val="129"/>
    </font>
    <font>
      <sz val="10"/>
      <color rgb="FF00B0F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굴림체"/>
      <family val="3"/>
      <charset val="129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16"/>
      <name val="바탕체"/>
      <family val="1"/>
      <charset val="129"/>
    </font>
    <font>
      <sz val="8"/>
      <name val="굴림체"/>
      <family val="3"/>
      <charset val="129"/>
    </font>
    <font>
      <b/>
      <sz val="14"/>
      <name val="바탕체"/>
      <family val="1"/>
      <charset val="129"/>
    </font>
    <font>
      <sz val="14"/>
      <name val="바탕체"/>
      <family val="1"/>
      <charset val="129"/>
    </font>
    <font>
      <b/>
      <sz val="20"/>
      <name val="맑은 고딕"/>
      <family val="1"/>
      <charset val="129"/>
    </font>
    <font>
      <b/>
      <sz val="30"/>
      <name val="맑은 고딕"/>
      <family val="1"/>
      <charset val="129"/>
    </font>
    <font>
      <sz val="14"/>
      <name val="굴림"/>
      <family val="3"/>
      <charset val="129"/>
    </font>
    <font>
      <sz val="11"/>
      <color indexed="8"/>
      <name val="돋움"/>
      <family val="3"/>
      <charset val="129"/>
    </font>
    <font>
      <b/>
      <u/>
      <sz val="22"/>
      <color indexed="8"/>
      <name val="HY견명조"/>
      <family val="1"/>
      <charset val="129"/>
    </font>
    <font>
      <sz val="10"/>
      <color indexed="8"/>
      <name val="굴림체"/>
      <family val="3"/>
      <charset val="129"/>
    </font>
    <font>
      <sz val="14"/>
      <color rgb="FF0000FF"/>
      <name val="HY견명조"/>
      <family val="1"/>
      <charset val="129"/>
    </font>
    <font>
      <sz val="14"/>
      <color indexed="8"/>
      <name val="HY견명조"/>
      <family val="1"/>
      <charset val="129"/>
    </font>
    <font>
      <b/>
      <sz val="20"/>
      <color indexed="8"/>
      <name val="HY견명조"/>
      <family val="1"/>
      <charset val="129"/>
    </font>
    <font>
      <b/>
      <sz val="10"/>
      <color indexed="8"/>
      <name val="굴림체"/>
      <family val="3"/>
      <charset val="129"/>
    </font>
    <font>
      <b/>
      <sz val="10"/>
      <name val="굴림체"/>
      <family val="3"/>
      <charset val="129"/>
    </font>
    <font>
      <b/>
      <sz val="12"/>
      <color indexed="8"/>
      <name val="굴림"/>
      <family val="3"/>
      <charset val="129"/>
    </font>
    <font>
      <b/>
      <sz val="10"/>
      <color indexed="8"/>
      <name val="굴림"/>
      <family val="3"/>
      <charset val="129"/>
    </font>
    <font>
      <sz val="10"/>
      <name val="굴림체"/>
      <family val="3"/>
      <charset val="129"/>
    </font>
    <font>
      <b/>
      <sz val="10"/>
      <color rgb="FFFF0000"/>
      <name val="굴림"/>
      <family val="3"/>
      <charset val="129"/>
    </font>
    <font>
      <b/>
      <sz val="10"/>
      <color rgb="FF00B0F0"/>
      <name val="굴림"/>
      <family val="3"/>
      <charset val="129"/>
    </font>
    <font>
      <sz val="10"/>
      <color indexed="8"/>
      <name val="굴림"/>
      <family val="3"/>
      <charset val="129"/>
    </font>
    <font>
      <sz val="10"/>
      <color rgb="FFFF0000"/>
      <name val="굴림체"/>
      <family val="3"/>
      <charset val="129"/>
    </font>
    <font>
      <sz val="11"/>
      <color theme="1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color rgb="FFFF0000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rgb="FF0000FF"/>
      <name val="굴림"/>
      <family val="3"/>
      <charset val="129"/>
    </font>
    <font>
      <b/>
      <sz val="9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11"/>
      <color rgb="FFFF0000"/>
      <name val="굴림체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2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medium">
        <color auto="1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rgb="FFFF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hair">
        <color indexed="64"/>
      </bottom>
      <diagonal/>
    </border>
    <border>
      <left/>
      <right style="medium">
        <color rgb="FFFF0000"/>
      </right>
      <top style="medium">
        <color rgb="FFFF0000"/>
      </top>
      <bottom style="hair">
        <color indexed="64"/>
      </bottom>
      <diagonal/>
    </border>
    <border>
      <left style="medium">
        <color rgb="FFFF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medium">
        <color rgb="FFFF0000"/>
      </left>
      <right style="thin">
        <color indexed="64"/>
      </right>
      <top style="hair">
        <color indexed="64"/>
      </top>
      <bottom style="medium">
        <color rgb="FFFF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rgb="FFFF0000"/>
      </bottom>
      <diagonal/>
    </border>
    <border>
      <left/>
      <right style="medium">
        <color rgb="FFFF0000"/>
      </right>
      <top style="hair">
        <color indexed="64"/>
      </top>
      <bottom style="medium">
        <color rgb="FFFF0000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FF0000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rgb="FFFF0000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medium">
        <color rgb="FFFF0000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indexed="64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/>
    <xf numFmtId="0" fontId="6" fillId="0" borderId="0"/>
    <xf numFmtId="41" fontId="6" fillId="0" borderId="0" applyFont="0" applyFill="0" applyBorder="0" applyAlignment="0" applyProtection="0"/>
    <xf numFmtId="0" fontId="13" fillId="0" borderId="0">
      <alignment vertical="center"/>
    </xf>
    <xf numFmtId="0" fontId="37" fillId="0" borderId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0" fontId="13" fillId="0" borderId="0">
      <alignment vertical="center"/>
    </xf>
    <xf numFmtId="0" fontId="57" fillId="0" borderId="0"/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128">
    <xf numFmtId="0" fontId="0" fillId="0" borderId="0" xfId="0">
      <alignment vertical="center"/>
    </xf>
    <xf numFmtId="41" fontId="0" fillId="0" borderId="19" xfId="1" applyFont="1" applyBorder="1" applyProtection="1">
      <alignment vertical="center"/>
    </xf>
    <xf numFmtId="0" fontId="3" fillId="0" borderId="0" xfId="3" applyFont="1" applyAlignment="1">
      <alignment horizontal="left" vertical="center"/>
    </xf>
    <xf numFmtId="0" fontId="0" fillId="0" borderId="48" xfId="0" applyBorder="1">
      <alignment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5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50" xfId="0" applyBorder="1">
      <alignment vertical="center"/>
    </xf>
    <xf numFmtId="0" fontId="0" fillId="0" borderId="9" xfId="0" applyBorder="1" applyAlignment="1">
      <alignment horizontal="center" vertical="center"/>
    </xf>
    <xf numFmtId="176" fontId="0" fillId="0" borderId="54" xfId="0" applyNumberFormat="1" applyBorder="1">
      <alignment vertical="center"/>
    </xf>
    <xf numFmtId="176" fontId="0" fillId="0" borderId="55" xfId="0" applyNumberFormat="1" applyBorder="1">
      <alignment vertical="center"/>
    </xf>
    <xf numFmtId="176" fontId="0" fillId="0" borderId="47" xfId="0" applyNumberFormat="1" applyBorder="1">
      <alignment vertical="center"/>
    </xf>
    <xf numFmtId="176" fontId="0" fillId="0" borderId="48" xfId="0" applyNumberFormat="1" applyBorder="1">
      <alignment vertical="center"/>
    </xf>
    <xf numFmtId="176" fontId="0" fillId="0" borderId="56" xfId="0" applyNumberFormat="1" applyBorder="1">
      <alignment vertical="center"/>
    </xf>
    <xf numFmtId="176" fontId="0" fillId="0" borderId="57" xfId="0" applyNumberFormat="1" applyBorder="1">
      <alignment vertical="center"/>
    </xf>
    <xf numFmtId="176" fontId="0" fillId="0" borderId="49" xfId="0" applyNumberFormat="1" applyBorder="1">
      <alignment vertical="center"/>
    </xf>
    <xf numFmtId="176" fontId="0" fillId="0" borderId="25" xfId="0" applyNumberFormat="1" applyBorder="1">
      <alignment vertical="center"/>
    </xf>
    <xf numFmtId="176" fontId="0" fillId="0" borderId="52" xfId="0" applyNumberFormat="1" applyBorder="1">
      <alignment vertical="center"/>
    </xf>
    <xf numFmtId="176" fontId="0" fillId="0" borderId="53" xfId="0" applyNumberFormat="1" applyBorder="1">
      <alignment vertical="center"/>
    </xf>
    <xf numFmtId="176" fontId="0" fillId="0" borderId="50" xfId="0" applyNumberFormat="1" applyBorder="1">
      <alignment vertical="center"/>
    </xf>
    <xf numFmtId="176" fontId="0" fillId="0" borderId="30" xfId="0" applyNumberFormat="1" applyBorder="1">
      <alignment vertical="center"/>
    </xf>
    <xf numFmtId="0" fontId="5" fillId="0" borderId="0" xfId="0" applyFont="1">
      <alignment vertical="center"/>
    </xf>
    <xf numFmtId="0" fontId="0" fillId="0" borderId="60" xfId="0" applyBorder="1">
      <alignment vertical="center"/>
    </xf>
    <xf numFmtId="176" fontId="0" fillId="0" borderId="61" xfId="0" applyNumberFormat="1" applyBorder="1">
      <alignment vertical="center"/>
    </xf>
    <xf numFmtId="176" fontId="0" fillId="0" borderId="62" xfId="0" applyNumberFormat="1" applyBorder="1">
      <alignment vertical="center"/>
    </xf>
    <xf numFmtId="176" fontId="0" fillId="0" borderId="60" xfId="0" applyNumberFormat="1" applyBorder="1">
      <alignment vertical="center"/>
    </xf>
    <xf numFmtId="176" fontId="0" fillId="0" borderId="63" xfId="0" applyNumberFormat="1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69" xfId="0" applyBorder="1">
      <alignment vertical="center"/>
    </xf>
    <xf numFmtId="176" fontId="0" fillId="0" borderId="70" xfId="0" applyNumberFormat="1" applyBorder="1">
      <alignment vertical="center"/>
    </xf>
    <xf numFmtId="176" fontId="0" fillId="0" borderId="71" xfId="0" applyNumberFormat="1" applyBorder="1">
      <alignment vertical="center"/>
    </xf>
    <xf numFmtId="176" fontId="0" fillId="0" borderId="69" xfId="0" applyNumberFormat="1" applyBorder="1">
      <alignment vertical="center"/>
    </xf>
    <xf numFmtId="176" fontId="0" fillId="0" borderId="21" xfId="0" applyNumberFormat="1" applyBorder="1">
      <alignment vertical="center"/>
    </xf>
    <xf numFmtId="0" fontId="0" fillId="0" borderId="6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76" fontId="0" fillId="0" borderId="45" xfId="0" applyNumberFormat="1" applyBorder="1">
      <alignment vertical="center"/>
    </xf>
    <xf numFmtId="0" fontId="0" fillId="0" borderId="46" xfId="0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177" fontId="0" fillId="0" borderId="0" xfId="2" applyNumberFormat="1" applyFont="1">
      <alignment vertical="center"/>
    </xf>
    <xf numFmtId="177" fontId="0" fillId="0" borderId="45" xfId="2" applyNumberFormat="1" applyFont="1" applyBorder="1" applyAlignment="1">
      <alignment horizontal="center" vertical="center"/>
    </xf>
    <xf numFmtId="177" fontId="0" fillId="0" borderId="48" xfId="2" applyNumberFormat="1" applyFont="1" applyBorder="1" applyAlignment="1">
      <alignment horizontal="center" vertical="center"/>
    </xf>
    <xf numFmtId="177" fontId="0" fillId="0" borderId="25" xfId="2" applyNumberFormat="1" applyFont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76" fontId="5" fillId="0" borderId="45" xfId="0" applyNumberFormat="1" applyFont="1" applyBorder="1">
      <alignment vertical="center"/>
    </xf>
    <xf numFmtId="177" fontId="0" fillId="0" borderId="63" xfId="2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0" fillId="0" borderId="54" xfId="0" applyNumberFormat="1" applyBorder="1">
      <alignment vertical="center"/>
    </xf>
    <xf numFmtId="178" fontId="0" fillId="0" borderId="47" xfId="0" applyNumberFormat="1" applyBorder="1">
      <alignment vertical="center"/>
    </xf>
    <xf numFmtId="178" fontId="0" fillId="0" borderId="56" xfId="0" applyNumberFormat="1" applyBorder="1">
      <alignment vertical="center"/>
    </xf>
    <xf numFmtId="178" fontId="0" fillId="0" borderId="49" xfId="0" applyNumberFormat="1" applyBorder="1">
      <alignment vertical="center"/>
    </xf>
    <xf numFmtId="178" fontId="0" fillId="0" borderId="58" xfId="0" applyNumberFormat="1" applyBorder="1">
      <alignment vertical="center"/>
    </xf>
    <xf numFmtId="178" fontId="0" fillId="0" borderId="46" xfId="0" applyNumberFormat="1" applyBorder="1">
      <alignment vertical="center"/>
    </xf>
    <xf numFmtId="178" fontId="0" fillId="0" borderId="61" xfId="0" applyNumberFormat="1" applyBorder="1">
      <alignment vertical="center"/>
    </xf>
    <xf numFmtId="178" fontId="0" fillId="0" borderId="60" xfId="0" applyNumberFormat="1" applyBorder="1">
      <alignment vertical="center"/>
    </xf>
    <xf numFmtId="178" fontId="0" fillId="0" borderId="48" xfId="2" applyNumberFormat="1" applyFont="1" applyBorder="1" applyAlignment="1">
      <alignment horizontal="center" vertical="center"/>
    </xf>
    <xf numFmtId="178" fontId="0" fillId="0" borderId="25" xfId="2" applyNumberFormat="1" applyFont="1" applyBorder="1" applyAlignment="1">
      <alignment horizontal="center" vertical="center"/>
    </xf>
    <xf numFmtId="178" fontId="0" fillId="0" borderId="45" xfId="2" applyNumberFormat="1" applyFont="1" applyBorder="1" applyAlignment="1">
      <alignment horizontal="center" vertical="center"/>
    </xf>
    <xf numFmtId="178" fontId="0" fillId="0" borderId="63" xfId="2" applyNumberFormat="1" applyFont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178" fontId="0" fillId="0" borderId="74" xfId="0" applyNumberFormat="1" applyBorder="1">
      <alignment vertical="center"/>
    </xf>
    <xf numFmtId="178" fontId="0" fillId="0" borderId="22" xfId="0" applyNumberFormat="1" applyBorder="1">
      <alignment vertical="center"/>
    </xf>
    <xf numFmtId="178" fontId="0" fillId="0" borderId="9" xfId="0" applyNumberFormat="1" applyBorder="1">
      <alignment vertical="center"/>
    </xf>
    <xf numFmtId="178" fontId="0" fillId="0" borderId="75" xfId="0" applyNumberFormat="1" applyBorder="1">
      <alignment vertical="center"/>
    </xf>
    <xf numFmtId="177" fontId="0" fillId="0" borderId="76" xfId="2" applyNumberFormat="1" applyFont="1" applyBorder="1" applyAlignment="1">
      <alignment horizontal="center" vertical="center"/>
    </xf>
    <xf numFmtId="177" fontId="0" fillId="0" borderId="77" xfId="2" applyNumberFormat="1" applyFont="1" applyBorder="1" applyAlignment="1">
      <alignment horizontal="center" vertical="center"/>
    </xf>
    <xf numFmtId="177" fontId="0" fillId="0" borderId="13" xfId="2" applyNumberFormat="1" applyFont="1" applyBorder="1" applyAlignment="1">
      <alignment horizontal="center" vertical="center"/>
    </xf>
    <xf numFmtId="177" fontId="0" fillId="0" borderId="78" xfId="2" applyNumberFormat="1" applyFont="1" applyBorder="1" applyAlignment="1">
      <alignment horizontal="center" vertical="center"/>
    </xf>
    <xf numFmtId="0" fontId="0" fillId="2" borderId="80" xfId="0" applyFill="1" applyBorder="1" applyAlignment="1">
      <alignment horizontal="center" vertical="center"/>
    </xf>
    <xf numFmtId="178" fontId="0" fillId="0" borderId="81" xfId="2" applyNumberFormat="1" applyFont="1" applyBorder="1" applyAlignment="1">
      <alignment horizontal="center" vertical="center"/>
    </xf>
    <xf numFmtId="178" fontId="0" fillId="0" borderId="82" xfId="2" applyNumberFormat="1" applyFont="1" applyBorder="1" applyAlignment="1">
      <alignment horizontal="center" vertical="center"/>
    </xf>
    <xf numFmtId="178" fontId="0" fillId="0" borderId="80" xfId="2" applyNumberFormat="1" applyFont="1" applyBorder="1" applyAlignment="1">
      <alignment horizontal="center" vertical="center"/>
    </xf>
    <xf numFmtId="178" fontId="0" fillId="0" borderId="84" xfId="2" applyNumberFormat="1" applyFont="1" applyBorder="1" applyAlignment="1">
      <alignment horizontal="center" vertical="center"/>
    </xf>
    <xf numFmtId="176" fontId="0" fillId="0" borderId="66" xfId="2" applyNumberFormat="1" applyFont="1" applyBorder="1">
      <alignment vertical="center"/>
    </xf>
    <xf numFmtId="176" fontId="0" fillId="0" borderId="67" xfId="2" applyNumberFormat="1" applyFont="1" applyBorder="1">
      <alignment vertical="center"/>
    </xf>
    <xf numFmtId="176" fontId="0" fillId="0" borderId="65" xfId="2" applyNumberFormat="1" applyFont="1" applyBorder="1">
      <alignment vertical="center"/>
    </xf>
    <xf numFmtId="176" fontId="0" fillId="0" borderId="68" xfId="2" applyNumberFormat="1" applyFont="1" applyBorder="1">
      <alignment vertical="center"/>
    </xf>
    <xf numFmtId="176" fontId="0" fillId="0" borderId="56" xfId="2" applyNumberFormat="1" applyFont="1" applyBorder="1">
      <alignment vertical="center"/>
    </xf>
    <xf numFmtId="176" fontId="0" fillId="0" borderId="57" xfId="2" applyNumberFormat="1" applyFont="1" applyBorder="1">
      <alignment vertical="center"/>
    </xf>
    <xf numFmtId="176" fontId="0" fillId="0" borderId="49" xfId="2" applyNumberFormat="1" applyFont="1" applyBorder="1">
      <alignment vertical="center"/>
    </xf>
    <xf numFmtId="176" fontId="0" fillId="0" borderId="25" xfId="2" applyNumberFormat="1" applyFont="1" applyBorder="1">
      <alignment vertical="center"/>
    </xf>
    <xf numFmtId="176" fontId="0" fillId="0" borderId="52" xfId="2" applyNumberFormat="1" applyFont="1" applyBorder="1">
      <alignment vertical="center"/>
    </xf>
    <xf numFmtId="176" fontId="0" fillId="0" borderId="53" xfId="2" applyNumberFormat="1" applyFont="1" applyBorder="1">
      <alignment vertical="center"/>
    </xf>
    <xf numFmtId="176" fontId="0" fillId="0" borderId="50" xfId="2" applyNumberFormat="1" applyFont="1" applyBorder="1">
      <alignment vertical="center"/>
    </xf>
    <xf numFmtId="176" fontId="0" fillId="0" borderId="30" xfId="2" applyNumberFormat="1" applyFont="1" applyBorder="1">
      <alignment vertical="center"/>
    </xf>
    <xf numFmtId="176" fontId="0" fillId="0" borderId="54" xfId="2" applyNumberFormat="1" applyFont="1" applyBorder="1">
      <alignment vertical="center"/>
    </xf>
    <xf numFmtId="176" fontId="0" fillId="0" borderId="55" xfId="2" applyNumberFormat="1" applyFont="1" applyBorder="1">
      <alignment vertical="center"/>
    </xf>
    <xf numFmtId="176" fontId="0" fillId="0" borderId="47" xfId="2" applyNumberFormat="1" applyFont="1" applyBorder="1">
      <alignment vertical="center"/>
    </xf>
    <xf numFmtId="176" fontId="0" fillId="0" borderId="48" xfId="2" applyNumberFormat="1" applyFont="1" applyBorder="1">
      <alignment vertical="center"/>
    </xf>
    <xf numFmtId="0" fontId="5" fillId="0" borderId="45" xfId="0" applyFont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178" fontId="0" fillId="5" borderId="52" xfId="0" applyNumberFormat="1" applyFill="1" applyBorder="1">
      <alignment vertical="center"/>
    </xf>
    <xf numFmtId="178" fontId="0" fillId="5" borderId="50" xfId="0" applyNumberFormat="1" applyFill="1" applyBorder="1">
      <alignment vertical="center"/>
    </xf>
    <xf numFmtId="178" fontId="0" fillId="5" borderId="27" xfId="0" applyNumberFormat="1" applyFill="1" applyBorder="1">
      <alignment vertical="center"/>
    </xf>
    <xf numFmtId="178" fontId="0" fillId="5" borderId="30" xfId="2" applyNumberFormat="1" applyFont="1" applyFill="1" applyBorder="1" applyAlignment="1">
      <alignment horizontal="center" vertical="center"/>
    </xf>
    <xf numFmtId="178" fontId="0" fillId="5" borderId="83" xfId="2" applyNumberFormat="1" applyFont="1" applyFill="1" applyBorder="1" applyAlignment="1">
      <alignment horizontal="center" vertical="center"/>
    </xf>
    <xf numFmtId="177" fontId="0" fillId="5" borderId="73" xfId="2" applyNumberFormat="1" applyFont="1" applyFill="1" applyBorder="1" applyAlignment="1">
      <alignment horizontal="center" vertical="center"/>
    </xf>
    <xf numFmtId="177" fontId="0" fillId="5" borderId="30" xfId="2" applyNumberFormat="1" applyFont="1" applyFill="1" applyBorder="1" applyAlignment="1">
      <alignment horizontal="center" vertical="center"/>
    </xf>
    <xf numFmtId="178" fontId="5" fillId="6" borderId="58" xfId="0" applyNumberFormat="1" applyFont="1" applyFill="1" applyBorder="1">
      <alignment vertical="center"/>
    </xf>
    <xf numFmtId="178" fontId="5" fillId="6" borderId="46" xfId="0" applyNumberFormat="1" applyFont="1" applyFill="1" applyBorder="1">
      <alignment vertical="center"/>
    </xf>
    <xf numFmtId="178" fontId="5" fillId="6" borderId="9" xfId="0" applyNumberFormat="1" applyFont="1" applyFill="1" applyBorder="1">
      <alignment vertical="center"/>
    </xf>
    <xf numFmtId="178" fontId="5" fillId="6" borderId="45" xfId="2" applyNumberFormat="1" applyFont="1" applyFill="1" applyBorder="1" applyAlignment="1">
      <alignment horizontal="center" vertical="center"/>
    </xf>
    <xf numFmtId="178" fontId="5" fillId="6" borderId="80" xfId="2" applyNumberFormat="1" applyFont="1" applyFill="1" applyBorder="1" applyAlignment="1">
      <alignment horizontal="center" vertical="center"/>
    </xf>
    <xf numFmtId="177" fontId="5" fillId="6" borderId="13" xfId="2" applyNumberFormat="1" applyFont="1" applyFill="1" applyBorder="1" applyAlignment="1">
      <alignment horizontal="center" vertical="center"/>
    </xf>
    <xf numFmtId="177" fontId="5" fillId="6" borderId="45" xfId="2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6" xfId="0" applyFont="1" applyFill="1" applyBorder="1" applyAlignment="1">
      <alignment horizontal="center" vertical="center"/>
    </xf>
    <xf numFmtId="0" fontId="5" fillId="2" borderId="87" xfId="0" quotePrefix="1" applyFont="1" applyFill="1" applyBorder="1" applyAlignment="1">
      <alignment horizontal="centerContinuous" vertical="center"/>
    </xf>
    <xf numFmtId="0" fontId="5" fillId="2" borderId="88" xfId="0" quotePrefix="1" applyFont="1" applyFill="1" applyBorder="1" applyAlignment="1">
      <alignment horizontal="centerContinuous" vertical="center"/>
    </xf>
    <xf numFmtId="0" fontId="5" fillId="2" borderId="89" xfId="0" applyFont="1" applyFill="1" applyBorder="1" applyAlignment="1">
      <alignment horizontal="center" vertical="center"/>
    </xf>
    <xf numFmtId="3" fontId="7" fillId="2" borderId="3" xfId="0" applyNumberFormat="1" applyFont="1" applyFill="1" applyBorder="1" applyAlignment="1" applyProtection="1">
      <alignment horizontal="centerContinuous" vertical="center"/>
      <protection locked="0"/>
    </xf>
    <xf numFmtId="3" fontId="7" fillId="2" borderId="4" xfId="0" applyNumberFormat="1" applyFont="1" applyFill="1" applyBorder="1" applyAlignment="1" applyProtection="1">
      <alignment horizontal="centerContinuous" vertical="center"/>
      <protection locked="0"/>
    </xf>
    <xf numFmtId="3" fontId="7" fillId="2" borderId="87" xfId="0" applyNumberFormat="1" applyFont="1" applyFill="1" applyBorder="1" applyAlignment="1" applyProtection="1">
      <alignment horizontal="centerContinuous" vertical="center"/>
      <protection locked="0"/>
    </xf>
    <xf numFmtId="3" fontId="7" fillId="2" borderId="90" xfId="0" applyNumberFormat="1" applyFont="1" applyFill="1" applyBorder="1" applyAlignment="1" applyProtection="1">
      <alignment horizontal="centerContinuous" vertical="center"/>
      <protection locked="0"/>
    </xf>
    <xf numFmtId="3" fontId="7" fillId="2" borderId="91" xfId="0" applyNumberFormat="1" applyFont="1" applyFill="1" applyBorder="1" applyProtection="1">
      <alignment vertical="center"/>
      <protection locked="0"/>
    </xf>
    <xf numFmtId="3" fontId="7" fillId="2" borderId="88" xfId="0" applyNumberFormat="1" applyFont="1" applyFill="1" applyBorder="1" applyAlignment="1" applyProtection="1">
      <alignment horizontal="centerContinuous" vertical="center"/>
      <protection locked="0"/>
    </xf>
    <xf numFmtId="3" fontId="7" fillId="2" borderId="91" xfId="0" quotePrefix="1" applyNumberFormat="1" applyFont="1" applyFill="1" applyBorder="1" applyAlignment="1" applyProtection="1">
      <alignment horizontal="center" vertical="center"/>
      <protection locked="0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3" fontId="7" fillId="2" borderId="92" xfId="0" applyNumberFormat="1" applyFont="1" applyFill="1" applyBorder="1" applyAlignment="1" applyProtection="1">
      <alignment horizontal="center" vertical="center"/>
      <protection locked="0"/>
    </xf>
    <xf numFmtId="3" fontId="7" fillId="2" borderId="93" xfId="0" applyNumberFormat="1" applyFont="1" applyFill="1" applyBorder="1" applyAlignment="1" applyProtection="1">
      <alignment horizontal="center" vertical="center"/>
      <protection locked="0"/>
    </xf>
    <xf numFmtId="3" fontId="7" fillId="2" borderId="17" xfId="0" applyNumberFormat="1" applyFont="1" applyFill="1" applyBorder="1" applyAlignment="1" applyProtection="1">
      <alignment horizontal="center" vertical="center"/>
      <protection locked="0"/>
    </xf>
    <xf numFmtId="3" fontId="7" fillId="2" borderId="94" xfId="0" applyNumberFormat="1" applyFont="1" applyFill="1" applyBorder="1" applyAlignment="1" applyProtection="1">
      <alignment horizontal="center" vertical="center"/>
      <protection locked="0"/>
    </xf>
    <xf numFmtId="0" fontId="7" fillId="3" borderId="95" xfId="0" applyFont="1" applyFill="1" applyBorder="1" applyAlignment="1" applyProtection="1">
      <alignment horizontal="centerContinuous" vertical="center"/>
      <protection locked="0"/>
    </xf>
    <xf numFmtId="41" fontId="0" fillId="0" borderId="48" xfId="0" applyNumberFormat="1" applyBorder="1">
      <alignment vertical="center"/>
    </xf>
    <xf numFmtId="180" fontId="0" fillId="0" borderId="48" xfId="2" applyNumberFormat="1" applyFont="1" applyBorder="1">
      <alignment vertical="center"/>
    </xf>
    <xf numFmtId="0" fontId="0" fillId="0" borderId="96" xfId="0" applyBorder="1">
      <alignment vertical="center"/>
    </xf>
    <xf numFmtId="41" fontId="0" fillId="0" borderId="97" xfId="0" applyNumberFormat="1" applyBorder="1">
      <alignment vertical="center"/>
    </xf>
    <xf numFmtId="41" fontId="0" fillId="0" borderId="96" xfId="0" applyNumberFormat="1" applyBorder="1">
      <alignment vertical="center"/>
    </xf>
    <xf numFmtId="0" fontId="7" fillId="3" borderId="98" xfId="0" applyFont="1" applyFill="1" applyBorder="1" applyAlignment="1" applyProtection="1">
      <alignment horizontal="centerContinuous" vertical="center"/>
      <protection locked="0"/>
    </xf>
    <xf numFmtId="41" fontId="0" fillId="0" borderId="30" xfId="0" applyNumberFormat="1" applyBorder="1">
      <alignment vertical="center"/>
    </xf>
    <xf numFmtId="180" fontId="0" fillId="0" borderId="30" xfId="2" applyNumberFormat="1" applyFont="1" applyBorder="1">
      <alignment vertical="center"/>
    </xf>
    <xf numFmtId="0" fontId="0" fillId="0" borderId="29" xfId="0" applyBorder="1">
      <alignment vertical="center"/>
    </xf>
    <xf numFmtId="41" fontId="0" fillId="0" borderId="28" xfId="0" applyNumberFormat="1" applyBorder="1">
      <alignment vertical="center"/>
    </xf>
    <xf numFmtId="41" fontId="0" fillId="0" borderId="29" xfId="0" applyNumberFormat="1" applyBorder="1">
      <alignment vertical="center"/>
    </xf>
    <xf numFmtId="0" fontId="10" fillId="3" borderId="31" xfId="0" applyFont="1" applyFill="1" applyBorder="1" applyAlignment="1" applyProtection="1">
      <alignment horizontal="centerContinuous" vertical="center"/>
      <protection locked="0"/>
    </xf>
    <xf numFmtId="0" fontId="5" fillId="3" borderId="13" xfId="0" applyFont="1" applyFill="1" applyBorder="1" applyAlignment="1">
      <alignment horizontal="center" vertical="center"/>
    </xf>
    <xf numFmtId="41" fontId="5" fillId="3" borderId="48" xfId="0" applyNumberFormat="1" applyFont="1" applyFill="1" applyBorder="1">
      <alignment vertical="center"/>
    </xf>
    <xf numFmtId="180" fontId="5" fillId="3" borderId="48" xfId="2" applyNumberFormat="1" applyFont="1" applyFill="1" applyBorder="1">
      <alignment vertical="center"/>
    </xf>
    <xf numFmtId="0" fontId="5" fillId="3" borderId="96" xfId="0" applyFont="1" applyFill="1" applyBorder="1">
      <alignment vertical="center"/>
    </xf>
    <xf numFmtId="41" fontId="5" fillId="3" borderId="97" xfId="0" applyNumberFormat="1" applyFont="1" applyFill="1" applyBorder="1">
      <alignment vertical="center"/>
    </xf>
    <xf numFmtId="41" fontId="5" fillId="3" borderId="96" xfId="0" applyNumberFormat="1" applyFont="1" applyFill="1" applyBorder="1">
      <alignment vertical="center"/>
    </xf>
    <xf numFmtId="0" fontId="11" fillId="0" borderId="96" xfId="0" applyFont="1" applyBorder="1" applyAlignment="1">
      <alignment vertical="center" wrapText="1"/>
    </xf>
    <xf numFmtId="0" fontId="10" fillId="3" borderId="31" xfId="0" applyFont="1" applyFill="1" applyBorder="1" applyAlignment="1">
      <alignment horizontal="centerContinuous" vertical="center"/>
    </xf>
    <xf numFmtId="41" fontId="5" fillId="3" borderId="34" xfId="0" applyNumberFormat="1" applyFont="1" applyFill="1" applyBorder="1">
      <alignment vertical="center"/>
    </xf>
    <xf numFmtId="180" fontId="5" fillId="3" borderId="34" xfId="2" applyNumberFormat="1" applyFont="1" applyFill="1" applyBorder="1">
      <alignment vertical="center"/>
    </xf>
    <xf numFmtId="0" fontId="5" fillId="3" borderId="33" xfId="0" applyFont="1" applyFill="1" applyBorder="1">
      <alignment vertical="center"/>
    </xf>
    <xf numFmtId="41" fontId="5" fillId="3" borderId="26" xfId="0" applyNumberFormat="1" applyFont="1" applyFill="1" applyBorder="1">
      <alignment vertical="center"/>
    </xf>
    <xf numFmtId="41" fontId="5" fillId="3" borderId="33" xfId="0" applyNumberFormat="1" applyFont="1" applyFill="1" applyBorder="1">
      <alignment vertical="center"/>
    </xf>
    <xf numFmtId="41" fontId="0" fillId="0" borderId="25" xfId="0" applyNumberFormat="1" applyBorder="1">
      <alignment vertical="center"/>
    </xf>
    <xf numFmtId="180" fontId="0" fillId="0" borderId="25" xfId="2" applyNumberFormat="1" applyFont="1" applyBorder="1">
      <alignment vertical="center"/>
    </xf>
    <xf numFmtId="0" fontId="0" fillId="0" borderId="24" xfId="0" applyBorder="1">
      <alignment vertical="center"/>
    </xf>
    <xf numFmtId="41" fontId="0" fillId="0" borderId="23" xfId="0" applyNumberFormat="1" applyBorder="1">
      <alignment vertical="center"/>
    </xf>
    <xf numFmtId="41" fontId="0" fillId="0" borderId="24" xfId="0" applyNumberFormat="1" applyBorder="1">
      <alignment vertical="center"/>
    </xf>
    <xf numFmtId="0" fontId="11" fillId="0" borderId="96" xfId="0" applyFont="1" applyBorder="1">
      <alignment vertical="center"/>
    </xf>
    <xf numFmtId="41" fontId="12" fillId="0" borderId="48" xfId="0" applyNumberFormat="1" applyFont="1" applyBorder="1">
      <alignment vertical="center"/>
    </xf>
    <xf numFmtId="0" fontId="7" fillId="3" borderId="35" xfId="0" applyFont="1" applyFill="1" applyBorder="1" applyAlignment="1" applyProtection="1">
      <alignment horizontal="centerContinuous" vertical="center"/>
      <protection locked="0"/>
    </xf>
    <xf numFmtId="0" fontId="7" fillId="3" borderId="6" xfId="0" applyFont="1" applyFill="1" applyBorder="1" applyAlignment="1" applyProtection="1">
      <alignment horizontal="centerContinuous" vertical="center"/>
      <protection locked="0"/>
    </xf>
    <xf numFmtId="0" fontId="0" fillId="0" borderId="21" xfId="0" applyBorder="1">
      <alignment vertical="center"/>
    </xf>
    <xf numFmtId="0" fontId="0" fillId="0" borderId="85" xfId="0" applyBorder="1">
      <alignment vertical="center"/>
    </xf>
    <xf numFmtId="41" fontId="0" fillId="0" borderId="85" xfId="0" applyNumberFormat="1" applyBorder="1">
      <alignment vertical="center"/>
    </xf>
    <xf numFmtId="180" fontId="0" fillId="0" borderId="85" xfId="2" applyNumberFormat="1" applyFont="1" applyBorder="1">
      <alignment vertical="center"/>
    </xf>
    <xf numFmtId="0" fontId="0" fillId="0" borderId="99" xfId="0" applyBorder="1">
      <alignment vertical="center"/>
    </xf>
    <xf numFmtId="41" fontId="0" fillId="0" borderId="6" xfId="0" applyNumberFormat="1" applyBorder="1">
      <alignment vertical="center"/>
    </xf>
    <xf numFmtId="41" fontId="0" fillId="0" borderId="99" xfId="0" applyNumberFormat="1" applyBorder="1">
      <alignment vertical="center"/>
    </xf>
    <xf numFmtId="180" fontId="0" fillId="0" borderId="51" xfId="2" applyNumberFormat="1" applyFont="1" applyBorder="1">
      <alignment vertical="center"/>
    </xf>
    <xf numFmtId="0" fontId="5" fillId="3" borderId="7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41" fontId="0" fillId="0" borderId="34" xfId="0" applyNumberFormat="1" applyBorder="1">
      <alignment vertical="center"/>
    </xf>
    <xf numFmtId="180" fontId="0" fillId="0" borderId="34" xfId="2" applyNumberFormat="1" applyFont="1" applyBorder="1">
      <alignment vertical="center"/>
    </xf>
    <xf numFmtId="0" fontId="0" fillId="0" borderId="33" xfId="0" applyBorder="1">
      <alignment vertical="center"/>
    </xf>
    <xf numFmtId="41" fontId="0" fillId="0" borderId="26" xfId="0" applyNumberFormat="1" applyBorder="1">
      <alignment vertical="center"/>
    </xf>
    <xf numFmtId="41" fontId="0" fillId="0" borderId="33" xfId="0" applyNumberFormat="1" applyBorder="1">
      <alignment vertical="center"/>
    </xf>
    <xf numFmtId="0" fontId="10" fillId="3" borderId="36" xfId="0" applyFont="1" applyFill="1" applyBorder="1" applyAlignment="1">
      <alignment horizontal="centerContinuous" vertical="center"/>
    </xf>
    <xf numFmtId="0" fontId="5" fillId="3" borderId="100" xfId="0" applyFont="1" applyFill="1" applyBorder="1" applyAlignment="1">
      <alignment horizontal="center" vertical="center"/>
    </xf>
    <xf numFmtId="41" fontId="5" fillId="3" borderId="101" xfId="0" applyNumberFormat="1" applyFont="1" applyFill="1" applyBorder="1">
      <alignment vertical="center"/>
    </xf>
    <xf numFmtId="180" fontId="5" fillId="3" borderId="101" xfId="2" applyNumberFormat="1" applyFont="1" applyFill="1" applyBorder="1">
      <alignment vertical="center"/>
    </xf>
    <xf numFmtId="0" fontId="5" fillId="3" borderId="102" xfId="0" applyFont="1" applyFill="1" applyBorder="1">
      <alignment vertical="center"/>
    </xf>
    <xf numFmtId="41" fontId="5" fillId="3" borderId="103" xfId="0" applyNumberFormat="1" applyFont="1" applyFill="1" applyBorder="1">
      <alignment vertical="center"/>
    </xf>
    <xf numFmtId="41" fontId="5" fillId="3" borderId="102" xfId="0" applyNumberFormat="1" applyFont="1" applyFill="1" applyBorder="1">
      <alignment vertical="center"/>
    </xf>
    <xf numFmtId="0" fontId="5" fillId="3" borderId="104" xfId="0" applyFont="1" applyFill="1" applyBorder="1" applyAlignment="1">
      <alignment horizontal="center" vertical="center"/>
    </xf>
    <xf numFmtId="0" fontId="13" fillId="0" borderId="68" xfId="0" applyFont="1" applyBorder="1">
      <alignment vertical="center"/>
    </xf>
    <xf numFmtId="41" fontId="0" fillId="0" borderId="68" xfId="0" applyNumberFormat="1" applyBorder="1">
      <alignment vertical="center"/>
    </xf>
    <xf numFmtId="180" fontId="0" fillId="0" borderId="68" xfId="2" applyNumberFormat="1" applyFont="1" applyBorder="1">
      <alignment vertical="center"/>
    </xf>
    <xf numFmtId="0" fontId="0" fillId="0" borderId="105" xfId="0" applyBorder="1">
      <alignment vertical="center"/>
    </xf>
    <xf numFmtId="41" fontId="5" fillId="0" borderId="106" xfId="0" applyNumberFormat="1" applyFont="1" applyBorder="1">
      <alignment vertical="center"/>
    </xf>
    <xf numFmtId="41" fontId="5" fillId="0" borderId="68" xfId="0" applyNumberFormat="1" applyFont="1" applyBorder="1">
      <alignment vertical="center"/>
    </xf>
    <xf numFmtId="41" fontId="5" fillId="0" borderId="107" xfId="0" applyNumberFormat="1" applyFont="1" applyBorder="1">
      <alignment vertical="center"/>
    </xf>
    <xf numFmtId="41" fontId="0" fillId="0" borderId="108" xfId="0" applyNumberFormat="1" applyBorder="1">
      <alignment vertical="center"/>
    </xf>
    <xf numFmtId="41" fontId="0" fillId="0" borderId="107" xfId="0" applyNumberFormat="1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13" fillId="0" borderId="63" xfId="0" applyFont="1" applyBorder="1">
      <alignment vertical="center"/>
    </xf>
    <xf numFmtId="41" fontId="0" fillId="0" borderId="63" xfId="0" applyNumberFormat="1" applyBorder="1">
      <alignment vertical="center"/>
    </xf>
    <xf numFmtId="180" fontId="0" fillId="0" borderId="63" xfId="2" applyNumberFormat="1" applyFont="1" applyBorder="1">
      <alignment vertical="center"/>
    </xf>
    <xf numFmtId="0" fontId="0" fillId="0" borderId="75" xfId="0" applyBorder="1">
      <alignment vertical="center"/>
    </xf>
    <xf numFmtId="41" fontId="5" fillId="0" borderId="109" xfId="0" applyNumberFormat="1" applyFont="1" applyBorder="1">
      <alignment vertical="center"/>
    </xf>
    <xf numFmtId="41" fontId="5" fillId="0" borderId="63" xfId="0" applyNumberFormat="1" applyFont="1" applyBorder="1">
      <alignment vertical="center"/>
    </xf>
    <xf numFmtId="41" fontId="5" fillId="0" borderId="110" xfId="0" applyNumberFormat="1" applyFont="1" applyBorder="1">
      <alignment vertical="center"/>
    </xf>
    <xf numFmtId="41" fontId="0" fillId="0" borderId="78" xfId="0" applyNumberFormat="1" applyBorder="1">
      <alignment vertical="center"/>
    </xf>
    <xf numFmtId="41" fontId="0" fillId="0" borderId="110" xfId="0" applyNumberFormat="1" applyBorder="1">
      <alignment vertical="center"/>
    </xf>
    <xf numFmtId="0" fontId="13" fillId="0" borderId="30" xfId="0" applyFont="1" applyBorder="1">
      <alignment vertical="center"/>
    </xf>
    <xf numFmtId="0" fontId="0" fillId="0" borderId="27" xfId="0" applyBorder="1">
      <alignment vertical="center"/>
    </xf>
    <xf numFmtId="41" fontId="5" fillId="0" borderId="28" xfId="0" applyNumberFormat="1" applyFont="1" applyBorder="1">
      <alignment vertical="center"/>
    </xf>
    <xf numFmtId="41" fontId="5" fillId="0" borderId="30" xfId="0" applyNumberFormat="1" applyFont="1" applyBorder="1">
      <alignment vertical="center"/>
    </xf>
    <xf numFmtId="41" fontId="5" fillId="0" borderId="29" xfId="0" applyNumberFormat="1" applyFont="1" applyBorder="1">
      <alignment vertical="center"/>
    </xf>
    <xf numFmtId="41" fontId="0" fillId="0" borderId="73" xfId="0" applyNumberFormat="1" applyBorder="1">
      <alignment vertical="center"/>
    </xf>
    <xf numFmtId="0" fontId="14" fillId="3" borderId="31" xfId="0" applyFont="1" applyFill="1" applyBorder="1" applyAlignment="1" applyProtection="1">
      <alignment horizontal="center" vertical="center"/>
      <protection locked="0"/>
    </xf>
    <xf numFmtId="41" fontId="0" fillId="3" borderId="34" xfId="0" applyNumberFormat="1" applyFill="1" applyBorder="1">
      <alignment vertical="center"/>
    </xf>
    <xf numFmtId="180" fontId="0" fillId="3" borderId="34" xfId="2" applyNumberFormat="1" applyFont="1" applyFill="1" applyBorder="1">
      <alignment vertical="center"/>
    </xf>
    <xf numFmtId="0" fontId="0" fillId="3" borderId="32" xfId="0" applyFill="1" applyBorder="1">
      <alignment vertical="center"/>
    </xf>
    <xf numFmtId="41" fontId="0" fillId="3" borderId="72" xfId="0" applyNumberFormat="1" applyFill="1" applyBorder="1">
      <alignment vertical="center"/>
    </xf>
    <xf numFmtId="41" fontId="0" fillId="3" borderId="33" xfId="0" applyNumberFormat="1" applyFill="1" applyBorder="1">
      <alignment vertical="center"/>
    </xf>
    <xf numFmtId="0" fontId="13" fillId="0" borderId="21" xfId="0" applyFont="1" applyBorder="1">
      <alignment vertical="center"/>
    </xf>
    <xf numFmtId="41" fontId="0" fillId="0" borderId="21" xfId="0" applyNumberFormat="1" applyBorder="1">
      <alignment vertical="center"/>
    </xf>
    <xf numFmtId="180" fontId="0" fillId="0" borderId="21" xfId="2" applyNumberFormat="1" applyFont="1" applyBorder="1">
      <alignment vertical="center"/>
    </xf>
    <xf numFmtId="0" fontId="0" fillId="0" borderId="18" xfId="0" applyBorder="1">
      <alignment vertical="center"/>
    </xf>
    <xf numFmtId="41" fontId="5" fillId="0" borderId="19" xfId="0" applyNumberFormat="1" applyFont="1" applyBorder="1">
      <alignment vertical="center"/>
    </xf>
    <xf numFmtId="41" fontId="5" fillId="0" borderId="21" xfId="0" applyNumberFormat="1" applyFont="1" applyBorder="1">
      <alignment vertical="center"/>
    </xf>
    <xf numFmtId="41" fontId="5" fillId="0" borderId="20" xfId="0" applyNumberFormat="1" applyFont="1" applyBorder="1">
      <alignment vertical="center"/>
    </xf>
    <xf numFmtId="41" fontId="0" fillId="0" borderId="111" xfId="0" applyNumberFormat="1" applyBorder="1">
      <alignment vertical="center"/>
    </xf>
    <xf numFmtId="41" fontId="0" fillId="0" borderId="20" xfId="0" applyNumberFormat="1" applyBorder="1">
      <alignment vertical="center"/>
    </xf>
    <xf numFmtId="0" fontId="14" fillId="3" borderId="43" xfId="0" applyFont="1" applyFill="1" applyBorder="1" applyAlignment="1" applyProtection="1">
      <alignment horizontal="center" vertical="center"/>
      <protection locked="0"/>
    </xf>
    <xf numFmtId="0" fontId="5" fillId="3" borderId="94" xfId="0" applyFont="1" applyFill="1" applyBorder="1" applyAlignment="1">
      <alignment horizontal="center" vertical="center"/>
    </xf>
    <xf numFmtId="41" fontId="0" fillId="3" borderId="16" xfId="0" applyNumberFormat="1" applyFill="1" applyBorder="1">
      <alignment vertical="center"/>
    </xf>
    <xf numFmtId="180" fontId="0" fillId="3" borderId="16" xfId="2" applyNumberFormat="1" applyFont="1" applyFill="1" applyBorder="1">
      <alignment vertical="center"/>
    </xf>
    <xf numFmtId="0" fontId="0" fillId="3" borderId="15" xfId="0" applyFill="1" applyBorder="1">
      <alignment vertical="center"/>
    </xf>
    <xf numFmtId="41" fontId="5" fillId="3" borderId="14" xfId="0" applyNumberFormat="1" applyFont="1" applyFill="1" applyBorder="1">
      <alignment vertical="center"/>
    </xf>
    <xf numFmtId="41" fontId="5" fillId="3" borderId="16" xfId="0" applyNumberFormat="1" applyFont="1" applyFill="1" applyBorder="1">
      <alignment vertical="center"/>
    </xf>
    <xf numFmtId="41" fontId="5" fillId="3" borderId="17" xfId="0" applyNumberFormat="1" applyFont="1" applyFill="1" applyBorder="1">
      <alignment vertical="center"/>
    </xf>
    <xf numFmtId="41" fontId="0" fillId="3" borderId="112" xfId="0" applyNumberFormat="1" applyFill="1" applyBorder="1">
      <alignment vertical="center"/>
    </xf>
    <xf numFmtId="41" fontId="0" fillId="3" borderId="17" xfId="0" applyNumberFormat="1" applyFill="1" applyBorder="1">
      <alignment vertical="center"/>
    </xf>
    <xf numFmtId="0" fontId="7" fillId="7" borderId="43" xfId="0" applyFont="1" applyFill="1" applyBorder="1" applyAlignment="1" applyProtection="1">
      <alignment horizontal="centerContinuous" vertical="center"/>
      <protection locked="0"/>
    </xf>
    <xf numFmtId="0" fontId="5" fillId="7" borderId="112" xfId="0" applyFont="1" applyFill="1" applyBorder="1" applyAlignment="1">
      <alignment horizontal="centerContinuous" vertical="center"/>
    </xf>
    <xf numFmtId="41" fontId="5" fillId="7" borderId="16" xfId="0" applyNumberFormat="1" applyFont="1" applyFill="1" applyBorder="1">
      <alignment vertical="center"/>
    </xf>
    <xf numFmtId="180" fontId="5" fillId="7" borderId="16" xfId="2" applyNumberFormat="1" applyFont="1" applyFill="1" applyBorder="1">
      <alignment vertical="center"/>
    </xf>
    <xf numFmtId="0" fontId="5" fillId="7" borderId="17" xfId="0" applyFont="1" applyFill="1" applyBorder="1">
      <alignment vertical="center"/>
    </xf>
    <xf numFmtId="41" fontId="5" fillId="7" borderId="14" xfId="0" applyNumberFormat="1" applyFont="1" applyFill="1" applyBorder="1">
      <alignment vertical="center"/>
    </xf>
    <xf numFmtId="41" fontId="5" fillId="7" borderId="17" xfId="0" applyNumberFormat="1" applyFont="1" applyFill="1" applyBorder="1">
      <alignment vertical="center"/>
    </xf>
    <xf numFmtId="41" fontId="0" fillId="0" borderId="0" xfId="0" applyNumberFormat="1">
      <alignment vertical="center"/>
    </xf>
    <xf numFmtId="0" fontId="5" fillId="2" borderId="87" xfId="0" applyFont="1" applyFill="1" applyBorder="1" applyAlignment="1">
      <alignment horizontal="centerContinuous" vertical="center"/>
    </xf>
    <xf numFmtId="0" fontId="5" fillId="2" borderId="88" xfId="0" applyFont="1" applyFill="1" applyBorder="1" applyAlignment="1">
      <alignment horizontal="centerContinuous" vertical="center"/>
    </xf>
    <xf numFmtId="0" fontId="5" fillId="2" borderId="86" xfId="0" quotePrefix="1" applyFont="1" applyFill="1" applyBorder="1" applyAlignment="1">
      <alignment horizontal="center" vertical="center"/>
    </xf>
    <xf numFmtId="0" fontId="5" fillId="2" borderId="93" xfId="0" applyFont="1" applyFill="1" applyBorder="1" applyAlignment="1">
      <alignment horizontal="center" vertical="center"/>
    </xf>
    <xf numFmtId="181" fontId="0" fillId="0" borderId="48" xfId="0" applyNumberFormat="1" applyBorder="1">
      <alignment vertical="center"/>
    </xf>
    <xf numFmtId="43" fontId="0" fillId="0" borderId="0" xfId="0" applyNumberFormat="1">
      <alignment vertical="center"/>
    </xf>
    <xf numFmtId="181" fontId="0" fillId="0" borderId="30" xfId="0" applyNumberFormat="1" applyBorder="1">
      <alignment vertical="center"/>
    </xf>
    <xf numFmtId="181" fontId="5" fillId="3" borderId="48" xfId="0" applyNumberFormat="1" applyFont="1" applyFill="1" applyBorder="1">
      <alignment vertical="center"/>
    </xf>
    <xf numFmtId="181" fontId="5" fillId="3" borderId="34" xfId="0" applyNumberFormat="1" applyFont="1" applyFill="1" applyBorder="1">
      <alignment vertical="center"/>
    </xf>
    <xf numFmtId="181" fontId="0" fillId="0" borderId="25" xfId="0" applyNumberFormat="1" applyBorder="1">
      <alignment vertical="center"/>
    </xf>
    <xf numFmtId="181" fontId="0" fillId="0" borderId="63" xfId="0" applyNumberFormat="1" applyBorder="1">
      <alignment vertical="center"/>
    </xf>
    <xf numFmtId="181" fontId="0" fillId="0" borderId="85" xfId="0" applyNumberFormat="1" applyBorder="1">
      <alignment vertical="center"/>
    </xf>
    <xf numFmtId="181" fontId="0" fillId="0" borderId="51" xfId="0" applyNumberFormat="1" applyBorder="1">
      <alignment vertical="center"/>
    </xf>
    <xf numFmtId="181" fontId="0" fillId="0" borderId="34" xfId="0" applyNumberFormat="1" applyBorder="1">
      <alignment vertical="center"/>
    </xf>
    <xf numFmtId="181" fontId="5" fillId="3" borderId="101" xfId="0" applyNumberFormat="1" applyFont="1" applyFill="1" applyBorder="1">
      <alignment vertical="center"/>
    </xf>
    <xf numFmtId="0" fontId="13" fillId="0" borderId="113" xfId="0" applyFont="1" applyBorder="1">
      <alignment vertical="center"/>
    </xf>
    <xf numFmtId="181" fontId="0" fillId="0" borderId="113" xfId="0" applyNumberFormat="1" applyBorder="1">
      <alignment vertical="center"/>
    </xf>
    <xf numFmtId="0" fontId="0" fillId="0" borderId="114" xfId="0" applyBorder="1">
      <alignment vertical="center"/>
    </xf>
    <xf numFmtId="41" fontId="13" fillId="0" borderId="106" xfId="0" applyNumberFormat="1" applyFont="1" applyBorder="1">
      <alignment vertical="center"/>
    </xf>
    <xf numFmtId="41" fontId="13" fillId="0" borderId="68" xfId="0" applyNumberFormat="1" applyFont="1" applyBorder="1">
      <alignment vertical="center"/>
    </xf>
    <xf numFmtId="41" fontId="13" fillId="0" borderId="28" xfId="0" applyNumberFormat="1" applyFont="1" applyBorder="1">
      <alignment vertical="center"/>
    </xf>
    <xf numFmtId="41" fontId="13" fillId="0" borderId="30" xfId="0" applyNumberFormat="1" applyFont="1" applyBorder="1">
      <alignment vertical="center"/>
    </xf>
    <xf numFmtId="181" fontId="0" fillId="3" borderId="34" xfId="0" applyNumberFormat="1" applyFill="1" applyBorder="1">
      <alignment vertical="center"/>
    </xf>
    <xf numFmtId="41" fontId="13" fillId="3" borderId="26" xfId="0" applyNumberFormat="1" applyFont="1" applyFill="1" applyBorder="1">
      <alignment vertical="center"/>
    </xf>
    <xf numFmtId="41" fontId="13" fillId="3" borderId="34" xfId="0" applyNumberFormat="1" applyFont="1" applyFill="1" applyBorder="1">
      <alignment vertical="center"/>
    </xf>
    <xf numFmtId="0" fontId="13" fillId="0" borderId="45" xfId="0" applyFont="1" applyBorder="1">
      <alignment vertical="center"/>
    </xf>
    <xf numFmtId="41" fontId="0" fillId="0" borderId="45" xfId="0" applyNumberFormat="1" applyBorder="1">
      <alignment vertical="center"/>
    </xf>
    <xf numFmtId="181" fontId="0" fillId="0" borderId="45" xfId="0" applyNumberFormat="1" applyBorder="1">
      <alignment vertical="center"/>
    </xf>
    <xf numFmtId="0" fontId="0" fillId="0" borderId="9" xfId="0" applyBorder="1">
      <alignment vertical="center"/>
    </xf>
    <xf numFmtId="41" fontId="5" fillId="0" borderId="8" xfId="0" applyNumberFormat="1" applyFont="1" applyBorder="1">
      <alignment vertical="center"/>
    </xf>
    <xf numFmtId="41" fontId="5" fillId="0" borderId="45" xfId="0" applyNumberFormat="1" applyFont="1" applyBorder="1">
      <alignment vertical="center"/>
    </xf>
    <xf numFmtId="41" fontId="5" fillId="0" borderId="115" xfId="0" applyNumberFormat="1" applyFont="1" applyBorder="1">
      <alignment vertical="center"/>
    </xf>
    <xf numFmtId="41" fontId="0" fillId="0" borderId="13" xfId="0" applyNumberFormat="1" applyBorder="1">
      <alignment vertical="center"/>
    </xf>
    <xf numFmtId="41" fontId="0" fillId="0" borderId="115" xfId="0" applyNumberFormat="1" applyBorder="1">
      <alignment vertical="center"/>
    </xf>
    <xf numFmtId="0" fontId="13" fillId="0" borderId="34" xfId="0" applyFont="1" applyBorder="1">
      <alignment vertical="center"/>
    </xf>
    <xf numFmtId="0" fontId="0" fillId="0" borderId="32" xfId="0" applyBorder="1">
      <alignment vertical="center"/>
    </xf>
    <xf numFmtId="41" fontId="5" fillId="0" borderId="26" xfId="0" applyNumberFormat="1" applyFont="1" applyBorder="1">
      <alignment vertical="center"/>
    </xf>
    <xf numFmtId="41" fontId="5" fillId="0" borderId="34" xfId="0" applyNumberFormat="1" applyFont="1" applyBorder="1">
      <alignment vertical="center"/>
    </xf>
    <xf numFmtId="41" fontId="5" fillId="0" borderId="33" xfId="0" applyNumberFormat="1" applyFont="1" applyBorder="1">
      <alignment vertical="center"/>
    </xf>
    <xf numFmtId="41" fontId="0" fillId="0" borderId="72" xfId="0" applyNumberFormat="1" applyBorder="1">
      <alignment vertical="center"/>
    </xf>
    <xf numFmtId="0" fontId="5" fillId="3" borderId="112" xfId="0" applyFont="1" applyFill="1" applyBorder="1" applyAlignment="1">
      <alignment horizontal="center" vertical="center"/>
    </xf>
    <xf numFmtId="181" fontId="0" fillId="3" borderId="16" xfId="0" applyNumberFormat="1" applyFill="1" applyBorder="1">
      <alignment vertical="center"/>
    </xf>
    <xf numFmtId="0" fontId="15" fillId="7" borderId="43" xfId="0" applyFont="1" applyFill="1" applyBorder="1" applyAlignment="1" applyProtection="1">
      <alignment horizontal="centerContinuous" vertical="center"/>
      <protection locked="0"/>
    </xf>
    <xf numFmtId="181" fontId="5" fillId="7" borderId="16" xfId="0" applyNumberFormat="1" applyFont="1" applyFill="1" applyBorder="1">
      <alignment vertical="center"/>
    </xf>
    <xf numFmtId="182" fontId="0" fillId="0" borderId="0" xfId="0" applyNumberFormat="1">
      <alignment vertical="center"/>
    </xf>
    <xf numFmtId="179" fontId="0" fillId="0" borderId="48" xfId="0" applyNumberFormat="1" applyBorder="1">
      <alignment vertical="center"/>
    </xf>
    <xf numFmtId="179" fontId="0" fillId="0" borderId="30" xfId="0" applyNumberFormat="1" applyBorder="1">
      <alignment vertical="center"/>
    </xf>
    <xf numFmtId="179" fontId="5" fillId="3" borderId="48" xfId="0" applyNumberFormat="1" applyFont="1" applyFill="1" applyBorder="1">
      <alignment vertical="center"/>
    </xf>
    <xf numFmtId="179" fontId="5" fillId="3" borderId="34" xfId="0" applyNumberFormat="1" applyFont="1" applyFill="1" applyBorder="1">
      <alignment vertical="center"/>
    </xf>
    <xf numFmtId="179" fontId="0" fillId="0" borderId="25" xfId="0" applyNumberFormat="1" applyBorder="1">
      <alignment vertical="center"/>
    </xf>
    <xf numFmtId="179" fontId="0" fillId="0" borderId="85" xfId="0" applyNumberFormat="1" applyBorder="1">
      <alignment vertical="center"/>
    </xf>
    <xf numFmtId="41" fontId="0" fillId="0" borderId="51" xfId="0" applyNumberFormat="1" applyBorder="1">
      <alignment vertical="center"/>
    </xf>
    <xf numFmtId="179" fontId="0" fillId="0" borderId="51" xfId="0" applyNumberFormat="1" applyBorder="1">
      <alignment vertical="center"/>
    </xf>
    <xf numFmtId="0" fontId="0" fillId="0" borderId="116" xfId="0" applyBorder="1">
      <alignment vertical="center"/>
    </xf>
    <xf numFmtId="41" fontId="0" fillId="0" borderId="35" xfId="0" applyNumberFormat="1" applyBorder="1">
      <alignment vertical="center"/>
    </xf>
    <xf numFmtId="41" fontId="0" fillId="0" borderId="116" xfId="0" applyNumberFormat="1" applyBorder="1">
      <alignment vertical="center"/>
    </xf>
    <xf numFmtId="0" fontId="0" fillId="0" borderId="63" xfId="0" applyBorder="1">
      <alignment vertical="center"/>
    </xf>
    <xf numFmtId="179" fontId="0" fillId="0" borderId="63" xfId="0" applyNumberFormat="1" applyBorder="1">
      <alignment vertical="center"/>
    </xf>
    <xf numFmtId="0" fontId="0" fillId="0" borderId="110" xfId="0" applyBorder="1">
      <alignment vertical="center"/>
    </xf>
    <xf numFmtId="41" fontId="0" fillId="0" borderId="109" xfId="0" applyNumberFormat="1" applyBorder="1">
      <alignment vertical="center"/>
    </xf>
    <xf numFmtId="41" fontId="5" fillId="3" borderId="45" xfId="0" applyNumberFormat="1" applyFont="1" applyFill="1" applyBorder="1">
      <alignment vertical="center"/>
    </xf>
    <xf numFmtId="179" fontId="5" fillId="3" borderId="45" xfId="0" applyNumberFormat="1" applyFont="1" applyFill="1" applyBorder="1">
      <alignment vertical="center"/>
    </xf>
    <xf numFmtId="0" fontId="5" fillId="3" borderId="115" xfId="0" applyFont="1" applyFill="1" applyBorder="1">
      <alignment vertical="center"/>
    </xf>
    <xf numFmtId="41" fontId="5" fillId="3" borderId="8" xfId="0" applyNumberFormat="1" applyFont="1" applyFill="1" applyBorder="1">
      <alignment vertical="center"/>
    </xf>
    <xf numFmtId="41" fontId="5" fillId="3" borderId="115" xfId="0" applyNumberFormat="1" applyFont="1" applyFill="1" applyBorder="1">
      <alignment vertical="center"/>
    </xf>
    <xf numFmtId="179" fontId="0" fillId="0" borderId="34" xfId="0" applyNumberFormat="1" applyBorder="1">
      <alignment vertical="center"/>
    </xf>
    <xf numFmtId="179" fontId="5" fillId="3" borderId="101" xfId="0" applyNumberFormat="1" applyFont="1" applyFill="1" applyBorder="1">
      <alignment vertical="center"/>
    </xf>
    <xf numFmtId="179" fontId="0" fillId="0" borderId="113" xfId="0" applyNumberFormat="1" applyBorder="1">
      <alignment vertical="center"/>
    </xf>
    <xf numFmtId="41" fontId="13" fillId="0" borderId="107" xfId="0" applyNumberFormat="1" applyFont="1" applyBorder="1">
      <alignment vertical="center"/>
    </xf>
    <xf numFmtId="41" fontId="13" fillId="0" borderId="29" xfId="0" applyNumberFormat="1" applyFont="1" applyBorder="1">
      <alignment vertical="center"/>
    </xf>
    <xf numFmtId="179" fontId="0" fillId="3" borderId="34" xfId="0" applyNumberFormat="1" applyFill="1" applyBorder="1">
      <alignment vertical="center"/>
    </xf>
    <xf numFmtId="41" fontId="13" fillId="3" borderId="33" xfId="0" applyNumberFormat="1" applyFont="1" applyFill="1" applyBorder="1">
      <alignment vertical="center"/>
    </xf>
    <xf numFmtId="179" fontId="0" fillId="0" borderId="21" xfId="0" applyNumberFormat="1" applyBorder="1">
      <alignment vertical="center"/>
    </xf>
    <xf numFmtId="179" fontId="0" fillId="3" borderId="16" xfId="0" applyNumberFormat="1" applyFill="1" applyBorder="1">
      <alignment vertical="center"/>
    </xf>
    <xf numFmtId="179" fontId="5" fillId="7" borderId="16" xfId="0" applyNumberFormat="1" applyFont="1" applyFill="1" applyBorder="1">
      <alignment vertical="center"/>
    </xf>
    <xf numFmtId="0" fontId="0" fillId="0" borderId="51" xfId="0" applyBorder="1">
      <alignment vertical="center"/>
    </xf>
    <xf numFmtId="0" fontId="5" fillId="3" borderId="48" xfId="0" applyFont="1" applyFill="1" applyBorder="1">
      <alignment vertical="center"/>
    </xf>
    <xf numFmtId="0" fontId="5" fillId="3" borderId="101" xfId="0" applyFont="1" applyFill="1" applyBorder="1">
      <alignment vertical="center"/>
    </xf>
    <xf numFmtId="182" fontId="0" fillId="0" borderId="113" xfId="0" applyNumberFormat="1" applyBorder="1">
      <alignment vertical="center"/>
    </xf>
    <xf numFmtId="182" fontId="0" fillId="0" borderId="30" xfId="0" applyNumberFormat="1" applyBorder="1">
      <alignment vertical="center"/>
    </xf>
    <xf numFmtId="182" fontId="0" fillId="3" borderId="34" xfId="0" applyNumberFormat="1" applyFill="1" applyBorder="1">
      <alignment vertical="center"/>
    </xf>
    <xf numFmtId="0" fontId="0" fillId="3" borderId="16" xfId="0" applyFill="1" applyBorder="1">
      <alignment vertical="center"/>
    </xf>
    <xf numFmtId="182" fontId="5" fillId="7" borderId="16" xfId="0" applyNumberFormat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 applyAlignment="1">
      <alignment horizontal="centerContinuous" vertical="center"/>
    </xf>
    <xf numFmtId="0" fontId="5" fillId="2" borderId="4" xfId="0" applyFont="1" applyFill="1" applyBorder="1" applyAlignment="1">
      <alignment horizontal="centerContinuous" vertical="center"/>
    </xf>
    <xf numFmtId="0" fontId="5" fillId="2" borderId="5" xfId="0" applyFont="1" applyFill="1" applyBorder="1" applyAlignment="1">
      <alignment horizontal="centerContinuous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Continuous"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quotePrefix="1" applyFont="1" applyFill="1" applyBorder="1" applyAlignment="1">
      <alignment horizontal="centerContinuous" vertical="center"/>
    </xf>
    <xf numFmtId="0" fontId="5" fillId="2" borderId="10" xfId="0" quotePrefix="1" applyFont="1" applyFill="1" applyBorder="1" applyAlignment="1">
      <alignment horizontal="centerContinuous" vertical="center"/>
    </xf>
    <xf numFmtId="0" fontId="5" fillId="2" borderId="12" xfId="0" quotePrefix="1" applyFont="1" applyFill="1" applyBorder="1" applyAlignment="1">
      <alignment horizontal="centerContinuous" vertical="center"/>
    </xf>
    <xf numFmtId="0" fontId="5" fillId="2" borderId="9" xfId="0" quotePrefix="1" applyFont="1" applyFill="1" applyBorder="1" applyAlignment="1">
      <alignment horizontal="centerContinuous" vertical="center"/>
    </xf>
    <xf numFmtId="0" fontId="5" fillId="2" borderId="13" xfId="0" quotePrefix="1" applyFont="1" applyFill="1" applyBorder="1" applyAlignment="1">
      <alignment horizontal="centerContinuous"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quotePrefix="1" applyFont="1" applyFill="1" applyBorder="1" applyAlignment="1">
      <alignment horizontal="center" vertical="center"/>
    </xf>
    <xf numFmtId="179" fontId="5" fillId="2" borderId="15" xfId="0" applyNumberFormat="1" applyFont="1" applyFill="1" applyBorder="1" applyAlignment="1">
      <alignment horizontal="center" vertical="center"/>
    </xf>
    <xf numFmtId="179" fontId="5" fillId="2" borderId="17" xfId="0" applyNumberFormat="1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0" borderId="18" xfId="0" applyBorder="1" applyAlignment="1">
      <alignment horizontal="center" vertical="center"/>
    </xf>
    <xf numFmtId="179" fontId="0" fillId="0" borderId="21" xfId="2" applyNumberFormat="1" applyFont="1" applyBorder="1" applyProtection="1">
      <alignment vertical="center"/>
    </xf>
    <xf numFmtId="0" fontId="0" fillId="0" borderId="20" xfId="0" applyBorder="1">
      <alignment vertical="center"/>
    </xf>
    <xf numFmtId="179" fontId="0" fillId="0" borderId="18" xfId="2" applyNumberFormat="1" applyFont="1" applyBorder="1" applyProtection="1">
      <alignment vertical="center"/>
    </xf>
    <xf numFmtId="179" fontId="0" fillId="0" borderId="20" xfId="2" applyNumberFormat="1" applyFont="1" applyBorder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41" fontId="0" fillId="0" borderId="23" xfId="1" applyFont="1" applyBorder="1" applyProtection="1">
      <alignment vertical="center"/>
    </xf>
    <xf numFmtId="179" fontId="0" fillId="0" borderId="25" xfId="2" applyNumberFormat="1" applyFont="1" applyBorder="1" applyProtection="1">
      <alignment vertical="center"/>
    </xf>
    <xf numFmtId="179" fontId="0" fillId="0" borderId="22" xfId="2" applyNumberFormat="1" applyFont="1" applyBorder="1" applyProtection="1">
      <alignment vertical="center"/>
    </xf>
    <xf numFmtId="179" fontId="0" fillId="0" borderId="24" xfId="2" applyNumberFormat="1" applyFont="1" applyBorder="1" applyProtection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179" fontId="0" fillId="0" borderId="30" xfId="2" applyNumberFormat="1" applyFont="1" applyBorder="1" applyProtection="1">
      <alignment vertical="center"/>
    </xf>
    <xf numFmtId="179" fontId="0" fillId="0" borderId="27" xfId="2" applyNumberFormat="1" applyFont="1" applyBorder="1" applyProtection="1">
      <alignment vertical="center"/>
    </xf>
    <xf numFmtId="179" fontId="0" fillId="0" borderId="29" xfId="2" applyNumberFormat="1" applyFont="1" applyBorder="1" applyProtection="1">
      <alignment vertical="center"/>
    </xf>
    <xf numFmtId="0" fontId="0" fillId="3" borderId="31" xfId="0" applyFill="1" applyBorder="1">
      <alignment vertical="center"/>
    </xf>
    <xf numFmtId="0" fontId="5" fillId="3" borderId="10" xfId="0" applyFont="1" applyFill="1" applyBorder="1" applyAlignment="1">
      <alignment horizontal="center" vertical="center"/>
    </xf>
    <xf numFmtId="41" fontId="0" fillId="3" borderId="26" xfId="0" applyNumberFormat="1" applyFill="1" applyBorder="1">
      <alignment vertical="center"/>
    </xf>
    <xf numFmtId="41" fontId="0" fillId="3" borderId="32" xfId="0" applyNumberFormat="1" applyFill="1" applyBorder="1">
      <alignment vertical="center"/>
    </xf>
    <xf numFmtId="179" fontId="0" fillId="3" borderId="34" xfId="2" applyNumberFormat="1" applyFont="1" applyFill="1" applyBorder="1" applyProtection="1">
      <alignment vertical="center"/>
    </xf>
    <xf numFmtId="0" fontId="0" fillId="3" borderId="33" xfId="0" applyFill="1" applyBorder="1">
      <alignment vertical="center"/>
    </xf>
    <xf numFmtId="179" fontId="0" fillId="3" borderId="32" xfId="2" applyNumberFormat="1" applyFont="1" applyFill="1" applyBorder="1" applyProtection="1">
      <alignment vertical="center"/>
    </xf>
    <xf numFmtId="179" fontId="0" fillId="3" borderId="33" xfId="2" applyNumberFormat="1" applyFont="1" applyFill="1" applyBorder="1" applyProtection="1">
      <alignment vertical="center"/>
    </xf>
    <xf numFmtId="0" fontId="0" fillId="3" borderId="35" xfId="0" applyFill="1" applyBorder="1">
      <alignment vertical="center"/>
    </xf>
    <xf numFmtId="0" fontId="6" fillId="0" borderId="18" xfId="0" applyFont="1" applyBorder="1" applyAlignment="1">
      <alignment horizontal="centerContinuous" vertical="center"/>
    </xf>
    <xf numFmtId="41" fontId="0" fillId="0" borderId="19" xfId="0" applyNumberFormat="1" applyBorder="1">
      <alignment vertical="center"/>
    </xf>
    <xf numFmtId="41" fontId="0" fillId="0" borderId="18" xfId="0" applyNumberFormat="1" applyBorder="1">
      <alignment vertical="center"/>
    </xf>
    <xf numFmtId="0" fontId="6" fillId="0" borderId="22" xfId="0" applyFont="1" applyBorder="1" applyAlignment="1">
      <alignment horizontal="centerContinuous" vertical="center"/>
    </xf>
    <xf numFmtId="41" fontId="0" fillId="0" borderId="22" xfId="0" applyNumberFormat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Continuous" vertical="center"/>
    </xf>
    <xf numFmtId="41" fontId="0" fillId="0" borderId="27" xfId="0" applyNumberFormat="1" applyBorder="1">
      <alignment vertical="center"/>
    </xf>
    <xf numFmtId="0" fontId="0" fillId="3" borderId="36" xfId="0" applyFill="1" applyBorder="1">
      <alignment vertical="center"/>
    </xf>
    <xf numFmtId="0" fontId="7" fillId="3" borderId="37" xfId="0" applyFont="1" applyFill="1" applyBorder="1" applyAlignment="1">
      <alignment horizontal="centerContinuous" vertical="center"/>
    </xf>
    <xf numFmtId="41" fontId="0" fillId="3" borderId="38" xfId="0" applyNumberFormat="1" applyFill="1" applyBorder="1">
      <alignment vertical="center"/>
    </xf>
    <xf numFmtId="41" fontId="0" fillId="3" borderId="39" xfId="0" applyNumberFormat="1" applyFill="1" applyBorder="1">
      <alignment vertical="center"/>
    </xf>
    <xf numFmtId="179" fontId="0" fillId="3" borderId="41" xfId="2" applyNumberFormat="1" applyFont="1" applyFill="1" applyBorder="1" applyProtection="1">
      <alignment vertical="center"/>
    </xf>
    <xf numFmtId="0" fontId="0" fillId="3" borderId="40" xfId="0" applyFill="1" applyBorder="1">
      <alignment vertical="center"/>
    </xf>
    <xf numFmtId="179" fontId="0" fillId="3" borderId="39" xfId="2" applyNumberFormat="1" applyFont="1" applyFill="1" applyBorder="1" applyProtection="1">
      <alignment vertical="center"/>
    </xf>
    <xf numFmtId="179" fontId="0" fillId="3" borderId="40" xfId="2" applyNumberFormat="1" applyFont="1" applyFill="1" applyBorder="1" applyProtection="1">
      <alignment vertical="center"/>
    </xf>
    <xf numFmtId="0" fontId="6" fillId="0" borderId="22" xfId="0" applyFont="1" applyBorder="1" applyAlignment="1">
      <alignment horizontal="centerContinuous" vertical="center" shrinkToFit="1"/>
    </xf>
    <xf numFmtId="176" fontId="0" fillId="0" borderId="23" xfId="0" applyNumberFormat="1" applyBorder="1">
      <alignment vertical="center"/>
    </xf>
    <xf numFmtId="176" fontId="0" fillId="0" borderId="22" xfId="0" applyNumberFormat="1" applyBorder="1">
      <alignment vertical="center"/>
    </xf>
    <xf numFmtId="176" fontId="0" fillId="0" borderId="28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7" fillId="3" borderId="42" xfId="0" applyFont="1" applyFill="1" applyBorder="1" applyAlignment="1">
      <alignment horizontal="centerContinuous" vertical="center"/>
    </xf>
    <xf numFmtId="41" fontId="0" fillId="4" borderId="14" xfId="0" applyNumberFormat="1" applyFill="1" applyBorder="1">
      <alignment vertical="center"/>
    </xf>
    <xf numFmtId="41" fontId="0" fillId="4" borderId="15" xfId="0" applyNumberFormat="1" applyFill="1" applyBorder="1">
      <alignment vertical="center"/>
    </xf>
    <xf numFmtId="179" fontId="0" fillId="4" borderId="16" xfId="2" applyNumberFormat="1" applyFont="1" applyFill="1" applyBorder="1" applyProtection="1">
      <alignment vertical="center"/>
    </xf>
    <xf numFmtId="0" fontId="0" fillId="4" borderId="17" xfId="0" applyFill="1" applyBorder="1">
      <alignment vertical="center"/>
    </xf>
    <xf numFmtId="179" fontId="0" fillId="4" borderId="15" xfId="2" applyNumberFormat="1" applyFont="1" applyFill="1" applyBorder="1" applyProtection="1">
      <alignment vertical="center"/>
    </xf>
    <xf numFmtId="179" fontId="0" fillId="4" borderId="17" xfId="2" applyNumberFormat="1" applyFont="1" applyFill="1" applyBorder="1" applyProtection="1">
      <alignment vertical="center"/>
    </xf>
    <xf numFmtId="0" fontId="0" fillId="0" borderId="45" xfId="0" applyBorder="1">
      <alignment vertical="center"/>
    </xf>
    <xf numFmtId="177" fontId="0" fillId="0" borderId="45" xfId="2" applyNumberFormat="1" applyFont="1" applyBorder="1" applyProtection="1">
      <alignment vertical="center"/>
    </xf>
    <xf numFmtId="0" fontId="18" fillId="0" borderId="0" xfId="5" applyFont="1" applyAlignment="1">
      <alignment vertical="center"/>
    </xf>
    <xf numFmtId="0" fontId="19" fillId="0" borderId="0" xfId="5" applyFont="1" applyAlignment="1">
      <alignment horizontal="centerContinuous" vertical="center"/>
    </xf>
    <xf numFmtId="0" fontId="18" fillId="0" borderId="0" xfId="5" applyFont="1" applyAlignment="1">
      <alignment horizontal="centerContinuous"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30" fillId="0" borderId="0" xfId="5" applyFont="1" applyAlignment="1">
      <alignment horizontal="center" vertical="center"/>
    </xf>
    <xf numFmtId="0" fontId="30" fillId="0" borderId="0" xfId="5" applyFont="1" applyAlignment="1">
      <alignment vertical="center"/>
    </xf>
    <xf numFmtId="0" fontId="20" fillId="0" borderId="0" xfId="5" applyFont="1" applyAlignment="1">
      <alignment vertical="center" wrapText="1"/>
    </xf>
    <xf numFmtId="0" fontId="31" fillId="0" borderId="0" xfId="5" applyFont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76" xfId="0" applyNumberFormat="1" applyBorder="1">
      <alignment vertical="center"/>
    </xf>
    <xf numFmtId="176" fontId="0" fillId="0" borderId="77" xfId="0" applyNumberFormat="1" applyBorder="1" applyAlignment="1">
      <alignment horizontal="center" vertical="center"/>
    </xf>
    <xf numFmtId="176" fontId="0" fillId="0" borderId="73" xfId="0" applyNumberFormat="1" applyBorder="1" applyAlignment="1">
      <alignment horizontal="center" vertical="center"/>
    </xf>
    <xf numFmtId="176" fontId="0" fillId="0" borderId="76" xfId="0" applyNumberFormat="1" applyBorder="1" applyAlignment="1">
      <alignment horizontal="center" vertical="center"/>
    </xf>
    <xf numFmtId="176" fontId="0" fillId="0" borderId="132" xfId="0" applyNumberFormat="1" applyBorder="1" applyAlignment="1">
      <alignment horizontal="center" vertical="center"/>
    </xf>
    <xf numFmtId="176" fontId="0" fillId="0" borderId="108" xfId="2" applyNumberFormat="1" applyFont="1" applyBorder="1" applyAlignment="1">
      <alignment horizontal="center" vertical="center"/>
    </xf>
    <xf numFmtId="176" fontId="0" fillId="0" borderId="77" xfId="2" applyNumberFormat="1" applyFont="1" applyBorder="1" applyAlignment="1">
      <alignment horizontal="center" vertical="center"/>
    </xf>
    <xf numFmtId="176" fontId="0" fillId="0" borderId="77" xfId="2" applyNumberFormat="1" applyFont="1" applyBorder="1">
      <alignment vertical="center"/>
    </xf>
    <xf numFmtId="176" fontId="0" fillId="0" borderId="73" xfId="2" applyNumberFormat="1" applyFont="1" applyBorder="1">
      <alignment vertical="center"/>
    </xf>
    <xf numFmtId="176" fontId="0" fillId="0" borderId="76" xfId="2" applyNumberFormat="1" applyFont="1" applyBorder="1">
      <alignment vertical="center"/>
    </xf>
    <xf numFmtId="0" fontId="0" fillId="0" borderId="129" xfId="0" applyBorder="1">
      <alignment vertical="center"/>
    </xf>
    <xf numFmtId="176" fontId="0" fillId="0" borderId="130" xfId="0" applyNumberFormat="1" applyBorder="1">
      <alignment vertical="center"/>
    </xf>
    <xf numFmtId="176" fontId="0" fillId="0" borderId="131" xfId="0" applyNumberFormat="1" applyBorder="1">
      <alignment vertical="center"/>
    </xf>
    <xf numFmtId="176" fontId="0" fillId="0" borderId="129" xfId="0" applyNumberFormat="1" applyBorder="1">
      <alignment vertical="center"/>
    </xf>
    <xf numFmtId="176" fontId="0" fillId="0" borderId="85" xfId="0" applyNumberFormat="1" applyBorder="1">
      <alignment vertical="center"/>
    </xf>
    <xf numFmtId="176" fontId="0" fillId="0" borderId="78" xfId="0" applyNumberFormat="1" applyBorder="1" applyAlignment="1">
      <alignment horizontal="center" vertical="center"/>
    </xf>
    <xf numFmtId="176" fontId="0" fillId="0" borderId="111" xfId="0" applyNumberFormat="1" applyBorder="1" applyAlignment="1">
      <alignment horizontal="center" vertical="center"/>
    </xf>
    <xf numFmtId="0" fontId="0" fillId="0" borderId="133" xfId="0" applyBorder="1">
      <alignment vertical="center"/>
    </xf>
    <xf numFmtId="176" fontId="0" fillId="0" borderId="134" xfId="0" applyNumberFormat="1" applyBorder="1">
      <alignment vertical="center"/>
    </xf>
    <xf numFmtId="176" fontId="0" fillId="0" borderId="135" xfId="0" applyNumberFormat="1" applyBorder="1">
      <alignment vertical="center"/>
    </xf>
    <xf numFmtId="176" fontId="0" fillId="0" borderId="136" xfId="0" applyNumberFormat="1" applyBorder="1">
      <alignment vertical="center"/>
    </xf>
    <xf numFmtId="176" fontId="0" fillId="0" borderId="137" xfId="0" applyNumberFormat="1" applyBorder="1">
      <alignment vertical="center"/>
    </xf>
    <xf numFmtId="176" fontId="0" fillId="0" borderId="138" xfId="0" applyNumberFormat="1" applyBorder="1" applyAlignment="1">
      <alignment horizontal="center" vertical="center"/>
    </xf>
    <xf numFmtId="0" fontId="0" fillId="0" borderId="139" xfId="0" applyBorder="1">
      <alignment vertical="center"/>
    </xf>
    <xf numFmtId="176" fontId="0" fillId="0" borderId="140" xfId="0" applyNumberFormat="1" applyBorder="1" applyAlignment="1">
      <alignment horizontal="center" vertical="center"/>
    </xf>
    <xf numFmtId="0" fontId="0" fillId="0" borderId="141" xfId="0" applyBorder="1">
      <alignment vertical="center"/>
    </xf>
    <xf numFmtId="176" fontId="0" fillId="0" borderId="142" xfId="0" applyNumberFormat="1" applyBorder="1">
      <alignment vertical="center"/>
    </xf>
    <xf numFmtId="176" fontId="0" fillId="0" borderId="143" xfId="0" applyNumberFormat="1" applyBorder="1">
      <alignment vertical="center"/>
    </xf>
    <xf numFmtId="176" fontId="0" fillId="0" borderId="144" xfId="0" applyNumberFormat="1" applyBorder="1">
      <alignment vertical="center"/>
    </xf>
    <xf numFmtId="176" fontId="0" fillId="0" borderId="145" xfId="0" applyNumberFormat="1" applyBorder="1">
      <alignment vertical="center"/>
    </xf>
    <xf numFmtId="176" fontId="0" fillId="0" borderId="146" xfId="0" applyNumberFormat="1" applyBorder="1" applyAlignment="1">
      <alignment horizontal="center" vertical="center"/>
    </xf>
    <xf numFmtId="176" fontId="0" fillId="0" borderId="7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148" xfId="0" applyNumberFormat="1" applyBorder="1">
      <alignment vertical="center"/>
    </xf>
    <xf numFmtId="176" fontId="0" fillId="0" borderId="149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0" fillId="0" borderId="75" xfId="0" applyNumberFormat="1" applyBorder="1">
      <alignment vertical="center"/>
    </xf>
    <xf numFmtId="176" fontId="0" fillId="0" borderId="105" xfId="2" applyNumberFormat="1" applyFont="1" applyBorder="1">
      <alignment vertical="center"/>
    </xf>
    <xf numFmtId="176" fontId="0" fillId="0" borderId="22" xfId="2" applyNumberFormat="1" applyFont="1" applyBorder="1">
      <alignment vertical="center"/>
    </xf>
    <xf numFmtId="176" fontId="0" fillId="0" borderId="27" xfId="2" applyNumberFormat="1" applyFont="1" applyBorder="1">
      <alignment vertical="center"/>
    </xf>
    <xf numFmtId="176" fontId="0" fillId="0" borderId="74" xfId="2" applyNumberFormat="1" applyFont="1" applyBorder="1">
      <alignment vertical="center"/>
    </xf>
    <xf numFmtId="176" fontId="0" fillId="0" borderId="150" xfId="0" applyNumberFormat="1" applyBorder="1">
      <alignment vertical="center"/>
    </xf>
    <xf numFmtId="177" fontId="0" fillId="0" borderId="151" xfId="2" applyNumberFormat="1" applyFont="1" applyBorder="1">
      <alignment vertical="center"/>
    </xf>
    <xf numFmtId="177" fontId="0" fillId="0" borderId="152" xfId="2" applyNumberFormat="1" applyFont="1" applyBorder="1">
      <alignment vertical="center"/>
    </xf>
    <xf numFmtId="177" fontId="0" fillId="0" borderId="153" xfId="2" applyNumberFormat="1" applyFont="1" applyBorder="1">
      <alignment vertical="center"/>
    </xf>
    <xf numFmtId="177" fontId="0" fillId="0" borderId="154" xfId="2" applyNumberFormat="1" applyFont="1" applyBorder="1">
      <alignment vertical="center"/>
    </xf>
    <xf numFmtId="177" fontId="0" fillId="0" borderId="155" xfId="2" applyNumberFormat="1" applyFont="1" applyBorder="1">
      <alignment vertical="center"/>
    </xf>
    <xf numFmtId="177" fontId="0" fillId="0" borderId="156" xfId="2" applyNumberFormat="1" applyFont="1" applyBorder="1">
      <alignment vertical="center"/>
    </xf>
    <xf numFmtId="177" fontId="0" fillId="0" borderId="150" xfId="2" applyNumberFormat="1" applyFont="1" applyBorder="1">
      <alignment vertical="center"/>
    </xf>
    <xf numFmtId="177" fontId="0" fillId="0" borderId="157" xfId="2" applyNumberFormat="1" applyFont="1" applyBorder="1">
      <alignment vertical="center"/>
    </xf>
    <xf numFmtId="176" fontId="0" fillId="0" borderId="158" xfId="2" applyNumberFormat="1" applyFont="1" applyBorder="1">
      <alignment vertical="center"/>
    </xf>
    <xf numFmtId="176" fontId="0" fillId="0" borderId="153" xfId="2" applyNumberFormat="1" applyFont="1" applyBorder="1">
      <alignment vertical="center"/>
    </xf>
    <xf numFmtId="176" fontId="0" fillId="0" borderId="156" xfId="2" applyNumberFormat="1" applyFont="1" applyBorder="1">
      <alignment vertical="center"/>
    </xf>
    <xf numFmtId="176" fontId="0" fillId="0" borderId="150" xfId="2" applyNumberFormat="1" applyFont="1" applyBorder="1">
      <alignment vertical="center"/>
    </xf>
    <xf numFmtId="0" fontId="0" fillId="2" borderId="10" xfId="0" applyFill="1" applyBorder="1" applyAlignment="1">
      <alignment horizontal="center" vertical="center"/>
    </xf>
    <xf numFmtId="177" fontId="0" fillId="0" borderId="159" xfId="2" applyNumberFormat="1" applyFont="1" applyBorder="1" applyAlignment="1">
      <alignment horizontal="center" vertical="center"/>
    </xf>
    <xf numFmtId="177" fontId="0" fillId="0" borderId="160" xfId="2" applyNumberFormat="1" applyFont="1" applyBorder="1" applyAlignment="1">
      <alignment horizontal="center" vertical="center"/>
    </xf>
    <xf numFmtId="177" fontId="0" fillId="5" borderId="161" xfId="2" applyNumberFormat="1" applyFont="1" applyFill="1" applyBorder="1" applyAlignment="1">
      <alignment horizontal="center" vertical="center"/>
    </xf>
    <xf numFmtId="177" fontId="0" fillId="0" borderId="10" xfId="2" applyNumberFormat="1" applyFont="1" applyBorder="1" applyAlignment="1">
      <alignment horizontal="center" vertical="center"/>
    </xf>
    <xf numFmtId="177" fontId="0" fillId="0" borderId="162" xfId="2" applyNumberFormat="1" applyFont="1" applyBorder="1" applyAlignment="1">
      <alignment horizontal="center" vertical="center"/>
    </xf>
    <xf numFmtId="177" fontId="5" fillId="6" borderId="10" xfId="2" applyNumberFormat="1" applyFont="1" applyFill="1" applyBorder="1" applyAlignment="1">
      <alignment horizontal="center" vertical="center"/>
    </xf>
    <xf numFmtId="0" fontId="0" fillId="2" borderId="163" xfId="0" applyFill="1" applyBorder="1" applyAlignment="1">
      <alignment horizontal="center" vertical="center"/>
    </xf>
    <xf numFmtId="177" fontId="0" fillId="0" borderId="164" xfId="2" applyNumberFormat="1" applyFont="1" applyBorder="1" applyAlignment="1">
      <alignment horizontal="center" vertical="center"/>
    </xf>
    <xf numFmtId="177" fontId="0" fillId="0" borderId="165" xfId="2" applyNumberFormat="1" applyFont="1" applyBorder="1" applyAlignment="1">
      <alignment horizontal="center" vertical="center"/>
    </xf>
    <xf numFmtId="177" fontId="0" fillId="5" borderId="166" xfId="2" applyNumberFormat="1" applyFont="1" applyFill="1" applyBorder="1" applyAlignment="1">
      <alignment horizontal="center" vertical="center"/>
    </xf>
    <xf numFmtId="177" fontId="0" fillId="0" borderId="167" xfId="2" applyNumberFormat="1" applyFont="1" applyBorder="1" applyAlignment="1">
      <alignment horizontal="center" vertical="center"/>
    </xf>
    <xf numFmtId="177" fontId="0" fillId="0" borderId="168" xfId="2" applyNumberFormat="1" applyFont="1" applyBorder="1" applyAlignment="1">
      <alignment horizontal="center" vertical="center"/>
    </xf>
    <xf numFmtId="177" fontId="5" fillId="6" borderId="169" xfId="2" applyNumberFormat="1" applyFont="1" applyFill="1" applyBorder="1" applyAlignment="1">
      <alignment horizontal="center" vertical="center"/>
    </xf>
    <xf numFmtId="0" fontId="0" fillId="2" borderId="147" xfId="0" applyFill="1" applyBorder="1" applyAlignment="1">
      <alignment horizontal="center" vertical="center"/>
    </xf>
    <xf numFmtId="178" fontId="0" fillId="0" borderId="170" xfId="2" applyNumberFormat="1" applyFont="1" applyBorder="1" applyAlignment="1">
      <alignment horizontal="center" vertical="center"/>
    </xf>
    <xf numFmtId="178" fontId="0" fillId="0" borderId="171" xfId="2" applyNumberFormat="1" applyFont="1" applyBorder="1" applyAlignment="1">
      <alignment horizontal="center" vertical="center"/>
    </xf>
    <xf numFmtId="178" fontId="0" fillId="5" borderId="172" xfId="2" applyNumberFormat="1" applyFont="1" applyFill="1" applyBorder="1" applyAlignment="1">
      <alignment horizontal="center" vertical="center"/>
    </xf>
    <xf numFmtId="178" fontId="0" fillId="0" borderId="147" xfId="2" applyNumberFormat="1" applyFont="1" applyBorder="1" applyAlignment="1">
      <alignment horizontal="center" vertical="center"/>
    </xf>
    <xf numFmtId="178" fontId="0" fillId="0" borderId="173" xfId="2" applyNumberFormat="1" applyFont="1" applyBorder="1" applyAlignment="1">
      <alignment horizontal="center" vertical="center"/>
    </xf>
    <xf numFmtId="178" fontId="5" fillId="6" borderId="147" xfId="2" applyNumberFormat="1" applyFont="1" applyFill="1" applyBorder="1" applyAlignment="1">
      <alignment horizontal="center" vertical="center"/>
    </xf>
    <xf numFmtId="178" fontId="0" fillId="0" borderId="76" xfId="2" applyNumberFormat="1" applyFont="1" applyBorder="1" applyAlignment="1">
      <alignment horizontal="center" vertical="center"/>
    </xf>
    <xf numFmtId="178" fontId="0" fillId="0" borderId="77" xfId="2" applyNumberFormat="1" applyFont="1" applyBorder="1" applyAlignment="1">
      <alignment horizontal="center" vertical="center"/>
    </xf>
    <xf numFmtId="178" fontId="0" fillId="5" borderId="73" xfId="2" applyNumberFormat="1" applyFont="1" applyFill="1" applyBorder="1" applyAlignment="1">
      <alignment horizontal="center" vertical="center"/>
    </xf>
    <xf numFmtId="178" fontId="0" fillId="0" borderId="13" xfId="2" applyNumberFormat="1" applyFont="1" applyBorder="1" applyAlignment="1">
      <alignment horizontal="center" vertical="center"/>
    </xf>
    <xf numFmtId="178" fontId="0" fillId="0" borderId="78" xfId="2" applyNumberFormat="1" applyFont="1" applyBorder="1" applyAlignment="1">
      <alignment horizontal="center" vertical="center"/>
    </xf>
    <xf numFmtId="178" fontId="5" fillId="6" borderId="13" xfId="2" applyNumberFormat="1" applyFont="1" applyFill="1" applyBorder="1" applyAlignment="1">
      <alignment horizontal="center" vertical="center"/>
    </xf>
    <xf numFmtId="0" fontId="0" fillId="2" borderId="174" xfId="0" applyFill="1" applyBorder="1" applyAlignment="1">
      <alignment horizontal="center" vertical="center"/>
    </xf>
    <xf numFmtId="178" fontId="0" fillId="0" borderId="175" xfId="0" applyNumberFormat="1" applyBorder="1">
      <alignment vertical="center"/>
    </xf>
    <xf numFmtId="178" fontId="0" fillId="0" borderId="176" xfId="0" applyNumberFormat="1" applyBorder="1">
      <alignment vertical="center"/>
    </xf>
    <xf numFmtId="178" fontId="0" fillId="5" borderId="174" xfId="0" applyNumberFormat="1" applyFill="1" applyBorder="1">
      <alignment vertical="center"/>
    </xf>
    <xf numFmtId="178" fontId="0" fillId="0" borderId="177" xfId="0" applyNumberFormat="1" applyBorder="1">
      <alignment vertical="center"/>
    </xf>
    <xf numFmtId="178" fontId="0" fillId="0" borderId="178" xfId="0" applyNumberFormat="1" applyBorder="1">
      <alignment vertical="center"/>
    </xf>
    <xf numFmtId="178" fontId="5" fillId="6" borderId="177" xfId="0" applyNumberFormat="1" applyFont="1" applyFill="1" applyBorder="1">
      <alignment vertical="center"/>
    </xf>
    <xf numFmtId="0" fontId="0" fillId="2" borderId="73" xfId="0" applyFill="1" applyBorder="1" applyAlignment="1">
      <alignment horizontal="center" vertical="center"/>
    </xf>
    <xf numFmtId="178" fontId="0" fillId="0" borderId="76" xfId="0" applyNumberFormat="1" applyBorder="1">
      <alignment vertical="center"/>
    </xf>
    <xf numFmtId="178" fontId="0" fillId="0" borderId="77" xfId="0" applyNumberFormat="1" applyBorder="1">
      <alignment vertical="center"/>
    </xf>
    <xf numFmtId="178" fontId="0" fillId="5" borderId="73" xfId="0" applyNumberFormat="1" applyFill="1" applyBorder="1">
      <alignment vertical="center"/>
    </xf>
    <xf numFmtId="178" fontId="0" fillId="0" borderId="13" xfId="0" applyNumberFormat="1" applyBorder="1">
      <alignment vertical="center"/>
    </xf>
    <xf numFmtId="178" fontId="0" fillId="0" borderId="78" xfId="0" applyNumberFormat="1" applyBorder="1">
      <alignment vertical="center"/>
    </xf>
    <xf numFmtId="178" fontId="5" fillId="6" borderId="13" xfId="0" applyNumberFormat="1" applyFont="1" applyFill="1" applyBorder="1">
      <alignment vertical="center"/>
    </xf>
    <xf numFmtId="0" fontId="0" fillId="2" borderId="179" xfId="0" applyFill="1" applyBorder="1" applyAlignment="1">
      <alignment horizontal="center" vertical="center"/>
    </xf>
    <xf numFmtId="178" fontId="0" fillId="0" borderId="180" xfId="0" applyNumberFormat="1" applyBorder="1">
      <alignment vertical="center"/>
    </xf>
    <xf numFmtId="178" fontId="0" fillId="0" borderId="181" xfId="0" applyNumberFormat="1" applyBorder="1">
      <alignment vertical="center"/>
    </xf>
    <xf numFmtId="178" fontId="0" fillId="5" borderId="179" xfId="0" applyNumberFormat="1" applyFill="1" applyBorder="1">
      <alignment vertical="center"/>
    </xf>
    <xf numFmtId="178" fontId="0" fillId="0" borderId="182" xfId="0" applyNumberFormat="1" applyBorder="1">
      <alignment vertical="center"/>
    </xf>
    <xf numFmtId="178" fontId="0" fillId="0" borderId="183" xfId="0" applyNumberFormat="1" applyBorder="1">
      <alignment vertical="center"/>
    </xf>
    <xf numFmtId="178" fontId="5" fillId="6" borderId="182" xfId="0" applyNumberFormat="1" applyFont="1" applyFill="1" applyBorder="1">
      <alignment vertical="center"/>
    </xf>
    <xf numFmtId="178" fontId="0" fillId="0" borderId="164" xfId="0" applyNumberFormat="1" applyBorder="1">
      <alignment vertical="center"/>
    </xf>
    <xf numFmtId="178" fontId="0" fillId="0" borderId="165" xfId="0" applyNumberFormat="1" applyBorder="1">
      <alignment vertical="center"/>
    </xf>
    <xf numFmtId="178" fontId="0" fillId="5" borderId="166" xfId="0" applyNumberFormat="1" applyFill="1" applyBorder="1">
      <alignment vertical="center"/>
    </xf>
    <xf numFmtId="178" fontId="0" fillId="0" borderId="167" xfId="0" applyNumberFormat="1" applyBorder="1">
      <alignment vertical="center"/>
    </xf>
    <xf numFmtId="178" fontId="0" fillId="0" borderId="168" xfId="0" applyNumberFormat="1" applyBorder="1">
      <alignment vertical="center"/>
    </xf>
    <xf numFmtId="178" fontId="5" fillId="6" borderId="169" xfId="0" applyNumberFormat="1" applyFont="1" applyFill="1" applyBorder="1">
      <alignment vertical="center"/>
    </xf>
    <xf numFmtId="178" fontId="0" fillId="0" borderId="164" xfId="2" applyNumberFormat="1" applyFont="1" applyBorder="1" applyAlignment="1">
      <alignment horizontal="center" vertical="center"/>
    </xf>
    <xf numFmtId="178" fontId="0" fillId="0" borderId="165" xfId="2" applyNumberFormat="1" applyFont="1" applyBorder="1" applyAlignment="1">
      <alignment horizontal="center" vertical="center"/>
    </xf>
    <xf numFmtId="178" fontId="0" fillId="5" borderId="166" xfId="2" applyNumberFormat="1" applyFont="1" applyFill="1" applyBorder="1" applyAlignment="1">
      <alignment horizontal="center" vertical="center"/>
    </xf>
    <xf numFmtId="178" fontId="0" fillId="0" borderId="167" xfId="2" applyNumberFormat="1" applyFont="1" applyBorder="1" applyAlignment="1">
      <alignment horizontal="center" vertical="center"/>
    </xf>
    <xf numFmtId="178" fontId="0" fillId="0" borderId="168" xfId="2" applyNumberFormat="1" applyFont="1" applyBorder="1" applyAlignment="1">
      <alignment horizontal="center" vertical="center"/>
    </xf>
    <xf numFmtId="178" fontId="5" fillId="6" borderId="169" xfId="2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37" fillId="0" borderId="0" xfId="9" applyAlignment="1">
      <alignment horizontal="centerContinuous"/>
    </xf>
    <xf numFmtId="0" fontId="38" fillId="0" borderId="0" xfId="9" applyFont="1" applyAlignment="1">
      <alignment horizontal="centerContinuous" vertical="center"/>
    </xf>
    <xf numFmtId="0" fontId="37" fillId="0" borderId="0" xfId="9"/>
    <xf numFmtId="0" fontId="37" fillId="0" borderId="0" xfId="9" applyAlignment="1">
      <alignment vertical="center"/>
    </xf>
    <xf numFmtId="0" fontId="39" fillId="9" borderId="52" xfId="9" applyFont="1" applyFill="1" applyBorder="1" applyAlignment="1">
      <alignment horizontal="center" vertical="center"/>
    </xf>
    <xf numFmtId="0" fontId="39" fillId="9" borderId="53" xfId="9" applyFont="1" applyFill="1" applyBorder="1" applyAlignment="1">
      <alignment horizontal="center" vertical="center"/>
    </xf>
    <xf numFmtId="0" fontId="39" fillId="9" borderId="50" xfId="9" applyFont="1" applyFill="1" applyBorder="1" applyAlignment="1">
      <alignment horizontal="center" vertical="center"/>
    </xf>
    <xf numFmtId="0" fontId="39" fillId="9" borderId="179" xfId="9" applyFont="1" applyFill="1" applyBorder="1" applyAlignment="1">
      <alignment horizontal="center" vertical="center"/>
    </xf>
    <xf numFmtId="0" fontId="39" fillId="9" borderId="174" xfId="9" applyFont="1" applyFill="1" applyBorder="1" applyAlignment="1">
      <alignment horizontal="center" vertical="center"/>
    </xf>
    <xf numFmtId="0" fontId="39" fillId="9" borderId="192" xfId="9" applyFont="1" applyFill="1" applyBorder="1" applyAlignment="1">
      <alignment horizontal="center" vertical="center"/>
    </xf>
    <xf numFmtId="0" fontId="39" fillId="0" borderId="194" xfId="9" applyFont="1" applyBorder="1" applyAlignment="1">
      <alignment horizontal="center" vertical="center"/>
    </xf>
    <xf numFmtId="41" fontId="40" fillId="0" borderId="54" xfId="9" applyNumberFormat="1" applyFont="1" applyBorder="1" applyAlignment="1">
      <alignment vertical="center"/>
    </xf>
    <xf numFmtId="41" fontId="40" fillId="0" borderId="71" xfId="9" applyNumberFormat="1" applyFont="1" applyBorder="1" applyAlignment="1">
      <alignment vertical="center"/>
    </xf>
    <xf numFmtId="176" fontId="40" fillId="0" borderId="69" xfId="9" applyNumberFormat="1" applyFont="1" applyBorder="1" applyAlignment="1">
      <alignment vertical="center"/>
    </xf>
    <xf numFmtId="41" fontId="40" fillId="0" borderId="195" xfId="9" applyNumberFormat="1" applyFont="1" applyBorder="1" applyAlignment="1">
      <alignment vertical="center"/>
    </xf>
    <xf numFmtId="176" fontId="40" fillId="0" borderId="196" xfId="9" applyNumberFormat="1" applyFont="1" applyBorder="1" applyAlignment="1">
      <alignment vertical="center"/>
    </xf>
    <xf numFmtId="41" fontId="40" fillId="0" borderId="70" xfId="9" applyNumberFormat="1" applyFont="1" applyBorder="1" applyAlignment="1">
      <alignment vertical="center"/>
    </xf>
    <xf numFmtId="176" fontId="40" fillId="0" borderId="197" xfId="9" applyNumberFormat="1" applyFont="1" applyBorder="1" applyAlignment="1">
      <alignment vertical="center"/>
    </xf>
    <xf numFmtId="176" fontId="40" fillId="0" borderId="198" xfId="9" applyNumberFormat="1" applyFont="1" applyBorder="1" applyAlignment="1">
      <alignment vertical="center"/>
    </xf>
    <xf numFmtId="0" fontId="39" fillId="0" borderId="176" xfId="9" applyFont="1" applyBorder="1" applyAlignment="1">
      <alignment horizontal="center" vertical="center"/>
    </xf>
    <xf numFmtId="41" fontId="40" fillId="0" borderId="56" xfId="9" applyNumberFormat="1" applyFont="1" applyBorder="1" applyAlignment="1">
      <alignment vertical="center"/>
    </xf>
    <xf numFmtId="41" fontId="40" fillId="0" borderId="57" xfId="9" applyNumberFormat="1" applyFont="1" applyBorder="1" applyAlignment="1">
      <alignment vertical="center"/>
    </xf>
    <xf numFmtId="176" fontId="40" fillId="0" borderId="49" xfId="9" applyNumberFormat="1" applyFont="1" applyBorder="1" applyAlignment="1">
      <alignment vertical="center"/>
    </xf>
    <xf numFmtId="41" fontId="40" fillId="0" borderId="181" xfId="9" applyNumberFormat="1" applyFont="1" applyBorder="1" applyAlignment="1">
      <alignment vertical="center"/>
    </xf>
    <xf numFmtId="176" fontId="40" fillId="0" borderId="200" xfId="9" applyNumberFormat="1" applyFont="1" applyBorder="1" applyAlignment="1">
      <alignment vertical="center"/>
    </xf>
    <xf numFmtId="176" fontId="40" fillId="0" borderId="176" xfId="9" applyNumberFormat="1" applyFont="1" applyBorder="1" applyAlignment="1">
      <alignment vertical="center"/>
    </xf>
    <xf numFmtId="41" fontId="39" fillId="0" borderId="56" xfId="9" applyNumberFormat="1" applyFont="1" applyBorder="1" applyAlignment="1">
      <alignment vertical="center"/>
    </xf>
    <xf numFmtId="41" fontId="39" fillId="0" borderId="57" xfId="9" applyNumberFormat="1" applyFont="1" applyBorder="1" applyAlignment="1">
      <alignment vertical="center"/>
    </xf>
    <xf numFmtId="176" fontId="39" fillId="0" borderId="49" xfId="9" applyNumberFormat="1" applyFont="1" applyBorder="1" applyAlignment="1">
      <alignment vertical="center"/>
    </xf>
    <xf numFmtId="41" fontId="39" fillId="0" borderId="181" xfId="9" applyNumberFormat="1" applyFont="1" applyBorder="1" applyAlignment="1">
      <alignment vertical="center"/>
    </xf>
    <xf numFmtId="176" fontId="39" fillId="0" borderId="176" xfId="9" applyNumberFormat="1" applyFont="1" applyBorder="1" applyAlignment="1">
      <alignment vertical="center"/>
    </xf>
    <xf numFmtId="176" fontId="39" fillId="0" borderId="200" xfId="9" applyNumberFormat="1" applyFont="1" applyBorder="1" applyAlignment="1">
      <alignment vertical="center"/>
    </xf>
    <xf numFmtId="41" fontId="40" fillId="0" borderId="56" xfId="10" applyFont="1" applyBorder="1" applyAlignment="1">
      <alignment vertical="center"/>
    </xf>
    <xf numFmtId="176" fontId="40" fillId="0" borderId="49" xfId="10" applyNumberFormat="1" applyFont="1" applyBorder="1" applyAlignment="1">
      <alignment vertical="center"/>
    </xf>
    <xf numFmtId="41" fontId="0" fillId="0" borderId="0" xfId="10" applyFont="1" applyAlignment="1">
      <alignment vertical="center"/>
    </xf>
    <xf numFmtId="41" fontId="40" fillId="0" borderId="201" xfId="10" applyFont="1" applyBorder="1" applyAlignment="1">
      <alignment vertical="center"/>
    </xf>
    <xf numFmtId="41" fontId="40" fillId="0" borderId="202" xfId="10" applyFont="1" applyBorder="1" applyAlignment="1">
      <alignment vertical="center"/>
    </xf>
    <xf numFmtId="176" fontId="40" fillId="0" borderId="203" xfId="10" applyNumberFormat="1" applyFont="1" applyBorder="1" applyAlignment="1">
      <alignment vertical="center"/>
    </xf>
    <xf numFmtId="41" fontId="40" fillId="0" borderId="179" xfId="9" applyNumberFormat="1" applyFont="1" applyBorder="1" applyAlignment="1">
      <alignment vertical="center"/>
    </xf>
    <xf numFmtId="176" fontId="40" fillId="0" borderId="203" xfId="9" applyNumberFormat="1" applyFont="1" applyBorder="1" applyAlignment="1">
      <alignment vertical="center"/>
    </xf>
    <xf numFmtId="41" fontId="40" fillId="0" borderId="52" xfId="9" applyNumberFormat="1" applyFont="1" applyBorder="1" applyAlignment="1">
      <alignment vertical="center"/>
    </xf>
    <xf numFmtId="176" fontId="40" fillId="0" borderId="204" xfId="9" applyNumberFormat="1" applyFont="1" applyBorder="1" applyAlignment="1">
      <alignment vertical="center"/>
    </xf>
    <xf numFmtId="41" fontId="39" fillId="0" borderId="201" xfId="9" applyNumberFormat="1" applyFont="1" applyBorder="1" applyAlignment="1">
      <alignment horizontal="center" vertical="center"/>
    </xf>
    <xf numFmtId="41" fontId="39" fillId="0" borderId="202" xfId="9" applyNumberFormat="1" applyFont="1" applyBorder="1" applyAlignment="1">
      <alignment horizontal="center" vertical="center"/>
    </xf>
    <xf numFmtId="176" fontId="39" fillId="0" borderId="203" xfId="9" applyNumberFormat="1" applyFont="1" applyBorder="1" applyAlignment="1">
      <alignment vertical="center"/>
    </xf>
    <xf numFmtId="41" fontId="39" fillId="0" borderId="207" xfId="9" applyNumberFormat="1" applyFont="1" applyBorder="1" applyAlignment="1">
      <alignment vertical="center"/>
    </xf>
    <xf numFmtId="176" fontId="39" fillId="0" borderId="206" xfId="9" applyNumberFormat="1" applyFont="1" applyBorder="1" applyAlignment="1">
      <alignment vertical="center"/>
    </xf>
    <xf numFmtId="41" fontId="39" fillId="0" borderId="201" xfId="9" applyNumberFormat="1" applyFont="1" applyBorder="1" applyAlignment="1">
      <alignment vertical="center"/>
    </xf>
    <xf numFmtId="176" fontId="39" fillId="0" borderId="204" xfId="9" applyNumberFormat="1" applyFont="1" applyBorder="1" applyAlignment="1">
      <alignment vertical="center"/>
    </xf>
    <xf numFmtId="43" fontId="37" fillId="0" borderId="0" xfId="9" applyNumberFormat="1" applyAlignment="1">
      <alignment vertical="center"/>
    </xf>
    <xf numFmtId="0" fontId="37" fillId="0" borderId="59" xfId="9" applyBorder="1" applyAlignment="1">
      <alignment vertical="center"/>
    </xf>
    <xf numFmtId="0" fontId="37" fillId="0" borderId="209" xfId="9" applyBorder="1" applyAlignment="1">
      <alignment vertical="center"/>
    </xf>
    <xf numFmtId="0" fontId="37" fillId="0" borderId="208" xfId="9" applyBorder="1" applyAlignment="1">
      <alignment vertical="center"/>
    </xf>
    <xf numFmtId="0" fontId="37" fillId="0" borderId="210" xfId="9" applyBorder="1" applyAlignment="1">
      <alignment vertical="center"/>
    </xf>
    <xf numFmtId="0" fontId="39" fillId="0" borderId="7" xfId="9" applyFont="1" applyBorder="1" applyAlignment="1">
      <alignment vertical="center"/>
    </xf>
    <xf numFmtId="0" fontId="37" fillId="0" borderId="211" xfId="9" applyBorder="1" applyAlignment="1">
      <alignment vertical="center"/>
    </xf>
    <xf numFmtId="41" fontId="39" fillId="0" borderId="0" xfId="9" applyNumberFormat="1" applyFont="1" applyAlignment="1">
      <alignment vertical="center"/>
    </xf>
    <xf numFmtId="41" fontId="39" fillId="0" borderId="211" xfId="9" applyNumberFormat="1" applyFont="1" applyBorder="1" applyAlignment="1">
      <alignment vertical="center"/>
    </xf>
    <xf numFmtId="41" fontId="39" fillId="0" borderId="210" xfId="9" applyNumberFormat="1" applyFont="1" applyBorder="1" applyAlignment="1">
      <alignment vertical="center"/>
    </xf>
    <xf numFmtId="41" fontId="0" fillId="0" borderId="0" xfId="10" applyFont="1"/>
    <xf numFmtId="41" fontId="37" fillId="0" borderId="0" xfId="9" applyNumberFormat="1" applyAlignment="1">
      <alignment vertical="center"/>
    </xf>
    <xf numFmtId="41" fontId="37" fillId="0" borderId="211" xfId="9" applyNumberFormat="1" applyBorder="1" applyAlignment="1">
      <alignment vertical="center"/>
    </xf>
    <xf numFmtId="41" fontId="40" fillId="0" borderId="0" xfId="9" applyNumberFormat="1" applyFont="1" applyAlignment="1">
      <alignment vertical="center"/>
    </xf>
    <xf numFmtId="0" fontId="39" fillId="0" borderId="0" xfId="9" applyFont="1" applyAlignment="1">
      <alignment vertical="center"/>
    </xf>
    <xf numFmtId="41" fontId="37" fillId="0" borderId="210" xfId="9" applyNumberFormat="1" applyBorder="1" applyAlignment="1">
      <alignment vertical="center"/>
    </xf>
    <xf numFmtId="0" fontId="40" fillId="0" borderId="0" xfId="9" applyFont="1" applyAlignment="1">
      <alignment vertical="center"/>
    </xf>
    <xf numFmtId="43" fontId="37" fillId="0" borderId="211" xfId="9" applyNumberFormat="1" applyBorder="1" applyAlignment="1">
      <alignment vertical="center"/>
    </xf>
    <xf numFmtId="0" fontId="39" fillId="0" borderId="15" xfId="9" applyFont="1" applyBorder="1" applyAlignment="1">
      <alignment vertical="center"/>
    </xf>
    <xf numFmtId="0" fontId="37" fillId="0" borderId="44" xfId="9" applyBorder="1" applyAlignment="1">
      <alignment vertical="center"/>
    </xf>
    <xf numFmtId="0" fontId="37" fillId="0" borderId="112" xfId="9" applyBorder="1" applyAlignment="1">
      <alignment vertical="center"/>
    </xf>
    <xf numFmtId="0" fontId="39" fillId="0" borderId="44" xfId="9" applyFont="1" applyBorder="1" applyAlignment="1">
      <alignment vertical="center"/>
    </xf>
    <xf numFmtId="0" fontId="39" fillId="0" borderId="112" xfId="9" applyFont="1" applyBorder="1" applyAlignment="1">
      <alignment vertical="center"/>
    </xf>
    <xf numFmtId="0" fontId="39" fillId="0" borderId="212" xfId="9" applyFont="1" applyBorder="1" applyAlignment="1">
      <alignment vertical="center"/>
    </xf>
    <xf numFmtId="0" fontId="39" fillId="0" borderId="213" xfId="9" applyFont="1" applyBorder="1" applyAlignment="1">
      <alignment vertical="center"/>
    </xf>
    <xf numFmtId="41" fontId="37" fillId="0" borderId="0" xfId="9" applyNumberFormat="1"/>
    <xf numFmtId="0" fontId="42" fillId="0" borderId="0" xfId="8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40" fillId="0" borderId="0" xfId="9" applyFont="1" applyAlignment="1">
      <alignment horizontal="center" vertical="center"/>
    </xf>
    <xf numFmtId="41" fontId="40" fillId="0" borderId="0" xfId="10" applyFont="1" applyAlignment="1">
      <alignment vertical="center"/>
    </xf>
    <xf numFmtId="41" fontId="43" fillId="10" borderId="214" xfId="10" applyFont="1" applyFill="1" applyBorder="1" applyAlignment="1">
      <alignment vertical="center"/>
    </xf>
    <xf numFmtId="0" fontId="40" fillId="11" borderId="51" xfId="9" applyFont="1" applyFill="1" applyBorder="1" applyAlignment="1">
      <alignment horizontal="center" vertical="center"/>
    </xf>
    <xf numFmtId="41" fontId="40" fillId="11" borderId="51" xfId="10" applyFont="1" applyFill="1" applyBorder="1" applyAlignment="1">
      <alignment horizontal="center" vertical="center"/>
    </xf>
    <xf numFmtId="41" fontId="40" fillId="0" borderId="48" xfId="10" applyFont="1" applyBorder="1" applyAlignment="1">
      <alignment vertical="center"/>
    </xf>
    <xf numFmtId="41" fontId="40" fillId="0" borderId="48" xfId="10" applyFont="1" applyFill="1" applyBorder="1" applyAlignment="1">
      <alignment vertical="center"/>
    </xf>
    <xf numFmtId="41" fontId="40" fillId="0" borderId="25" xfId="10" applyFont="1" applyBorder="1" applyAlignment="1">
      <alignment vertical="center"/>
    </xf>
    <xf numFmtId="41" fontId="40" fillId="0" borderId="25" xfId="10" applyFont="1" applyFill="1" applyBorder="1" applyAlignment="1">
      <alignment vertical="center"/>
    </xf>
    <xf numFmtId="41" fontId="40" fillId="12" borderId="25" xfId="10" applyFont="1" applyFill="1" applyBorder="1" applyAlignment="1">
      <alignment vertical="center"/>
    </xf>
    <xf numFmtId="41" fontId="40" fillId="0" borderId="63" xfId="10" applyFont="1" applyBorder="1" applyAlignment="1">
      <alignment vertical="center"/>
    </xf>
    <xf numFmtId="41" fontId="40" fillId="0" borderId="63" xfId="10" applyFont="1" applyFill="1" applyBorder="1" applyAlignment="1">
      <alignment vertical="center"/>
    </xf>
    <xf numFmtId="41" fontId="40" fillId="0" borderId="21" xfId="10" applyFont="1" applyFill="1" applyBorder="1" applyAlignment="1">
      <alignment vertical="center"/>
    </xf>
    <xf numFmtId="41" fontId="40" fillId="0" borderId="0" xfId="10" applyFont="1" applyFill="1" applyBorder="1" applyAlignment="1">
      <alignment vertical="center"/>
    </xf>
    <xf numFmtId="41" fontId="39" fillId="0" borderId="0" xfId="10" applyFont="1" applyAlignment="1">
      <alignment vertical="center"/>
    </xf>
    <xf numFmtId="0" fontId="47" fillId="0" borderId="0" xfId="8" applyFont="1" applyAlignment="1">
      <alignment horizontal="left" vertical="center"/>
    </xf>
    <xf numFmtId="176" fontId="40" fillId="0" borderId="30" xfId="10" applyNumberFormat="1" applyFont="1" applyBorder="1" applyAlignment="1">
      <alignment vertical="center"/>
    </xf>
    <xf numFmtId="176" fontId="40" fillId="0" borderId="25" xfId="11" applyNumberFormat="1" applyFont="1" applyBorder="1" applyAlignment="1">
      <alignment vertical="center"/>
    </xf>
    <xf numFmtId="176" fontId="40" fillId="0" borderId="48" xfId="11" applyNumberFormat="1" applyFont="1" applyBorder="1" applyAlignment="1">
      <alignment vertical="center"/>
    </xf>
    <xf numFmtId="176" fontId="40" fillId="0" borderId="48" xfId="10" applyNumberFormat="1" applyFont="1" applyBorder="1" applyAlignment="1">
      <alignment vertical="center"/>
    </xf>
    <xf numFmtId="176" fontId="40" fillId="0" borderId="25" xfId="10" applyNumberFormat="1" applyFont="1" applyBorder="1" applyAlignment="1">
      <alignment vertical="center"/>
    </xf>
    <xf numFmtId="176" fontId="40" fillId="0" borderId="25" xfId="11" applyNumberFormat="1" applyFont="1" applyFill="1" applyBorder="1" applyAlignment="1">
      <alignment vertical="center"/>
    </xf>
    <xf numFmtId="41" fontId="40" fillId="13" borderId="25" xfId="10" applyFont="1" applyFill="1" applyBorder="1" applyAlignment="1">
      <alignment vertical="center"/>
    </xf>
    <xf numFmtId="41" fontId="40" fillId="0" borderId="215" xfId="10" applyFont="1" applyBorder="1" applyAlignment="1">
      <alignment vertical="center"/>
    </xf>
    <xf numFmtId="41" fontId="40" fillId="0" borderId="215" xfId="10" applyFont="1" applyFill="1" applyBorder="1" applyAlignment="1">
      <alignment vertical="center"/>
    </xf>
    <xf numFmtId="41" fontId="39" fillId="0" borderId="45" xfId="10" applyFont="1" applyFill="1" applyBorder="1" applyAlignment="1">
      <alignment vertical="center"/>
    </xf>
    <xf numFmtId="41" fontId="39" fillId="0" borderId="34" xfId="10" applyFont="1" applyFill="1" applyBorder="1" applyAlignment="1">
      <alignment vertical="center"/>
    </xf>
    <xf numFmtId="176" fontId="39" fillId="0" borderId="45" xfId="10" applyNumberFormat="1" applyFont="1" applyFill="1" applyBorder="1" applyAlignment="1">
      <alignment vertical="center"/>
    </xf>
    <xf numFmtId="176" fontId="39" fillId="6" borderId="45" xfId="10" applyNumberFormat="1" applyFont="1" applyFill="1" applyBorder="1" applyAlignment="1">
      <alignment vertical="center"/>
    </xf>
    <xf numFmtId="41" fontId="40" fillId="11" borderId="208" xfId="10" applyFont="1" applyFill="1" applyBorder="1" applyAlignment="1">
      <alignment horizontal="center" vertical="center"/>
    </xf>
    <xf numFmtId="41" fontId="40" fillId="0" borderId="76" xfId="10" applyFont="1" applyBorder="1" applyAlignment="1">
      <alignment vertical="center"/>
    </xf>
    <xf numFmtId="41" fontId="40" fillId="0" borderId="77" xfId="10" applyFont="1" applyBorder="1" applyAlignment="1">
      <alignment vertical="center"/>
    </xf>
    <xf numFmtId="41" fontId="40" fillId="12" borderId="77" xfId="10" applyFont="1" applyFill="1" applyBorder="1" applyAlignment="1">
      <alignment vertical="center"/>
    </xf>
    <xf numFmtId="41" fontId="40" fillId="0" borderId="78" xfId="10" applyFont="1" applyBorder="1" applyAlignment="1">
      <alignment vertical="center"/>
    </xf>
    <xf numFmtId="41" fontId="40" fillId="0" borderId="132" xfId="10" applyFont="1" applyBorder="1" applyAlignment="1">
      <alignment vertical="center"/>
    </xf>
    <xf numFmtId="41" fontId="40" fillId="0" borderId="111" xfId="10" applyFont="1" applyFill="1" applyBorder="1" applyAlignment="1">
      <alignment vertical="center"/>
    </xf>
    <xf numFmtId="41" fontId="40" fillId="0" borderId="77" xfId="10" applyFont="1" applyFill="1" applyBorder="1" applyAlignment="1">
      <alignment vertical="center"/>
    </xf>
    <xf numFmtId="41" fontId="40" fillId="0" borderId="78" xfId="10" applyFont="1" applyFill="1" applyBorder="1" applyAlignment="1">
      <alignment vertical="center"/>
    </xf>
    <xf numFmtId="41" fontId="39" fillId="0" borderId="13" xfId="10" applyFont="1" applyFill="1" applyBorder="1" applyAlignment="1">
      <alignment vertical="center"/>
    </xf>
    <xf numFmtId="41" fontId="39" fillId="0" borderId="72" xfId="10" applyFont="1" applyFill="1" applyBorder="1" applyAlignment="1">
      <alignment vertical="center"/>
    </xf>
    <xf numFmtId="176" fontId="40" fillId="0" borderId="76" xfId="0" applyNumberFormat="1" applyFont="1" applyBorder="1" applyAlignment="1"/>
    <xf numFmtId="176" fontId="40" fillId="0" borderId="77" xfId="0" applyNumberFormat="1" applyFont="1" applyBorder="1" applyAlignment="1"/>
    <xf numFmtId="176" fontId="40" fillId="0" borderId="73" xfId="10" applyNumberFormat="1" applyFont="1" applyBorder="1" applyAlignment="1">
      <alignment vertical="center"/>
    </xf>
    <xf numFmtId="176" fontId="39" fillId="0" borderId="13" xfId="10" applyNumberFormat="1" applyFont="1" applyFill="1" applyBorder="1" applyAlignment="1">
      <alignment vertical="center"/>
    </xf>
    <xf numFmtId="176" fontId="39" fillId="6" borderId="13" xfId="10" applyNumberFormat="1" applyFont="1" applyFill="1" applyBorder="1" applyAlignment="1">
      <alignment vertical="center"/>
    </xf>
    <xf numFmtId="0" fontId="40" fillId="11" borderId="216" xfId="9" applyFont="1" applyFill="1" applyBorder="1" applyAlignment="1">
      <alignment horizontal="center" vertical="center"/>
    </xf>
    <xf numFmtId="0" fontId="40" fillId="0" borderId="74" xfId="9" applyFont="1" applyBorder="1" applyAlignment="1">
      <alignment horizontal="center" vertical="center"/>
    </xf>
    <xf numFmtId="0" fontId="40" fillId="0" borderId="22" xfId="9" applyFont="1" applyBorder="1" applyAlignment="1">
      <alignment horizontal="center" vertical="center"/>
    </xf>
    <xf numFmtId="0" fontId="40" fillId="12" borderId="22" xfId="9" applyFont="1" applyFill="1" applyBorder="1" applyAlignment="1">
      <alignment horizontal="center" vertical="center"/>
    </xf>
    <xf numFmtId="0" fontId="40" fillId="0" borderId="75" xfId="9" applyFont="1" applyBorder="1" applyAlignment="1">
      <alignment horizontal="center" vertical="center"/>
    </xf>
    <xf numFmtId="0" fontId="40" fillId="0" borderId="222" xfId="9" applyFont="1" applyBorder="1" applyAlignment="1">
      <alignment horizontal="center" vertical="center"/>
    </xf>
    <xf numFmtId="0" fontId="40" fillId="0" borderId="18" xfId="9" applyFont="1" applyBorder="1" applyAlignment="1">
      <alignment horizontal="center" vertical="center"/>
    </xf>
    <xf numFmtId="0" fontId="39" fillId="0" borderId="10" xfId="9" applyFont="1" applyBorder="1" applyAlignment="1">
      <alignment horizontal="center" vertical="center"/>
    </xf>
    <xf numFmtId="0" fontId="40" fillId="0" borderId="217" xfId="9" applyFont="1" applyBorder="1" applyAlignment="1">
      <alignment vertical="center"/>
    </xf>
    <xf numFmtId="0" fontId="40" fillId="0" borderId="218" xfId="9" applyFont="1" applyBorder="1" applyAlignment="1">
      <alignment vertical="center"/>
    </xf>
    <xf numFmtId="0" fontId="40" fillId="12" borderId="218" xfId="9" applyFont="1" applyFill="1" applyBorder="1" applyAlignment="1">
      <alignment vertical="center"/>
    </xf>
    <xf numFmtId="0" fontId="40" fillId="0" borderId="223" xfId="9" applyFont="1" applyBorder="1" applyAlignment="1">
      <alignment vertical="center"/>
    </xf>
    <xf numFmtId="0" fontId="40" fillId="0" borderId="224" xfId="9" applyFont="1" applyBorder="1" applyAlignment="1">
      <alignment vertical="center"/>
    </xf>
    <xf numFmtId="0" fontId="40" fillId="0" borderId="225" xfId="9" applyFont="1" applyBorder="1" applyAlignment="1">
      <alignment vertical="center"/>
    </xf>
    <xf numFmtId="0" fontId="39" fillId="0" borderId="221" xfId="9" applyFont="1" applyBorder="1" applyAlignment="1">
      <alignment vertical="center"/>
    </xf>
    <xf numFmtId="0" fontId="40" fillId="0" borderId="221" xfId="9" applyFont="1" applyBorder="1" applyAlignment="1">
      <alignment vertical="center"/>
    </xf>
    <xf numFmtId="0" fontId="40" fillId="0" borderId="226" xfId="9" applyFont="1" applyBorder="1" applyAlignment="1">
      <alignment vertical="center"/>
    </xf>
    <xf numFmtId="183" fontId="39" fillId="11" borderId="51" xfId="9" applyNumberFormat="1" applyFont="1" applyFill="1" applyBorder="1" applyAlignment="1">
      <alignment horizontal="center" vertical="center"/>
    </xf>
    <xf numFmtId="176" fontId="40" fillId="0" borderId="78" xfId="0" applyNumberFormat="1" applyFont="1" applyBorder="1" applyAlignment="1"/>
    <xf numFmtId="176" fontId="40" fillId="0" borderId="63" xfId="11" applyNumberFormat="1" applyFont="1" applyBorder="1" applyAlignment="1">
      <alignment vertical="center"/>
    </xf>
    <xf numFmtId="176" fontId="40" fillId="0" borderId="63" xfId="11" applyNumberFormat="1" applyFont="1" applyFill="1" applyBorder="1" applyAlignment="1">
      <alignment vertical="center"/>
    </xf>
    <xf numFmtId="0" fontId="6" fillId="0" borderId="0" xfId="12"/>
    <xf numFmtId="0" fontId="20" fillId="0" borderId="0" xfId="12" applyFont="1" applyAlignment="1">
      <alignment vertical="center"/>
    </xf>
    <xf numFmtId="0" fontId="50" fillId="0" borderId="0" xfId="12" applyFont="1" applyAlignment="1">
      <alignment horizontal="left" vertical="center"/>
    </xf>
    <xf numFmtId="41" fontId="52" fillId="0" borderId="0" xfId="13" applyFont="1" applyAlignment="1">
      <alignment vertical="center"/>
    </xf>
    <xf numFmtId="0" fontId="52" fillId="0" borderId="0" xfId="12" applyFont="1" applyAlignment="1">
      <alignment horizontal="left" vertical="center"/>
    </xf>
    <xf numFmtId="0" fontId="52" fillId="0" borderId="0" xfId="12" applyFont="1" applyAlignment="1">
      <alignment vertical="center"/>
    </xf>
    <xf numFmtId="0" fontId="53" fillId="0" borderId="0" xfId="12" applyFont="1"/>
    <xf numFmtId="0" fontId="50" fillId="0" borderId="0" xfId="12" applyFont="1" applyAlignment="1">
      <alignment vertical="center"/>
    </xf>
    <xf numFmtId="0" fontId="21" fillId="0" borderId="0" xfId="12" applyFont="1"/>
    <xf numFmtId="41" fontId="52" fillId="0" borderId="0" xfId="13" applyFont="1" applyAlignment="1">
      <alignment horizontal="left" vertical="center"/>
    </xf>
    <xf numFmtId="0" fontId="53" fillId="0" borderId="0" xfId="12" applyFont="1" applyAlignment="1">
      <alignment horizontal="left"/>
    </xf>
    <xf numFmtId="41" fontId="20" fillId="0" borderId="0" xfId="13" applyFont="1" applyAlignment="1">
      <alignment vertical="center"/>
    </xf>
    <xf numFmtId="0" fontId="20" fillId="0" borderId="0" xfId="12" applyFont="1" applyAlignment="1">
      <alignment horizontal="left" vertical="center"/>
    </xf>
    <xf numFmtId="0" fontId="22" fillId="0" borderId="0" xfId="12" applyFont="1" applyAlignment="1">
      <alignment vertical="center"/>
    </xf>
    <xf numFmtId="41" fontId="22" fillId="0" borderId="0" xfId="13" applyFont="1" applyAlignment="1">
      <alignment vertical="center"/>
    </xf>
    <xf numFmtId="0" fontId="22" fillId="0" borderId="0" xfId="12" applyFont="1" applyAlignment="1">
      <alignment horizontal="left" vertical="center"/>
    </xf>
    <xf numFmtId="0" fontId="23" fillId="0" borderId="0" xfId="12" applyFont="1"/>
    <xf numFmtId="0" fontId="26" fillId="0" borderId="0" xfId="12" applyFont="1"/>
    <xf numFmtId="0" fontId="29" fillId="0" borderId="0" xfId="12" applyFont="1"/>
    <xf numFmtId="0" fontId="56" fillId="0" borderId="227" xfId="5" applyFont="1" applyBorder="1" applyAlignment="1">
      <alignment horizontal="center" vertical="center" wrapText="1"/>
    </xf>
    <xf numFmtId="0" fontId="37" fillId="0" borderId="122" xfId="14" applyFont="1" applyBorder="1" applyAlignment="1">
      <alignment horizontal="center" vertical="distributed"/>
    </xf>
    <xf numFmtId="0" fontId="37" fillId="0" borderId="123" xfId="14" applyFont="1" applyBorder="1" applyAlignment="1">
      <alignment horizontal="center" vertical="distributed"/>
    </xf>
    <xf numFmtId="0" fontId="40" fillId="0" borderId="123" xfId="14" applyFont="1" applyBorder="1" applyAlignment="1">
      <alignment horizontal="center" vertical="distributed"/>
    </xf>
    <xf numFmtId="0" fontId="37" fillId="0" borderId="124" xfId="14" applyFont="1" applyBorder="1" applyAlignment="1">
      <alignment horizontal="center" vertical="distributed"/>
    </xf>
    <xf numFmtId="0" fontId="32" fillId="0" borderId="122" xfId="14" applyFont="1" applyBorder="1" applyAlignment="1">
      <alignment horizontal="center" vertical="distributed"/>
    </xf>
    <xf numFmtId="0" fontId="32" fillId="0" borderId="123" xfId="14" applyFont="1" applyBorder="1" applyAlignment="1">
      <alignment horizontal="center" vertical="distributed"/>
    </xf>
    <xf numFmtId="0" fontId="32" fillId="0" borderId="124" xfId="14" applyFont="1" applyBorder="1" applyAlignment="1">
      <alignment horizontal="center" vertical="distributed"/>
    </xf>
    <xf numFmtId="0" fontId="37" fillId="0" borderId="126" xfId="14" applyFont="1" applyBorder="1" applyAlignment="1">
      <alignment horizontal="center" vertical="distributed"/>
    </xf>
    <xf numFmtId="0" fontId="37" fillId="0" borderId="127" xfId="14" applyFont="1" applyBorder="1" applyAlignment="1">
      <alignment horizontal="center" vertical="distributed"/>
    </xf>
    <xf numFmtId="0" fontId="37" fillId="0" borderId="128" xfId="14" applyFont="1" applyBorder="1" applyAlignment="1">
      <alignment horizontal="center" vertical="distributed"/>
    </xf>
    <xf numFmtId="0" fontId="27" fillId="0" borderId="0" xfId="5" applyFont="1" applyAlignment="1">
      <alignment vertical="center"/>
    </xf>
    <xf numFmtId="41" fontId="0" fillId="0" borderId="0" xfId="1" applyFont="1">
      <alignment vertical="center"/>
    </xf>
    <xf numFmtId="178" fontId="0" fillId="0" borderId="0" xfId="1" applyNumberFormat="1" applyFont="1">
      <alignment vertical="center"/>
    </xf>
    <xf numFmtId="0" fontId="0" fillId="2" borderId="228" xfId="0" applyFill="1" applyBorder="1" applyAlignment="1">
      <alignment horizontal="center" vertical="center"/>
    </xf>
    <xf numFmtId="178" fontId="0" fillId="7" borderId="159" xfId="2" applyNumberFormat="1" applyFont="1" applyFill="1" applyBorder="1" applyAlignment="1">
      <alignment horizontal="center" vertical="center"/>
    </xf>
    <xf numFmtId="178" fontId="0" fillId="7" borderId="160" xfId="2" applyNumberFormat="1" applyFont="1" applyFill="1" applyBorder="1" applyAlignment="1">
      <alignment horizontal="center" vertical="center"/>
    </xf>
    <xf numFmtId="178" fontId="0" fillId="7" borderId="161" xfId="2" applyNumberFormat="1" applyFont="1" applyFill="1" applyBorder="1" applyAlignment="1">
      <alignment horizontal="center" vertical="center"/>
    </xf>
    <xf numFmtId="178" fontId="0" fillId="7" borderId="10" xfId="2" applyNumberFormat="1" applyFont="1" applyFill="1" applyBorder="1" applyAlignment="1">
      <alignment horizontal="center" vertical="center"/>
    </xf>
    <xf numFmtId="178" fontId="0" fillId="7" borderId="162" xfId="2" applyNumberFormat="1" applyFont="1" applyFill="1" applyBorder="1" applyAlignment="1">
      <alignment horizontal="center" vertical="center"/>
    </xf>
    <xf numFmtId="178" fontId="5" fillId="7" borderId="209" xfId="2" applyNumberFormat="1" applyFont="1" applyFill="1" applyBorder="1" applyAlignment="1">
      <alignment horizontal="center" vertical="center"/>
    </xf>
    <xf numFmtId="178" fontId="35" fillId="0" borderId="0" xfId="0" applyNumberFormat="1" applyFont="1">
      <alignment vertical="center"/>
    </xf>
    <xf numFmtId="178" fontId="35" fillId="0" borderId="0" xfId="1" applyNumberFormat="1" applyFont="1">
      <alignment vertical="center"/>
    </xf>
    <xf numFmtId="41" fontId="35" fillId="0" borderId="0" xfId="1" applyFont="1">
      <alignment vertical="center"/>
    </xf>
    <xf numFmtId="0" fontId="35" fillId="0" borderId="0" xfId="0" applyFont="1">
      <alignment vertical="center"/>
    </xf>
    <xf numFmtId="0" fontId="0" fillId="0" borderId="49" xfId="0" applyBorder="1">
      <alignment vertical="center"/>
    </xf>
    <xf numFmtId="177" fontId="0" fillId="0" borderId="164" xfId="2" applyNumberFormat="1" applyFont="1" applyFill="1" applyBorder="1" applyAlignment="1">
      <alignment horizontal="center" vertical="center"/>
    </xf>
    <xf numFmtId="177" fontId="0" fillId="0" borderId="76" xfId="2" applyNumberFormat="1" applyFont="1" applyFill="1" applyBorder="1" applyAlignment="1">
      <alignment horizontal="center" vertical="center"/>
    </xf>
    <xf numFmtId="177" fontId="0" fillId="0" borderId="48" xfId="2" applyNumberFormat="1" applyFont="1" applyFill="1" applyBorder="1" applyAlignment="1">
      <alignment horizontal="center" vertical="center"/>
    </xf>
    <xf numFmtId="177" fontId="0" fillId="0" borderId="165" xfId="2" applyNumberFormat="1" applyFont="1" applyFill="1" applyBorder="1" applyAlignment="1">
      <alignment horizontal="center" vertical="center"/>
    </xf>
    <xf numFmtId="177" fontId="0" fillId="0" borderId="77" xfId="2" applyNumberFormat="1" applyFont="1" applyFill="1" applyBorder="1" applyAlignment="1">
      <alignment horizontal="center" vertical="center"/>
    </xf>
    <xf numFmtId="177" fontId="0" fillId="0" borderId="25" xfId="2" applyNumberFormat="1" applyFont="1" applyFill="1" applyBorder="1" applyAlignment="1">
      <alignment horizontal="center" vertical="center"/>
    </xf>
    <xf numFmtId="0" fontId="58" fillId="0" borderId="0" xfId="15" applyFont="1" applyAlignment="1">
      <alignment horizontal="centerContinuous" vertical="center"/>
    </xf>
    <xf numFmtId="0" fontId="59" fillId="0" borderId="0" xfId="15" applyFont="1" applyAlignment="1">
      <alignment vertical="center"/>
    </xf>
    <xf numFmtId="0" fontId="60" fillId="0" borderId="0" xfId="15" applyFont="1" applyAlignment="1">
      <alignment vertical="center"/>
    </xf>
    <xf numFmtId="0" fontId="58" fillId="0" borderId="0" xfId="15" applyFont="1" applyAlignment="1">
      <alignment vertical="center"/>
    </xf>
    <xf numFmtId="0" fontId="61" fillId="0" borderId="44" xfId="15" applyFont="1" applyBorder="1" applyAlignment="1">
      <alignment horizontal="left" vertical="center"/>
    </xf>
    <xf numFmtId="0" fontId="62" fillId="0" borderId="44" xfId="15" applyFont="1" applyBorder="1" applyAlignment="1">
      <alignment horizontal="center" vertical="center"/>
    </xf>
    <xf numFmtId="41" fontId="62" fillId="0" borderId="44" xfId="16" quotePrefix="1" applyFont="1" applyFill="1" applyBorder="1" applyAlignment="1">
      <alignment horizontal="left" vertical="center"/>
    </xf>
    <xf numFmtId="0" fontId="63" fillId="0" borderId="0" xfId="15" applyFont="1" applyAlignment="1">
      <alignment vertical="center"/>
    </xf>
    <xf numFmtId="185" fontId="64" fillId="17" borderId="43" xfId="16" applyNumberFormat="1" applyFont="1" applyFill="1" applyBorder="1" applyAlignment="1">
      <alignment horizontal="center" vertical="center"/>
    </xf>
    <xf numFmtId="185" fontId="64" fillId="17" borderId="93" xfId="15" applyNumberFormat="1" applyFont="1" applyFill="1" applyBorder="1" applyAlignment="1">
      <alignment horizontal="center" vertical="center"/>
    </xf>
    <xf numFmtId="185" fontId="64" fillId="17" borderId="236" xfId="15" applyNumberFormat="1" applyFont="1" applyFill="1" applyBorder="1" applyAlignment="1">
      <alignment horizontal="center" vertical="center"/>
    </xf>
    <xf numFmtId="185" fontId="64" fillId="17" borderId="112" xfId="15" applyNumberFormat="1" applyFont="1" applyFill="1" applyBorder="1" applyAlignment="1">
      <alignment horizontal="center" vertical="center"/>
    </xf>
    <xf numFmtId="185" fontId="64" fillId="17" borderId="17" xfId="15" applyNumberFormat="1" applyFont="1" applyFill="1" applyBorder="1" applyAlignment="1">
      <alignment horizontal="center" vertical="center"/>
    </xf>
    <xf numFmtId="41" fontId="67" fillId="0" borderId="1" xfId="16" applyFont="1" applyFill="1" applyBorder="1" applyAlignment="1">
      <alignment horizontal="left" vertical="center" shrinkToFit="1"/>
    </xf>
    <xf numFmtId="0" fontId="67" fillId="0" borderId="86" xfId="15" applyFont="1" applyBorder="1" applyAlignment="1">
      <alignment horizontal="left" vertical="center" shrinkToFit="1"/>
    </xf>
    <xf numFmtId="0" fontId="67" fillId="0" borderId="238" xfId="15" applyFont="1" applyBorder="1" applyAlignment="1">
      <alignment horizontal="left" vertical="center" shrinkToFit="1"/>
    </xf>
    <xf numFmtId="0" fontId="67" fillId="0" borderId="239" xfId="15" applyFont="1" applyBorder="1" applyAlignment="1">
      <alignment horizontal="left" vertical="center" shrinkToFit="1"/>
    </xf>
    <xf numFmtId="0" fontId="67" fillId="0" borderId="89" xfId="15" applyFont="1" applyBorder="1" applyAlignment="1">
      <alignment horizontal="left" vertical="center" shrinkToFit="1"/>
    </xf>
    <xf numFmtId="184" fontId="59" fillId="18" borderId="91" xfId="15" applyNumberFormat="1" applyFont="1" applyFill="1" applyBorder="1" applyAlignment="1">
      <alignment horizontal="right" vertical="center" shrinkToFit="1"/>
    </xf>
    <xf numFmtId="41" fontId="67" fillId="0" borderId="19" xfId="16" applyFont="1" applyFill="1" applyBorder="1" applyAlignment="1">
      <alignment horizontal="right" vertical="center" shrinkToFit="1"/>
    </xf>
    <xf numFmtId="186" fontId="67" fillId="0" borderId="21" xfId="15" applyNumberFormat="1" applyFont="1" applyBorder="1" applyAlignment="1">
      <alignment horizontal="right" vertical="center" shrinkToFit="1"/>
    </xf>
    <xf numFmtId="186" fontId="67" fillId="0" borderId="240" xfId="15" applyNumberFormat="1" applyFont="1" applyBorder="1" applyAlignment="1">
      <alignment horizontal="right" vertical="center" shrinkToFit="1"/>
    </xf>
    <xf numFmtId="186" fontId="67" fillId="0" borderId="241" xfId="15" applyNumberFormat="1" applyFont="1" applyBorder="1" applyAlignment="1">
      <alignment horizontal="right" vertical="center" shrinkToFit="1"/>
    </xf>
    <xf numFmtId="186" fontId="67" fillId="0" borderId="20" xfId="15" applyNumberFormat="1" applyFont="1" applyBorder="1" applyAlignment="1">
      <alignment horizontal="right" vertical="center" shrinkToFit="1"/>
    </xf>
    <xf numFmtId="184" fontId="59" fillId="18" borderId="242" xfId="15" applyNumberFormat="1" applyFont="1" applyFill="1" applyBorder="1" applyAlignment="1">
      <alignment horizontal="right" vertical="center" shrinkToFit="1"/>
    </xf>
    <xf numFmtId="41" fontId="67" fillId="0" borderId="109" xfId="16" applyFont="1" applyFill="1" applyBorder="1" applyAlignment="1">
      <alignment horizontal="left" vertical="center" shrinkToFit="1"/>
    </xf>
    <xf numFmtId="0" fontId="67" fillId="0" borderId="63" xfId="16" applyNumberFormat="1" applyFont="1" applyFill="1" applyBorder="1" applyAlignment="1">
      <alignment horizontal="left" vertical="center" shrinkToFit="1"/>
    </xf>
    <xf numFmtId="0" fontId="67" fillId="0" borderId="63" xfId="15" applyFont="1" applyBorder="1" applyAlignment="1">
      <alignment horizontal="left" vertical="center" shrinkToFit="1"/>
    </xf>
    <xf numFmtId="0" fontId="67" fillId="0" borderId="84" xfId="15" applyFont="1" applyBorder="1" applyAlignment="1">
      <alignment horizontal="left" vertical="center" shrinkToFit="1"/>
    </xf>
    <xf numFmtId="0" fontId="67" fillId="0" borderId="243" xfId="15" applyFont="1" applyBorder="1" applyAlignment="1">
      <alignment horizontal="left" vertical="center" shrinkToFit="1"/>
    </xf>
    <xf numFmtId="0" fontId="67" fillId="0" borderId="110" xfId="15" applyFont="1" applyBorder="1" applyAlignment="1">
      <alignment horizontal="left" vertical="center" shrinkToFit="1"/>
    </xf>
    <xf numFmtId="184" fontId="59" fillId="18" borderId="244" xfId="15" applyNumberFormat="1" applyFont="1" applyFill="1" applyBorder="1" applyAlignment="1">
      <alignment horizontal="right" vertical="center" shrinkToFit="1"/>
    </xf>
    <xf numFmtId="186" fontId="67" fillId="0" borderId="19" xfId="16" applyNumberFormat="1" applyFont="1" applyFill="1" applyBorder="1" applyAlignment="1">
      <alignment horizontal="right" vertical="center" shrinkToFit="1"/>
    </xf>
    <xf numFmtId="186" fontId="67" fillId="0" borderId="21" xfId="16" applyNumberFormat="1" applyFont="1" applyFill="1" applyBorder="1" applyAlignment="1">
      <alignment horizontal="right" vertical="center" shrinkToFit="1"/>
    </xf>
    <xf numFmtId="41" fontId="67" fillId="0" borderId="21" xfId="16" applyFont="1" applyFill="1" applyBorder="1" applyAlignment="1">
      <alignment horizontal="right" vertical="center" shrinkToFit="1"/>
    </xf>
    <xf numFmtId="186" fontId="67" fillId="0" borderId="6" xfId="16" applyNumberFormat="1" applyFont="1" applyFill="1" applyBorder="1" applyAlignment="1">
      <alignment horizontal="right" vertical="center" shrinkToFit="1"/>
    </xf>
    <xf numFmtId="186" fontId="67" fillId="0" borderId="85" xfId="16" applyNumberFormat="1" applyFont="1" applyFill="1" applyBorder="1" applyAlignment="1">
      <alignment horizontal="right" vertical="center" shrinkToFit="1"/>
    </xf>
    <xf numFmtId="186" fontId="67" fillId="0" borderId="85" xfId="15" applyNumberFormat="1" applyFont="1" applyBorder="1" applyAlignment="1">
      <alignment horizontal="right" vertical="center" shrinkToFit="1"/>
    </xf>
    <xf numFmtId="186" fontId="67" fillId="0" borderId="245" xfId="15" applyNumberFormat="1" applyFont="1" applyBorder="1" applyAlignment="1">
      <alignment horizontal="right" vertical="center" shrinkToFit="1"/>
    </xf>
    <xf numFmtId="186" fontId="67" fillId="0" borderId="211" xfId="15" applyNumberFormat="1" applyFont="1" applyBorder="1" applyAlignment="1">
      <alignment horizontal="right" vertical="center" shrinkToFit="1"/>
    </xf>
    <xf numFmtId="41" fontId="67" fillId="0" borderId="85" xfId="16" applyFont="1" applyFill="1" applyBorder="1" applyAlignment="1">
      <alignment horizontal="right" vertical="center" shrinkToFit="1"/>
    </xf>
    <xf numFmtId="186" fontId="67" fillId="0" borderId="99" xfId="15" applyNumberFormat="1" applyFont="1" applyBorder="1" applyAlignment="1">
      <alignment horizontal="right" vertical="center" shrinkToFit="1"/>
    </xf>
    <xf numFmtId="184" fontId="59" fillId="18" borderId="210" xfId="15" applyNumberFormat="1" applyFont="1" applyFill="1" applyBorder="1" applyAlignment="1">
      <alignment horizontal="right" vertical="center" shrinkToFit="1"/>
    </xf>
    <xf numFmtId="0" fontId="66" fillId="2" borderId="115" xfId="15" applyFont="1" applyFill="1" applyBorder="1" applyAlignment="1">
      <alignment horizontal="center" vertical="center"/>
    </xf>
    <xf numFmtId="41" fontId="68" fillId="2" borderId="8" xfId="16" applyFont="1" applyFill="1" applyBorder="1" applyAlignment="1">
      <alignment horizontal="right" vertical="center" wrapText="1"/>
    </xf>
    <xf numFmtId="41" fontId="68" fillId="2" borderId="45" xfId="16" applyFont="1" applyFill="1" applyBorder="1" applyAlignment="1">
      <alignment horizontal="right" vertical="center" wrapText="1"/>
    </xf>
    <xf numFmtId="41" fontId="68" fillId="2" borderId="80" xfId="16" applyFont="1" applyFill="1" applyBorder="1" applyAlignment="1">
      <alignment horizontal="right" vertical="center" wrapText="1"/>
    </xf>
    <xf numFmtId="41" fontId="68" fillId="2" borderId="13" xfId="16" applyFont="1" applyFill="1" applyBorder="1" applyAlignment="1">
      <alignment horizontal="right" vertical="center" wrapText="1"/>
    </xf>
    <xf numFmtId="184" fontId="69" fillId="2" borderId="45" xfId="0" applyNumberFormat="1" applyFont="1" applyFill="1" applyBorder="1" applyAlignment="1">
      <alignment horizontal="right" vertical="center"/>
    </xf>
    <xf numFmtId="184" fontId="66" fillId="14" borderId="12" xfId="16" applyNumberFormat="1" applyFont="1" applyFill="1" applyBorder="1" applyAlignment="1">
      <alignment vertical="center"/>
    </xf>
    <xf numFmtId="0" fontId="70" fillId="0" borderId="0" xfId="15" applyFont="1" applyAlignment="1">
      <alignment vertical="center"/>
    </xf>
    <xf numFmtId="184" fontId="44" fillId="19" borderId="91" xfId="16" applyNumberFormat="1" applyFont="1" applyFill="1" applyBorder="1" applyAlignment="1">
      <alignment horizontal="right" vertical="center" shrinkToFit="1"/>
    </xf>
    <xf numFmtId="0" fontId="66" fillId="0" borderId="0" xfId="15" applyFont="1" applyAlignment="1">
      <alignment vertical="center"/>
    </xf>
    <xf numFmtId="184" fontId="44" fillId="19" borderId="242" xfId="16" applyNumberFormat="1" applyFont="1" applyFill="1" applyBorder="1" applyAlignment="1">
      <alignment horizontal="right" vertical="center" shrinkToFit="1"/>
    </xf>
    <xf numFmtId="184" fontId="44" fillId="19" borderId="244" xfId="16" applyNumberFormat="1" applyFont="1" applyFill="1" applyBorder="1" applyAlignment="1">
      <alignment horizontal="right" vertical="center" shrinkToFit="1"/>
    </xf>
    <xf numFmtId="0" fontId="71" fillId="0" borderId="110" xfId="15" applyFont="1" applyBorder="1" applyAlignment="1">
      <alignment horizontal="left" vertical="center" shrinkToFit="1"/>
    </xf>
    <xf numFmtId="186" fontId="71" fillId="0" borderId="20" xfId="15" applyNumberFormat="1" applyFont="1" applyBorder="1" applyAlignment="1">
      <alignment horizontal="right" vertical="center" shrinkToFit="1"/>
    </xf>
    <xf numFmtId="184" fontId="70" fillId="0" borderId="244" xfId="16" applyNumberFormat="1" applyFont="1" applyFill="1" applyBorder="1" applyAlignment="1">
      <alignment horizontal="right" vertical="center" shrinkToFit="1"/>
    </xf>
    <xf numFmtId="184" fontId="70" fillId="0" borderId="242" xfId="16" applyNumberFormat="1" applyFont="1" applyFill="1" applyBorder="1" applyAlignment="1">
      <alignment horizontal="right" vertical="center" shrinkToFit="1"/>
    </xf>
    <xf numFmtId="0" fontId="66" fillId="2" borderId="247" xfId="15" applyFont="1" applyFill="1" applyBorder="1" applyAlignment="1">
      <alignment horizontal="center" vertical="center" shrinkToFit="1"/>
    </xf>
    <xf numFmtId="41" fontId="39" fillId="2" borderId="92" xfId="16" applyFont="1" applyFill="1" applyBorder="1" applyAlignment="1">
      <alignment vertical="center" shrinkToFit="1"/>
    </xf>
    <xf numFmtId="41" fontId="39" fillId="2" borderId="93" xfId="16" applyFont="1" applyFill="1" applyBorder="1" applyAlignment="1">
      <alignment vertical="center" shrinkToFit="1"/>
    </xf>
    <xf numFmtId="41" fontId="39" fillId="2" borderId="236" xfId="16" applyFont="1" applyFill="1" applyBorder="1" applyAlignment="1">
      <alignment vertical="center" shrinkToFit="1"/>
    </xf>
    <xf numFmtId="41" fontId="39" fillId="2" borderId="248" xfId="16" applyFont="1" applyFill="1" applyBorder="1" applyAlignment="1">
      <alignment vertical="center" shrinkToFit="1"/>
    </xf>
    <xf numFmtId="41" fontId="39" fillId="2" borderId="249" xfId="16" applyFont="1" applyFill="1" applyBorder="1" applyAlignment="1">
      <alignment vertical="center" shrinkToFit="1"/>
    </xf>
    <xf numFmtId="184" fontId="66" fillId="14" borderId="250" xfId="16" applyNumberFormat="1" applyFont="1" applyFill="1" applyBorder="1" applyAlignment="1">
      <alignment vertical="center" shrinkToFit="1"/>
    </xf>
    <xf numFmtId="0" fontId="40" fillId="19" borderId="1" xfId="0" applyFont="1" applyFill="1" applyBorder="1" applyAlignment="1">
      <alignment vertical="center" shrinkToFit="1"/>
    </xf>
    <xf numFmtId="0" fontId="40" fillId="19" borderId="86" xfId="0" applyFont="1" applyFill="1" applyBorder="1" applyAlignment="1">
      <alignment vertical="center" shrinkToFit="1"/>
    </xf>
    <xf numFmtId="0" fontId="40" fillId="19" borderId="86" xfId="16" applyNumberFormat="1" applyFont="1" applyFill="1" applyBorder="1" applyAlignment="1">
      <alignment vertical="center" shrinkToFit="1"/>
    </xf>
    <xf numFmtId="0" fontId="40" fillId="19" borderId="63" xfId="16" applyNumberFormat="1" applyFont="1" applyFill="1" applyBorder="1" applyAlignment="1">
      <alignment vertical="center" shrinkToFit="1"/>
    </xf>
    <xf numFmtId="0" fontId="40" fillId="0" borderId="84" xfId="0" applyFont="1" applyBorder="1" applyAlignment="1">
      <alignment vertical="center" shrinkToFit="1"/>
    </xf>
    <xf numFmtId="0" fontId="40" fillId="0" borderId="239" xfId="0" applyFont="1" applyBorder="1" applyAlignment="1">
      <alignment vertical="center" shrinkToFit="1"/>
    </xf>
    <xf numFmtId="0" fontId="40" fillId="0" borderId="86" xfId="15" applyFont="1" applyBorder="1" applyAlignment="1">
      <alignment vertical="center" shrinkToFit="1"/>
    </xf>
    <xf numFmtId="41" fontId="40" fillId="0" borderId="86" xfId="15" applyNumberFormat="1" applyFont="1" applyBorder="1" applyAlignment="1">
      <alignment vertical="center" shrinkToFit="1"/>
    </xf>
    <xf numFmtId="41" fontId="40" fillId="0" borderId="86" xfId="6" applyNumberFormat="1" applyFont="1" applyBorder="1" applyAlignment="1">
      <alignment vertical="center" shrinkToFit="1"/>
    </xf>
    <xf numFmtId="0" fontId="40" fillId="0" borderId="89" xfId="16" applyNumberFormat="1" applyFont="1" applyFill="1" applyBorder="1" applyAlignment="1">
      <alignment vertical="center" shrinkToFit="1"/>
    </xf>
    <xf numFmtId="41" fontId="17" fillId="19" borderId="19" xfId="16" applyFont="1" applyFill="1" applyBorder="1" applyAlignment="1">
      <alignment horizontal="right" vertical="center" shrinkToFit="1"/>
    </xf>
    <xf numFmtId="41" fontId="17" fillId="19" borderId="21" xfId="16" applyFont="1" applyFill="1" applyBorder="1" applyAlignment="1">
      <alignment horizontal="right" vertical="center" shrinkToFit="1"/>
    </xf>
    <xf numFmtId="41" fontId="17" fillId="0" borderId="240" xfId="16" applyFont="1" applyFill="1" applyBorder="1" applyAlignment="1">
      <alignment horizontal="right" vertical="center" shrinkToFit="1"/>
    </xf>
    <xf numFmtId="41" fontId="17" fillId="0" borderId="241" xfId="16" applyFont="1" applyFill="1" applyBorder="1" applyAlignment="1">
      <alignment horizontal="right" vertical="center" shrinkToFit="1"/>
    </xf>
    <xf numFmtId="41" fontId="17" fillId="0" borderId="21" xfId="16" applyFont="1" applyFill="1" applyBorder="1" applyAlignment="1">
      <alignment horizontal="right" vertical="center" shrinkToFit="1"/>
    </xf>
    <xf numFmtId="41" fontId="17" fillId="0" borderId="20" xfId="16" applyFont="1" applyFill="1" applyBorder="1" applyAlignment="1">
      <alignment horizontal="right" vertical="center" shrinkToFit="1"/>
    </xf>
    <xf numFmtId="0" fontId="40" fillId="19" borderId="109" xfId="0" applyFont="1" applyFill="1" applyBorder="1" applyAlignment="1">
      <alignment vertical="center" shrinkToFit="1"/>
    </xf>
    <xf numFmtId="0" fontId="40" fillId="19" borderId="63" xfId="0" applyFont="1" applyFill="1" applyBorder="1" applyAlignment="1">
      <alignment vertical="center" shrinkToFit="1"/>
    </xf>
    <xf numFmtId="0" fontId="40" fillId="19" borderId="63" xfId="15" applyFont="1" applyFill="1" applyBorder="1" applyAlignment="1">
      <alignment vertical="center" shrinkToFit="1"/>
    </xf>
    <xf numFmtId="0" fontId="40" fillId="0" borderId="243" xfId="16" applyNumberFormat="1" applyFont="1" applyFill="1" applyBorder="1" applyAlignment="1">
      <alignment vertical="center" shrinkToFit="1"/>
    </xf>
    <xf numFmtId="0" fontId="40" fillId="0" borderId="63" xfId="0" applyFont="1" applyBorder="1" applyAlignment="1">
      <alignment vertical="center" shrinkToFit="1"/>
    </xf>
    <xf numFmtId="0" fontId="40" fillId="0" borderId="63" xfId="15" applyFont="1" applyBorder="1" applyAlignment="1">
      <alignment vertical="center" shrinkToFit="1"/>
    </xf>
    <xf numFmtId="41" fontId="40" fillId="0" borderId="110" xfId="16" applyFont="1" applyFill="1" applyBorder="1" applyAlignment="1">
      <alignment vertical="center" shrinkToFit="1"/>
    </xf>
    <xf numFmtId="0" fontId="40" fillId="0" borderId="110" xfId="16" applyNumberFormat="1" applyFont="1" applyFill="1" applyBorder="1" applyAlignment="1">
      <alignment vertical="center" shrinkToFit="1"/>
    </xf>
    <xf numFmtId="0" fontId="40" fillId="0" borderId="63" xfId="16" applyNumberFormat="1" applyFont="1" applyFill="1" applyBorder="1" applyAlignment="1">
      <alignment vertical="center" shrinkToFit="1"/>
    </xf>
    <xf numFmtId="41" fontId="40" fillId="0" borderId="63" xfId="16" applyFont="1" applyFill="1" applyBorder="1" applyAlignment="1">
      <alignment vertical="center" shrinkToFit="1"/>
    </xf>
    <xf numFmtId="0" fontId="17" fillId="19" borderId="21" xfId="15" applyFont="1" applyFill="1" applyBorder="1" applyAlignment="1">
      <alignment horizontal="right" vertical="center" shrinkToFit="1"/>
    </xf>
    <xf numFmtId="41" fontId="40" fillId="0" borderId="84" xfId="16" applyFont="1" applyFill="1" applyBorder="1" applyAlignment="1">
      <alignment vertical="center" shrinkToFit="1"/>
    </xf>
    <xf numFmtId="0" fontId="17" fillId="0" borderId="63" xfId="15" applyFont="1" applyBorder="1" applyAlignment="1">
      <alignment horizontal="right" vertical="center" shrinkToFit="1"/>
    </xf>
    <xf numFmtId="0" fontId="17" fillId="19" borderId="19" xfId="15" applyFont="1" applyFill="1" applyBorder="1" applyAlignment="1">
      <alignment horizontal="right" vertical="center" shrinkToFit="1"/>
    </xf>
    <xf numFmtId="0" fontId="17" fillId="0" borderId="21" xfId="15" applyFont="1" applyBorder="1" applyAlignment="1">
      <alignment horizontal="right" vertical="center" shrinkToFit="1"/>
    </xf>
    <xf numFmtId="0" fontId="40" fillId="0" borderId="78" xfId="15" applyFont="1" applyBorder="1" applyAlignment="1">
      <alignment vertical="center" shrinkToFit="1"/>
    </xf>
    <xf numFmtId="41" fontId="17" fillId="0" borderId="110" xfId="16" applyFont="1" applyFill="1" applyBorder="1" applyAlignment="1">
      <alignment vertical="center" shrinkToFit="1"/>
    </xf>
    <xf numFmtId="3" fontId="17" fillId="19" borderId="21" xfId="15" applyNumberFormat="1" applyFont="1" applyFill="1" applyBorder="1" applyAlignment="1">
      <alignment horizontal="right" vertical="center" shrinkToFit="1"/>
    </xf>
    <xf numFmtId="41" fontId="17" fillId="0" borderId="111" xfId="16" applyFont="1" applyFill="1" applyBorder="1" applyAlignment="1">
      <alignment horizontal="right" vertical="center" shrinkToFit="1"/>
    </xf>
    <xf numFmtId="0" fontId="17" fillId="19" borderId="109" xfId="0" applyFont="1" applyFill="1" applyBorder="1" applyAlignment="1">
      <alignment vertical="center" shrinkToFit="1"/>
    </xf>
    <xf numFmtId="41" fontId="17" fillId="19" borderId="63" xfId="16" applyFont="1" applyFill="1" applyBorder="1" applyAlignment="1">
      <alignment vertical="center" shrinkToFit="1"/>
    </xf>
    <xf numFmtId="0" fontId="17" fillId="19" borderId="63" xfId="0" applyFont="1" applyFill="1" applyBorder="1" applyAlignment="1">
      <alignment vertical="center" shrinkToFit="1"/>
    </xf>
    <xf numFmtId="0" fontId="17" fillId="0" borderId="78" xfId="6" applyFont="1" applyBorder="1" applyAlignment="1">
      <alignment vertical="center" shrinkToFit="1"/>
    </xf>
    <xf numFmtId="41" fontId="17" fillId="0" borderId="63" xfId="16" applyFont="1" applyFill="1" applyBorder="1" applyAlignment="1">
      <alignment vertical="center" shrinkToFit="1"/>
    </xf>
    <xf numFmtId="0" fontId="17" fillId="19" borderId="109" xfId="0" applyFont="1" applyFill="1" applyBorder="1" applyAlignment="1">
      <alignment horizontal="left" vertical="center" shrinkToFit="1"/>
    </xf>
    <xf numFmtId="41" fontId="17" fillId="19" borderId="63" xfId="16" applyFont="1" applyFill="1" applyBorder="1" applyAlignment="1">
      <alignment horizontal="right" vertical="center" shrinkToFit="1"/>
    </xf>
    <xf numFmtId="0" fontId="17" fillId="19" borderId="63" xfId="0" applyFont="1" applyFill="1" applyBorder="1" applyAlignment="1">
      <alignment horizontal="right" vertical="center" shrinkToFit="1"/>
    </xf>
    <xf numFmtId="41" fontId="17" fillId="0" borderId="84" xfId="16" applyFont="1" applyFill="1" applyBorder="1" applyAlignment="1">
      <alignment horizontal="right" vertical="center" shrinkToFit="1"/>
    </xf>
    <xf numFmtId="0" fontId="17" fillId="0" borderId="78" xfId="6" applyFont="1" applyBorder="1" applyAlignment="1">
      <alignment horizontal="right" vertical="center" shrinkToFit="1"/>
    </xf>
    <xf numFmtId="41" fontId="17" fillId="0" borderId="63" xfId="16" applyFont="1" applyFill="1" applyBorder="1" applyAlignment="1">
      <alignment horizontal="right" vertical="center" shrinkToFit="1"/>
    </xf>
    <xf numFmtId="41" fontId="17" fillId="0" borderId="63" xfId="16" applyFont="1" applyFill="1" applyBorder="1" applyAlignment="1">
      <alignment horizontal="left" vertical="center" shrinkToFit="1"/>
    </xf>
    <xf numFmtId="41" fontId="17" fillId="19" borderId="240" xfId="16" applyFont="1" applyFill="1" applyBorder="1" applyAlignment="1">
      <alignment horizontal="right" vertical="center" shrinkToFit="1"/>
    </xf>
    <xf numFmtId="0" fontId="72" fillId="19" borderId="109" xfId="0" applyFont="1" applyFill="1" applyBorder="1" applyAlignment="1">
      <alignment horizontal="left" vertical="center" shrinkToFit="1"/>
    </xf>
    <xf numFmtId="0" fontId="72" fillId="19" borderId="63" xfId="0" applyFont="1" applyFill="1" applyBorder="1" applyAlignment="1">
      <alignment horizontal="right" vertical="center" shrinkToFit="1"/>
    </xf>
    <xf numFmtId="0" fontId="73" fillId="19" borderId="19" xfId="15" applyFont="1" applyFill="1" applyBorder="1" applyAlignment="1">
      <alignment horizontal="right" vertical="center" shrinkToFit="1"/>
    </xf>
    <xf numFmtId="0" fontId="73" fillId="19" borderId="21" xfId="15" applyFont="1" applyFill="1" applyBorder="1" applyAlignment="1">
      <alignment horizontal="right" vertical="center" shrinkToFit="1"/>
    </xf>
    <xf numFmtId="0" fontId="74" fillId="19" borderId="63" xfId="0" applyFont="1" applyFill="1" applyBorder="1" applyAlignment="1">
      <alignment horizontal="right" vertical="center" shrinkToFit="1"/>
    </xf>
    <xf numFmtId="0" fontId="17" fillId="19" borderId="63" xfId="15" applyFont="1" applyFill="1" applyBorder="1" applyAlignment="1">
      <alignment horizontal="right" vertical="center" shrinkToFit="1"/>
    </xf>
    <xf numFmtId="41" fontId="17" fillId="19" borderId="84" xfId="16" applyFont="1" applyFill="1" applyBorder="1" applyAlignment="1">
      <alignment horizontal="right" vertical="center" shrinkToFit="1"/>
    </xf>
    <xf numFmtId="41" fontId="17" fillId="0" borderId="78" xfId="16" applyFont="1" applyFill="1" applyBorder="1" applyAlignment="1">
      <alignment horizontal="right" vertical="center" shrinkToFit="1"/>
    </xf>
    <xf numFmtId="41" fontId="17" fillId="0" borderId="110" xfId="16" applyFont="1" applyFill="1" applyBorder="1" applyAlignment="1">
      <alignment horizontal="right" vertical="center" shrinkToFit="1"/>
    </xf>
    <xf numFmtId="3" fontId="73" fillId="19" borderId="19" xfId="15" applyNumberFormat="1" applyFont="1" applyFill="1" applyBorder="1" applyAlignment="1">
      <alignment horizontal="right" vertical="center" shrinkToFit="1"/>
    </xf>
    <xf numFmtId="49" fontId="40" fillId="19" borderId="109" xfId="16" applyNumberFormat="1" applyFont="1" applyFill="1" applyBorder="1" applyAlignment="1">
      <alignment horizontal="right" vertical="center" shrinkToFit="1"/>
    </xf>
    <xf numFmtId="49" fontId="40" fillId="19" borderId="63" xfId="16" applyNumberFormat="1" applyFont="1" applyFill="1" applyBorder="1" applyAlignment="1">
      <alignment horizontal="right" vertical="center" shrinkToFit="1"/>
    </xf>
    <xf numFmtId="49" fontId="40" fillId="19" borderId="84" xfId="16" applyNumberFormat="1" applyFont="1" applyFill="1" applyBorder="1" applyAlignment="1">
      <alignment horizontal="right" vertical="center" shrinkToFit="1"/>
    </xf>
    <xf numFmtId="49" fontId="40" fillId="19" borderId="78" xfId="16" applyNumberFormat="1" applyFont="1" applyFill="1" applyBorder="1" applyAlignment="1">
      <alignment horizontal="right" vertical="center" shrinkToFit="1"/>
    </xf>
    <xf numFmtId="49" fontId="40" fillId="19" borderId="110" xfId="16" applyNumberFormat="1" applyFont="1" applyFill="1" applyBorder="1" applyAlignment="1">
      <alignment horizontal="right" vertical="center" shrinkToFit="1"/>
    </xf>
    <xf numFmtId="49" fontId="40" fillId="19" borderId="19" xfId="16" applyNumberFormat="1" applyFont="1" applyFill="1" applyBorder="1" applyAlignment="1">
      <alignment horizontal="right" vertical="center" shrinkToFit="1"/>
    </xf>
    <xf numFmtId="49" fontId="40" fillId="19" borderId="21" xfId="16" applyNumberFormat="1" applyFont="1" applyFill="1" applyBorder="1" applyAlignment="1">
      <alignment horizontal="right" vertical="center" shrinkToFit="1"/>
    </xf>
    <xf numFmtId="49" fontId="40" fillId="19" borderId="240" xfId="16" applyNumberFormat="1" applyFont="1" applyFill="1" applyBorder="1" applyAlignment="1">
      <alignment horizontal="right" vertical="center" shrinkToFit="1"/>
    </xf>
    <xf numFmtId="49" fontId="40" fillId="19" borderId="111" xfId="16" applyNumberFormat="1" applyFont="1" applyFill="1" applyBorder="1" applyAlignment="1">
      <alignment horizontal="right" vertical="center" shrinkToFit="1"/>
    </xf>
    <xf numFmtId="49" fontId="40" fillId="19" borderId="20" xfId="16" applyNumberFormat="1" applyFont="1" applyFill="1" applyBorder="1" applyAlignment="1">
      <alignment horizontal="right" vertical="center" shrinkToFit="1"/>
    </xf>
    <xf numFmtId="42" fontId="66" fillId="0" borderId="247" xfId="17" applyFont="1" applyFill="1" applyBorder="1" applyAlignment="1">
      <alignment horizontal="center" vertical="center" shrinkToFit="1"/>
    </xf>
    <xf numFmtId="41" fontId="39" fillId="12" borderId="92" xfId="16" applyFont="1" applyFill="1" applyBorder="1" applyAlignment="1">
      <alignment vertical="center" shrinkToFit="1"/>
    </xf>
    <xf numFmtId="41" fontId="39" fillId="12" borderId="93" xfId="16" applyFont="1" applyFill="1" applyBorder="1" applyAlignment="1">
      <alignment vertical="center" shrinkToFit="1"/>
    </xf>
    <xf numFmtId="41" fontId="39" fillId="12" borderId="236" xfId="16" applyFont="1" applyFill="1" applyBorder="1" applyAlignment="1">
      <alignment vertical="center" shrinkToFit="1"/>
    </xf>
    <xf numFmtId="41" fontId="39" fillId="12" borderId="248" xfId="16" applyFont="1" applyFill="1" applyBorder="1" applyAlignment="1">
      <alignment vertical="center" shrinkToFit="1"/>
    </xf>
    <xf numFmtId="41" fontId="39" fillId="12" borderId="249" xfId="16" applyFont="1" applyFill="1" applyBorder="1" applyAlignment="1">
      <alignment vertical="center" shrinkToFit="1"/>
    </xf>
    <xf numFmtId="184" fontId="66" fillId="10" borderId="250" xfId="16" applyNumberFormat="1" applyFont="1" applyFill="1" applyBorder="1" applyAlignment="1">
      <alignment vertical="center" shrinkToFit="1"/>
    </xf>
    <xf numFmtId="184" fontId="70" fillId="0" borderId="0" xfId="15" applyNumberFormat="1" applyFont="1" applyAlignment="1">
      <alignment vertical="center"/>
    </xf>
    <xf numFmtId="0" fontId="75" fillId="19" borderId="109" xfId="0" applyFont="1" applyFill="1" applyBorder="1" applyAlignment="1">
      <alignment vertical="center" shrinkToFit="1"/>
    </xf>
    <xf numFmtId="0" fontId="75" fillId="19" borderId="63" xfId="0" applyFont="1" applyFill="1" applyBorder="1" applyAlignment="1">
      <alignment vertical="center" shrinkToFit="1"/>
    </xf>
    <xf numFmtId="0" fontId="44" fillId="19" borderId="63" xfId="15" applyFont="1" applyFill="1" applyBorder="1" applyAlignment="1">
      <alignment vertical="center" shrinkToFit="1"/>
    </xf>
    <xf numFmtId="0" fontId="75" fillId="0" borderId="63" xfId="15" applyFont="1" applyBorder="1" applyAlignment="1">
      <alignment vertical="center" shrinkToFit="1"/>
    </xf>
    <xf numFmtId="41" fontId="74" fillId="19" borderId="21" xfId="16" applyFont="1" applyFill="1" applyBorder="1" applyAlignment="1">
      <alignment horizontal="right" vertical="center" shrinkToFit="1"/>
    </xf>
    <xf numFmtId="3" fontId="73" fillId="19" borderId="21" xfId="15" applyNumberFormat="1" applyFont="1" applyFill="1" applyBorder="1" applyAlignment="1">
      <alignment horizontal="right" vertical="center" shrinkToFit="1"/>
    </xf>
    <xf numFmtId="0" fontId="72" fillId="19" borderId="109" xfId="0" applyFont="1" applyFill="1" applyBorder="1" applyAlignment="1">
      <alignment vertical="center" shrinkToFit="1"/>
    </xf>
    <xf numFmtId="0" fontId="72" fillId="19" borderId="63" xfId="0" applyFont="1" applyFill="1" applyBorder="1" applyAlignment="1">
      <alignment vertical="center" shrinkToFit="1"/>
    </xf>
    <xf numFmtId="41" fontId="76" fillId="0" borderId="84" xfId="16" applyFont="1" applyFill="1" applyBorder="1" applyAlignment="1">
      <alignment vertical="center" shrinkToFit="1"/>
    </xf>
    <xf numFmtId="0" fontId="77" fillId="0" borderId="0" xfId="15" applyFont="1" applyAlignment="1">
      <alignment horizontal="center" vertical="center" shrinkToFit="1"/>
    </xf>
    <xf numFmtId="41" fontId="77" fillId="0" borderId="0" xfId="16" applyFont="1" applyFill="1" applyBorder="1" applyAlignment="1">
      <alignment horizontal="right" vertical="center" shrinkToFit="1"/>
    </xf>
    <xf numFmtId="41" fontId="77" fillId="0" borderId="0" xfId="16" applyFont="1" applyFill="1" applyBorder="1" applyAlignment="1">
      <alignment vertical="center" shrinkToFit="1"/>
    </xf>
    <xf numFmtId="0" fontId="77" fillId="0" borderId="0" xfId="15" applyFont="1" applyAlignment="1">
      <alignment vertical="center"/>
    </xf>
    <xf numFmtId="41" fontId="59" fillId="0" borderId="0" xfId="16" applyFont="1" applyFill="1" applyBorder="1" applyAlignment="1">
      <alignment horizontal="center" vertical="center" shrinkToFit="1"/>
    </xf>
    <xf numFmtId="41" fontId="59" fillId="0" borderId="0" xfId="16" applyFont="1" applyFill="1" applyBorder="1" applyAlignment="1">
      <alignment horizontal="left" vertical="center" shrinkToFit="1"/>
    </xf>
    <xf numFmtId="41" fontId="63" fillId="0" borderId="0" xfId="16" applyFont="1" applyFill="1" applyBorder="1" applyAlignment="1">
      <alignment horizontal="right" vertical="center" shrinkToFit="1"/>
    </xf>
    <xf numFmtId="177" fontId="59" fillId="0" borderId="0" xfId="16" applyNumberFormat="1" applyFont="1" applyFill="1" applyBorder="1" applyAlignment="1">
      <alignment horizontal="center" vertical="center" shrinkToFit="1"/>
    </xf>
    <xf numFmtId="41" fontId="59" fillId="0" borderId="0" xfId="16" applyFont="1" applyFill="1" applyAlignment="1">
      <alignment vertical="center"/>
    </xf>
    <xf numFmtId="0" fontId="61" fillId="0" borderId="0" xfId="15" applyFont="1" applyAlignment="1">
      <alignment vertical="center" shrinkToFit="1"/>
    </xf>
    <xf numFmtId="0" fontId="78" fillId="0" borderId="0" xfId="15" applyFont="1" applyAlignment="1">
      <alignment vertical="center" shrinkToFit="1"/>
    </xf>
    <xf numFmtId="41" fontId="78" fillId="0" borderId="0" xfId="16" applyFont="1" applyFill="1" applyAlignment="1">
      <alignment horizontal="right" vertical="center" shrinkToFit="1"/>
    </xf>
    <xf numFmtId="184" fontId="78" fillId="0" borderId="0" xfId="15" applyNumberFormat="1" applyFont="1" applyAlignment="1">
      <alignment vertical="center" shrinkToFit="1"/>
    </xf>
    <xf numFmtId="0" fontId="78" fillId="0" borderId="0" xfId="15" applyFont="1" applyAlignment="1">
      <alignment vertical="center"/>
    </xf>
    <xf numFmtId="0" fontId="5" fillId="2" borderId="252" xfId="0" applyFont="1" applyFill="1" applyBorder="1" applyAlignment="1">
      <alignment horizontal="center" vertical="center"/>
    </xf>
    <xf numFmtId="0" fontId="5" fillId="2" borderId="253" xfId="0" applyFont="1" applyFill="1" applyBorder="1" applyAlignment="1">
      <alignment horizontal="center" vertical="center"/>
    </xf>
    <xf numFmtId="0" fontId="5" fillId="2" borderId="254" xfId="0" applyFont="1" applyFill="1" applyBorder="1" applyAlignment="1">
      <alignment horizontal="center" vertical="center"/>
    </xf>
    <xf numFmtId="0" fontId="71" fillId="19" borderId="25" xfId="15" applyFont="1" applyFill="1" applyBorder="1" applyAlignment="1">
      <alignment horizontal="center" vertical="center"/>
    </xf>
    <xf numFmtId="187" fontId="71" fillId="19" borderId="25" xfId="6" applyNumberFormat="1" applyFont="1" applyFill="1" applyBorder="1" applyAlignment="1">
      <alignment horizontal="center" vertical="center"/>
    </xf>
    <xf numFmtId="186" fontId="71" fillId="19" borderId="21" xfId="15" applyNumberFormat="1" applyFont="1" applyFill="1" applyBorder="1" applyAlignment="1">
      <alignment horizontal="right" vertical="center"/>
    </xf>
    <xf numFmtId="176" fontId="79" fillId="19" borderId="25" xfId="18" applyNumberFormat="1" applyFont="1" applyFill="1" applyBorder="1">
      <alignment vertical="center"/>
    </xf>
    <xf numFmtId="176" fontId="79" fillId="19" borderId="82" xfId="18" applyNumberFormat="1" applyFont="1" applyFill="1" applyBorder="1">
      <alignment vertical="center"/>
    </xf>
    <xf numFmtId="0" fontId="80" fillId="0" borderId="0" xfId="0" applyFont="1">
      <alignment vertical="center"/>
    </xf>
    <xf numFmtId="0" fontId="71" fillId="19" borderId="75" xfId="15" applyFont="1" applyFill="1" applyBorder="1" applyAlignment="1">
      <alignment horizontal="left" vertical="center"/>
    </xf>
    <xf numFmtId="187" fontId="71" fillId="19" borderId="25" xfId="0" applyNumberFormat="1" applyFont="1" applyFill="1" applyBorder="1" applyAlignment="1">
      <alignment horizontal="center" vertical="center"/>
    </xf>
    <xf numFmtId="186" fontId="71" fillId="19" borderId="18" xfId="15" applyNumberFormat="1" applyFont="1" applyFill="1" applyBorder="1" applyAlignment="1">
      <alignment horizontal="right" vertical="center"/>
    </xf>
    <xf numFmtId="41" fontId="80" fillId="0" borderId="255" xfId="16" applyFont="1" applyBorder="1">
      <alignment vertical="center"/>
    </xf>
    <xf numFmtId="41" fontId="80" fillId="0" borderId="25" xfId="16" applyFont="1" applyBorder="1">
      <alignment vertical="center"/>
    </xf>
    <xf numFmtId="41" fontId="79" fillId="19" borderId="25" xfId="16" applyFont="1" applyFill="1" applyBorder="1" applyAlignment="1">
      <alignment vertical="center"/>
    </xf>
    <xf numFmtId="41" fontId="79" fillId="19" borderId="82" xfId="16" applyFont="1" applyFill="1" applyBorder="1" applyAlignment="1">
      <alignment vertical="center"/>
    </xf>
    <xf numFmtId="0" fontId="5" fillId="0" borderId="252" xfId="0" applyFont="1" applyBorder="1">
      <alignment vertical="center"/>
    </xf>
    <xf numFmtId="0" fontId="5" fillId="0" borderId="253" xfId="0" applyFont="1" applyBorder="1">
      <alignment vertical="center"/>
    </xf>
    <xf numFmtId="41" fontId="5" fillId="0" borderId="253" xfId="16" applyFont="1" applyBorder="1" applyAlignment="1">
      <alignment horizontal="right" vertical="center"/>
    </xf>
    <xf numFmtId="0" fontId="84" fillId="0" borderId="0" xfId="0" applyFont="1">
      <alignment vertical="center"/>
    </xf>
    <xf numFmtId="41" fontId="5" fillId="0" borderId="0" xfId="16" applyFont="1" applyBorder="1" applyAlignment="1">
      <alignment horizontal="right" vertical="center"/>
    </xf>
    <xf numFmtId="41" fontId="0" fillId="0" borderId="0" xfId="16" applyFont="1" applyAlignment="1">
      <alignment horizontal="right" vertical="center"/>
    </xf>
    <xf numFmtId="0" fontId="71" fillId="0" borderId="84" xfId="15" applyFont="1" applyBorder="1" applyAlignment="1">
      <alignment horizontal="left" vertical="center" shrinkToFit="1"/>
    </xf>
    <xf numFmtId="186" fontId="71" fillId="0" borderId="240" xfId="15" applyNumberFormat="1" applyFont="1" applyBorder="1" applyAlignment="1">
      <alignment horizontal="right" vertical="center" shrinkToFit="1"/>
    </xf>
    <xf numFmtId="41" fontId="69" fillId="2" borderId="45" xfId="1" applyFont="1" applyFill="1" applyBorder="1" applyAlignment="1">
      <alignment horizontal="center" vertical="center"/>
    </xf>
    <xf numFmtId="0" fontId="85" fillId="19" borderId="25" xfId="15" applyFont="1" applyFill="1" applyBorder="1" applyAlignment="1">
      <alignment horizontal="center" vertical="center"/>
    </xf>
    <xf numFmtId="188" fontId="71" fillId="19" borderId="25" xfId="6" applyNumberFormat="1" applyFont="1" applyFill="1" applyBorder="1" applyAlignment="1">
      <alignment horizontal="center" vertical="center"/>
    </xf>
    <xf numFmtId="41" fontId="39" fillId="2" borderId="8" xfId="16" applyFont="1" applyFill="1" applyBorder="1" applyAlignment="1">
      <alignment horizontal="right" vertical="center" wrapText="1"/>
    </xf>
    <xf numFmtId="41" fontId="39" fillId="2" borderId="45" xfId="16" applyFont="1" applyFill="1" applyBorder="1" applyAlignment="1">
      <alignment horizontal="right" vertical="center" wrapText="1"/>
    </xf>
    <xf numFmtId="41" fontId="39" fillId="2" borderId="80" xfId="16" applyFont="1" applyFill="1" applyBorder="1" applyAlignment="1">
      <alignment horizontal="right" vertical="center" wrapText="1"/>
    </xf>
    <xf numFmtId="41" fontId="39" fillId="2" borderId="13" xfId="16" applyFont="1" applyFill="1" applyBorder="1" applyAlignment="1">
      <alignment horizontal="right" vertical="center" wrapText="1"/>
    </xf>
    <xf numFmtId="41" fontId="39" fillId="2" borderId="115" xfId="16" applyFont="1" applyFill="1" applyBorder="1" applyAlignment="1">
      <alignment horizontal="right" vertical="center" wrapText="1"/>
    </xf>
    <xf numFmtId="177" fontId="5" fillId="6" borderId="256" xfId="2" applyNumberFormat="1" applyFont="1" applyFill="1" applyBorder="1" applyAlignment="1">
      <alignment horizontal="center" vertical="center"/>
    </xf>
    <xf numFmtId="177" fontId="5" fillId="6" borderId="163" xfId="2" applyNumberFormat="1" applyFont="1" applyFill="1" applyBorder="1" applyAlignment="1">
      <alignment horizontal="center" vertical="center"/>
    </xf>
    <xf numFmtId="41" fontId="40" fillId="0" borderId="0" xfId="10" applyFont="1" applyAlignment="1">
      <alignment horizontal="right"/>
    </xf>
    <xf numFmtId="41" fontId="0" fillId="0" borderId="18" xfId="1" applyFont="1" applyBorder="1" applyProtection="1">
      <alignment vertical="center"/>
    </xf>
    <xf numFmtId="41" fontId="12" fillId="0" borderId="21" xfId="0" applyNumberFormat="1" applyFont="1" applyBorder="1">
      <alignment vertical="center"/>
    </xf>
    <xf numFmtId="0" fontId="86" fillId="2" borderId="45" xfId="0" applyFont="1" applyFill="1" applyBorder="1" applyAlignment="1">
      <alignment horizontal="center" vertical="center"/>
    </xf>
    <xf numFmtId="0" fontId="86" fillId="0" borderId="47" xfId="0" applyFont="1" applyBorder="1">
      <alignment vertical="center"/>
    </xf>
    <xf numFmtId="176" fontId="86" fillId="0" borderId="48" xfId="0" applyNumberFormat="1" applyFont="1" applyBorder="1">
      <alignment vertical="center"/>
    </xf>
    <xf numFmtId="0" fontId="86" fillId="0" borderId="49" xfId="0" applyFont="1" applyBorder="1">
      <alignment vertical="center"/>
    </xf>
    <xf numFmtId="176" fontId="86" fillId="0" borderId="25" xfId="0" applyNumberFormat="1" applyFont="1" applyBorder="1">
      <alignment vertical="center"/>
    </xf>
    <xf numFmtId="0" fontId="86" fillId="5" borderId="49" xfId="0" applyFont="1" applyFill="1" applyBorder="1">
      <alignment vertical="center"/>
    </xf>
    <xf numFmtId="176" fontId="86" fillId="5" borderId="25" xfId="0" applyNumberFormat="1" applyFont="1" applyFill="1" applyBorder="1">
      <alignment vertical="center"/>
    </xf>
    <xf numFmtId="0" fontId="87" fillId="6" borderId="50" xfId="0" applyFont="1" applyFill="1" applyBorder="1">
      <alignment vertical="center"/>
    </xf>
    <xf numFmtId="176" fontId="87" fillId="6" borderId="30" xfId="0" applyNumberFormat="1" applyFont="1" applyFill="1" applyBorder="1">
      <alignment vertical="center"/>
    </xf>
    <xf numFmtId="0" fontId="86" fillId="0" borderId="0" xfId="0" applyFont="1" applyAlignment="1">
      <alignment horizontal="center" vertical="center"/>
    </xf>
    <xf numFmtId="0" fontId="86" fillId="0" borderId="0" xfId="0" applyFont="1">
      <alignment vertical="center"/>
    </xf>
    <xf numFmtId="176" fontId="86" fillId="0" borderId="0" xfId="0" applyNumberFormat="1" applyFont="1">
      <alignment vertical="center"/>
    </xf>
    <xf numFmtId="0" fontId="87" fillId="0" borderId="0" xfId="0" applyFont="1">
      <alignment vertical="center"/>
    </xf>
    <xf numFmtId="176" fontId="0" fillId="5" borderId="30" xfId="0" applyNumberFormat="1" applyFill="1" applyBorder="1">
      <alignment vertical="center"/>
    </xf>
    <xf numFmtId="176" fontId="5" fillId="6" borderId="45" xfId="0" applyNumberFormat="1" applyFont="1" applyFill="1" applyBorder="1">
      <alignment vertical="center"/>
    </xf>
    <xf numFmtId="176" fontId="0" fillId="0" borderId="0" xfId="0" applyNumberFormat="1" applyAlignment="1">
      <alignment horizontal="right"/>
    </xf>
    <xf numFmtId="176" fontId="0" fillId="2" borderId="45" xfId="0" applyNumberFormat="1" applyFill="1" applyBorder="1" applyAlignment="1">
      <alignment horizontal="center" vertical="center"/>
    </xf>
    <xf numFmtId="176" fontId="12" fillId="0" borderId="48" xfId="0" applyNumberFormat="1" applyFont="1" applyBorder="1">
      <alignment vertical="center"/>
    </xf>
    <xf numFmtId="176" fontId="12" fillId="0" borderId="25" xfId="0" applyNumberFormat="1" applyFont="1" applyBorder="1">
      <alignment vertical="center"/>
    </xf>
    <xf numFmtId="176" fontId="0" fillId="0" borderId="51" xfId="0" applyNumberFormat="1" applyBorder="1">
      <alignment vertical="center"/>
    </xf>
    <xf numFmtId="0" fontId="37" fillId="0" borderId="0" xfId="9" applyAlignment="1">
      <alignment horizontal="right"/>
    </xf>
    <xf numFmtId="41" fontId="37" fillId="0" borderId="0" xfId="1" applyFont="1" applyAlignment="1">
      <alignment vertical="center"/>
    </xf>
    <xf numFmtId="176" fontId="0" fillId="0" borderId="175" xfId="0" applyNumberFormat="1" applyBorder="1">
      <alignment vertical="center"/>
    </xf>
    <xf numFmtId="176" fontId="0" fillId="0" borderId="164" xfId="0" applyNumberFormat="1" applyBorder="1">
      <alignment vertical="center"/>
    </xf>
    <xf numFmtId="176" fontId="0" fillId="0" borderId="180" xfId="0" applyNumberFormat="1" applyBorder="1">
      <alignment vertical="center"/>
    </xf>
    <xf numFmtId="176" fontId="0" fillId="0" borderId="170" xfId="2" applyNumberFormat="1" applyFont="1" applyBorder="1" applyAlignment="1">
      <alignment vertical="center"/>
    </xf>
    <xf numFmtId="176" fontId="0" fillId="0" borderId="164" xfId="2" applyNumberFormat="1" applyFont="1" applyBorder="1" applyAlignment="1">
      <alignment vertical="center"/>
    </xf>
    <xf numFmtId="176" fontId="0" fillId="0" borderId="76" xfId="2" applyNumberFormat="1" applyFont="1" applyBorder="1" applyAlignment="1">
      <alignment vertical="center"/>
    </xf>
    <xf numFmtId="176" fontId="0" fillId="0" borderId="48" xfId="2" applyNumberFormat="1" applyFont="1" applyBorder="1" applyAlignment="1">
      <alignment vertical="center"/>
    </xf>
    <xf numFmtId="176" fontId="0" fillId="0" borderId="81" xfId="2" applyNumberFormat="1" applyFont="1" applyBorder="1" applyAlignment="1">
      <alignment vertical="center"/>
    </xf>
    <xf numFmtId="176" fontId="0" fillId="0" borderId="176" xfId="0" applyNumberFormat="1" applyBorder="1">
      <alignment vertical="center"/>
    </xf>
    <xf numFmtId="176" fontId="0" fillId="0" borderId="165" xfId="0" applyNumberFormat="1" applyBorder="1">
      <alignment vertical="center"/>
    </xf>
    <xf numFmtId="176" fontId="0" fillId="0" borderId="181" xfId="0" applyNumberFormat="1" applyBorder="1">
      <alignment vertical="center"/>
    </xf>
    <xf numFmtId="176" fontId="0" fillId="0" borderId="77" xfId="0" applyNumberFormat="1" applyBorder="1">
      <alignment vertical="center"/>
    </xf>
    <xf numFmtId="176" fontId="0" fillId="0" borderId="171" xfId="2" applyNumberFormat="1" applyFont="1" applyBorder="1" applyAlignment="1">
      <alignment vertical="center"/>
    </xf>
    <xf numFmtId="176" fontId="0" fillId="0" borderId="165" xfId="2" applyNumberFormat="1" applyFont="1" applyBorder="1" applyAlignment="1">
      <alignment vertical="center"/>
    </xf>
    <xf numFmtId="176" fontId="0" fillId="0" borderId="77" xfId="2" applyNumberFormat="1" applyFont="1" applyBorder="1" applyAlignment="1">
      <alignment vertical="center"/>
    </xf>
    <xf numFmtId="176" fontId="0" fillId="0" borderId="25" xfId="2" applyNumberFormat="1" applyFont="1" applyBorder="1" applyAlignment="1">
      <alignment vertical="center"/>
    </xf>
    <xf numFmtId="176" fontId="0" fillId="0" borderId="82" xfId="2" applyNumberFormat="1" applyFont="1" applyBorder="1" applyAlignment="1">
      <alignment vertical="center"/>
    </xf>
    <xf numFmtId="176" fontId="0" fillId="5" borderId="52" xfId="0" applyNumberFormat="1" applyFill="1" applyBorder="1">
      <alignment vertical="center"/>
    </xf>
    <xf numFmtId="176" fontId="0" fillId="5" borderId="174" xfId="0" applyNumberFormat="1" applyFill="1" applyBorder="1">
      <alignment vertical="center"/>
    </xf>
    <xf numFmtId="176" fontId="0" fillId="5" borderId="166" xfId="0" applyNumberFormat="1" applyFill="1" applyBorder="1">
      <alignment vertical="center"/>
    </xf>
    <xf numFmtId="176" fontId="0" fillId="5" borderId="179" xfId="0" applyNumberFormat="1" applyFill="1" applyBorder="1">
      <alignment vertical="center"/>
    </xf>
    <xf numFmtId="176" fontId="0" fillId="5" borderId="50" xfId="0" applyNumberFormat="1" applyFill="1" applyBorder="1">
      <alignment vertical="center"/>
    </xf>
    <xf numFmtId="176" fontId="0" fillId="5" borderId="73" xfId="0" applyNumberFormat="1" applyFill="1" applyBorder="1">
      <alignment vertical="center"/>
    </xf>
    <xf numFmtId="176" fontId="0" fillId="5" borderId="27" xfId="0" applyNumberFormat="1" applyFill="1" applyBorder="1">
      <alignment vertical="center"/>
    </xf>
    <xf numFmtId="176" fontId="0" fillId="5" borderId="172" xfId="2" applyNumberFormat="1" applyFont="1" applyFill="1" applyBorder="1" applyAlignment="1">
      <alignment vertical="center"/>
    </xf>
    <xf numFmtId="176" fontId="0" fillId="5" borderId="166" xfId="2" applyNumberFormat="1" applyFont="1" applyFill="1" applyBorder="1" applyAlignment="1">
      <alignment vertical="center"/>
    </xf>
    <xf numFmtId="176" fontId="0" fillId="5" borderId="73" xfId="2" applyNumberFormat="1" applyFont="1" applyFill="1" applyBorder="1" applyAlignment="1">
      <alignment vertical="center"/>
    </xf>
    <xf numFmtId="176" fontId="0" fillId="5" borderId="30" xfId="2" applyNumberFormat="1" applyFont="1" applyFill="1" applyBorder="1" applyAlignment="1">
      <alignment vertical="center"/>
    </xf>
    <xf numFmtId="176" fontId="0" fillId="5" borderId="83" xfId="2" applyNumberFormat="1" applyFont="1" applyFill="1" applyBorder="1" applyAlignment="1">
      <alignment vertical="center"/>
    </xf>
    <xf numFmtId="176" fontId="0" fillId="0" borderId="58" xfId="0" applyNumberFormat="1" applyBorder="1">
      <alignment vertical="center"/>
    </xf>
    <xf numFmtId="176" fontId="0" fillId="0" borderId="177" xfId="0" applyNumberFormat="1" applyBorder="1">
      <alignment vertical="center"/>
    </xf>
    <xf numFmtId="176" fontId="0" fillId="0" borderId="167" xfId="0" applyNumberFormat="1" applyBorder="1">
      <alignment vertical="center"/>
    </xf>
    <xf numFmtId="176" fontId="0" fillId="0" borderId="182" xfId="0" applyNumberFormat="1" applyBorder="1">
      <alignment vertical="center"/>
    </xf>
    <xf numFmtId="176" fontId="0" fillId="0" borderId="46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47" xfId="2" applyNumberFormat="1" applyFont="1" applyBorder="1" applyAlignment="1">
      <alignment vertical="center"/>
    </xf>
    <xf numFmtId="176" fontId="0" fillId="0" borderId="167" xfId="2" applyNumberFormat="1" applyFont="1" applyBorder="1" applyAlignment="1">
      <alignment vertical="center"/>
    </xf>
    <xf numFmtId="176" fontId="0" fillId="0" borderId="13" xfId="2" applyNumberFormat="1" applyFont="1" applyBorder="1" applyAlignment="1">
      <alignment vertical="center"/>
    </xf>
    <xf numFmtId="176" fontId="0" fillId="0" borderId="45" xfId="2" applyNumberFormat="1" applyFont="1" applyBorder="1" applyAlignment="1">
      <alignment vertical="center"/>
    </xf>
    <xf numFmtId="176" fontId="0" fillId="0" borderId="80" xfId="2" applyNumberFormat="1" applyFont="1" applyBorder="1" applyAlignment="1">
      <alignment vertical="center"/>
    </xf>
    <xf numFmtId="176" fontId="0" fillId="0" borderId="178" xfId="0" applyNumberFormat="1" applyBorder="1">
      <alignment vertical="center"/>
    </xf>
    <xf numFmtId="176" fontId="0" fillId="0" borderId="168" xfId="0" applyNumberFormat="1" applyBorder="1">
      <alignment vertical="center"/>
    </xf>
    <xf numFmtId="176" fontId="0" fillId="0" borderId="183" xfId="0" applyNumberFormat="1" applyBorder="1">
      <alignment vertical="center"/>
    </xf>
    <xf numFmtId="176" fontId="0" fillId="0" borderId="78" xfId="0" applyNumberFormat="1" applyBorder="1">
      <alignment vertical="center"/>
    </xf>
    <xf numFmtId="176" fontId="0" fillId="0" borderId="173" xfId="2" applyNumberFormat="1" applyFont="1" applyBorder="1" applyAlignment="1">
      <alignment vertical="center"/>
    </xf>
    <xf numFmtId="176" fontId="0" fillId="0" borderId="168" xfId="2" applyNumberFormat="1" applyFont="1" applyBorder="1" applyAlignment="1">
      <alignment vertical="center"/>
    </xf>
    <xf numFmtId="176" fontId="0" fillId="0" borderId="78" xfId="2" applyNumberFormat="1" applyFont="1" applyBorder="1" applyAlignment="1">
      <alignment vertical="center"/>
    </xf>
    <xf numFmtId="176" fontId="0" fillId="0" borderId="63" xfId="2" applyNumberFormat="1" applyFont="1" applyBorder="1" applyAlignment="1">
      <alignment vertical="center"/>
    </xf>
    <xf numFmtId="176" fontId="0" fillId="0" borderId="84" xfId="2" applyNumberFormat="1" applyFont="1" applyBorder="1" applyAlignment="1">
      <alignment vertical="center"/>
    </xf>
    <xf numFmtId="176" fontId="5" fillId="6" borderId="58" xfId="0" applyNumberFormat="1" applyFont="1" applyFill="1" applyBorder="1">
      <alignment vertical="center"/>
    </xf>
    <xf numFmtId="176" fontId="5" fillId="6" borderId="177" xfId="0" applyNumberFormat="1" applyFont="1" applyFill="1" applyBorder="1">
      <alignment vertical="center"/>
    </xf>
    <xf numFmtId="176" fontId="5" fillId="6" borderId="169" xfId="0" applyNumberFormat="1" applyFont="1" applyFill="1" applyBorder="1">
      <alignment vertical="center"/>
    </xf>
    <xf numFmtId="176" fontId="5" fillId="6" borderId="182" xfId="0" applyNumberFormat="1" applyFont="1" applyFill="1" applyBorder="1">
      <alignment vertical="center"/>
    </xf>
    <xf numFmtId="176" fontId="5" fillId="6" borderId="46" xfId="0" applyNumberFormat="1" applyFont="1" applyFill="1" applyBorder="1">
      <alignment vertical="center"/>
    </xf>
    <xf numFmtId="176" fontId="5" fillId="6" borderId="13" xfId="0" applyNumberFormat="1" applyFont="1" applyFill="1" applyBorder="1">
      <alignment vertical="center"/>
    </xf>
    <xf numFmtId="176" fontId="5" fillId="6" borderId="9" xfId="0" applyNumberFormat="1" applyFont="1" applyFill="1" applyBorder="1">
      <alignment vertical="center"/>
    </xf>
    <xf numFmtId="176" fontId="5" fillId="6" borderId="147" xfId="2" applyNumberFormat="1" applyFont="1" applyFill="1" applyBorder="1" applyAlignment="1">
      <alignment vertical="center"/>
    </xf>
    <xf numFmtId="176" fontId="5" fillId="6" borderId="169" xfId="2" applyNumberFormat="1" applyFont="1" applyFill="1" applyBorder="1" applyAlignment="1">
      <alignment vertical="center"/>
    </xf>
    <xf numFmtId="176" fontId="5" fillId="6" borderId="13" xfId="2" applyNumberFormat="1" applyFont="1" applyFill="1" applyBorder="1" applyAlignment="1">
      <alignment vertical="center"/>
    </xf>
    <xf numFmtId="176" fontId="5" fillId="6" borderId="45" xfId="2" applyNumberFormat="1" applyFont="1" applyFill="1" applyBorder="1" applyAlignment="1">
      <alignment vertical="center"/>
    </xf>
    <xf numFmtId="176" fontId="5" fillId="6" borderId="80" xfId="2" applyNumberFormat="1" applyFont="1" applyFill="1" applyBorder="1" applyAlignment="1">
      <alignment vertical="center"/>
    </xf>
    <xf numFmtId="176" fontId="0" fillId="0" borderId="0" xfId="1" applyNumberFormat="1" applyFont="1">
      <alignment vertical="center"/>
    </xf>
    <xf numFmtId="176" fontId="5" fillId="6" borderId="163" xfId="0" applyNumberFormat="1" applyFont="1" applyFill="1" applyBorder="1">
      <alignment vertical="center"/>
    </xf>
    <xf numFmtId="176" fontId="5" fillId="6" borderId="256" xfId="0" applyNumberFormat="1" applyFont="1" applyFill="1" applyBorder="1">
      <alignment vertical="center"/>
    </xf>
    <xf numFmtId="176" fontId="5" fillId="6" borderId="256" xfId="2" applyNumberFormat="1" applyFont="1" applyFill="1" applyBorder="1" applyAlignment="1">
      <alignment vertical="center"/>
    </xf>
    <xf numFmtId="176" fontId="0" fillId="0" borderId="23" xfId="1" applyNumberFormat="1" applyFont="1" applyBorder="1" applyProtection="1">
      <alignment vertical="center"/>
    </xf>
    <xf numFmtId="0" fontId="24" fillId="0" borderId="0" xfId="5" applyFont="1" applyAlignment="1">
      <alignment horizontal="center" vertical="center"/>
    </xf>
    <xf numFmtId="0" fontId="55" fillId="0" borderId="0" xfId="5" applyFont="1" applyAlignment="1">
      <alignment horizontal="center" vertical="center"/>
    </xf>
    <xf numFmtId="0" fontId="18" fillId="0" borderId="0" xfId="5" applyFont="1" applyAlignment="1">
      <alignment horizontal="center" vertical="center"/>
    </xf>
    <xf numFmtId="0" fontId="56" fillId="0" borderId="117" xfId="5" applyFont="1" applyBorder="1" applyAlignment="1">
      <alignment horizontal="center" vertical="center" wrapText="1"/>
    </xf>
    <xf numFmtId="0" fontId="56" fillId="0" borderId="121" xfId="5" applyFont="1" applyBorder="1" applyAlignment="1">
      <alignment horizontal="center" vertical="center"/>
    </xf>
    <xf numFmtId="0" fontId="56" fillId="0" borderId="125" xfId="5" applyFont="1" applyBorder="1" applyAlignment="1">
      <alignment horizontal="center" vertical="center"/>
    </xf>
    <xf numFmtId="0" fontId="56" fillId="8" borderId="118" xfId="14" applyFont="1" applyFill="1" applyBorder="1" applyAlignment="1">
      <alignment horizontal="center" vertical="distributed"/>
    </xf>
    <xf numFmtId="0" fontId="56" fillId="8" borderId="119" xfId="14" applyFont="1" applyFill="1" applyBorder="1" applyAlignment="1">
      <alignment horizontal="center" vertical="distributed"/>
    </xf>
    <xf numFmtId="0" fontId="56" fillId="8" borderId="120" xfId="14" applyFont="1" applyFill="1" applyBorder="1" applyAlignment="1">
      <alignment horizontal="center" vertical="distributed"/>
    </xf>
    <xf numFmtId="0" fontId="7" fillId="4" borderId="43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0" fontId="0" fillId="0" borderId="229" xfId="0" applyBorder="1" applyAlignment="1">
      <alignment horizontal="center" vertical="center" wrapText="1"/>
    </xf>
    <xf numFmtId="0" fontId="0" fillId="0" borderId="130" xfId="0" applyBorder="1" applyAlignment="1">
      <alignment horizontal="center" vertical="center" wrapText="1"/>
    </xf>
    <xf numFmtId="0" fontId="0" fillId="0" borderId="201" xfId="0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6" fillId="2" borderId="45" xfId="0" applyFont="1" applyFill="1" applyBorder="1" applyAlignment="1">
      <alignment horizontal="center" vertical="center"/>
    </xf>
    <xf numFmtId="0" fontId="86" fillId="0" borderId="9" xfId="0" applyFont="1" applyBorder="1" applyAlignment="1">
      <alignment horizontal="center" vertical="center" wrapText="1"/>
    </xf>
    <xf numFmtId="0" fontId="86" fillId="0" borderId="9" xfId="0" applyFont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80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39" fillId="0" borderId="95" xfId="9" applyFont="1" applyBorder="1" applyAlignment="1">
      <alignment horizontal="center" vertical="center"/>
    </xf>
    <xf numFmtId="0" fontId="39" fillId="0" borderId="208" xfId="9" applyFont="1" applyBorder="1" applyAlignment="1">
      <alignment horizontal="center" vertical="center"/>
    </xf>
    <xf numFmtId="0" fontId="39" fillId="0" borderId="98" xfId="9" applyFont="1" applyBorder="1" applyAlignment="1">
      <alignment horizontal="center" vertical="center"/>
    </xf>
    <xf numFmtId="0" fontId="39" fillId="0" borderId="211" xfId="9" applyFont="1" applyBorder="1" applyAlignment="1">
      <alignment horizontal="center" vertical="center"/>
    </xf>
    <xf numFmtId="0" fontId="39" fillId="0" borderId="43" xfId="9" applyFont="1" applyBorder="1" applyAlignment="1">
      <alignment horizontal="center" vertical="center"/>
    </xf>
    <xf numFmtId="0" fontId="39" fillId="0" borderId="112" xfId="9" applyFont="1" applyBorder="1" applyAlignment="1">
      <alignment horizontal="center" vertical="center"/>
    </xf>
    <xf numFmtId="0" fontId="39" fillId="9" borderId="189" xfId="9" applyFont="1" applyFill="1" applyBorder="1" applyAlignment="1">
      <alignment horizontal="center" vertical="center"/>
    </xf>
    <xf numFmtId="0" fontId="39" fillId="9" borderId="190" xfId="9" applyFont="1" applyFill="1" applyBorder="1" applyAlignment="1">
      <alignment horizontal="center" vertical="center"/>
    </xf>
    <xf numFmtId="0" fontId="39" fillId="0" borderId="199" xfId="9" applyFont="1" applyBorder="1" applyAlignment="1">
      <alignment horizontal="center" vertical="center"/>
    </xf>
    <xf numFmtId="0" fontId="39" fillId="0" borderId="176" xfId="9" applyFont="1" applyBorder="1" applyAlignment="1">
      <alignment horizontal="center" vertical="center"/>
    </xf>
    <xf numFmtId="0" fontId="39" fillId="0" borderId="191" xfId="9" applyFont="1" applyBorder="1" applyAlignment="1">
      <alignment horizontal="center" vertical="center"/>
    </xf>
    <xf numFmtId="0" fontId="39" fillId="0" borderId="174" xfId="9" applyFont="1" applyBorder="1" applyAlignment="1">
      <alignment horizontal="center" vertical="center"/>
    </xf>
    <xf numFmtId="0" fontId="39" fillId="0" borderId="205" xfId="9" applyFont="1" applyBorder="1" applyAlignment="1">
      <alignment horizontal="center" vertical="center"/>
    </xf>
    <xf numFmtId="0" fontId="39" fillId="0" borderId="206" xfId="9" applyFont="1" applyBorder="1" applyAlignment="1">
      <alignment horizontal="center" vertical="center"/>
    </xf>
    <xf numFmtId="0" fontId="39" fillId="0" borderId="193" xfId="9" applyFont="1" applyBorder="1" applyAlignment="1">
      <alignment horizontal="center" vertical="center" wrapText="1"/>
    </xf>
    <xf numFmtId="0" fontId="39" fillId="9" borderId="184" xfId="9" applyFont="1" applyFill="1" applyBorder="1" applyAlignment="1">
      <alignment horizontal="center" vertical="center"/>
    </xf>
    <xf numFmtId="0" fontId="39" fillId="9" borderId="185" xfId="9" applyFont="1" applyFill="1" applyBorder="1" applyAlignment="1">
      <alignment horizontal="center" vertical="center"/>
    </xf>
    <xf numFmtId="0" fontId="39" fillId="9" borderId="191" xfId="9" applyFont="1" applyFill="1" applyBorder="1" applyAlignment="1">
      <alignment horizontal="center" vertical="center"/>
    </xf>
    <xf numFmtId="0" fontId="39" fillId="9" borderId="174" xfId="9" applyFont="1" applyFill="1" applyBorder="1" applyAlignment="1">
      <alignment horizontal="center" vertical="center"/>
    </xf>
    <xf numFmtId="0" fontId="39" fillId="9" borderId="186" xfId="9" applyFont="1" applyFill="1" applyBorder="1" applyAlignment="1">
      <alignment horizontal="center" vertical="center"/>
    </xf>
    <xf numFmtId="0" fontId="39" fillId="9" borderId="187" xfId="9" applyFont="1" applyFill="1" applyBorder="1" applyAlignment="1">
      <alignment horizontal="center" vertical="center"/>
    </xf>
    <xf numFmtId="0" fontId="39" fillId="9" borderId="188" xfId="9" applyFont="1" applyFill="1" applyBorder="1" applyAlignment="1">
      <alignment horizontal="center" vertical="center"/>
    </xf>
    <xf numFmtId="183" fontId="39" fillId="0" borderId="51" xfId="9" applyNumberFormat="1" applyFont="1" applyBorder="1" applyAlignment="1">
      <alignment horizontal="center" vertical="center" wrapText="1"/>
    </xf>
    <xf numFmtId="183" fontId="39" fillId="0" borderId="85" xfId="9" applyNumberFormat="1" applyFont="1" applyBorder="1" applyAlignment="1">
      <alignment horizontal="center" vertical="center" wrapText="1"/>
    </xf>
    <xf numFmtId="183" fontId="39" fillId="0" borderId="32" xfId="9" applyNumberFormat="1" applyFont="1" applyBorder="1" applyAlignment="1">
      <alignment horizontal="center" vertical="center" wrapText="1"/>
    </xf>
    <xf numFmtId="0" fontId="40" fillId="0" borderId="22" xfId="0" applyFont="1" applyBorder="1" applyAlignment="1">
      <alignment horizontal="center" vertical="center" shrinkToFit="1"/>
    </xf>
    <xf numFmtId="0" fontId="40" fillId="0" borderId="219" xfId="0" applyFont="1" applyBorder="1" applyAlignment="1">
      <alignment horizontal="center" vertical="center" shrinkToFit="1"/>
    </xf>
    <xf numFmtId="0" fontId="39" fillId="6" borderId="45" xfId="9" applyFont="1" applyFill="1" applyBorder="1" applyAlignment="1">
      <alignment horizontal="center" vertical="center"/>
    </xf>
    <xf numFmtId="0" fontId="39" fillId="6" borderId="80" xfId="9" applyFont="1" applyFill="1" applyBorder="1" applyAlignment="1">
      <alignment horizontal="center" vertical="center"/>
    </xf>
    <xf numFmtId="0" fontId="40" fillId="0" borderId="51" xfId="9" applyFont="1" applyBorder="1" applyAlignment="1">
      <alignment horizontal="center" vertical="center"/>
    </xf>
    <xf numFmtId="0" fontId="40" fillId="0" borderId="85" xfId="9" applyFont="1" applyBorder="1" applyAlignment="1">
      <alignment horizontal="center" vertical="center"/>
    </xf>
    <xf numFmtId="0" fontId="40" fillId="0" borderId="41" xfId="9" applyFont="1" applyBorder="1" applyAlignment="1">
      <alignment horizontal="center" vertical="center"/>
    </xf>
    <xf numFmtId="0" fontId="39" fillId="0" borderId="21" xfId="9" applyFont="1" applyBorder="1" applyAlignment="1">
      <alignment horizontal="center" vertical="center"/>
    </xf>
    <xf numFmtId="0" fontId="39" fillId="0" borderId="25" xfId="9" applyFont="1" applyBorder="1" applyAlignment="1">
      <alignment horizontal="center" vertical="center"/>
    </xf>
    <xf numFmtId="0" fontId="39" fillId="0" borderId="63" xfId="9" applyFont="1" applyBorder="1" applyAlignment="1">
      <alignment horizontal="center" vertical="center"/>
    </xf>
    <xf numFmtId="0" fontId="39" fillId="0" borderId="75" xfId="9" applyFont="1" applyBorder="1" applyAlignment="1">
      <alignment horizontal="center" vertical="center"/>
    </xf>
    <xf numFmtId="0" fontId="39" fillId="0" borderId="9" xfId="9" applyFont="1" applyBorder="1" applyAlignment="1">
      <alignment horizontal="left" vertical="center"/>
    </xf>
    <xf numFmtId="0" fontId="39" fillId="0" borderId="10" xfId="9" applyFont="1" applyBorder="1" applyAlignment="1">
      <alignment horizontal="left" vertical="center"/>
    </xf>
    <xf numFmtId="0" fontId="40" fillId="0" borderId="30" xfId="9" applyFont="1" applyBorder="1" applyAlignment="1">
      <alignment horizontal="center" vertical="center"/>
    </xf>
    <xf numFmtId="0" fontId="40" fillId="0" borderId="83" xfId="9" applyFont="1" applyBorder="1" applyAlignment="1">
      <alignment horizontal="center" vertical="center"/>
    </xf>
    <xf numFmtId="0" fontId="39" fillId="0" borderId="10" xfId="9" applyFont="1" applyBorder="1" applyAlignment="1">
      <alignment horizontal="center" vertical="center"/>
    </xf>
    <xf numFmtId="0" fontId="39" fillId="0" borderId="220" xfId="9" applyFont="1" applyBorder="1" applyAlignment="1">
      <alignment horizontal="center" vertical="center"/>
    </xf>
    <xf numFmtId="0" fontId="40" fillId="0" borderId="54" xfId="0" applyFont="1" applyBorder="1" applyAlignment="1">
      <alignment horizontal="center" vertical="center"/>
    </xf>
    <xf numFmtId="0" fontId="40" fillId="0" borderId="217" xfId="0" applyFont="1" applyBorder="1" applyAlignment="1">
      <alignment horizontal="center" vertical="center"/>
    </xf>
    <xf numFmtId="0" fontId="40" fillId="0" borderId="56" xfId="0" applyFont="1" applyBorder="1" applyAlignment="1">
      <alignment horizontal="center" vertical="center"/>
    </xf>
    <xf numFmtId="0" fontId="40" fillId="0" borderId="218" xfId="0" applyFont="1" applyBorder="1" applyAlignment="1">
      <alignment horizontal="center" vertical="center"/>
    </xf>
    <xf numFmtId="0" fontId="63" fillId="15" borderId="230" xfId="15" applyFont="1" applyFill="1" applyBorder="1" applyAlignment="1">
      <alignment horizontal="center" vertical="center"/>
    </xf>
    <xf numFmtId="0" fontId="63" fillId="15" borderId="91" xfId="15" applyFont="1" applyFill="1" applyBorder="1" applyAlignment="1">
      <alignment horizontal="center" vertical="center"/>
    </xf>
    <xf numFmtId="0" fontId="63" fillId="15" borderId="43" xfId="15" applyFont="1" applyFill="1" applyBorder="1" applyAlignment="1">
      <alignment horizontal="center" vertical="center"/>
    </xf>
    <xf numFmtId="0" fontId="63" fillId="15" borderId="212" xfId="15" applyFont="1" applyFill="1" applyBorder="1" applyAlignment="1">
      <alignment horizontal="center" vertical="center"/>
    </xf>
    <xf numFmtId="0" fontId="64" fillId="16" borderId="231" xfId="15" applyFont="1" applyFill="1" applyBorder="1" applyAlignment="1">
      <alignment horizontal="center" vertical="center"/>
    </xf>
    <xf numFmtId="0" fontId="64" fillId="16" borderId="90" xfId="15" applyFont="1" applyFill="1" applyBorder="1" applyAlignment="1">
      <alignment horizontal="center" vertical="center"/>
    </xf>
    <xf numFmtId="0" fontId="64" fillId="16" borderId="232" xfId="15" applyFont="1" applyFill="1" applyBorder="1" applyAlignment="1">
      <alignment horizontal="center" vertical="center"/>
    </xf>
    <xf numFmtId="0" fontId="64" fillId="16" borderId="233" xfId="15" applyFont="1" applyFill="1" applyBorder="1" applyAlignment="1">
      <alignment horizontal="center" vertical="center"/>
    </xf>
    <xf numFmtId="0" fontId="64" fillId="16" borderId="234" xfId="15" applyFont="1" applyFill="1" applyBorder="1" applyAlignment="1">
      <alignment horizontal="center" vertical="center"/>
    </xf>
    <xf numFmtId="184" fontId="63" fillId="2" borderId="235" xfId="15" applyNumberFormat="1" applyFont="1" applyFill="1" applyBorder="1" applyAlignment="1">
      <alignment horizontal="center" vertical="center" wrapText="1"/>
    </xf>
    <xf numFmtId="184" fontId="63" fillId="2" borderId="237" xfId="15" applyNumberFormat="1" applyFont="1" applyFill="1" applyBorder="1" applyAlignment="1">
      <alignment horizontal="center" vertical="center" wrapText="1"/>
    </xf>
    <xf numFmtId="0" fontId="65" fillId="0" borderId="1" xfId="15" applyFont="1" applyBorder="1" applyAlignment="1">
      <alignment horizontal="center" vertical="center" wrapText="1"/>
    </xf>
    <xf numFmtId="0" fontId="65" fillId="0" borderId="6" xfId="15" applyFont="1" applyBorder="1" applyAlignment="1">
      <alignment horizontal="center" vertical="center" wrapText="1"/>
    </xf>
    <xf numFmtId="0" fontId="65" fillId="0" borderId="14" xfId="15" applyFont="1" applyBorder="1" applyAlignment="1">
      <alignment horizontal="center" vertical="center" wrapText="1"/>
    </xf>
    <xf numFmtId="49" fontId="66" fillId="12" borderId="89" xfId="15" applyNumberFormat="1" applyFont="1" applyFill="1" applyBorder="1" applyAlignment="1">
      <alignment horizontal="center" vertical="center" wrapText="1"/>
    </xf>
    <xf numFmtId="49" fontId="66" fillId="12" borderId="99" xfId="15" applyNumberFormat="1" applyFont="1" applyFill="1" applyBorder="1" applyAlignment="1">
      <alignment horizontal="center" vertical="center" wrapText="1"/>
    </xf>
    <xf numFmtId="49" fontId="66" fillId="12" borderId="33" xfId="15" applyNumberFormat="1" applyFont="1" applyFill="1" applyBorder="1" applyAlignment="1">
      <alignment horizontal="center" vertical="center" wrapText="1"/>
    </xf>
    <xf numFmtId="0" fontId="65" fillId="0" borderId="235" xfId="15" applyFont="1" applyBorder="1" applyAlignment="1">
      <alignment horizontal="center" vertical="center" shrinkToFit="1"/>
    </xf>
    <xf numFmtId="0" fontId="65" fillId="0" borderId="246" xfId="15" applyFont="1" applyBorder="1" applyAlignment="1">
      <alignment horizontal="center" vertical="center" shrinkToFit="1"/>
    </xf>
    <xf numFmtId="0" fontId="65" fillId="0" borderId="237" xfId="15" applyFont="1" applyBorder="1" applyAlignment="1">
      <alignment horizontal="center" vertical="center" shrinkToFit="1"/>
    </xf>
    <xf numFmtId="49" fontId="66" fillId="12" borderId="91" xfId="15" applyNumberFormat="1" applyFont="1" applyFill="1" applyBorder="1" applyAlignment="1">
      <alignment horizontal="center" vertical="center" wrapText="1" shrinkToFit="1"/>
    </xf>
    <xf numFmtId="49" fontId="66" fillId="12" borderId="210" xfId="15" applyNumberFormat="1" applyFont="1" applyFill="1" applyBorder="1" applyAlignment="1">
      <alignment horizontal="center" vertical="center" shrinkToFit="1"/>
    </xf>
    <xf numFmtId="42" fontId="66" fillId="0" borderId="91" xfId="17" applyFont="1" applyFill="1" applyBorder="1" applyAlignment="1">
      <alignment horizontal="center" vertical="center" wrapText="1" shrinkToFit="1"/>
    </xf>
    <xf numFmtId="42" fontId="66" fillId="0" borderId="210" xfId="17" applyFont="1" applyFill="1" applyBorder="1" applyAlignment="1">
      <alignment horizontal="center" vertical="center" shrinkToFit="1"/>
    </xf>
    <xf numFmtId="42" fontId="66" fillId="0" borderId="251" xfId="17" applyFont="1" applyFill="1" applyBorder="1" applyAlignment="1">
      <alignment horizontal="center" vertical="center" shrinkToFit="1"/>
    </xf>
  </cellXfs>
  <cellStyles count="19">
    <cellStyle name="백분율" xfId="2" builtinId="5"/>
    <cellStyle name="백분율 8" xfId="4" xr:uid="{00000000-0005-0000-0000-000001000000}"/>
    <cellStyle name="쉼표 [0]" xfId="1" builtinId="6"/>
    <cellStyle name="쉼표 [0] 10" xfId="16" xr:uid="{848D3DC4-1342-496F-A23B-A80DA5F36E8E}"/>
    <cellStyle name="쉼표 [0] 2" xfId="7" xr:uid="{00000000-0005-0000-0000-000003000000}"/>
    <cellStyle name="쉼표 [0] 2 2" xfId="13" xr:uid="{00000000-0005-0000-0000-000004000000}"/>
    <cellStyle name="쉼표 [0] 5" xfId="11" xr:uid="{00000000-0005-0000-0000-000005000000}"/>
    <cellStyle name="쉼표 [0] 7" xfId="10" xr:uid="{00000000-0005-0000-0000-000006000000}"/>
    <cellStyle name="콤마(0)_임원회의자료(현황자료)0628" xfId="15" xr:uid="{FC00F00E-254B-49E1-B350-0C57B94D97D8}"/>
    <cellStyle name="통화 [0] 2" xfId="17" xr:uid="{C5634C2C-46C7-43C8-AB02-1FD27FE2E949}"/>
    <cellStyle name="표준" xfId="0" builtinId="0"/>
    <cellStyle name="표준 10" xfId="9" xr:uid="{00000000-0005-0000-0000-000008000000}"/>
    <cellStyle name="표준 12" xfId="3" xr:uid="{00000000-0005-0000-0000-000009000000}"/>
    <cellStyle name="표준 2" xfId="8" xr:uid="{00000000-0005-0000-0000-00000A000000}"/>
    <cellStyle name="표준 2 3" xfId="14" xr:uid="{00000000-0005-0000-0000-00000B000000}"/>
    <cellStyle name="표준 3" xfId="6" xr:uid="{00000000-0005-0000-0000-00000C000000}"/>
    <cellStyle name="표준 3 3" xfId="12" xr:uid="{00000000-0005-0000-0000-00000D000000}"/>
    <cellStyle name="표준 9" xfId="18" xr:uid="{90959631-4AE4-4164-91BC-CE2AEFCB8715}"/>
    <cellStyle name="표준_99전망" xfId="5" xr:uid="{00000000-0005-0000-0000-00000E000000}"/>
  </cellStyles>
  <dxfs count="6">
    <dxf>
      <fill>
        <patternFill patternType="darkUp">
          <bgColor theme="2" tint="-9.9948118533890809E-2"/>
        </patternFill>
      </fill>
    </dxf>
    <dxf>
      <fill>
        <patternFill patternType="darkUp">
          <bgColor theme="2" tint="-9.9948118533890809E-2"/>
        </patternFill>
      </fill>
    </dxf>
    <dxf>
      <fill>
        <patternFill patternType="darkUp">
          <bgColor theme="2" tint="-9.9948118533890809E-2"/>
        </patternFill>
      </fill>
    </dxf>
    <dxf>
      <fill>
        <patternFill patternType="darkUp">
          <bgColor theme="2" tint="-9.9948118533890809E-2"/>
        </patternFill>
      </fill>
    </dxf>
    <dxf>
      <fill>
        <patternFill patternType="darkUp">
          <bgColor theme="2" tint="-9.9948118533890809E-2"/>
        </patternFill>
      </fill>
    </dxf>
    <dxf>
      <fill>
        <patternFill patternType="darkUp"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1</xdr:row>
      <xdr:rowOff>130176</xdr:rowOff>
    </xdr:from>
    <xdr:to>
      <xdr:col>13</xdr:col>
      <xdr:colOff>238125</xdr:colOff>
      <xdr:row>2</xdr:row>
      <xdr:rowOff>200279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962275" y="673101"/>
          <a:ext cx="8048625" cy="851153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100584" tIns="68580" rIns="100584" bIns="68580" anchor="ctr" upright="1"/>
        <a:lstStyle/>
        <a:p>
          <a:pPr algn="ctr" rtl="0">
            <a:defRPr sz="1000"/>
          </a:pPr>
          <a:r>
            <a:rPr lang="ko-KR" altLang="en-US" sz="4000" b="1" i="0" strike="noStrike" baseline="0">
              <a:solidFill>
                <a:srgbClr val="000000"/>
              </a:solidFill>
              <a:latin typeface="가을체"/>
            </a:rPr>
            <a:t>수요개발 </a:t>
          </a:r>
          <a:r>
            <a:rPr lang="ko-KR" altLang="en-US" sz="4000" b="1" i="0" strike="noStrike">
              <a:solidFill>
                <a:srgbClr val="000000"/>
              </a:solidFill>
              <a:latin typeface="가을체"/>
            </a:rPr>
            <a:t>사업계획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695325</xdr:colOff>
          <xdr:row>1</xdr:row>
          <xdr:rowOff>228600</xdr:rowOff>
        </xdr:from>
        <xdr:to>
          <xdr:col>5</xdr:col>
          <xdr:colOff>752475</xdr:colOff>
          <xdr:row>2</xdr:row>
          <xdr:rowOff>95250</xdr:rowOff>
        </xdr:to>
        <xdr:sp macro="" textlink="">
          <xdr:nvSpPr>
            <xdr:cNvPr id="22529" name="Picture 3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828674</xdr:colOff>
          <xdr:row>28</xdr:row>
          <xdr:rowOff>57711</xdr:rowOff>
        </xdr:from>
        <xdr:to>
          <xdr:col>10</xdr:col>
          <xdr:colOff>371474</xdr:colOff>
          <xdr:row>34</xdr:row>
          <xdr:rowOff>572061</xdr:rowOff>
        </xdr:to>
        <xdr:pic>
          <xdr:nvPicPr>
            <xdr:cNvPr id="4" name="그림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T$33:$X$37" spid="_x0000_s2279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19649" y="7439586"/>
              <a:ext cx="4514850" cy="19145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9688;&#50836;&#44060;&#48156;&#54016;/&#44592;&#54925;/0.%20work/1.%20&#49324;&#50629;&#44228;&#54925;/1.&#49324;&#50629;&#44228;&#54925;/&#49324;&#50629;&#44228;&#54925;_2025&#45380;/&#45817;&#52488;&#49324;&#50629;&#44228;&#54925;/&#54016;&#50836;&#52397;&#48143;&#51217;&#49688;/(240927)%202025&#45380;_&#49324;&#50629;&#44228;&#54925;_&#44277;&#46041;&#51452;&#53469;%20(&#54889;&#44305;&#49437;)_240927_ver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1.00%20---&#49324;&#50629;&#44228;&#54925;\1.2%20&#49324;&#50629;&#44228;&#54925;\&#45800;&#44592;&#49324;&#50629;&#44228;&#54925;\2008&#45380;&#49324;&#50629;&#44228;&#54925;\&#45817;&#52488;&#49324;&#50629;&#44228;&#54925;\&#49324;&#50629;&#44228;&#54925;\2007&#45380;&#49324;&#50629;&#44228;&#54925;\&#45817;&#52488;&#49324;&#50629;&#44228;&#54925;_2007\&#44288;&#47196;&#44228;&#54925;\&#44288;&#47196;&#49324;&#50629;&#44228;&#54925;(2007)-&#52572;&#513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2007&#45380;&#46020;/&#44288;&#47196;&#44277;&#49324;%20&#49324;&#50629;&#44228;&#54925;/2008&#45380;/&#45817;&#52488;&#49324;&#50629;&#44228;&#54925;/01-&#49324;&#50629;&#44228;&#54925;(2008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2-&#48376;&#48512;&#53804;&#51088;&#49849;&#51064;&#54788;&#54889;(&#44288;&#47196;&#47749;&#49464;-&#52572;&#49888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wner/LOCALS~1/Temp/&#49324;&#50629;&#44228;&#54925;(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사업계획총괄"/>
      <sheetName val="사업계획총괄(대비)"/>
      <sheetName val="2024년 실적"/>
      <sheetName val="2025년 계획"/>
      <sheetName val="중장기 계획(~2027년)"/>
      <sheetName val="실적 및 계획 리스트(2026년~2027년)"/>
      <sheetName val="계획 리스트(2028년~2029년)"/>
      <sheetName val="1. 계약실적(2023년)"/>
      <sheetName val="1. 피벗_계약실적(2023년)"/>
      <sheetName val="2. 공급실적(~2024.08)"/>
      <sheetName val="4. 이월량 및 공급전"/>
      <sheetName val="입주율 분석"/>
      <sheetName val="3-1) 입주율(2020.10~2021.12)"/>
      <sheetName val="3-2) 입주율(2021.4~2022.6)"/>
      <sheetName val="3-3) 입주율(2021.10~2022.12)"/>
      <sheetName val="3-3) 입주율(2022.1~2023.2)"/>
      <sheetName val="3-4) 입주율(2022.4~2023.6)"/>
      <sheetName val="3-5) 입주율(2022.10~2023.12)"/>
      <sheetName val="3-6) 입주율(2023.4~2024.3)"/>
      <sheetName val="3-7) 입주율(2023.10~2024.3)"/>
      <sheetName val="(240927) 2025년_사업계획_공동주택 (황광석)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흑표지"/>
      <sheetName val="수정내역"/>
      <sheetName val="사업계획요약"/>
      <sheetName val="표지"/>
      <sheetName val="사업개요"/>
      <sheetName val="계획총괄"/>
      <sheetName val="월별계획"/>
      <sheetName val="인상계획"/>
      <sheetName val="공사구간명세"/>
      <sheetName val="할증구간명세"/>
      <sheetName val="신규투자"/>
      <sheetName val="단가표"/>
      <sheetName val="결재란"/>
      <sheetName val="견출지양식"/>
    </sheetNames>
    <sheetDataSet>
      <sheetData sheetId="0" refreshError="1"/>
      <sheetData sheetId="1" refreshError="1"/>
      <sheetData sheetId="2" refreshError="1"/>
      <sheetData sheetId="3" refreshError="1">
        <row r="2">
          <cell r="A2">
            <v>2007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흑표지"/>
      <sheetName val="사업계획요약"/>
      <sheetName val="표지"/>
      <sheetName val="사업개요"/>
      <sheetName val="계획총괄"/>
      <sheetName val="월별계획"/>
      <sheetName val="인상계획"/>
      <sheetName val="공사구간명세"/>
      <sheetName val="할증구간명세"/>
      <sheetName val="신규투자"/>
      <sheetName val="공사구간명세 (당초)"/>
      <sheetName val="단가표"/>
      <sheetName val="결재란"/>
      <sheetName val="견출지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3">
          <cell r="D23">
            <v>9544500</v>
          </cell>
        </row>
        <row r="24">
          <cell r="D24">
            <v>7423500</v>
          </cell>
        </row>
        <row r="26">
          <cell r="D26">
            <v>720700</v>
          </cell>
        </row>
        <row r="27">
          <cell r="D27">
            <v>687300</v>
          </cell>
        </row>
        <row r="31">
          <cell r="D31">
            <v>52000000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842500</v>
          </cell>
          <cell r="B7">
            <v>674000</v>
          </cell>
          <cell r="C7">
            <v>555300</v>
          </cell>
          <cell r="D7">
            <v>469500</v>
          </cell>
          <cell r="E7">
            <v>543400</v>
          </cell>
          <cell r="F7">
            <v>617300</v>
          </cell>
          <cell r="G7">
            <v>489000</v>
          </cell>
          <cell r="H7">
            <v>423900</v>
          </cell>
          <cell r="I7">
            <v>352400</v>
          </cell>
          <cell r="J7">
            <v>316300</v>
          </cell>
          <cell r="K7">
            <v>316300</v>
          </cell>
          <cell r="L7">
            <v>316300</v>
          </cell>
          <cell r="M7">
            <v>592600</v>
          </cell>
          <cell r="N7">
            <v>484900</v>
          </cell>
          <cell r="O7">
            <v>404300</v>
          </cell>
          <cell r="P7">
            <v>354200</v>
          </cell>
          <cell r="Q7">
            <v>303200</v>
          </cell>
          <cell r="R7">
            <v>303200</v>
          </cell>
          <cell r="S7">
            <v>303200</v>
          </cell>
          <cell r="T7">
            <v>303200</v>
          </cell>
          <cell r="U7">
            <v>303200</v>
          </cell>
        </row>
      </sheetData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본계획"/>
      <sheetName val="기본계획 (2)"/>
      <sheetName val="관로종합명세"/>
      <sheetName val="인입관및시설투자"/>
      <sheetName val="현황"/>
      <sheetName val="현황 (실천사업계획기준)"/>
      <sheetName val="차수별현황"/>
      <sheetName val="공무팀_기본계획"/>
    </sheetNames>
    <sheetDataSet>
      <sheetData sheetId="0" refreshError="1"/>
      <sheetData sheetId="1" refreshError="1"/>
      <sheetData sheetId="2" refreshError="1">
        <row r="5">
          <cell r="H5">
            <v>4272864219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흑표지"/>
      <sheetName val="사업계획요약"/>
      <sheetName val="표지"/>
      <sheetName val="사업개요"/>
      <sheetName val="계획총괄"/>
      <sheetName val="공사구간명세"/>
      <sheetName val="월별계획"/>
      <sheetName val="할증구간명세"/>
      <sheetName val="신규투자"/>
      <sheetName val="인상계획"/>
      <sheetName val="단가표"/>
      <sheetName val="결재란"/>
      <sheetName val="견출지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A7">
            <v>909000</v>
          </cell>
          <cell r="B7">
            <v>727200</v>
          </cell>
          <cell r="C7">
            <v>599100</v>
          </cell>
          <cell r="D7">
            <v>506500</v>
          </cell>
          <cell r="E7">
            <v>586300</v>
          </cell>
          <cell r="F7">
            <v>666000</v>
          </cell>
          <cell r="G7">
            <v>527600</v>
          </cell>
          <cell r="H7">
            <v>431100</v>
          </cell>
          <cell r="I7">
            <v>369800</v>
          </cell>
          <cell r="J7">
            <v>341200</v>
          </cell>
          <cell r="K7">
            <v>341200</v>
          </cell>
          <cell r="L7">
            <v>341200</v>
          </cell>
          <cell r="M7">
            <v>608600</v>
          </cell>
          <cell r="N7">
            <v>512400</v>
          </cell>
          <cell r="O7">
            <v>427200</v>
          </cell>
          <cell r="P7">
            <v>377200</v>
          </cell>
          <cell r="Q7">
            <v>325500</v>
          </cell>
          <cell r="R7">
            <v>325500</v>
          </cell>
          <cell r="S7">
            <v>325500</v>
          </cell>
          <cell r="T7">
            <v>325500</v>
          </cell>
          <cell r="U7">
            <v>325500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X37"/>
  <sheetViews>
    <sheetView workbookViewId="0">
      <selection activeCell="B13" sqref="B13"/>
    </sheetView>
  </sheetViews>
  <sheetFormatPr defaultRowHeight="13.5"/>
  <cols>
    <col min="1" max="1" width="19.75" style="679" customWidth="1"/>
    <col min="2" max="17" width="10.875" style="679" customWidth="1"/>
    <col min="18" max="19" width="8.125" style="679" customWidth="1"/>
    <col min="20" max="20" width="6.25" style="679" bestFit="1" customWidth="1"/>
    <col min="21" max="24" width="13.25" style="679" customWidth="1"/>
    <col min="25" max="16384" width="9" style="679"/>
  </cols>
  <sheetData>
    <row r="1" spans="1:18" ht="42.75" customHeight="1">
      <c r="A1" s="410"/>
      <c r="B1" s="410"/>
      <c r="C1" s="410"/>
      <c r="D1" s="709" t="s">
        <v>221</v>
      </c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  <c r="R1" s="410"/>
    </row>
    <row r="2" spans="1:18" ht="61.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</row>
    <row r="3" spans="1:18" ht="34.5" customHeight="1">
      <c r="A3" s="412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</row>
    <row r="4" spans="1:18" ht="34.5" customHeight="1">
      <c r="A4" s="412"/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</row>
    <row r="5" spans="1:18" s="687" customFormat="1" ht="23.25" customHeight="1">
      <c r="A5" s="680"/>
      <c r="B5" s="681" t="s">
        <v>316</v>
      </c>
      <c r="C5" s="682"/>
      <c r="D5" s="683"/>
      <c r="E5" s="682"/>
      <c r="F5" s="681" t="s">
        <v>319</v>
      </c>
      <c r="G5" s="684"/>
      <c r="H5" s="685"/>
      <c r="I5" s="684"/>
      <c r="J5" s="686" t="s">
        <v>326</v>
      </c>
      <c r="K5" s="686"/>
      <c r="M5" s="684"/>
      <c r="N5" s="684"/>
      <c r="O5" s="684"/>
      <c r="P5" s="680"/>
      <c r="Q5" s="680"/>
      <c r="R5" s="680"/>
    </row>
    <row r="6" spans="1:18" s="687" customFormat="1" ht="23.25" customHeight="1">
      <c r="A6" s="680"/>
      <c r="B6" s="688"/>
      <c r="C6" s="682"/>
      <c r="D6" s="683"/>
      <c r="E6" s="682"/>
      <c r="F6" s="683" t="s">
        <v>320</v>
      </c>
      <c r="G6" s="684"/>
      <c r="H6" s="685"/>
      <c r="I6" s="684"/>
      <c r="J6" s="684" t="s">
        <v>327</v>
      </c>
      <c r="K6" s="684"/>
      <c r="M6" s="684"/>
      <c r="N6" s="684"/>
      <c r="O6" s="684"/>
      <c r="P6" s="680"/>
      <c r="Q6" s="680"/>
      <c r="R6" s="680"/>
    </row>
    <row r="7" spans="1:18" s="687" customFormat="1" ht="23.25" customHeight="1">
      <c r="A7" s="680"/>
      <c r="B7" s="689"/>
      <c r="C7" s="682"/>
      <c r="D7" s="683"/>
      <c r="E7" s="682"/>
      <c r="F7" s="683" t="s">
        <v>322</v>
      </c>
      <c r="G7" s="684"/>
      <c r="H7" s="685"/>
      <c r="I7" s="684"/>
      <c r="J7" s="684" t="s">
        <v>328</v>
      </c>
      <c r="K7" s="684"/>
      <c r="M7" s="684"/>
      <c r="N7" s="684"/>
      <c r="O7" s="684"/>
      <c r="P7" s="680"/>
      <c r="Q7" s="680"/>
      <c r="R7" s="680"/>
    </row>
    <row r="8" spans="1:18" s="687" customFormat="1" ht="23.25" customHeight="1">
      <c r="A8" s="680"/>
      <c r="B8" s="689"/>
      <c r="C8" s="682"/>
      <c r="D8" s="683"/>
      <c r="E8" s="682"/>
      <c r="F8" s="683"/>
      <c r="G8" s="684"/>
      <c r="H8" s="685"/>
      <c r="I8" s="684"/>
      <c r="J8" s="684"/>
      <c r="K8" s="684"/>
      <c r="M8" s="684"/>
      <c r="N8" s="684"/>
      <c r="O8" s="684"/>
      <c r="P8" s="680"/>
      <c r="Q8" s="680"/>
      <c r="R8" s="680"/>
    </row>
    <row r="9" spans="1:18" s="687" customFormat="1" ht="23.25" customHeight="1">
      <c r="A9" s="680"/>
      <c r="B9" s="689"/>
      <c r="C9" s="682"/>
      <c r="D9" s="683"/>
      <c r="E9" s="682"/>
      <c r="F9" s="683"/>
      <c r="G9" s="684"/>
      <c r="H9" s="685"/>
      <c r="I9" s="684"/>
      <c r="J9" s="684"/>
      <c r="K9" s="684"/>
      <c r="M9" s="684"/>
      <c r="N9" s="684"/>
      <c r="O9" s="684"/>
      <c r="P9" s="680"/>
      <c r="Q9" s="680"/>
      <c r="R9" s="680"/>
    </row>
    <row r="10" spans="1:18" s="687" customFormat="1" ht="23.25" customHeight="1">
      <c r="A10" s="680"/>
      <c r="B10" s="689"/>
      <c r="C10" s="682"/>
      <c r="D10" s="683"/>
      <c r="E10" s="682"/>
      <c r="F10" s="685"/>
      <c r="G10" s="684"/>
      <c r="H10" s="685"/>
      <c r="I10" s="684"/>
      <c r="J10" s="684"/>
      <c r="K10" s="684"/>
      <c r="M10" s="684"/>
      <c r="N10" s="684"/>
      <c r="O10" s="684"/>
      <c r="P10" s="680"/>
      <c r="Q10" s="680"/>
      <c r="R10" s="680"/>
    </row>
    <row r="11" spans="1:18" s="687" customFormat="1" ht="23.25" customHeight="1">
      <c r="A11" s="680"/>
      <c r="B11" s="681" t="s">
        <v>318</v>
      </c>
      <c r="C11" s="682"/>
      <c r="D11" s="683"/>
      <c r="E11" s="682"/>
      <c r="F11" s="681" t="s">
        <v>323</v>
      </c>
      <c r="G11" s="684"/>
      <c r="H11" s="685"/>
      <c r="I11" s="684"/>
      <c r="J11" s="681"/>
      <c r="K11" s="681"/>
      <c r="M11" s="684"/>
      <c r="N11" s="684"/>
      <c r="O11" s="684"/>
      <c r="P11" s="680"/>
      <c r="Q11" s="680"/>
      <c r="R11" s="680"/>
    </row>
    <row r="12" spans="1:18" s="687" customFormat="1" ht="23.25" customHeight="1">
      <c r="A12" s="680"/>
      <c r="B12" s="683" t="s">
        <v>321</v>
      </c>
      <c r="C12" s="682"/>
      <c r="D12" s="683"/>
      <c r="E12" s="682"/>
      <c r="F12" s="683" t="s">
        <v>324</v>
      </c>
      <c r="G12" s="684"/>
      <c r="H12" s="685"/>
      <c r="I12" s="684"/>
      <c r="J12" s="683"/>
      <c r="K12" s="683"/>
      <c r="M12" s="684"/>
      <c r="N12" s="684"/>
      <c r="O12" s="684"/>
      <c r="P12" s="680"/>
      <c r="Q12" s="680"/>
      <c r="R12" s="680"/>
    </row>
    <row r="13" spans="1:18" s="687" customFormat="1" ht="23.25" customHeight="1">
      <c r="A13" s="680"/>
      <c r="B13" s="683" t="s">
        <v>317</v>
      </c>
      <c r="C13" s="682"/>
      <c r="D13" s="683"/>
      <c r="E13" s="682"/>
      <c r="F13" s="683" t="s">
        <v>325</v>
      </c>
      <c r="G13" s="684"/>
      <c r="H13" s="685"/>
      <c r="I13" s="684"/>
      <c r="J13" s="683"/>
      <c r="K13" s="683"/>
      <c r="M13" s="684"/>
      <c r="N13" s="684"/>
      <c r="O13" s="684"/>
      <c r="P13" s="680"/>
      <c r="Q13" s="680"/>
      <c r="R13" s="680"/>
    </row>
    <row r="14" spans="1:18" s="687" customFormat="1" ht="23.25" customHeight="1">
      <c r="A14" s="680"/>
      <c r="B14" s="683"/>
      <c r="C14" s="682"/>
      <c r="D14" s="683"/>
      <c r="E14" s="682"/>
      <c r="F14" s="683" t="s">
        <v>308</v>
      </c>
      <c r="G14" s="684"/>
      <c r="H14" s="685"/>
      <c r="I14" s="684"/>
      <c r="J14" s="683"/>
      <c r="K14" s="683"/>
      <c r="M14" s="684"/>
      <c r="N14" s="684"/>
      <c r="O14" s="684"/>
      <c r="P14" s="680"/>
      <c r="Q14" s="680"/>
      <c r="R14" s="680"/>
    </row>
    <row r="15" spans="1:18" s="687" customFormat="1" ht="23.25" customHeight="1">
      <c r="A15" s="680"/>
      <c r="B15" s="683"/>
      <c r="C15" s="682"/>
      <c r="D15" s="683"/>
      <c r="E15" s="682"/>
      <c r="F15" s="685"/>
      <c r="G15" s="684"/>
      <c r="H15" s="685"/>
      <c r="I15" s="684"/>
      <c r="J15" s="683"/>
      <c r="K15" s="683"/>
      <c r="M15" s="684"/>
      <c r="N15" s="684"/>
      <c r="O15" s="684"/>
      <c r="P15" s="680"/>
      <c r="Q15" s="680"/>
      <c r="R15" s="680"/>
    </row>
    <row r="16" spans="1:18" s="687" customFormat="1" ht="23.25" customHeight="1">
      <c r="A16" s="680"/>
      <c r="B16" s="680"/>
      <c r="C16" s="680"/>
      <c r="D16" s="680"/>
      <c r="E16" s="690"/>
      <c r="F16" s="690"/>
      <c r="G16" s="690"/>
      <c r="H16" s="691"/>
      <c r="I16" s="690"/>
      <c r="J16" s="690"/>
      <c r="K16" s="680"/>
      <c r="L16" s="680"/>
      <c r="M16" s="680"/>
      <c r="N16" s="680"/>
      <c r="O16" s="680"/>
      <c r="P16" s="680"/>
      <c r="Q16" s="680"/>
      <c r="R16" s="680"/>
    </row>
    <row r="17" spans="1:22" s="687" customFormat="1" ht="23.25" hidden="1" customHeight="1">
      <c r="A17" s="680"/>
      <c r="B17" s="680"/>
      <c r="C17" s="680"/>
      <c r="D17" s="680"/>
      <c r="E17" s="690"/>
      <c r="F17" s="690"/>
      <c r="G17" s="690"/>
      <c r="H17" s="691"/>
      <c r="I17" s="690"/>
      <c r="J17" s="690"/>
      <c r="K17" s="680"/>
      <c r="L17" s="680"/>
      <c r="M17" s="680"/>
      <c r="N17" s="680"/>
      <c r="O17" s="680"/>
      <c r="P17" s="680"/>
      <c r="Q17" s="680"/>
      <c r="R17" s="680"/>
    </row>
    <row r="18" spans="1:22" s="687" customFormat="1" ht="23.25" hidden="1" customHeight="1">
      <c r="A18" s="680"/>
      <c r="B18" s="680"/>
      <c r="C18" s="680"/>
      <c r="D18" s="680"/>
      <c r="E18" s="690"/>
      <c r="F18" s="690"/>
      <c r="G18" s="690"/>
      <c r="H18" s="691"/>
      <c r="I18" s="690"/>
      <c r="J18" s="690"/>
      <c r="K18" s="680"/>
      <c r="L18" s="680"/>
      <c r="M18" s="680"/>
      <c r="N18" s="680"/>
      <c r="O18" s="680"/>
      <c r="P18" s="680"/>
      <c r="Q18" s="680"/>
      <c r="R18" s="680"/>
    </row>
    <row r="19" spans="1:22" s="687" customFormat="1" ht="23.25" hidden="1" customHeight="1">
      <c r="A19" s="680"/>
      <c r="B19" s="680"/>
      <c r="C19" s="680"/>
      <c r="D19" s="680"/>
      <c r="E19" s="690"/>
      <c r="F19" s="690"/>
      <c r="G19" s="690"/>
      <c r="H19" s="691"/>
      <c r="I19" s="690"/>
      <c r="J19" s="690"/>
      <c r="K19" s="680"/>
      <c r="L19" s="680"/>
      <c r="M19" s="680"/>
      <c r="N19" s="680"/>
      <c r="O19" s="680"/>
      <c r="P19" s="680"/>
      <c r="Q19" s="680"/>
      <c r="R19" s="680"/>
    </row>
    <row r="20" spans="1:22" s="687" customFormat="1" ht="23.25" hidden="1" customHeight="1">
      <c r="A20" s="680"/>
      <c r="B20" s="680"/>
      <c r="C20" s="680"/>
      <c r="D20" s="680"/>
      <c r="E20" s="690"/>
      <c r="F20" s="690"/>
      <c r="G20" s="690"/>
      <c r="H20" s="691"/>
      <c r="I20" s="690"/>
      <c r="J20" s="690"/>
      <c r="K20" s="680"/>
      <c r="L20" s="680"/>
      <c r="M20" s="680"/>
      <c r="N20" s="680"/>
      <c r="O20" s="680"/>
      <c r="P20" s="680"/>
      <c r="Q20" s="680"/>
      <c r="R20" s="680"/>
    </row>
    <row r="21" spans="1:22" s="687" customFormat="1" ht="23.25" hidden="1" customHeight="1">
      <c r="A21" s="680"/>
      <c r="B21" s="680"/>
      <c r="C21" s="680"/>
      <c r="D21" s="680"/>
      <c r="E21" s="690"/>
      <c r="F21" s="690"/>
      <c r="G21" s="690"/>
      <c r="H21" s="691"/>
      <c r="I21" s="690"/>
      <c r="J21" s="690"/>
      <c r="K21" s="680"/>
      <c r="L21" s="680"/>
      <c r="M21" s="680"/>
      <c r="N21" s="680"/>
      <c r="O21" s="680"/>
      <c r="P21" s="680"/>
      <c r="Q21" s="680"/>
      <c r="R21" s="680"/>
    </row>
    <row r="22" spans="1:22" s="687" customFormat="1" ht="23.25" hidden="1" customHeight="1">
      <c r="A22" s="680"/>
      <c r="B22" s="680"/>
      <c r="C22" s="680"/>
      <c r="D22" s="680"/>
      <c r="E22" s="690"/>
      <c r="F22" s="690"/>
      <c r="G22" s="690"/>
      <c r="H22" s="691"/>
      <c r="I22" s="690"/>
      <c r="J22" s="690"/>
      <c r="K22" s="680"/>
      <c r="L22" s="680"/>
      <c r="M22" s="680"/>
      <c r="N22" s="680"/>
      <c r="O22" s="680"/>
      <c r="P22" s="680"/>
      <c r="Q22" s="680"/>
      <c r="R22" s="680"/>
    </row>
    <row r="23" spans="1:22" s="687" customFormat="1" ht="23.25" hidden="1" customHeight="1">
      <c r="A23" s="680"/>
      <c r="B23" s="680"/>
      <c r="C23" s="680"/>
      <c r="D23" s="680"/>
      <c r="E23" s="690"/>
      <c r="F23" s="690"/>
      <c r="G23" s="690"/>
      <c r="H23" s="691"/>
      <c r="I23" s="690"/>
      <c r="J23" s="690"/>
      <c r="K23" s="680"/>
      <c r="L23" s="680"/>
      <c r="M23" s="680"/>
      <c r="N23" s="680"/>
      <c r="O23" s="680"/>
      <c r="P23" s="680"/>
      <c r="Q23" s="680"/>
      <c r="R23" s="680"/>
    </row>
    <row r="24" spans="1:22" s="687" customFormat="1" ht="23.25" customHeight="1">
      <c r="A24" s="680"/>
      <c r="B24" s="680"/>
      <c r="C24" s="680"/>
      <c r="D24" s="680"/>
      <c r="E24" s="690"/>
      <c r="F24" s="690"/>
      <c r="G24" s="690"/>
      <c r="H24" s="691"/>
      <c r="I24" s="690"/>
      <c r="J24" s="690"/>
      <c r="K24" s="680"/>
      <c r="L24" s="680"/>
      <c r="M24" s="680"/>
      <c r="N24" s="680"/>
      <c r="O24" s="680"/>
      <c r="P24" s="680"/>
      <c r="Q24" s="680"/>
      <c r="R24" s="680"/>
    </row>
    <row r="25" spans="1:22" s="695" customFormat="1" ht="23.25" customHeight="1">
      <c r="A25" s="692"/>
      <c r="B25" s="692"/>
      <c r="C25" s="692"/>
      <c r="D25" s="692"/>
      <c r="E25" s="693"/>
      <c r="F25" s="693"/>
      <c r="G25" s="693"/>
      <c r="H25" s="694"/>
      <c r="I25" s="693"/>
      <c r="J25" s="693"/>
      <c r="K25" s="692"/>
      <c r="L25" s="692"/>
      <c r="M25" s="692"/>
      <c r="N25" s="692"/>
      <c r="O25" s="692"/>
      <c r="P25" s="692"/>
      <c r="Q25" s="692"/>
      <c r="R25" s="692"/>
    </row>
    <row r="26" spans="1:22" s="696" customFormat="1" ht="23.25" customHeight="1">
      <c r="A26" s="1021" t="s">
        <v>331</v>
      </c>
      <c r="B26" s="1021"/>
      <c r="C26" s="1021"/>
      <c r="D26" s="1021"/>
      <c r="E26" s="1021"/>
      <c r="F26" s="1021"/>
      <c r="G26" s="1021"/>
      <c r="H26" s="1021"/>
      <c r="I26" s="1021"/>
      <c r="J26" s="1021"/>
      <c r="K26" s="1021"/>
      <c r="L26" s="1021"/>
      <c r="M26" s="1021"/>
      <c r="N26" s="1021"/>
      <c r="O26" s="1021"/>
      <c r="P26" s="1021"/>
      <c r="Q26" s="1021"/>
      <c r="R26" s="413"/>
      <c r="S26" s="414"/>
      <c r="T26" s="414"/>
      <c r="U26" s="414"/>
      <c r="V26" s="414"/>
    </row>
    <row r="27" spans="1:22" s="697" customFormat="1" ht="45">
      <c r="A27" s="1022" t="s">
        <v>309</v>
      </c>
      <c r="B27" s="1023"/>
      <c r="C27" s="1023"/>
      <c r="D27" s="1023"/>
      <c r="E27" s="1023"/>
      <c r="F27" s="1023"/>
      <c r="G27" s="1023"/>
      <c r="H27" s="1023"/>
      <c r="I27" s="1023"/>
      <c r="J27" s="1023"/>
      <c r="K27" s="1023"/>
      <c r="L27" s="1023"/>
      <c r="M27" s="1023"/>
      <c r="N27" s="1023"/>
      <c r="O27" s="1023"/>
      <c r="P27" s="1023"/>
      <c r="Q27" s="1023"/>
      <c r="R27" s="410"/>
      <c r="S27" s="410"/>
      <c r="T27" s="410"/>
      <c r="U27" s="410"/>
      <c r="V27" s="410"/>
    </row>
    <row r="28" spans="1:22" ht="14.25" customHeight="1">
      <c r="A28" s="415"/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5"/>
      <c r="R28" s="415"/>
      <c r="S28" s="415"/>
      <c r="T28" s="416"/>
      <c r="U28" s="416"/>
      <c r="V28" s="416"/>
    </row>
    <row r="29" spans="1:22" ht="14.25" customHeight="1">
      <c r="A29" s="415"/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5"/>
      <c r="S29" s="415"/>
      <c r="T29" s="416"/>
      <c r="U29" s="416"/>
      <c r="V29" s="416"/>
    </row>
    <row r="30" spans="1:22" ht="21" customHeight="1">
      <c r="A30" s="410"/>
      <c r="B30" s="410"/>
      <c r="C30" s="410"/>
      <c r="D30" s="410"/>
      <c r="E30" s="410"/>
      <c r="F30" s="410"/>
      <c r="G30" s="417"/>
      <c r="H30" s="418"/>
      <c r="I30" s="418"/>
      <c r="J30" s="418"/>
      <c r="K30" s="418"/>
      <c r="L30" s="417"/>
      <c r="M30" s="418"/>
      <c r="N30" s="418"/>
      <c r="O30" s="418"/>
      <c r="P30" s="418"/>
      <c r="Q30" s="418"/>
      <c r="R30" s="410"/>
    </row>
    <row r="32" spans="1:22" ht="14.25" thickBot="1"/>
    <row r="33" spans="20:24" ht="22.5" customHeight="1">
      <c r="T33" s="1024" t="s">
        <v>222</v>
      </c>
      <c r="U33" s="698" t="s">
        <v>310</v>
      </c>
      <c r="V33" s="1027" t="s">
        <v>311</v>
      </c>
      <c r="W33" s="1028"/>
      <c r="X33" s="1029"/>
    </row>
    <row r="34" spans="20:24" ht="24.75" customHeight="1">
      <c r="T34" s="1025"/>
      <c r="U34" s="699" t="s">
        <v>329</v>
      </c>
      <c r="V34" s="700" t="s">
        <v>329</v>
      </c>
      <c r="W34" s="701" t="s">
        <v>312</v>
      </c>
      <c r="X34" s="702" t="s">
        <v>223</v>
      </c>
    </row>
    <row r="35" spans="20:24" ht="57.75" customHeight="1">
      <c r="T35" s="1025"/>
      <c r="U35" s="703"/>
      <c r="V35" s="704"/>
      <c r="W35" s="704"/>
      <c r="X35" s="705"/>
    </row>
    <row r="36" spans="20:24" ht="22.5" customHeight="1">
      <c r="T36" s="1025"/>
      <c r="U36" s="699" t="s">
        <v>313</v>
      </c>
      <c r="V36" s="700" t="s">
        <v>314</v>
      </c>
      <c r="W36" s="700" t="s">
        <v>315</v>
      </c>
      <c r="X36" s="702" t="s">
        <v>330</v>
      </c>
    </row>
    <row r="37" spans="20:24" ht="23.25" customHeight="1" thickBot="1">
      <c r="T37" s="1026"/>
      <c r="U37" s="706" t="s">
        <v>224</v>
      </c>
      <c r="V37" s="707" t="s">
        <v>224</v>
      </c>
      <c r="W37" s="707" t="s">
        <v>224</v>
      </c>
      <c r="X37" s="708" t="s">
        <v>224</v>
      </c>
    </row>
  </sheetData>
  <mergeCells count="4">
    <mergeCell ref="A26:Q26"/>
    <mergeCell ref="A27:Q27"/>
    <mergeCell ref="T33:T37"/>
    <mergeCell ref="V33:X33"/>
  </mergeCells>
  <phoneticPr fontId="4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12" scale="80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22529" r:id="rId4">
          <objectPr defaultSize="0" autoFill="0" autoLine="0" autoPict="0" r:id="rId5">
            <anchor moveWithCells="1" sizeWithCells="1">
              <from>
                <xdr:col>4</xdr:col>
                <xdr:colOff>695325</xdr:colOff>
                <xdr:row>1</xdr:row>
                <xdr:rowOff>228600</xdr:rowOff>
              </from>
              <to>
                <xdr:col>5</xdr:col>
                <xdr:colOff>752475</xdr:colOff>
                <xdr:row>2</xdr:row>
                <xdr:rowOff>95250</xdr:rowOff>
              </to>
            </anchor>
          </objectPr>
        </oleObject>
      </mc:Choice>
      <mc:Fallback>
        <oleObject progId="PBrush" shapeId="22529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52"/>
  <sheetViews>
    <sheetView topLeftCell="B26" workbookViewId="0">
      <selection activeCell="O7" sqref="O7"/>
    </sheetView>
  </sheetViews>
  <sheetFormatPr defaultRowHeight="16.5"/>
  <cols>
    <col min="1" max="1" width="22.375" bestFit="1" customWidth="1"/>
    <col min="2" max="2" width="38.5" customWidth="1"/>
    <col min="4" max="4" width="9.375" bestFit="1" customWidth="1"/>
    <col min="5" max="5" width="9.5" customWidth="1"/>
    <col min="6" max="6" width="10.875" customWidth="1"/>
    <col min="21" max="21" width="10.75" customWidth="1"/>
    <col min="22" max="22" width="10.25" bestFit="1" customWidth="1"/>
  </cols>
  <sheetData>
    <row r="1" spans="1:22" ht="26.25">
      <c r="A1" s="535" t="s">
        <v>237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2" ht="17.25" customHeight="1" thickBot="1">
      <c r="S2" s="114"/>
      <c r="U2" t="s">
        <v>154</v>
      </c>
    </row>
    <row r="3" spans="1:22">
      <c r="A3" s="115" t="s">
        <v>155</v>
      </c>
      <c r="B3" s="116" t="s">
        <v>2</v>
      </c>
      <c r="C3" s="116" t="s">
        <v>212</v>
      </c>
      <c r="D3" s="252" t="s">
        <v>5</v>
      </c>
      <c r="E3" s="116" t="s">
        <v>212</v>
      </c>
      <c r="F3" s="119" t="s">
        <v>8</v>
      </c>
      <c r="G3" s="120" t="s">
        <v>157</v>
      </c>
      <c r="H3" s="121"/>
      <c r="I3" s="121"/>
      <c r="J3" s="121"/>
      <c r="K3" s="122"/>
      <c r="L3" s="123"/>
      <c r="M3" s="124"/>
      <c r="N3" s="125" t="s">
        <v>158</v>
      </c>
      <c r="O3" s="121"/>
      <c r="P3" s="121"/>
      <c r="Q3" s="121"/>
      <c r="R3" s="121"/>
      <c r="S3" s="122"/>
      <c r="T3" s="124"/>
      <c r="U3" s="126" t="s">
        <v>5</v>
      </c>
    </row>
    <row r="4" spans="1:22" ht="17.25" thickBot="1">
      <c r="A4" s="127"/>
      <c r="B4" s="128"/>
      <c r="C4" s="128" t="s">
        <v>6</v>
      </c>
      <c r="D4" s="128" t="s">
        <v>6</v>
      </c>
      <c r="E4" s="128" t="s">
        <v>159</v>
      </c>
      <c r="F4" s="129"/>
      <c r="G4" s="130" t="s">
        <v>68</v>
      </c>
      <c r="H4" s="131" t="s">
        <v>70</v>
      </c>
      <c r="I4" s="131" t="s">
        <v>72</v>
      </c>
      <c r="J4" s="131" t="s">
        <v>73</v>
      </c>
      <c r="K4" s="131" t="s">
        <v>74</v>
      </c>
      <c r="L4" s="131" t="s">
        <v>75</v>
      </c>
      <c r="M4" s="132" t="s">
        <v>160</v>
      </c>
      <c r="N4" s="133" t="s">
        <v>76</v>
      </c>
      <c r="O4" s="131" t="s">
        <v>77</v>
      </c>
      <c r="P4" s="131" t="s">
        <v>78</v>
      </c>
      <c r="Q4" s="131" t="s">
        <v>79</v>
      </c>
      <c r="R4" s="131" t="s">
        <v>80</v>
      </c>
      <c r="S4" s="131" t="s">
        <v>81</v>
      </c>
      <c r="T4" s="132" t="s">
        <v>160</v>
      </c>
      <c r="U4" s="132" t="s">
        <v>51</v>
      </c>
    </row>
    <row r="5" spans="1:22">
      <c r="A5" s="134"/>
      <c r="B5" s="3" t="s">
        <v>161</v>
      </c>
      <c r="C5" s="135">
        <f>'4-2. 25년 기타경비 계획'!E5</f>
        <v>6432</v>
      </c>
      <c r="D5" s="135">
        <f>U5</f>
        <v>6624</v>
      </c>
      <c r="E5" s="295">
        <f>IFERROR(D5/C5*100,"")</f>
        <v>102.98507462686568</v>
      </c>
      <c r="F5" s="137"/>
      <c r="G5" s="138">
        <v>552</v>
      </c>
      <c r="H5" s="135">
        <v>552</v>
      </c>
      <c r="I5" s="135">
        <v>552</v>
      </c>
      <c r="J5" s="135">
        <v>552</v>
      </c>
      <c r="K5" s="135">
        <v>552</v>
      </c>
      <c r="L5" s="135">
        <v>552</v>
      </c>
      <c r="M5" s="139">
        <f>SUM(G5:L5)</f>
        <v>3312</v>
      </c>
      <c r="N5" s="138">
        <v>552</v>
      </c>
      <c r="O5" s="135">
        <v>552</v>
      </c>
      <c r="P5" s="135">
        <v>552</v>
      </c>
      <c r="Q5" s="135">
        <v>552</v>
      </c>
      <c r="R5" s="135">
        <v>552</v>
      </c>
      <c r="S5" s="135">
        <v>552</v>
      </c>
      <c r="T5" s="139">
        <f t="shared" ref="T5:T70" si="0">SUM(N5:S5)</f>
        <v>3312</v>
      </c>
      <c r="U5" s="139">
        <f>M5+T5</f>
        <v>6624</v>
      </c>
      <c r="V5" s="255">
        <f>C5*1.03/12</f>
        <v>552.08000000000004</v>
      </c>
    </row>
    <row r="6" spans="1:22">
      <c r="A6" s="140" t="s">
        <v>162</v>
      </c>
      <c r="B6" s="5" t="s">
        <v>163</v>
      </c>
      <c r="C6" s="141">
        <f>'4-2. 25년 기타경비 계획'!E6</f>
        <v>6588</v>
      </c>
      <c r="D6" s="141">
        <f>U6</f>
        <v>6780</v>
      </c>
      <c r="E6" s="296">
        <f t="shared" ref="E6:E71" si="1">IFERROR(D6/C6*100,"")</f>
        <v>102.9143897996357</v>
      </c>
      <c r="F6" s="143"/>
      <c r="G6" s="144">
        <v>565</v>
      </c>
      <c r="H6" s="141">
        <v>565</v>
      </c>
      <c r="I6" s="141">
        <v>565</v>
      </c>
      <c r="J6" s="141">
        <v>565</v>
      </c>
      <c r="K6" s="141">
        <v>565</v>
      </c>
      <c r="L6" s="141">
        <v>565</v>
      </c>
      <c r="M6" s="145">
        <f t="shared" ref="M6:M71" si="2">SUM(G6:L6)</f>
        <v>3390</v>
      </c>
      <c r="N6" s="144">
        <v>565</v>
      </c>
      <c r="O6" s="141">
        <v>565</v>
      </c>
      <c r="P6" s="141">
        <v>565</v>
      </c>
      <c r="Q6" s="141">
        <v>565</v>
      </c>
      <c r="R6" s="141">
        <v>565</v>
      </c>
      <c r="S6" s="141">
        <v>565</v>
      </c>
      <c r="T6" s="145">
        <f t="shared" si="0"/>
        <v>3390</v>
      </c>
      <c r="U6" s="145">
        <f>M6+T6</f>
        <v>6780</v>
      </c>
      <c r="V6" s="255">
        <f>C6*1.03/12</f>
        <v>565.47</v>
      </c>
    </row>
    <row r="7" spans="1:22">
      <c r="A7" s="146" t="s">
        <v>12</v>
      </c>
      <c r="B7" s="147" t="s">
        <v>213</v>
      </c>
      <c r="C7" s="148">
        <f>SUM(C5:C6)</f>
        <v>13020</v>
      </c>
      <c r="D7" s="148">
        <f>SUM(D5:D6)</f>
        <v>13404</v>
      </c>
      <c r="E7" s="297">
        <f t="shared" si="1"/>
        <v>102.94930875576036</v>
      </c>
      <c r="F7" s="150"/>
      <c r="G7" s="151">
        <f t="shared" ref="G7:L7" si="3">SUM(G5:G6)</f>
        <v>1117</v>
      </c>
      <c r="H7" s="148">
        <f t="shared" si="3"/>
        <v>1117</v>
      </c>
      <c r="I7" s="148">
        <f t="shared" si="3"/>
        <v>1117</v>
      </c>
      <c r="J7" s="148">
        <f t="shared" si="3"/>
        <v>1117</v>
      </c>
      <c r="K7" s="148">
        <f t="shared" si="3"/>
        <v>1117</v>
      </c>
      <c r="L7" s="148">
        <f t="shared" si="3"/>
        <v>1117</v>
      </c>
      <c r="M7" s="152">
        <f t="shared" si="2"/>
        <v>6702</v>
      </c>
      <c r="N7" s="151">
        <f t="shared" ref="N7:S7" si="4">SUM(N5:N6)</f>
        <v>1117</v>
      </c>
      <c r="O7" s="148">
        <f t="shared" si="4"/>
        <v>1117</v>
      </c>
      <c r="P7" s="148">
        <f t="shared" si="4"/>
        <v>1117</v>
      </c>
      <c r="Q7" s="148">
        <f t="shared" si="4"/>
        <v>1117</v>
      </c>
      <c r="R7" s="148">
        <f t="shared" si="4"/>
        <v>1117</v>
      </c>
      <c r="S7" s="148">
        <f t="shared" si="4"/>
        <v>1117</v>
      </c>
      <c r="T7" s="152">
        <f t="shared" si="0"/>
        <v>6702</v>
      </c>
      <c r="U7" s="152">
        <f>SUM(U5:U6)</f>
        <v>13404</v>
      </c>
    </row>
    <row r="8" spans="1:22" hidden="1">
      <c r="A8" s="134"/>
      <c r="B8" s="3"/>
      <c r="C8" s="135">
        <v>0</v>
      </c>
      <c r="D8" s="135">
        <f>U8</f>
        <v>0</v>
      </c>
      <c r="E8" s="295" t="str">
        <f t="shared" si="1"/>
        <v/>
      </c>
      <c r="F8" s="137"/>
      <c r="G8" s="138"/>
      <c r="H8" s="135"/>
      <c r="I8" s="135"/>
      <c r="J8" s="135"/>
      <c r="K8" s="135"/>
      <c r="L8" s="135"/>
      <c r="M8" s="139">
        <f t="shared" si="2"/>
        <v>0</v>
      </c>
      <c r="N8" s="138"/>
      <c r="O8" s="135"/>
      <c r="P8" s="135"/>
      <c r="Q8" s="135"/>
      <c r="R8" s="135"/>
      <c r="S8" s="135"/>
      <c r="T8" s="139">
        <f t="shared" si="0"/>
        <v>0</v>
      </c>
      <c r="U8" s="139">
        <f>M8+T8</f>
        <v>0</v>
      </c>
    </row>
    <row r="9" spans="1:22" hidden="1">
      <c r="A9" s="140" t="s">
        <v>164</v>
      </c>
      <c r="B9" s="5"/>
      <c r="C9" s="141">
        <v>0</v>
      </c>
      <c r="D9" s="141">
        <f>U9</f>
        <v>0</v>
      </c>
      <c r="E9" s="296" t="str">
        <f t="shared" si="1"/>
        <v/>
      </c>
      <c r="F9" s="143"/>
      <c r="G9" s="144"/>
      <c r="H9" s="141"/>
      <c r="I9" s="141"/>
      <c r="J9" s="141"/>
      <c r="K9" s="141"/>
      <c r="L9" s="141"/>
      <c r="M9" s="145">
        <f t="shared" si="2"/>
        <v>0</v>
      </c>
      <c r="N9" s="144"/>
      <c r="O9" s="141"/>
      <c r="P9" s="141"/>
      <c r="Q9" s="141"/>
      <c r="R9" s="141"/>
      <c r="S9" s="141"/>
      <c r="T9" s="145">
        <f t="shared" si="0"/>
        <v>0</v>
      </c>
      <c r="U9" s="145">
        <f>M9+T9</f>
        <v>0</v>
      </c>
    </row>
    <row r="10" spans="1:22" hidden="1">
      <c r="A10" s="154" t="s">
        <v>13</v>
      </c>
      <c r="B10" s="147" t="s">
        <v>213</v>
      </c>
      <c r="C10" s="148">
        <v>0</v>
      </c>
      <c r="D10" s="148">
        <f>SUM(D8:D9)</f>
        <v>0</v>
      </c>
      <c r="E10" s="297" t="str">
        <f t="shared" si="1"/>
        <v/>
      </c>
      <c r="F10" s="150"/>
      <c r="G10" s="151">
        <f t="shared" ref="G10:L10" si="5">SUM(G8:G9)</f>
        <v>0</v>
      </c>
      <c r="H10" s="148">
        <f t="shared" si="5"/>
        <v>0</v>
      </c>
      <c r="I10" s="148">
        <f t="shared" si="5"/>
        <v>0</v>
      </c>
      <c r="J10" s="148">
        <f t="shared" si="5"/>
        <v>0</v>
      </c>
      <c r="K10" s="148">
        <f t="shared" si="5"/>
        <v>0</v>
      </c>
      <c r="L10" s="148">
        <f t="shared" si="5"/>
        <v>0</v>
      </c>
      <c r="M10" s="152">
        <f t="shared" si="2"/>
        <v>0</v>
      </c>
      <c r="N10" s="151">
        <f t="shared" ref="N10:S10" si="6">SUM(N8:N9)</f>
        <v>0</v>
      </c>
      <c r="O10" s="148">
        <f t="shared" si="6"/>
        <v>0</v>
      </c>
      <c r="P10" s="148">
        <f t="shared" si="6"/>
        <v>0</v>
      </c>
      <c r="Q10" s="148">
        <f t="shared" si="6"/>
        <v>0</v>
      </c>
      <c r="R10" s="148">
        <f t="shared" si="6"/>
        <v>0</v>
      </c>
      <c r="S10" s="148">
        <f t="shared" si="6"/>
        <v>0</v>
      </c>
      <c r="T10" s="152">
        <f t="shared" si="0"/>
        <v>0</v>
      </c>
      <c r="U10" s="152">
        <f>SUM(U8:U9)</f>
        <v>0</v>
      </c>
    </row>
    <row r="11" spans="1:22">
      <c r="A11" s="134"/>
      <c r="B11" s="3" t="s">
        <v>165</v>
      </c>
      <c r="C11" s="135">
        <f>'4-2. 25년 기타경비 계획'!E11</f>
        <v>3380</v>
      </c>
      <c r="D11" s="135">
        <f>U11</f>
        <v>3380</v>
      </c>
      <c r="E11" s="295">
        <f t="shared" si="1"/>
        <v>100</v>
      </c>
      <c r="F11" s="137"/>
      <c r="G11" s="138"/>
      <c r="H11" s="135">
        <v>100</v>
      </c>
      <c r="I11" s="135"/>
      <c r="J11" s="135">
        <v>200</v>
      </c>
      <c r="K11" s="135"/>
      <c r="L11" s="135">
        <v>652</v>
      </c>
      <c r="M11" s="139">
        <f t="shared" si="2"/>
        <v>952</v>
      </c>
      <c r="N11" s="138">
        <v>150</v>
      </c>
      <c r="O11" s="135">
        <v>300</v>
      </c>
      <c r="P11" s="135">
        <v>352</v>
      </c>
      <c r="Q11" s="135">
        <v>704</v>
      </c>
      <c r="R11" s="135">
        <v>352</v>
      </c>
      <c r="S11" s="135">
        <v>570</v>
      </c>
      <c r="T11" s="139">
        <f t="shared" si="0"/>
        <v>2428</v>
      </c>
      <c r="U11" s="139">
        <f>M11+T11</f>
        <v>3380</v>
      </c>
    </row>
    <row r="12" spans="1:22">
      <c r="A12" s="140" t="s">
        <v>166</v>
      </c>
      <c r="B12" s="5" t="s">
        <v>167</v>
      </c>
      <c r="C12" s="141">
        <f>'4-2. 25년 기타경비 계획'!E12</f>
        <v>4704</v>
      </c>
      <c r="D12" s="141">
        <f>U12</f>
        <v>4704</v>
      </c>
      <c r="E12" s="296">
        <f t="shared" si="1"/>
        <v>100</v>
      </c>
      <c r="F12" s="143"/>
      <c r="G12" s="144">
        <v>392</v>
      </c>
      <c r="H12" s="141">
        <v>392</v>
      </c>
      <c r="I12" s="141">
        <v>392</v>
      </c>
      <c r="J12" s="141">
        <v>392</v>
      </c>
      <c r="K12" s="141">
        <v>392</v>
      </c>
      <c r="L12" s="141">
        <v>392</v>
      </c>
      <c r="M12" s="145">
        <f t="shared" si="2"/>
        <v>2352</v>
      </c>
      <c r="N12" s="144">
        <v>392</v>
      </c>
      <c r="O12" s="141">
        <v>392</v>
      </c>
      <c r="P12" s="141">
        <v>392</v>
      </c>
      <c r="Q12" s="141">
        <v>392</v>
      </c>
      <c r="R12" s="141">
        <v>392</v>
      </c>
      <c r="S12" s="141">
        <v>392</v>
      </c>
      <c r="T12" s="145">
        <f t="shared" si="0"/>
        <v>2352</v>
      </c>
      <c r="U12" s="145">
        <f>M12+T12</f>
        <v>4704</v>
      </c>
    </row>
    <row r="13" spans="1:22">
      <c r="A13" s="154" t="s">
        <v>14</v>
      </c>
      <c r="B13" s="147" t="s">
        <v>213</v>
      </c>
      <c r="C13" s="155">
        <f>SUM(C11:C12)</f>
        <v>8084</v>
      </c>
      <c r="D13" s="155">
        <f>SUM(D11:D12)</f>
        <v>8084</v>
      </c>
      <c r="E13" s="298">
        <f t="shared" si="1"/>
        <v>100</v>
      </c>
      <c r="F13" s="157"/>
      <c r="G13" s="158">
        <f t="shared" ref="G13:L13" si="7">SUM(G11:G12)</f>
        <v>392</v>
      </c>
      <c r="H13" s="155">
        <f t="shared" si="7"/>
        <v>492</v>
      </c>
      <c r="I13" s="155">
        <f t="shared" si="7"/>
        <v>392</v>
      </c>
      <c r="J13" s="155">
        <f t="shared" si="7"/>
        <v>592</v>
      </c>
      <c r="K13" s="155">
        <f t="shared" si="7"/>
        <v>392</v>
      </c>
      <c r="L13" s="155">
        <f t="shared" si="7"/>
        <v>1044</v>
      </c>
      <c r="M13" s="159">
        <f t="shared" si="2"/>
        <v>3304</v>
      </c>
      <c r="N13" s="158">
        <f t="shared" ref="N13:S13" si="8">SUM(N11:N12)</f>
        <v>542</v>
      </c>
      <c r="O13" s="155">
        <f t="shared" si="8"/>
        <v>692</v>
      </c>
      <c r="P13" s="155">
        <f t="shared" si="8"/>
        <v>744</v>
      </c>
      <c r="Q13" s="155">
        <f t="shared" si="8"/>
        <v>1096</v>
      </c>
      <c r="R13" s="155">
        <f t="shared" si="8"/>
        <v>744</v>
      </c>
      <c r="S13" s="155">
        <f t="shared" si="8"/>
        <v>962</v>
      </c>
      <c r="T13" s="159">
        <f t="shared" si="0"/>
        <v>4780</v>
      </c>
      <c r="U13" s="159">
        <f>SUM(U11:U12)</f>
        <v>8084</v>
      </c>
    </row>
    <row r="14" spans="1:22">
      <c r="A14" s="134"/>
      <c r="B14" s="3" t="s">
        <v>168</v>
      </c>
      <c r="C14" s="135">
        <f>'4-2. 25년 기타경비 계획'!E14</f>
        <v>120</v>
      </c>
      <c r="D14" s="135">
        <f>U14</f>
        <v>180</v>
      </c>
      <c r="E14" s="295">
        <f t="shared" si="1"/>
        <v>150</v>
      </c>
      <c r="F14" s="137"/>
      <c r="G14" s="138">
        <v>15</v>
      </c>
      <c r="H14" s="135">
        <v>15</v>
      </c>
      <c r="I14" s="135">
        <v>15</v>
      </c>
      <c r="J14" s="135">
        <v>15</v>
      </c>
      <c r="K14" s="135">
        <v>15</v>
      </c>
      <c r="L14" s="135">
        <v>15</v>
      </c>
      <c r="M14" s="139">
        <f t="shared" si="2"/>
        <v>90</v>
      </c>
      <c r="N14" s="138">
        <v>15</v>
      </c>
      <c r="O14" s="135">
        <v>15</v>
      </c>
      <c r="P14" s="135">
        <v>15</v>
      </c>
      <c r="Q14" s="135">
        <v>15</v>
      </c>
      <c r="R14" s="135">
        <v>15</v>
      </c>
      <c r="S14" s="135">
        <v>15</v>
      </c>
      <c r="T14" s="139">
        <f t="shared" si="0"/>
        <v>90</v>
      </c>
      <c r="U14" s="139">
        <f>M14+T14</f>
        <v>180</v>
      </c>
    </row>
    <row r="15" spans="1:22">
      <c r="A15" s="140" t="s">
        <v>169</v>
      </c>
      <c r="B15" s="4" t="s">
        <v>170</v>
      </c>
      <c r="C15" s="160">
        <f>'4-2. 25년 기타경비 계획'!E15</f>
        <v>360</v>
      </c>
      <c r="D15" s="160">
        <f>U15</f>
        <v>360</v>
      </c>
      <c r="E15" s="299">
        <f t="shared" si="1"/>
        <v>100</v>
      </c>
      <c r="F15" s="162"/>
      <c r="G15" s="163">
        <v>30</v>
      </c>
      <c r="H15" s="160">
        <v>30</v>
      </c>
      <c r="I15" s="160">
        <v>30</v>
      </c>
      <c r="J15" s="160">
        <v>30</v>
      </c>
      <c r="K15" s="160">
        <v>30</v>
      </c>
      <c r="L15" s="160">
        <v>30</v>
      </c>
      <c r="M15" s="164">
        <f t="shared" si="2"/>
        <v>180</v>
      </c>
      <c r="N15" s="163">
        <v>30</v>
      </c>
      <c r="O15" s="160">
        <v>30</v>
      </c>
      <c r="P15" s="160">
        <v>30</v>
      </c>
      <c r="Q15" s="160">
        <v>30</v>
      </c>
      <c r="R15" s="160">
        <v>30</v>
      </c>
      <c r="S15" s="160">
        <v>30</v>
      </c>
      <c r="T15" s="164">
        <f t="shared" si="0"/>
        <v>180</v>
      </c>
      <c r="U15" s="164">
        <f>M15+T15</f>
        <v>360</v>
      </c>
    </row>
    <row r="16" spans="1:22">
      <c r="A16" s="154" t="s">
        <v>16</v>
      </c>
      <c r="B16" s="147" t="s">
        <v>213</v>
      </c>
      <c r="C16" s="148">
        <f>SUM(C14:C15)</f>
        <v>480</v>
      </c>
      <c r="D16" s="148">
        <f>SUM(D14:D15)</f>
        <v>540</v>
      </c>
      <c r="E16" s="297">
        <f t="shared" si="1"/>
        <v>112.5</v>
      </c>
      <c r="F16" s="150"/>
      <c r="G16" s="151">
        <f t="shared" ref="G16:L16" si="9">SUM(G14:G15)</f>
        <v>45</v>
      </c>
      <c r="H16" s="148">
        <f t="shared" si="9"/>
        <v>45</v>
      </c>
      <c r="I16" s="148">
        <f t="shared" si="9"/>
        <v>45</v>
      </c>
      <c r="J16" s="148">
        <f t="shared" si="9"/>
        <v>45</v>
      </c>
      <c r="K16" s="148">
        <f t="shared" si="9"/>
        <v>45</v>
      </c>
      <c r="L16" s="148">
        <f t="shared" si="9"/>
        <v>45</v>
      </c>
      <c r="M16" s="152">
        <f t="shared" si="2"/>
        <v>270</v>
      </c>
      <c r="N16" s="151">
        <f t="shared" ref="N16:S16" si="10">SUM(N14:N15)</f>
        <v>45</v>
      </c>
      <c r="O16" s="148">
        <f t="shared" si="10"/>
        <v>45</v>
      </c>
      <c r="P16" s="148">
        <f t="shared" si="10"/>
        <v>45</v>
      </c>
      <c r="Q16" s="148">
        <f t="shared" si="10"/>
        <v>45</v>
      </c>
      <c r="R16" s="148">
        <f t="shared" si="10"/>
        <v>45</v>
      </c>
      <c r="S16" s="148">
        <f t="shared" si="10"/>
        <v>45</v>
      </c>
      <c r="T16" s="152">
        <f t="shared" si="0"/>
        <v>270</v>
      </c>
      <c r="U16" s="152">
        <f>SUM(U14:U15)</f>
        <v>540</v>
      </c>
    </row>
    <row r="17" spans="1:21">
      <c r="A17" s="134"/>
      <c r="B17" s="3" t="s">
        <v>171</v>
      </c>
      <c r="C17" s="135">
        <f>'4-2. 25년 기타경비 계획'!E17</f>
        <v>2400</v>
      </c>
      <c r="D17" s="135">
        <f>U17</f>
        <v>2400</v>
      </c>
      <c r="E17" s="295">
        <f t="shared" si="1"/>
        <v>100</v>
      </c>
      <c r="F17" s="137"/>
      <c r="G17" s="138"/>
      <c r="H17" s="135">
        <v>600</v>
      </c>
      <c r="I17" s="135"/>
      <c r="J17" s="135"/>
      <c r="K17" s="135">
        <v>600</v>
      </c>
      <c r="L17" s="135"/>
      <c r="M17" s="139">
        <f t="shared" si="2"/>
        <v>1200</v>
      </c>
      <c r="N17" s="138"/>
      <c r="O17" s="135">
        <v>600</v>
      </c>
      <c r="P17" s="135"/>
      <c r="Q17" s="135"/>
      <c r="R17" s="135">
        <v>600</v>
      </c>
      <c r="S17" s="135"/>
      <c r="T17" s="139">
        <f t="shared" si="0"/>
        <v>1200</v>
      </c>
      <c r="U17" s="139">
        <f>M17+T17</f>
        <v>2400</v>
      </c>
    </row>
    <row r="18" spans="1:21">
      <c r="A18" s="140" t="s">
        <v>172</v>
      </c>
      <c r="B18" s="4" t="s">
        <v>173</v>
      </c>
      <c r="C18" s="160">
        <f>'4-2. 25년 기타경비 계획'!E18</f>
        <v>100</v>
      </c>
      <c r="D18" s="160">
        <f>U18</f>
        <v>100</v>
      </c>
      <c r="E18" s="299">
        <f t="shared" si="1"/>
        <v>100</v>
      </c>
      <c r="F18" s="162"/>
      <c r="G18" s="163"/>
      <c r="H18" s="160"/>
      <c r="I18" s="160">
        <v>50</v>
      </c>
      <c r="J18" s="160"/>
      <c r="K18" s="160"/>
      <c r="L18" s="160"/>
      <c r="M18" s="164">
        <f t="shared" si="2"/>
        <v>50</v>
      </c>
      <c r="N18" s="163"/>
      <c r="O18" s="160"/>
      <c r="P18" s="160">
        <v>50</v>
      </c>
      <c r="Q18" s="160"/>
      <c r="R18" s="160"/>
      <c r="S18" s="160"/>
      <c r="T18" s="164">
        <f t="shared" si="0"/>
        <v>50</v>
      </c>
      <c r="U18" s="164">
        <f>M18+T18</f>
        <v>100</v>
      </c>
    </row>
    <row r="19" spans="1:21">
      <c r="A19" s="154" t="s">
        <v>17</v>
      </c>
      <c r="B19" s="147" t="s">
        <v>213</v>
      </c>
      <c r="C19" s="148">
        <f>SUM(C17:C18)</f>
        <v>2500</v>
      </c>
      <c r="D19" s="148">
        <f>SUM(D17:D18)</f>
        <v>2500</v>
      </c>
      <c r="E19" s="297">
        <f t="shared" si="1"/>
        <v>100</v>
      </c>
      <c r="F19" s="150"/>
      <c r="G19" s="151">
        <f t="shared" ref="G19:L19" si="11">SUM(G17:G18)</f>
        <v>0</v>
      </c>
      <c r="H19" s="148">
        <f t="shared" si="11"/>
        <v>600</v>
      </c>
      <c r="I19" s="148">
        <f t="shared" si="11"/>
        <v>50</v>
      </c>
      <c r="J19" s="148">
        <f t="shared" si="11"/>
        <v>0</v>
      </c>
      <c r="K19" s="148">
        <f t="shared" si="11"/>
        <v>600</v>
      </c>
      <c r="L19" s="148">
        <f t="shared" si="11"/>
        <v>0</v>
      </c>
      <c r="M19" s="152">
        <f t="shared" si="2"/>
        <v>1250</v>
      </c>
      <c r="N19" s="151">
        <f t="shared" ref="N19:S19" si="12">SUM(N17:N18)</f>
        <v>0</v>
      </c>
      <c r="O19" s="148">
        <f t="shared" si="12"/>
        <v>600</v>
      </c>
      <c r="P19" s="148">
        <f t="shared" si="12"/>
        <v>50</v>
      </c>
      <c r="Q19" s="148">
        <f t="shared" si="12"/>
        <v>0</v>
      </c>
      <c r="R19" s="148">
        <f t="shared" si="12"/>
        <v>600</v>
      </c>
      <c r="S19" s="148">
        <f t="shared" si="12"/>
        <v>0</v>
      </c>
      <c r="T19" s="152">
        <f t="shared" si="0"/>
        <v>1250</v>
      </c>
      <c r="U19" s="152">
        <f>SUM(U17:U18)</f>
        <v>2500</v>
      </c>
    </row>
    <row r="20" spans="1:21" hidden="1">
      <c r="A20" s="134"/>
      <c r="B20" s="3"/>
      <c r="C20" s="135">
        <v>0</v>
      </c>
      <c r="D20" s="135">
        <f>U20</f>
        <v>0</v>
      </c>
      <c r="E20" s="295" t="str">
        <f t="shared" si="1"/>
        <v/>
      </c>
      <c r="F20" s="137"/>
      <c r="G20" s="138"/>
      <c r="H20" s="135"/>
      <c r="I20" s="135"/>
      <c r="J20" s="135"/>
      <c r="K20" s="135"/>
      <c r="L20" s="135"/>
      <c r="M20" s="139">
        <f t="shared" si="2"/>
        <v>0</v>
      </c>
      <c r="N20" s="138"/>
      <c r="O20" s="135"/>
      <c r="P20" s="135"/>
      <c r="Q20" s="135"/>
      <c r="R20" s="135"/>
      <c r="S20" s="135"/>
      <c r="T20" s="139">
        <f t="shared" si="0"/>
        <v>0</v>
      </c>
      <c r="U20" s="139">
        <f>M20+T20</f>
        <v>0</v>
      </c>
    </row>
    <row r="21" spans="1:21" hidden="1">
      <c r="A21" s="140" t="s">
        <v>174</v>
      </c>
      <c r="B21" s="5"/>
      <c r="C21" s="141">
        <v>0</v>
      </c>
      <c r="D21" s="141">
        <f>U21</f>
        <v>0</v>
      </c>
      <c r="E21" s="296" t="str">
        <f t="shared" si="1"/>
        <v/>
      </c>
      <c r="F21" s="143"/>
      <c r="G21" s="144"/>
      <c r="H21" s="141"/>
      <c r="I21" s="141"/>
      <c r="J21" s="141"/>
      <c r="K21" s="141"/>
      <c r="L21" s="141"/>
      <c r="M21" s="145">
        <f t="shared" si="2"/>
        <v>0</v>
      </c>
      <c r="N21" s="144"/>
      <c r="O21" s="141"/>
      <c r="P21" s="141"/>
      <c r="Q21" s="141"/>
      <c r="R21" s="141"/>
      <c r="S21" s="141"/>
      <c r="T21" s="145">
        <f t="shared" si="0"/>
        <v>0</v>
      </c>
      <c r="U21" s="145">
        <f>M21+T21</f>
        <v>0</v>
      </c>
    </row>
    <row r="22" spans="1:21" hidden="1">
      <c r="A22" s="154" t="s">
        <v>18</v>
      </c>
      <c r="B22" s="147" t="s">
        <v>213</v>
      </c>
      <c r="C22" s="148">
        <v>0</v>
      </c>
      <c r="D22" s="148">
        <f>SUM(D20:D21)</f>
        <v>0</v>
      </c>
      <c r="E22" s="297" t="str">
        <f t="shared" si="1"/>
        <v/>
      </c>
      <c r="F22" s="150"/>
      <c r="G22" s="151">
        <f t="shared" ref="G22:L22" si="13">SUM(G20:G21)</f>
        <v>0</v>
      </c>
      <c r="H22" s="148">
        <f t="shared" si="13"/>
        <v>0</v>
      </c>
      <c r="I22" s="148">
        <f t="shared" si="13"/>
        <v>0</v>
      </c>
      <c r="J22" s="148">
        <f t="shared" si="13"/>
        <v>0</v>
      </c>
      <c r="K22" s="148">
        <f t="shared" si="13"/>
        <v>0</v>
      </c>
      <c r="L22" s="148">
        <f t="shared" si="13"/>
        <v>0</v>
      </c>
      <c r="M22" s="152">
        <f t="shared" si="2"/>
        <v>0</v>
      </c>
      <c r="N22" s="151">
        <f t="shared" ref="N22:S22" si="14">SUM(N20:N21)</f>
        <v>0</v>
      </c>
      <c r="O22" s="148">
        <f t="shared" si="14"/>
        <v>0</v>
      </c>
      <c r="P22" s="148">
        <f t="shared" si="14"/>
        <v>0</v>
      </c>
      <c r="Q22" s="148">
        <f t="shared" si="14"/>
        <v>0</v>
      </c>
      <c r="R22" s="148">
        <f t="shared" si="14"/>
        <v>0</v>
      </c>
      <c r="S22" s="148">
        <f t="shared" si="14"/>
        <v>0</v>
      </c>
      <c r="T22" s="152">
        <f t="shared" si="0"/>
        <v>0</v>
      </c>
      <c r="U22" s="152">
        <f>SUM(U20:U21)</f>
        <v>0</v>
      </c>
    </row>
    <row r="23" spans="1:21">
      <c r="A23" s="134"/>
      <c r="B23" s="3" t="s">
        <v>175</v>
      </c>
      <c r="C23" s="135">
        <f>'4-2. 25년 기타경비 계획'!E23</f>
        <v>1500</v>
      </c>
      <c r="D23" s="135">
        <f>U23</f>
        <v>1500</v>
      </c>
      <c r="E23" s="295">
        <f t="shared" si="1"/>
        <v>100</v>
      </c>
      <c r="F23" s="137"/>
      <c r="G23" s="138"/>
      <c r="H23" s="135"/>
      <c r="I23" s="135"/>
      <c r="J23" s="135"/>
      <c r="K23" s="135"/>
      <c r="L23" s="135"/>
      <c r="M23" s="139">
        <f t="shared" si="2"/>
        <v>0</v>
      </c>
      <c r="N23" s="138"/>
      <c r="O23" s="135">
        <v>1500</v>
      </c>
      <c r="P23" s="135"/>
      <c r="Q23" s="135"/>
      <c r="R23" s="135"/>
      <c r="S23" s="135"/>
      <c r="T23" s="139">
        <f t="shared" si="0"/>
        <v>1500</v>
      </c>
      <c r="U23" s="139">
        <f>M23+T23</f>
        <v>1500</v>
      </c>
    </row>
    <row r="24" spans="1:21">
      <c r="A24" s="140" t="s">
        <v>176</v>
      </c>
      <c r="B24" s="4" t="s">
        <v>177</v>
      </c>
      <c r="C24" s="160">
        <f>'4-2. 25년 기타경비 계획'!E24</f>
        <v>0</v>
      </c>
      <c r="D24" s="160">
        <f>U24</f>
        <v>0</v>
      </c>
      <c r="E24" s="299" t="str">
        <f t="shared" si="1"/>
        <v/>
      </c>
      <c r="F24" s="162"/>
      <c r="G24" s="163"/>
      <c r="H24" s="160"/>
      <c r="I24" s="160"/>
      <c r="J24" s="160"/>
      <c r="K24" s="160"/>
      <c r="L24" s="160"/>
      <c r="M24" s="164">
        <f t="shared" si="2"/>
        <v>0</v>
      </c>
      <c r="N24" s="163"/>
      <c r="O24" s="160"/>
      <c r="P24" s="160"/>
      <c r="Q24" s="160"/>
      <c r="R24" s="160"/>
      <c r="S24" s="160"/>
      <c r="T24" s="164">
        <f t="shared" si="0"/>
        <v>0</v>
      </c>
      <c r="U24" s="164">
        <f>M24+T24</f>
        <v>0</v>
      </c>
    </row>
    <row r="25" spans="1:21">
      <c r="A25" s="140"/>
      <c r="B25" s="4" t="s">
        <v>178</v>
      </c>
      <c r="C25" s="160">
        <f>'4-2. 25년 기타경비 계획'!E25</f>
        <v>450</v>
      </c>
      <c r="D25" s="160">
        <f>U25</f>
        <v>450</v>
      </c>
      <c r="E25" s="299">
        <f t="shared" si="1"/>
        <v>100</v>
      </c>
      <c r="F25" s="162"/>
      <c r="G25" s="163"/>
      <c r="H25" s="160"/>
      <c r="I25" s="160"/>
      <c r="J25" s="160"/>
      <c r="K25" s="160"/>
      <c r="L25" s="160"/>
      <c r="M25" s="164">
        <f t="shared" si="2"/>
        <v>0</v>
      </c>
      <c r="N25" s="163"/>
      <c r="O25" s="160"/>
      <c r="P25" s="160">
        <v>450</v>
      </c>
      <c r="Q25" s="160"/>
      <c r="R25" s="160"/>
      <c r="S25" s="160"/>
      <c r="T25" s="164">
        <f t="shared" si="0"/>
        <v>450</v>
      </c>
      <c r="U25" s="164">
        <f>M25+T25</f>
        <v>450</v>
      </c>
    </row>
    <row r="26" spans="1:21">
      <c r="A26" s="154" t="s">
        <v>19</v>
      </c>
      <c r="B26" s="147" t="s">
        <v>213</v>
      </c>
      <c r="C26" s="148">
        <f>SUM(C23:C25)</f>
        <v>1950</v>
      </c>
      <c r="D26" s="148">
        <f>SUM(D23:D25)</f>
        <v>1950</v>
      </c>
      <c r="E26" s="297">
        <f t="shared" si="1"/>
        <v>100</v>
      </c>
      <c r="F26" s="150"/>
      <c r="G26" s="151">
        <f t="shared" ref="G26:L26" si="15">SUM(G23:G25)</f>
        <v>0</v>
      </c>
      <c r="H26" s="148">
        <f t="shared" si="15"/>
        <v>0</v>
      </c>
      <c r="I26" s="148">
        <f t="shared" si="15"/>
        <v>0</v>
      </c>
      <c r="J26" s="148">
        <f t="shared" si="15"/>
        <v>0</v>
      </c>
      <c r="K26" s="148">
        <f t="shared" si="15"/>
        <v>0</v>
      </c>
      <c r="L26" s="148">
        <f t="shared" si="15"/>
        <v>0</v>
      </c>
      <c r="M26" s="152">
        <f t="shared" si="2"/>
        <v>0</v>
      </c>
      <c r="N26" s="151">
        <f t="shared" ref="N26:S26" si="16">SUM(N23:N25)</f>
        <v>0</v>
      </c>
      <c r="O26" s="148">
        <f t="shared" si="16"/>
        <v>1500</v>
      </c>
      <c r="P26" s="148">
        <f t="shared" si="16"/>
        <v>450</v>
      </c>
      <c r="Q26" s="148">
        <f t="shared" si="16"/>
        <v>0</v>
      </c>
      <c r="R26" s="148">
        <f t="shared" si="16"/>
        <v>0</v>
      </c>
      <c r="S26" s="148">
        <f t="shared" si="16"/>
        <v>0</v>
      </c>
      <c r="T26" s="152">
        <f t="shared" si="0"/>
        <v>1950</v>
      </c>
      <c r="U26" s="152">
        <f>SUM(U23:U25)</f>
        <v>1950</v>
      </c>
    </row>
    <row r="27" spans="1:21" hidden="1">
      <c r="A27" s="134"/>
      <c r="B27" s="3"/>
      <c r="C27" s="135"/>
      <c r="D27" s="135">
        <f>U27</f>
        <v>0</v>
      </c>
      <c r="E27" s="295" t="str">
        <f t="shared" si="1"/>
        <v/>
      </c>
      <c r="F27" s="137"/>
      <c r="G27" s="138"/>
      <c r="H27" s="135"/>
      <c r="I27" s="135"/>
      <c r="J27" s="135"/>
      <c r="K27" s="135"/>
      <c r="L27" s="135"/>
      <c r="M27" s="139">
        <f t="shared" si="2"/>
        <v>0</v>
      </c>
      <c r="N27" s="138"/>
      <c r="O27" s="135"/>
      <c r="P27" s="135"/>
      <c r="Q27" s="135"/>
      <c r="R27" s="135"/>
      <c r="S27" s="135"/>
      <c r="T27" s="139">
        <f t="shared" si="0"/>
        <v>0</v>
      </c>
      <c r="U27" s="139">
        <f>M27+T27</f>
        <v>0</v>
      </c>
    </row>
    <row r="28" spans="1:21" hidden="1">
      <c r="A28" s="140" t="s">
        <v>180</v>
      </c>
      <c r="B28" s="5"/>
      <c r="C28" s="141"/>
      <c r="D28" s="141">
        <f>U28</f>
        <v>0</v>
      </c>
      <c r="E28" s="296" t="str">
        <f t="shared" si="1"/>
        <v/>
      </c>
      <c r="F28" s="143"/>
      <c r="G28" s="144"/>
      <c r="H28" s="141"/>
      <c r="I28" s="141"/>
      <c r="J28" s="141"/>
      <c r="K28" s="141"/>
      <c r="L28" s="141"/>
      <c r="M28" s="145">
        <f t="shared" si="2"/>
        <v>0</v>
      </c>
      <c r="N28" s="144"/>
      <c r="O28" s="141"/>
      <c r="P28" s="141"/>
      <c r="Q28" s="141"/>
      <c r="R28" s="141"/>
      <c r="S28" s="141"/>
      <c r="T28" s="145">
        <f t="shared" si="0"/>
        <v>0</v>
      </c>
      <c r="U28" s="145">
        <f>M28+T28</f>
        <v>0</v>
      </c>
    </row>
    <row r="29" spans="1:21" hidden="1">
      <c r="A29" s="154" t="s">
        <v>20</v>
      </c>
      <c r="B29" s="147" t="s">
        <v>213</v>
      </c>
      <c r="C29" s="148">
        <f>SUM(C27:C28)</f>
        <v>0</v>
      </c>
      <c r="D29" s="148">
        <f>SUM(D27:D28)</f>
        <v>0</v>
      </c>
      <c r="E29" s="297" t="str">
        <f t="shared" si="1"/>
        <v/>
      </c>
      <c r="F29" s="150"/>
      <c r="G29" s="151">
        <f t="shared" ref="G29:L29" si="17">SUM(G27:G28)</f>
        <v>0</v>
      </c>
      <c r="H29" s="148">
        <f t="shared" si="17"/>
        <v>0</v>
      </c>
      <c r="I29" s="148">
        <f t="shared" si="17"/>
        <v>0</v>
      </c>
      <c r="J29" s="148">
        <f t="shared" si="17"/>
        <v>0</v>
      </c>
      <c r="K29" s="148">
        <f t="shared" si="17"/>
        <v>0</v>
      </c>
      <c r="L29" s="148">
        <f t="shared" si="17"/>
        <v>0</v>
      </c>
      <c r="M29" s="152">
        <f t="shared" si="2"/>
        <v>0</v>
      </c>
      <c r="N29" s="151">
        <f t="shared" ref="N29:S29" si="18">SUM(N27:N28)</f>
        <v>0</v>
      </c>
      <c r="O29" s="148">
        <f t="shared" si="18"/>
        <v>0</v>
      </c>
      <c r="P29" s="148">
        <f t="shared" si="18"/>
        <v>0</v>
      </c>
      <c r="Q29" s="148">
        <f t="shared" si="18"/>
        <v>0</v>
      </c>
      <c r="R29" s="148">
        <f t="shared" si="18"/>
        <v>0</v>
      </c>
      <c r="S29" s="148">
        <f t="shared" si="18"/>
        <v>0</v>
      </c>
      <c r="T29" s="152">
        <f t="shared" si="0"/>
        <v>0</v>
      </c>
      <c r="U29" s="152">
        <f>SUM(U27:U28)</f>
        <v>0</v>
      </c>
    </row>
    <row r="30" spans="1:21">
      <c r="A30" s="134"/>
      <c r="B30" s="3" t="s">
        <v>181</v>
      </c>
      <c r="C30" s="135">
        <f>'4-2. 25년 기타경비 계획'!E30</f>
        <v>1500</v>
      </c>
      <c r="D30" s="135">
        <f>U30</f>
        <v>1000</v>
      </c>
      <c r="E30" s="295">
        <f t="shared" si="1"/>
        <v>66.666666666666657</v>
      </c>
      <c r="F30" s="137"/>
      <c r="G30" s="138"/>
      <c r="H30" s="135">
        <v>200</v>
      </c>
      <c r="I30" s="135"/>
      <c r="J30" s="135">
        <v>200</v>
      </c>
      <c r="K30" s="135"/>
      <c r="L30" s="135">
        <v>200</v>
      </c>
      <c r="M30" s="139">
        <f t="shared" si="2"/>
        <v>600</v>
      </c>
      <c r="N30" s="138"/>
      <c r="O30" s="135">
        <v>200</v>
      </c>
      <c r="P30" s="135"/>
      <c r="Q30" s="135"/>
      <c r="R30" s="135">
        <v>200</v>
      </c>
      <c r="S30" s="135"/>
      <c r="T30" s="139">
        <f t="shared" si="0"/>
        <v>400</v>
      </c>
      <c r="U30" s="139">
        <f>M30+T30</f>
        <v>1000</v>
      </c>
    </row>
    <row r="31" spans="1:21">
      <c r="A31" s="140" t="s">
        <v>182</v>
      </c>
      <c r="B31" s="4"/>
      <c r="C31" s="160"/>
      <c r="D31" s="160">
        <f>U31</f>
        <v>0</v>
      </c>
      <c r="E31" s="299" t="str">
        <f t="shared" si="1"/>
        <v/>
      </c>
      <c r="F31" s="162"/>
      <c r="G31" s="163"/>
      <c r="H31" s="160"/>
      <c r="I31" s="160"/>
      <c r="J31" s="160"/>
      <c r="K31" s="160"/>
      <c r="L31" s="160"/>
      <c r="M31" s="164">
        <f t="shared" si="2"/>
        <v>0</v>
      </c>
      <c r="N31" s="163"/>
      <c r="O31" s="160"/>
      <c r="P31" s="160"/>
      <c r="Q31" s="160"/>
      <c r="R31" s="160"/>
      <c r="S31" s="160"/>
      <c r="T31" s="164">
        <f t="shared" si="0"/>
        <v>0</v>
      </c>
      <c r="U31" s="164">
        <f>M31+T31</f>
        <v>0</v>
      </c>
    </row>
    <row r="32" spans="1:21">
      <c r="A32" s="154" t="s">
        <v>184</v>
      </c>
      <c r="B32" s="147" t="s">
        <v>213</v>
      </c>
      <c r="C32" s="148">
        <f>SUM(C30:C31)</f>
        <v>1500</v>
      </c>
      <c r="D32" s="148">
        <f>SUM(D30:D31)</f>
        <v>1000</v>
      </c>
      <c r="E32" s="297">
        <f t="shared" si="1"/>
        <v>66.666666666666657</v>
      </c>
      <c r="F32" s="150"/>
      <c r="G32" s="151">
        <f t="shared" ref="G32:L32" si="19">SUM(G30:G31)</f>
        <v>0</v>
      </c>
      <c r="H32" s="148">
        <f t="shared" si="19"/>
        <v>200</v>
      </c>
      <c r="I32" s="148">
        <f t="shared" si="19"/>
        <v>0</v>
      </c>
      <c r="J32" s="148">
        <f t="shared" si="19"/>
        <v>200</v>
      </c>
      <c r="K32" s="148">
        <f t="shared" si="19"/>
        <v>0</v>
      </c>
      <c r="L32" s="148">
        <f t="shared" si="19"/>
        <v>200</v>
      </c>
      <c r="M32" s="152">
        <f t="shared" si="2"/>
        <v>600</v>
      </c>
      <c r="N32" s="151">
        <f t="shared" ref="N32:S32" si="20">SUM(N30:N31)</f>
        <v>0</v>
      </c>
      <c r="O32" s="148">
        <f t="shared" si="20"/>
        <v>200</v>
      </c>
      <c r="P32" s="148">
        <f t="shared" si="20"/>
        <v>0</v>
      </c>
      <c r="Q32" s="148">
        <f t="shared" si="20"/>
        <v>0</v>
      </c>
      <c r="R32" s="148">
        <f t="shared" si="20"/>
        <v>200</v>
      </c>
      <c r="S32" s="148">
        <f t="shared" si="20"/>
        <v>0</v>
      </c>
      <c r="T32" s="152">
        <f t="shared" si="0"/>
        <v>400</v>
      </c>
      <c r="U32" s="152">
        <f>SUM(U30:U31)</f>
        <v>1000</v>
      </c>
    </row>
    <row r="33" spans="1:21">
      <c r="A33" s="134"/>
      <c r="B33" s="3" t="s">
        <v>185</v>
      </c>
      <c r="C33" s="135">
        <f>'4-2. 25년 기타경비 계획'!E33</f>
        <v>5500</v>
      </c>
      <c r="D33" s="135">
        <f>U33</f>
        <v>5500</v>
      </c>
      <c r="E33" s="295">
        <f t="shared" si="1"/>
        <v>100</v>
      </c>
      <c r="F33" s="137"/>
      <c r="G33" s="138"/>
      <c r="H33" s="135"/>
      <c r="I33" s="135">
        <v>5500</v>
      </c>
      <c r="J33" s="135"/>
      <c r="K33" s="135"/>
      <c r="L33" s="135"/>
      <c r="M33" s="139">
        <f t="shared" si="2"/>
        <v>5500</v>
      </c>
      <c r="N33" s="138"/>
      <c r="O33" s="135"/>
      <c r="P33" s="135"/>
      <c r="Q33" s="135"/>
      <c r="R33" s="135"/>
      <c r="S33" s="135"/>
      <c r="T33" s="139">
        <f t="shared" si="0"/>
        <v>0</v>
      </c>
      <c r="U33" s="139">
        <f>M33+T33</f>
        <v>5500</v>
      </c>
    </row>
    <row r="34" spans="1:21">
      <c r="A34" s="140"/>
      <c r="B34" s="169" t="s">
        <v>500</v>
      </c>
      <c r="C34" s="224">
        <f>'4-2. 25년 기타경비 계획'!E34</f>
        <v>10000</v>
      </c>
      <c r="D34" s="224">
        <f>U34</f>
        <v>10000</v>
      </c>
      <c r="E34" s="322">
        <f t="shared" si="1"/>
        <v>100</v>
      </c>
      <c r="F34" s="356"/>
      <c r="G34" s="381"/>
      <c r="H34" s="224"/>
      <c r="I34" s="224"/>
      <c r="J34" s="224"/>
      <c r="K34" s="224"/>
      <c r="L34" s="224"/>
      <c r="M34" s="231">
        <f t="shared" si="2"/>
        <v>0</v>
      </c>
      <c r="N34" s="381"/>
      <c r="O34" s="224"/>
      <c r="P34" s="224"/>
      <c r="Q34" s="224">
        <v>10000</v>
      </c>
      <c r="R34" s="224"/>
      <c r="S34" s="224"/>
      <c r="T34" s="231">
        <f t="shared" si="0"/>
        <v>10000</v>
      </c>
      <c r="U34" s="231">
        <f>M34+T34</f>
        <v>10000</v>
      </c>
    </row>
    <row r="35" spans="1:21">
      <c r="A35" s="140" t="s">
        <v>186</v>
      </c>
      <c r="B35" s="4" t="s">
        <v>502</v>
      </c>
      <c r="C35" s="160">
        <f>'4-2. 25년 기타경비 계획'!E35</f>
        <v>7000</v>
      </c>
      <c r="D35" s="160">
        <f>U35</f>
        <v>7000</v>
      </c>
      <c r="E35" s="299">
        <f t="shared" si="1"/>
        <v>100</v>
      </c>
      <c r="F35" s="162"/>
      <c r="G35" s="163"/>
      <c r="H35" s="160"/>
      <c r="I35" s="160"/>
      <c r="J35" s="160"/>
      <c r="K35" s="160"/>
      <c r="L35" s="160"/>
      <c r="M35" s="164">
        <f t="shared" si="2"/>
        <v>0</v>
      </c>
      <c r="N35" s="163"/>
      <c r="O35" s="160"/>
      <c r="P35" s="160"/>
      <c r="Q35" s="160">
        <v>7000</v>
      </c>
      <c r="R35" s="160"/>
      <c r="S35" s="160"/>
      <c r="T35" s="164">
        <f t="shared" si="0"/>
        <v>7000</v>
      </c>
      <c r="U35" s="164">
        <f>M35+T35</f>
        <v>7000</v>
      </c>
    </row>
    <row r="36" spans="1:21">
      <c r="A36" s="154" t="s">
        <v>22</v>
      </c>
      <c r="B36" s="147" t="s">
        <v>11</v>
      </c>
      <c r="C36" s="148">
        <f>SUM(C33:C35)</f>
        <v>22500</v>
      </c>
      <c r="D36" s="148">
        <f>SUM(D33:D35)</f>
        <v>22500</v>
      </c>
      <c r="E36" s="297">
        <f t="shared" si="1"/>
        <v>100</v>
      </c>
      <c r="F36" s="150"/>
      <c r="G36" s="151">
        <f t="shared" ref="G36:L36" si="21">SUM(G33:G35)</f>
        <v>0</v>
      </c>
      <c r="H36" s="148">
        <f t="shared" si="21"/>
        <v>0</v>
      </c>
      <c r="I36" s="148">
        <f t="shared" si="21"/>
        <v>5500</v>
      </c>
      <c r="J36" s="148">
        <f t="shared" si="21"/>
        <v>0</v>
      </c>
      <c r="K36" s="148">
        <f t="shared" si="21"/>
        <v>0</v>
      </c>
      <c r="L36" s="148">
        <f t="shared" si="21"/>
        <v>0</v>
      </c>
      <c r="M36" s="152">
        <f t="shared" si="2"/>
        <v>5500</v>
      </c>
      <c r="N36" s="151">
        <f t="shared" ref="N36:S36" si="22">SUM(N33:N35)</f>
        <v>0</v>
      </c>
      <c r="O36" s="148">
        <f t="shared" si="22"/>
        <v>0</v>
      </c>
      <c r="P36" s="148">
        <f t="shared" si="22"/>
        <v>0</v>
      </c>
      <c r="Q36" s="148">
        <f t="shared" si="22"/>
        <v>17000</v>
      </c>
      <c r="R36" s="148">
        <f t="shared" si="22"/>
        <v>0</v>
      </c>
      <c r="S36" s="148">
        <f t="shared" si="22"/>
        <v>0</v>
      </c>
      <c r="T36" s="152">
        <f t="shared" si="0"/>
        <v>17000</v>
      </c>
      <c r="U36" s="152">
        <f>SUM(U33:U35)</f>
        <v>22500</v>
      </c>
    </row>
    <row r="37" spans="1:21">
      <c r="A37" s="167"/>
      <c r="B37" s="3" t="s">
        <v>188</v>
      </c>
      <c r="C37" s="135">
        <f>'4-2. 25년 기타경비 계획'!E37</f>
        <v>240</v>
      </c>
      <c r="D37" s="135">
        <f>U37</f>
        <v>300</v>
      </c>
      <c r="E37" s="295">
        <f t="shared" si="1"/>
        <v>125</v>
      </c>
      <c r="F37" s="137"/>
      <c r="G37" s="138">
        <v>25</v>
      </c>
      <c r="H37" s="135">
        <v>25</v>
      </c>
      <c r="I37" s="135">
        <v>25</v>
      </c>
      <c r="J37" s="135">
        <v>25</v>
      </c>
      <c r="K37" s="135">
        <v>25</v>
      </c>
      <c r="L37" s="135">
        <v>25</v>
      </c>
      <c r="M37" s="139">
        <f t="shared" si="2"/>
        <v>150</v>
      </c>
      <c r="N37" s="138">
        <v>25</v>
      </c>
      <c r="O37" s="135">
        <v>25</v>
      </c>
      <c r="P37" s="135">
        <v>25</v>
      </c>
      <c r="Q37" s="135">
        <v>25</v>
      </c>
      <c r="R37" s="135">
        <v>25</v>
      </c>
      <c r="S37" s="135">
        <v>25</v>
      </c>
      <c r="T37" s="139">
        <f t="shared" si="0"/>
        <v>150</v>
      </c>
      <c r="U37" s="139">
        <f>M37+T37</f>
        <v>300</v>
      </c>
    </row>
    <row r="38" spans="1:21">
      <c r="A38" s="168" t="s">
        <v>189</v>
      </c>
      <c r="B38" s="169" t="s">
        <v>190</v>
      </c>
      <c r="C38" s="141">
        <f>'4-2. 25년 기타경비 계획'!E38</f>
        <v>2500</v>
      </c>
      <c r="D38" s="141">
        <f>U38</f>
        <v>3000</v>
      </c>
      <c r="E38" s="296">
        <f t="shared" si="1"/>
        <v>120</v>
      </c>
      <c r="F38" s="143"/>
      <c r="G38" s="144">
        <v>250</v>
      </c>
      <c r="H38" s="141">
        <v>250</v>
      </c>
      <c r="I38" s="141">
        <v>250</v>
      </c>
      <c r="J38" s="141">
        <v>250</v>
      </c>
      <c r="K38" s="141">
        <v>250</v>
      </c>
      <c r="L38" s="141">
        <v>250</v>
      </c>
      <c r="M38" s="145">
        <f t="shared" si="2"/>
        <v>1500</v>
      </c>
      <c r="N38" s="144">
        <v>250</v>
      </c>
      <c r="O38" s="141">
        <v>250</v>
      </c>
      <c r="P38" s="141">
        <v>250</v>
      </c>
      <c r="Q38" s="141">
        <v>250</v>
      </c>
      <c r="R38" s="141">
        <v>250</v>
      </c>
      <c r="S38" s="141">
        <v>250</v>
      </c>
      <c r="T38" s="145">
        <f t="shared" si="0"/>
        <v>1500</v>
      </c>
      <c r="U38" s="145">
        <f>M38+T38</f>
        <v>3000</v>
      </c>
    </row>
    <row r="39" spans="1:21">
      <c r="A39" s="154" t="s">
        <v>23</v>
      </c>
      <c r="B39" s="147" t="s">
        <v>11</v>
      </c>
      <c r="C39" s="155">
        <f>SUM(C37:C38)</f>
        <v>2740</v>
      </c>
      <c r="D39" s="155">
        <f>SUM(D37:D38)</f>
        <v>3300</v>
      </c>
      <c r="E39" s="298">
        <f t="shared" si="1"/>
        <v>120.43795620437956</v>
      </c>
      <c r="F39" s="157"/>
      <c r="G39" s="158">
        <f t="shared" ref="G39:L39" si="23">SUM(G37:G38)</f>
        <v>275</v>
      </c>
      <c r="H39" s="155">
        <f t="shared" si="23"/>
        <v>275</v>
      </c>
      <c r="I39" s="155">
        <f t="shared" si="23"/>
        <v>275</v>
      </c>
      <c r="J39" s="155">
        <f t="shared" si="23"/>
        <v>275</v>
      </c>
      <c r="K39" s="155">
        <f t="shared" si="23"/>
        <v>275</v>
      </c>
      <c r="L39" s="155">
        <f t="shared" si="23"/>
        <v>275</v>
      </c>
      <c r="M39" s="159">
        <f t="shared" si="2"/>
        <v>1650</v>
      </c>
      <c r="N39" s="158">
        <f t="shared" ref="N39:S39" si="24">SUM(N37:N38)</f>
        <v>275</v>
      </c>
      <c r="O39" s="155">
        <f t="shared" si="24"/>
        <v>275</v>
      </c>
      <c r="P39" s="155">
        <f t="shared" si="24"/>
        <v>275</v>
      </c>
      <c r="Q39" s="155">
        <f t="shared" si="24"/>
        <v>275</v>
      </c>
      <c r="R39" s="155">
        <f t="shared" si="24"/>
        <v>275</v>
      </c>
      <c r="S39" s="155">
        <f t="shared" si="24"/>
        <v>275</v>
      </c>
      <c r="T39" s="159">
        <f t="shared" si="0"/>
        <v>1650</v>
      </c>
      <c r="U39" s="159">
        <f>SUM(U37:U38)</f>
        <v>3300</v>
      </c>
    </row>
    <row r="40" spans="1:21" hidden="1">
      <c r="A40" s="134"/>
      <c r="B40" s="3"/>
      <c r="C40" s="135"/>
      <c r="D40" s="135">
        <f>U40</f>
        <v>0</v>
      </c>
      <c r="E40" s="295" t="str">
        <f t="shared" si="1"/>
        <v/>
      </c>
      <c r="F40" s="137"/>
      <c r="G40" s="138"/>
      <c r="H40" s="135"/>
      <c r="I40" s="135"/>
      <c r="J40" s="135"/>
      <c r="K40" s="135"/>
      <c r="L40" s="135"/>
      <c r="M40" s="139">
        <f t="shared" si="2"/>
        <v>0</v>
      </c>
      <c r="N40" s="138"/>
      <c r="O40" s="135"/>
      <c r="P40" s="135"/>
      <c r="Q40" s="135"/>
      <c r="R40" s="135"/>
      <c r="S40" s="135"/>
      <c r="T40" s="139">
        <f t="shared" si="0"/>
        <v>0</v>
      </c>
      <c r="U40" s="139">
        <f>M40+T40</f>
        <v>0</v>
      </c>
    </row>
    <row r="41" spans="1:21" hidden="1">
      <c r="A41" s="140" t="s">
        <v>191</v>
      </c>
      <c r="B41" s="170"/>
      <c r="C41" s="171"/>
      <c r="D41" s="171">
        <f>U41</f>
        <v>0</v>
      </c>
      <c r="E41" s="300" t="str">
        <f t="shared" si="1"/>
        <v/>
      </c>
      <c r="F41" s="173"/>
      <c r="G41" s="174"/>
      <c r="H41" s="171"/>
      <c r="I41" s="171"/>
      <c r="J41" s="171"/>
      <c r="K41" s="171"/>
      <c r="L41" s="171"/>
      <c r="M41" s="175">
        <f t="shared" si="2"/>
        <v>0</v>
      </c>
      <c r="N41" s="174"/>
      <c r="O41" s="171"/>
      <c r="P41" s="171"/>
      <c r="Q41" s="171"/>
      <c r="R41" s="171"/>
      <c r="S41" s="171"/>
      <c r="T41" s="175">
        <f t="shared" si="0"/>
        <v>0</v>
      </c>
      <c r="U41" s="175">
        <f>M41+T41</f>
        <v>0</v>
      </c>
    </row>
    <row r="42" spans="1:21" hidden="1">
      <c r="A42" s="154" t="s">
        <v>24</v>
      </c>
      <c r="B42" s="147" t="s">
        <v>11</v>
      </c>
      <c r="C42" s="148">
        <f>SUM(C40:C41)</f>
        <v>0</v>
      </c>
      <c r="D42" s="148">
        <f>SUM(D40:D41)</f>
        <v>0</v>
      </c>
      <c r="E42" s="297" t="str">
        <f t="shared" si="1"/>
        <v/>
      </c>
      <c r="F42" s="150"/>
      <c r="G42" s="151">
        <f t="shared" ref="G42:L42" si="25">SUM(G40:G41)</f>
        <v>0</v>
      </c>
      <c r="H42" s="148">
        <f t="shared" si="25"/>
        <v>0</v>
      </c>
      <c r="I42" s="148">
        <f t="shared" si="25"/>
        <v>0</v>
      </c>
      <c r="J42" s="148">
        <f t="shared" si="25"/>
        <v>0</v>
      </c>
      <c r="K42" s="148">
        <f t="shared" si="25"/>
        <v>0</v>
      </c>
      <c r="L42" s="148">
        <f t="shared" si="25"/>
        <v>0</v>
      </c>
      <c r="M42" s="152">
        <f t="shared" si="2"/>
        <v>0</v>
      </c>
      <c r="N42" s="151">
        <f t="shared" ref="N42:S42" si="26">SUM(N40:N41)</f>
        <v>0</v>
      </c>
      <c r="O42" s="148">
        <f t="shared" si="26"/>
        <v>0</v>
      </c>
      <c r="P42" s="148">
        <f t="shared" si="26"/>
        <v>0</v>
      </c>
      <c r="Q42" s="148">
        <f t="shared" si="26"/>
        <v>0</v>
      </c>
      <c r="R42" s="148">
        <f t="shared" si="26"/>
        <v>0</v>
      </c>
      <c r="S42" s="148">
        <f t="shared" si="26"/>
        <v>0</v>
      </c>
      <c r="T42" s="152">
        <f t="shared" si="0"/>
        <v>0</v>
      </c>
      <c r="U42" s="152">
        <f>SUM(U40:U41)</f>
        <v>0</v>
      </c>
    </row>
    <row r="43" spans="1:21" hidden="1">
      <c r="A43" s="134"/>
      <c r="B43" s="3"/>
      <c r="C43" s="135"/>
      <c r="D43" s="135">
        <f>U43</f>
        <v>0</v>
      </c>
      <c r="E43" s="295" t="str">
        <f t="shared" si="1"/>
        <v/>
      </c>
      <c r="F43" s="137"/>
      <c r="G43" s="138"/>
      <c r="H43" s="135"/>
      <c r="I43" s="135"/>
      <c r="J43" s="135"/>
      <c r="K43" s="135"/>
      <c r="L43" s="135"/>
      <c r="M43" s="139">
        <f t="shared" si="2"/>
        <v>0</v>
      </c>
      <c r="N43" s="138"/>
      <c r="O43" s="135"/>
      <c r="P43" s="135"/>
      <c r="Q43" s="135"/>
      <c r="R43" s="135"/>
      <c r="S43" s="135"/>
      <c r="T43" s="139">
        <f t="shared" si="0"/>
        <v>0</v>
      </c>
      <c r="U43" s="139">
        <f>M43+T43</f>
        <v>0</v>
      </c>
    </row>
    <row r="44" spans="1:21" hidden="1">
      <c r="A44" s="140" t="s">
        <v>192</v>
      </c>
      <c r="B44" s="4"/>
      <c r="C44" s="160"/>
      <c r="D44" s="160">
        <f>U44</f>
        <v>0</v>
      </c>
      <c r="E44" s="299" t="str">
        <f t="shared" si="1"/>
        <v/>
      </c>
      <c r="F44" s="162"/>
      <c r="G44" s="163"/>
      <c r="H44" s="160"/>
      <c r="I44" s="160"/>
      <c r="J44" s="160"/>
      <c r="K44" s="160"/>
      <c r="L44" s="160"/>
      <c r="M44" s="164">
        <f t="shared" si="2"/>
        <v>0</v>
      </c>
      <c r="N44" s="163"/>
      <c r="O44" s="160"/>
      <c r="P44" s="160"/>
      <c r="Q44" s="160"/>
      <c r="R44" s="160"/>
      <c r="S44" s="160"/>
      <c r="T44" s="164">
        <f t="shared" si="0"/>
        <v>0</v>
      </c>
      <c r="U44" s="164">
        <f>M44+T44</f>
        <v>0</v>
      </c>
    </row>
    <row r="45" spans="1:21" hidden="1">
      <c r="A45" s="154" t="s">
        <v>25</v>
      </c>
      <c r="B45" s="147" t="s">
        <v>11</v>
      </c>
      <c r="C45" s="148">
        <f>SUM(C43:C44)</f>
        <v>0</v>
      </c>
      <c r="D45" s="148">
        <f>SUM(D43:D44)</f>
        <v>0</v>
      </c>
      <c r="E45" s="297" t="str">
        <f t="shared" si="1"/>
        <v/>
      </c>
      <c r="F45" s="150"/>
      <c r="G45" s="151">
        <f t="shared" ref="G45:L45" si="27">SUM(G43:G44)</f>
        <v>0</v>
      </c>
      <c r="H45" s="148">
        <f t="shared" si="27"/>
        <v>0</v>
      </c>
      <c r="I45" s="148">
        <f t="shared" si="27"/>
        <v>0</v>
      </c>
      <c r="J45" s="148">
        <f t="shared" si="27"/>
        <v>0</v>
      </c>
      <c r="K45" s="148">
        <f t="shared" si="27"/>
        <v>0</v>
      </c>
      <c r="L45" s="148">
        <f t="shared" si="27"/>
        <v>0</v>
      </c>
      <c r="M45" s="152">
        <f t="shared" si="2"/>
        <v>0</v>
      </c>
      <c r="N45" s="151">
        <f t="shared" ref="N45:S45" si="28">SUM(N43:N44)</f>
        <v>0</v>
      </c>
      <c r="O45" s="148">
        <f t="shared" si="28"/>
        <v>0</v>
      </c>
      <c r="P45" s="148">
        <f t="shared" si="28"/>
        <v>0</v>
      </c>
      <c r="Q45" s="148">
        <f t="shared" si="28"/>
        <v>0</v>
      </c>
      <c r="R45" s="148">
        <f t="shared" si="28"/>
        <v>0</v>
      </c>
      <c r="S45" s="148">
        <f t="shared" si="28"/>
        <v>0</v>
      </c>
      <c r="T45" s="152">
        <f t="shared" si="0"/>
        <v>0</v>
      </c>
      <c r="U45" s="152">
        <f>SUM(U43:U44)</f>
        <v>0</v>
      </c>
    </row>
    <row r="46" spans="1:21">
      <c r="A46" s="168"/>
      <c r="B46" s="3" t="s">
        <v>185</v>
      </c>
      <c r="C46" s="301">
        <f>'4-2. 25년 기타경비 계획'!E46</f>
        <v>6431</v>
      </c>
      <c r="D46" s="301">
        <f>U46</f>
        <v>6431</v>
      </c>
      <c r="E46" s="302">
        <f t="shared" si="1"/>
        <v>100</v>
      </c>
      <c r="F46" s="303"/>
      <c r="G46" s="304"/>
      <c r="H46" s="301">
        <v>620</v>
      </c>
      <c r="I46" s="301"/>
      <c r="J46" s="301"/>
      <c r="K46" s="301"/>
      <c r="L46" s="301">
        <v>1110</v>
      </c>
      <c r="M46" s="305">
        <f t="shared" si="2"/>
        <v>1730</v>
      </c>
      <c r="N46" s="304"/>
      <c r="O46" s="301">
        <v>641</v>
      </c>
      <c r="P46" s="301">
        <v>770</v>
      </c>
      <c r="Q46" s="301">
        <v>1110</v>
      </c>
      <c r="R46" s="301">
        <v>1190</v>
      </c>
      <c r="S46" s="301">
        <v>990</v>
      </c>
      <c r="T46" s="305">
        <f t="shared" si="0"/>
        <v>4701</v>
      </c>
      <c r="U46" s="305">
        <f>M46+T46</f>
        <v>6431</v>
      </c>
    </row>
    <row r="47" spans="1:21">
      <c r="A47" s="168" t="s">
        <v>193</v>
      </c>
      <c r="B47" s="306" t="s">
        <v>187</v>
      </c>
      <c r="C47" s="203">
        <f>'4-2. 25년 기타경비 계획'!E47</f>
        <v>950</v>
      </c>
      <c r="D47" s="203">
        <f>U47</f>
        <v>1250</v>
      </c>
      <c r="E47" s="307">
        <f t="shared" si="1"/>
        <v>131.57894736842107</v>
      </c>
      <c r="F47" s="308"/>
      <c r="G47" s="309"/>
      <c r="H47" s="203"/>
      <c r="I47" s="203">
        <v>300</v>
      </c>
      <c r="J47" s="203"/>
      <c r="K47" s="203">
        <v>300</v>
      </c>
      <c r="L47" s="203"/>
      <c r="M47" s="210">
        <f t="shared" si="2"/>
        <v>600</v>
      </c>
      <c r="N47" s="309"/>
      <c r="O47" s="203">
        <v>350</v>
      </c>
      <c r="P47" s="203"/>
      <c r="Q47" s="203"/>
      <c r="R47" s="203">
        <v>300</v>
      </c>
      <c r="S47" s="203"/>
      <c r="T47" s="210">
        <f t="shared" si="0"/>
        <v>650</v>
      </c>
      <c r="U47" s="210">
        <f>M47+T47</f>
        <v>1250</v>
      </c>
    </row>
    <row r="48" spans="1:21">
      <c r="A48" s="154" t="s">
        <v>26</v>
      </c>
      <c r="B48" s="147" t="s">
        <v>11</v>
      </c>
      <c r="C48" s="310">
        <f>SUM(C46:C47)</f>
        <v>7381</v>
      </c>
      <c r="D48" s="310">
        <f>SUM(D46:D47)</f>
        <v>7681</v>
      </c>
      <c r="E48" s="311">
        <f t="shared" si="1"/>
        <v>104.06448990651673</v>
      </c>
      <c r="F48" s="312"/>
      <c r="G48" s="313">
        <f t="shared" ref="G48:L48" si="29">SUM(G46:G47)</f>
        <v>0</v>
      </c>
      <c r="H48" s="310">
        <f t="shared" si="29"/>
        <v>620</v>
      </c>
      <c r="I48" s="310">
        <f t="shared" si="29"/>
        <v>300</v>
      </c>
      <c r="J48" s="310">
        <f t="shared" si="29"/>
        <v>0</v>
      </c>
      <c r="K48" s="310">
        <f t="shared" si="29"/>
        <v>300</v>
      </c>
      <c r="L48" s="310">
        <f t="shared" si="29"/>
        <v>1110</v>
      </c>
      <c r="M48" s="314">
        <f t="shared" si="2"/>
        <v>2330</v>
      </c>
      <c r="N48" s="313">
        <f t="shared" ref="N48:S48" si="30">SUM(N46:N47)</f>
        <v>0</v>
      </c>
      <c r="O48" s="310">
        <f t="shared" si="30"/>
        <v>991</v>
      </c>
      <c r="P48" s="310">
        <f t="shared" si="30"/>
        <v>770</v>
      </c>
      <c r="Q48" s="310">
        <f t="shared" si="30"/>
        <v>1110</v>
      </c>
      <c r="R48" s="310">
        <f t="shared" si="30"/>
        <v>1490</v>
      </c>
      <c r="S48" s="310">
        <f t="shared" si="30"/>
        <v>990</v>
      </c>
      <c r="T48" s="314">
        <f t="shared" si="0"/>
        <v>5351</v>
      </c>
      <c r="U48" s="314">
        <f>SUM(U46:U47)</f>
        <v>7681</v>
      </c>
    </row>
    <row r="49" spans="1:25" hidden="1">
      <c r="A49" s="134"/>
      <c r="B49" s="3"/>
      <c r="C49" s="135"/>
      <c r="D49" s="135">
        <f>U49</f>
        <v>0</v>
      </c>
      <c r="E49" s="295" t="str">
        <f t="shared" si="1"/>
        <v/>
      </c>
      <c r="F49" s="137"/>
      <c r="G49" s="138"/>
      <c r="H49" s="135"/>
      <c r="I49" s="135"/>
      <c r="J49" s="135"/>
      <c r="K49" s="135"/>
      <c r="L49" s="135"/>
      <c r="M49" s="139">
        <f t="shared" si="2"/>
        <v>0</v>
      </c>
      <c r="N49" s="138"/>
      <c r="O49" s="135"/>
      <c r="P49" s="135"/>
      <c r="Q49" s="135"/>
      <c r="R49" s="135"/>
      <c r="S49" s="135"/>
      <c r="T49" s="139">
        <f t="shared" si="0"/>
        <v>0</v>
      </c>
      <c r="U49" s="139">
        <f>M49+T49</f>
        <v>0</v>
      </c>
    </row>
    <row r="50" spans="1:25" hidden="1">
      <c r="A50" s="140" t="s">
        <v>194</v>
      </c>
      <c r="B50" s="178"/>
      <c r="C50" s="141"/>
      <c r="D50" s="141">
        <f>U50</f>
        <v>0</v>
      </c>
      <c r="E50" s="315" t="str">
        <f t="shared" si="1"/>
        <v/>
      </c>
      <c r="F50" s="181"/>
      <c r="G50" s="144"/>
      <c r="H50" s="141"/>
      <c r="I50" s="141"/>
      <c r="J50" s="141"/>
      <c r="K50" s="141"/>
      <c r="L50" s="141"/>
      <c r="M50" s="145">
        <f t="shared" si="2"/>
        <v>0</v>
      </c>
      <c r="N50" s="144"/>
      <c r="O50" s="141"/>
      <c r="P50" s="141"/>
      <c r="Q50" s="141"/>
      <c r="R50" s="141"/>
      <c r="S50" s="141"/>
      <c r="T50" s="145">
        <f t="shared" si="0"/>
        <v>0</v>
      </c>
      <c r="U50" s="145">
        <f>M50+T50</f>
        <v>0</v>
      </c>
    </row>
    <row r="51" spans="1:25" hidden="1">
      <c r="A51" s="154" t="s">
        <v>27</v>
      </c>
      <c r="B51" s="177" t="s">
        <v>11</v>
      </c>
      <c r="C51" s="148">
        <f>SUM(C49:C50)</f>
        <v>0</v>
      </c>
      <c r="D51" s="148">
        <f>SUM(D49:D50)</f>
        <v>0</v>
      </c>
      <c r="E51" s="298" t="str">
        <f t="shared" si="1"/>
        <v/>
      </c>
      <c r="F51" s="157"/>
      <c r="G51" s="151">
        <f t="shared" ref="G51:L51" si="31">SUM(G49:G50)</f>
        <v>0</v>
      </c>
      <c r="H51" s="148">
        <f t="shared" si="31"/>
        <v>0</v>
      </c>
      <c r="I51" s="148">
        <f t="shared" si="31"/>
        <v>0</v>
      </c>
      <c r="J51" s="148">
        <f t="shared" si="31"/>
        <v>0</v>
      </c>
      <c r="K51" s="148">
        <f t="shared" si="31"/>
        <v>0</v>
      </c>
      <c r="L51" s="148">
        <f t="shared" si="31"/>
        <v>0</v>
      </c>
      <c r="M51" s="152">
        <f t="shared" si="2"/>
        <v>0</v>
      </c>
      <c r="N51" s="151">
        <f t="shared" ref="N51:S51" si="32">SUM(N49:N50)</f>
        <v>0</v>
      </c>
      <c r="O51" s="148">
        <f t="shared" si="32"/>
        <v>0</v>
      </c>
      <c r="P51" s="148">
        <f t="shared" si="32"/>
        <v>0</v>
      </c>
      <c r="Q51" s="148">
        <f t="shared" si="32"/>
        <v>0</v>
      </c>
      <c r="R51" s="148">
        <f t="shared" si="32"/>
        <v>0</v>
      </c>
      <c r="S51" s="148">
        <f t="shared" si="32"/>
        <v>0</v>
      </c>
      <c r="T51" s="152">
        <f t="shared" si="0"/>
        <v>0</v>
      </c>
      <c r="U51" s="152">
        <f>SUM(U49:U50)</f>
        <v>0</v>
      </c>
    </row>
    <row r="52" spans="1:25">
      <c r="A52" s="167"/>
      <c r="B52" s="3" t="s">
        <v>195</v>
      </c>
      <c r="C52" s="135">
        <f>'4-2. 25년 기타경비 계획'!E52</f>
        <v>10000</v>
      </c>
      <c r="D52" s="135">
        <f>U52</f>
        <v>10000</v>
      </c>
      <c r="E52" s="295">
        <f t="shared" si="1"/>
        <v>100</v>
      </c>
      <c r="F52" s="137"/>
      <c r="G52" s="138"/>
      <c r="H52" s="135"/>
      <c r="I52" s="135">
        <v>2500</v>
      </c>
      <c r="J52" s="135"/>
      <c r="K52" s="135"/>
      <c r="L52" s="135">
        <v>2500</v>
      </c>
      <c r="M52" s="139">
        <f t="shared" si="2"/>
        <v>5000</v>
      </c>
      <c r="N52" s="138"/>
      <c r="O52" s="135"/>
      <c r="P52" s="135">
        <v>2500</v>
      </c>
      <c r="Q52" s="135"/>
      <c r="R52" s="135"/>
      <c r="S52" s="135">
        <v>2500</v>
      </c>
      <c r="T52" s="139">
        <f t="shared" si="0"/>
        <v>5000</v>
      </c>
      <c r="U52" s="139">
        <f>M52+T52</f>
        <v>10000</v>
      </c>
    </row>
    <row r="53" spans="1:25">
      <c r="A53" s="168" t="s">
        <v>196</v>
      </c>
      <c r="B53" s="5"/>
      <c r="C53" s="179"/>
      <c r="D53" s="179">
        <f>U53</f>
        <v>0</v>
      </c>
      <c r="E53" s="296" t="str">
        <f t="shared" si="1"/>
        <v/>
      </c>
      <c r="F53" s="143"/>
      <c r="G53" s="182"/>
      <c r="H53" s="179"/>
      <c r="I53" s="179"/>
      <c r="J53" s="179"/>
      <c r="K53" s="179"/>
      <c r="L53" s="179"/>
      <c r="M53" s="183">
        <f t="shared" si="2"/>
        <v>0</v>
      </c>
      <c r="N53" s="182"/>
      <c r="O53" s="179"/>
      <c r="P53" s="179"/>
      <c r="Q53" s="179"/>
      <c r="R53" s="179"/>
      <c r="S53" s="179"/>
      <c r="T53" s="183">
        <f t="shared" si="0"/>
        <v>0</v>
      </c>
      <c r="U53" s="183">
        <f>M53+T53</f>
        <v>0</v>
      </c>
    </row>
    <row r="54" spans="1:25">
      <c r="A54" s="154" t="s">
        <v>28</v>
      </c>
      <c r="B54" s="147" t="s">
        <v>11</v>
      </c>
      <c r="C54" s="155">
        <f>SUM(C52:C53)</f>
        <v>10000</v>
      </c>
      <c r="D54" s="155">
        <f>SUM(D52:D53)</f>
        <v>10000</v>
      </c>
      <c r="E54" s="297">
        <f t="shared" si="1"/>
        <v>100</v>
      </c>
      <c r="F54" s="150"/>
      <c r="G54" s="158">
        <f t="shared" ref="G54:L54" si="33">SUM(G52:G53)</f>
        <v>0</v>
      </c>
      <c r="H54" s="155">
        <f t="shared" si="33"/>
        <v>0</v>
      </c>
      <c r="I54" s="155">
        <f t="shared" si="33"/>
        <v>2500</v>
      </c>
      <c r="J54" s="155">
        <f t="shared" si="33"/>
        <v>0</v>
      </c>
      <c r="K54" s="155">
        <f t="shared" si="33"/>
        <v>0</v>
      </c>
      <c r="L54" s="155">
        <f t="shared" si="33"/>
        <v>2500</v>
      </c>
      <c r="M54" s="159">
        <f t="shared" si="2"/>
        <v>5000</v>
      </c>
      <c r="N54" s="158">
        <f t="shared" ref="N54:S54" si="34">SUM(N52:N53)</f>
        <v>0</v>
      </c>
      <c r="O54" s="155">
        <f t="shared" si="34"/>
        <v>0</v>
      </c>
      <c r="P54" s="155">
        <f t="shared" si="34"/>
        <v>2500</v>
      </c>
      <c r="Q54" s="155">
        <f t="shared" si="34"/>
        <v>0</v>
      </c>
      <c r="R54" s="155">
        <f t="shared" si="34"/>
        <v>0</v>
      </c>
      <c r="S54" s="155">
        <f t="shared" si="34"/>
        <v>2500</v>
      </c>
      <c r="T54" s="159">
        <f t="shared" si="0"/>
        <v>5000</v>
      </c>
      <c r="U54" s="159">
        <f>SUM(U52:U53)</f>
        <v>10000</v>
      </c>
    </row>
    <row r="55" spans="1:25">
      <c r="A55" s="134"/>
      <c r="B55" s="3" t="s">
        <v>197</v>
      </c>
      <c r="C55" s="135">
        <f>'4-2. 25년 기타경비 계획'!E55</f>
        <v>0</v>
      </c>
      <c r="D55" s="135">
        <f>U55</f>
        <v>0</v>
      </c>
      <c r="E55" s="295" t="str">
        <f t="shared" si="1"/>
        <v/>
      </c>
      <c r="F55" s="137"/>
      <c r="G55" s="138"/>
      <c r="H55" s="135"/>
      <c r="I55" s="135"/>
      <c r="J55" s="135"/>
      <c r="K55" s="135"/>
      <c r="L55" s="135"/>
      <c r="M55" s="139">
        <f t="shared" si="2"/>
        <v>0</v>
      </c>
      <c r="N55" s="138"/>
      <c r="O55" s="135"/>
      <c r="P55" s="135"/>
      <c r="Q55" s="135"/>
      <c r="R55" s="135"/>
      <c r="S55" s="135"/>
      <c r="T55" s="139">
        <f t="shared" si="0"/>
        <v>0</v>
      </c>
      <c r="U55" s="139">
        <f>M55+T55</f>
        <v>0</v>
      </c>
      <c r="W55" t="s">
        <v>211</v>
      </c>
      <c r="X55" s="249">
        <f>SUM(U5,U11,U14,U19,U26,U33,U37,U46,U52)</f>
        <v>36865</v>
      </c>
      <c r="Y55" s="43">
        <f>X55/'4-2. 25년 기타경비 계획'!V80</f>
        <v>1.0085355511175553</v>
      </c>
    </row>
    <row r="56" spans="1:25">
      <c r="A56" s="140" t="s">
        <v>198</v>
      </c>
      <c r="B56" s="5"/>
      <c r="C56" s="141"/>
      <c r="D56" s="141">
        <f>U56</f>
        <v>0</v>
      </c>
      <c r="E56" s="296" t="str">
        <f t="shared" si="1"/>
        <v/>
      </c>
      <c r="F56" s="143"/>
      <c r="G56" s="144"/>
      <c r="H56" s="141"/>
      <c r="I56" s="141"/>
      <c r="J56" s="141"/>
      <c r="K56" s="141"/>
      <c r="L56" s="141"/>
      <c r="M56" s="145">
        <f t="shared" si="2"/>
        <v>0</v>
      </c>
      <c r="N56" s="144"/>
      <c r="O56" s="141"/>
      <c r="P56" s="141"/>
      <c r="Q56" s="141"/>
      <c r="R56" s="141"/>
      <c r="S56" s="141"/>
      <c r="T56" s="145">
        <f t="shared" si="0"/>
        <v>0</v>
      </c>
      <c r="U56" s="145">
        <f>M56+T56</f>
        <v>0</v>
      </c>
      <c r="W56" t="s">
        <v>214</v>
      </c>
      <c r="X56" s="249">
        <f>SUM(U6,U12,U15,U30,U35,U38,U47)</f>
        <v>24094</v>
      </c>
      <c r="Y56" s="43">
        <f>X56/'4-2. 25년 기타경비 계획'!V81</f>
        <v>1.0208456910431318</v>
      </c>
    </row>
    <row r="57" spans="1:25" ht="17.25" thickBot="1">
      <c r="A57" s="154" t="s">
        <v>29</v>
      </c>
      <c r="B57" s="147" t="s">
        <v>11</v>
      </c>
      <c r="C57" s="148">
        <f>SUM(C55:C56)</f>
        <v>0</v>
      </c>
      <c r="D57" s="148">
        <f>SUM(D55:D56)</f>
        <v>0</v>
      </c>
      <c r="E57" s="297" t="str">
        <f t="shared" si="1"/>
        <v/>
      </c>
      <c r="F57" s="150"/>
      <c r="G57" s="151">
        <f t="shared" ref="G57:L57" si="35">SUM(G55:G56)</f>
        <v>0</v>
      </c>
      <c r="H57" s="148">
        <f t="shared" si="35"/>
        <v>0</v>
      </c>
      <c r="I57" s="148">
        <f t="shared" si="35"/>
        <v>0</v>
      </c>
      <c r="J57" s="148">
        <f t="shared" si="35"/>
        <v>0</v>
      </c>
      <c r="K57" s="148">
        <f t="shared" si="35"/>
        <v>0</v>
      </c>
      <c r="L57" s="148">
        <f t="shared" si="35"/>
        <v>0</v>
      </c>
      <c r="M57" s="152">
        <f t="shared" si="2"/>
        <v>0</v>
      </c>
      <c r="N57" s="151">
        <f t="shared" ref="N57:S57" si="36">SUM(N55:N56)</f>
        <v>0</v>
      </c>
      <c r="O57" s="148">
        <f t="shared" si="36"/>
        <v>0</v>
      </c>
      <c r="P57" s="148">
        <f t="shared" si="36"/>
        <v>0</v>
      </c>
      <c r="Q57" s="148">
        <f t="shared" si="36"/>
        <v>0</v>
      </c>
      <c r="R57" s="148">
        <f t="shared" si="36"/>
        <v>0</v>
      </c>
      <c r="S57" s="148">
        <f t="shared" si="36"/>
        <v>0</v>
      </c>
      <c r="T57" s="152">
        <f t="shared" si="0"/>
        <v>0</v>
      </c>
      <c r="U57" s="152">
        <f>SUM(U55:U56)</f>
        <v>0</v>
      </c>
      <c r="X57" s="249">
        <f>SUM(X55:X56)</f>
        <v>60959</v>
      </c>
    </row>
    <row r="58" spans="1:25" ht="17.25" hidden="1" thickBot="1">
      <c r="A58" s="134"/>
      <c r="B58" s="3"/>
      <c r="C58" s="135"/>
      <c r="D58" s="135">
        <f>U58</f>
        <v>0</v>
      </c>
      <c r="E58" s="295" t="str">
        <f t="shared" si="1"/>
        <v/>
      </c>
      <c r="F58" s="137"/>
      <c r="G58" s="138"/>
      <c r="H58" s="135"/>
      <c r="I58" s="135"/>
      <c r="J58" s="135"/>
      <c r="K58" s="135"/>
      <c r="L58" s="135"/>
      <c r="M58" s="139">
        <f t="shared" si="2"/>
        <v>0</v>
      </c>
      <c r="N58" s="138"/>
      <c r="O58" s="135"/>
      <c r="P58" s="135"/>
      <c r="Q58" s="135"/>
      <c r="R58" s="135"/>
      <c r="S58" s="135"/>
      <c r="T58" s="139">
        <f t="shared" si="0"/>
        <v>0</v>
      </c>
      <c r="U58" s="139">
        <f>M58+T58</f>
        <v>0</v>
      </c>
    </row>
    <row r="59" spans="1:25" ht="17.25" hidden="1" thickBot="1">
      <c r="A59" s="140" t="s">
        <v>199</v>
      </c>
      <c r="B59" s="5"/>
      <c r="C59" s="141"/>
      <c r="D59" s="141">
        <f>U59</f>
        <v>0</v>
      </c>
      <c r="E59" s="296" t="str">
        <f t="shared" si="1"/>
        <v/>
      </c>
      <c r="F59" s="143"/>
      <c r="G59" s="144"/>
      <c r="H59" s="141"/>
      <c r="I59" s="141"/>
      <c r="J59" s="141"/>
      <c r="K59" s="141"/>
      <c r="L59" s="141"/>
      <c r="M59" s="145">
        <f t="shared" si="2"/>
        <v>0</v>
      </c>
      <c r="N59" s="144"/>
      <c r="O59" s="141"/>
      <c r="P59" s="141"/>
      <c r="Q59" s="141"/>
      <c r="R59" s="141"/>
      <c r="S59" s="141"/>
      <c r="T59" s="145">
        <f t="shared" si="0"/>
        <v>0</v>
      </c>
      <c r="U59" s="145">
        <f>M59+T59</f>
        <v>0</v>
      </c>
    </row>
    <row r="60" spans="1:25" ht="17.25" hidden="1" thickBot="1">
      <c r="A60" s="154" t="s">
        <v>30</v>
      </c>
      <c r="B60" s="147" t="s">
        <v>11</v>
      </c>
      <c r="C60" s="148">
        <f>SUM(C58:C59)</f>
        <v>0</v>
      </c>
      <c r="D60" s="148">
        <f>SUM(D58:D59)</f>
        <v>0</v>
      </c>
      <c r="E60" s="297" t="str">
        <f t="shared" si="1"/>
        <v/>
      </c>
      <c r="F60" s="150"/>
      <c r="G60" s="151">
        <f t="shared" ref="G60:L60" si="37">SUM(G58:G59)</f>
        <v>0</v>
      </c>
      <c r="H60" s="148">
        <f t="shared" si="37"/>
        <v>0</v>
      </c>
      <c r="I60" s="148">
        <f t="shared" si="37"/>
        <v>0</v>
      </c>
      <c r="J60" s="148">
        <f t="shared" si="37"/>
        <v>0</v>
      </c>
      <c r="K60" s="148">
        <f t="shared" si="37"/>
        <v>0</v>
      </c>
      <c r="L60" s="148">
        <f t="shared" si="37"/>
        <v>0</v>
      </c>
      <c r="M60" s="152">
        <f t="shared" si="2"/>
        <v>0</v>
      </c>
      <c r="N60" s="151">
        <f t="shared" ref="N60:S60" si="38">SUM(N58:N59)</f>
        <v>0</v>
      </c>
      <c r="O60" s="148">
        <f t="shared" si="38"/>
        <v>0</v>
      </c>
      <c r="P60" s="148">
        <f t="shared" si="38"/>
        <v>0</v>
      </c>
      <c r="Q60" s="148">
        <f t="shared" si="38"/>
        <v>0</v>
      </c>
      <c r="R60" s="148">
        <f t="shared" si="38"/>
        <v>0</v>
      </c>
      <c r="S60" s="148">
        <f t="shared" si="38"/>
        <v>0</v>
      </c>
      <c r="T60" s="152">
        <f t="shared" si="0"/>
        <v>0</v>
      </c>
      <c r="U60" s="152">
        <f>SUM(U58:U59)</f>
        <v>0</v>
      </c>
    </row>
    <row r="61" spans="1:25" ht="17.25" hidden="1" thickBot="1">
      <c r="A61" s="134"/>
      <c r="B61" s="3"/>
      <c r="C61" s="135"/>
      <c r="D61" s="135">
        <f>U61</f>
        <v>0</v>
      </c>
      <c r="E61" s="295" t="str">
        <f t="shared" si="1"/>
        <v/>
      </c>
      <c r="F61" s="137"/>
      <c r="G61" s="138"/>
      <c r="H61" s="135"/>
      <c r="I61" s="135"/>
      <c r="J61" s="135"/>
      <c r="K61" s="135"/>
      <c r="L61" s="135"/>
      <c r="M61" s="139">
        <f t="shared" si="2"/>
        <v>0</v>
      </c>
      <c r="N61" s="138"/>
      <c r="O61" s="135"/>
      <c r="P61" s="135"/>
      <c r="Q61" s="135"/>
      <c r="R61" s="135"/>
      <c r="S61" s="135"/>
      <c r="T61" s="139">
        <f t="shared" si="0"/>
        <v>0</v>
      </c>
      <c r="U61" s="139">
        <f>M61+T61</f>
        <v>0</v>
      </c>
    </row>
    <row r="62" spans="1:25" ht="17.25" hidden="1" thickBot="1">
      <c r="A62" s="140" t="s">
        <v>200</v>
      </c>
      <c r="B62" s="5"/>
      <c r="C62" s="141"/>
      <c r="D62" s="141">
        <f>U62</f>
        <v>0</v>
      </c>
      <c r="E62" s="296" t="str">
        <f t="shared" si="1"/>
        <v/>
      </c>
      <c r="F62" s="143"/>
      <c r="G62" s="144"/>
      <c r="H62" s="141"/>
      <c r="I62" s="141"/>
      <c r="J62" s="141"/>
      <c r="K62" s="141"/>
      <c r="L62" s="141"/>
      <c r="M62" s="145">
        <f t="shared" si="2"/>
        <v>0</v>
      </c>
      <c r="N62" s="144"/>
      <c r="O62" s="141"/>
      <c r="P62" s="141"/>
      <c r="Q62" s="141"/>
      <c r="R62" s="141"/>
      <c r="S62" s="141"/>
      <c r="T62" s="145">
        <f t="shared" si="0"/>
        <v>0</v>
      </c>
      <c r="U62" s="145">
        <f>M62+T62</f>
        <v>0</v>
      </c>
    </row>
    <row r="63" spans="1:25" ht="17.25" hidden="1" thickBot="1">
      <c r="A63" s="154" t="s">
        <v>31</v>
      </c>
      <c r="B63" s="147" t="s">
        <v>11</v>
      </c>
      <c r="C63" s="148">
        <f>SUM(C61:C62)</f>
        <v>0</v>
      </c>
      <c r="D63" s="148">
        <f>SUM(D61:D62)</f>
        <v>0</v>
      </c>
      <c r="E63" s="297" t="str">
        <f t="shared" si="1"/>
        <v/>
      </c>
      <c r="F63" s="150"/>
      <c r="G63" s="151">
        <f t="shared" ref="G63:L63" si="39">SUM(G61:G62)</f>
        <v>0</v>
      </c>
      <c r="H63" s="148">
        <f t="shared" si="39"/>
        <v>0</v>
      </c>
      <c r="I63" s="148">
        <f t="shared" si="39"/>
        <v>0</v>
      </c>
      <c r="J63" s="148">
        <f t="shared" si="39"/>
        <v>0</v>
      </c>
      <c r="K63" s="148">
        <f t="shared" si="39"/>
        <v>0</v>
      </c>
      <c r="L63" s="148">
        <f t="shared" si="39"/>
        <v>0</v>
      </c>
      <c r="M63" s="152">
        <f t="shared" si="2"/>
        <v>0</v>
      </c>
      <c r="N63" s="151">
        <f t="shared" ref="N63:S63" si="40">SUM(N61:N62)</f>
        <v>0</v>
      </c>
      <c r="O63" s="148">
        <f t="shared" si="40"/>
        <v>0</v>
      </c>
      <c r="P63" s="148">
        <f t="shared" si="40"/>
        <v>0</v>
      </c>
      <c r="Q63" s="148">
        <f t="shared" si="40"/>
        <v>0</v>
      </c>
      <c r="R63" s="148">
        <f t="shared" si="40"/>
        <v>0</v>
      </c>
      <c r="S63" s="148">
        <f t="shared" si="40"/>
        <v>0</v>
      </c>
      <c r="T63" s="152">
        <f t="shared" si="0"/>
        <v>0</v>
      </c>
      <c r="U63" s="152">
        <f>SUM(U61:U62)</f>
        <v>0</v>
      </c>
    </row>
    <row r="64" spans="1:25" ht="17.25" hidden="1" thickBot="1">
      <c r="A64" s="134"/>
      <c r="B64" s="3"/>
      <c r="C64" s="135"/>
      <c r="D64" s="135">
        <f>U64</f>
        <v>0</v>
      </c>
      <c r="E64" s="295" t="str">
        <f t="shared" si="1"/>
        <v/>
      </c>
      <c r="F64" s="137"/>
      <c r="G64" s="138"/>
      <c r="H64" s="135"/>
      <c r="I64" s="135"/>
      <c r="J64" s="135"/>
      <c r="K64" s="135"/>
      <c r="L64" s="135"/>
      <c r="M64" s="139">
        <f t="shared" si="2"/>
        <v>0</v>
      </c>
      <c r="N64" s="138"/>
      <c r="O64" s="135"/>
      <c r="P64" s="135"/>
      <c r="Q64" s="135"/>
      <c r="R64" s="135"/>
      <c r="S64" s="135"/>
      <c r="T64" s="139">
        <f t="shared" si="0"/>
        <v>0</v>
      </c>
      <c r="U64" s="139">
        <f>M64+T64</f>
        <v>0</v>
      </c>
    </row>
    <row r="65" spans="1:25" ht="17.25" hidden="1" thickBot="1">
      <c r="A65" s="140" t="s">
        <v>201</v>
      </c>
      <c r="B65" s="5"/>
      <c r="C65" s="141"/>
      <c r="D65" s="141">
        <f>U65</f>
        <v>0</v>
      </c>
      <c r="E65" s="296" t="str">
        <f t="shared" si="1"/>
        <v/>
      </c>
      <c r="F65" s="143"/>
      <c r="G65" s="144"/>
      <c r="H65" s="141"/>
      <c r="I65" s="141"/>
      <c r="J65" s="141"/>
      <c r="K65" s="141"/>
      <c r="L65" s="141"/>
      <c r="M65" s="145">
        <f t="shared" si="2"/>
        <v>0</v>
      </c>
      <c r="N65" s="144"/>
      <c r="O65" s="141"/>
      <c r="P65" s="141"/>
      <c r="Q65" s="141"/>
      <c r="R65" s="141"/>
      <c r="S65" s="141"/>
      <c r="T65" s="145">
        <f t="shared" si="0"/>
        <v>0</v>
      </c>
      <c r="U65" s="145">
        <f>M65+T65</f>
        <v>0</v>
      </c>
    </row>
    <row r="66" spans="1:25" ht="17.25" hidden="1" thickBot="1">
      <c r="A66" s="154" t="s">
        <v>32</v>
      </c>
      <c r="B66" s="147" t="s">
        <v>11</v>
      </c>
      <c r="C66" s="148">
        <f>SUM(C64:C65)</f>
        <v>0</v>
      </c>
      <c r="D66" s="148">
        <f>SUM(D64:D65)</f>
        <v>0</v>
      </c>
      <c r="E66" s="297" t="str">
        <f t="shared" si="1"/>
        <v/>
      </c>
      <c r="F66" s="150"/>
      <c r="G66" s="151">
        <f t="shared" ref="G66:L66" si="41">SUM(G64:G65)</f>
        <v>0</v>
      </c>
      <c r="H66" s="148">
        <f t="shared" si="41"/>
        <v>0</v>
      </c>
      <c r="I66" s="148">
        <f t="shared" si="41"/>
        <v>0</v>
      </c>
      <c r="J66" s="148">
        <f t="shared" si="41"/>
        <v>0</v>
      </c>
      <c r="K66" s="148">
        <f t="shared" si="41"/>
        <v>0</v>
      </c>
      <c r="L66" s="148">
        <f t="shared" si="41"/>
        <v>0</v>
      </c>
      <c r="M66" s="152">
        <f t="shared" si="2"/>
        <v>0</v>
      </c>
      <c r="N66" s="151">
        <f t="shared" ref="N66:S66" si="42">SUM(N64:N65)</f>
        <v>0</v>
      </c>
      <c r="O66" s="148">
        <f t="shared" si="42"/>
        <v>0</v>
      </c>
      <c r="P66" s="148">
        <f t="shared" si="42"/>
        <v>0</v>
      </c>
      <c r="Q66" s="148">
        <f t="shared" si="42"/>
        <v>0</v>
      </c>
      <c r="R66" s="148">
        <f t="shared" si="42"/>
        <v>0</v>
      </c>
      <c r="S66" s="148">
        <f t="shared" si="42"/>
        <v>0</v>
      </c>
      <c r="T66" s="152">
        <f t="shared" si="0"/>
        <v>0</v>
      </c>
      <c r="U66" s="152">
        <f>SUM(U64:U65)</f>
        <v>0</v>
      </c>
    </row>
    <row r="67" spans="1:25" ht="17.25" hidden="1" thickBot="1">
      <c r="A67" s="134"/>
      <c r="B67" s="3"/>
      <c r="C67" s="135"/>
      <c r="D67" s="135">
        <f>U67</f>
        <v>0</v>
      </c>
      <c r="E67" s="295" t="str">
        <f t="shared" si="1"/>
        <v/>
      </c>
      <c r="F67" s="137"/>
      <c r="G67" s="138"/>
      <c r="H67" s="135"/>
      <c r="I67" s="135"/>
      <c r="J67" s="135"/>
      <c r="K67" s="135"/>
      <c r="L67" s="135"/>
      <c r="M67" s="139">
        <f t="shared" si="2"/>
        <v>0</v>
      </c>
      <c r="N67" s="138"/>
      <c r="O67" s="135"/>
      <c r="P67" s="135"/>
      <c r="Q67" s="135"/>
      <c r="R67" s="135"/>
      <c r="S67" s="135"/>
      <c r="T67" s="139">
        <f t="shared" si="0"/>
        <v>0</v>
      </c>
      <c r="U67" s="139">
        <f>M67+T67</f>
        <v>0</v>
      </c>
    </row>
    <row r="68" spans="1:25" ht="17.25" hidden="1" thickBot="1">
      <c r="A68" s="140" t="s">
        <v>202</v>
      </c>
      <c r="B68" s="5"/>
      <c r="C68" s="141"/>
      <c r="D68" s="141">
        <f>U68</f>
        <v>0</v>
      </c>
      <c r="E68" s="296" t="str">
        <f t="shared" si="1"/>
        <v/>
      </c>
      <c r="F68" s="143"/>
      <c r="G68" s="144"/>
      <c r="H68" s="141"/>
      <c r="I68" s="141"/>
      <c r="J68" s="141"/>
      <c r="K68" s="141"/>
      <c r="L68" s="141"/>
      <c r="M68" s="145">
        <f t="shared" si="2"/>
        <v>0</v>
      </c>
      <c r="N68" s="144"/>
      <c r="O68" s="141"/>
      <c r="P68" s="141"/>
      <c r="Q68" s="141"/>
      <c r="R68" s="141"/>
      <c r="S68" s="141"/>
      <c r="T68" s="145">
        <f t="shared" si="0"/>
        <v>0</v>
      </c>
      <c r="U68" s="145">
        <f>M68+T68</f>
        <v>0</v>
      </c>
    </row>
    <row r="69" spans="1:25" ht="17.25" hidden="1" thickBot="1">
      <c r="A69" s="184" t="s">
        <v>33</v>
      </c>
      <c r="B69" s="185" t="s">
        <v>11</v>
      </c>
      <c r="C69" s="186">
        <f>SUM(C67:C68)</f>
        <v>0</v>
      </c>
      <c r="D69" s="186">
        <f>SUM(D67:D68)</f>
        <v>0</v>
      </c>
      <c r="E69" s="316" t="str">
        <f t="shared" si="1"/>
        <v/>
      </c>
      <c r="F69" s="188"/>
      <c r="G69" s="189">
        <f t="shared" ref="G69:L69" si="43">SUM(G67:G68)</f>
        <v>0</v>
      </c>
      <c r="H69" s="186">
        <f t="shared" si="43"/>
        <v>0</v>
      </c>
      <c r="I69" s="186">
        <f t="shared" si="43"/>
        <v>0</v>
      </c>
      <c r="J69" s="186">
        <f t="shared" si="43"/>
        <v>0</v>
      </c>
      <c r="K69" s="186">
        <f t="shared" si="43"/>
        <v>0</v>
      </c>
      <c r="L69" s="186">
        <f t="shared" si="43"/>
        <v>0</v>
      </c>
      <c r="M69" s="190">
        <f t="shared" si="2"/>
        <v>0</v>
      </c>
      <c r="N69" s="189">
        <f t="shared" ref="N69:S69" si="44">SUM(N67:N68)</f>
        <v>0</v>
      </c>
      <c r="O69" s="186">
        <f t="shared" si="44"/>
        <v>0</v>
      </c>
      <c r="P69" s="186">
        <f t="shared" si="44"/>
        <v>0</v>
      </c>
      <c r="Q69" s="186">
        <f t="shared" si="44"/>
        <v>0</v>
      </c>
      <c r="R69" s="186">
        <f t="shared" si="44"/>
        <v>0</v>
      </c>
      <c r="S69" s="186">
        <f t="shared" si="44"/>
        <v>0</v>
      </c>
      <c r="T69" s="190">
        <f t="shared" si="0"/>
        <v>0</v>
      </c>
      <c r="U69" s="190">
        <f>SUM(U67:U68)</f>
        <v>0</v>
      </c>
    </row>
    <row r="70" spans="1:25" ht="17.25" thickTop="1">
      <c r="A70" s="191"/>
      <c r="B70" s="265" t="s">
        <v>34</v>
      </c>
      <c r="C70" s="193">
        <f>'4-2. 25년 기타경비 계획'!E70</f>
        <v>9600</v>
      </c>
      <c r="D70" s="193">
        <f>U70</f>
        <v>9000</v>
      </c>
      <c r="E70" s="317">
        <f t="shared" si="1"/>
        <v>93.75</v>
      </c>
      <c r="F70" s="267"/>
      <c r="G70" s="268">
        <v>750</v>
      </c>
      <c r="H70" s="269">
        <v>750</v>
      </c>
      <c r="I70" s="269">
        <v>750</v>
      </c>
      <c r="J70" s="269">
        <v>750</v>
      </c>
      <c r="K70" s="269">
        <v>750</v>
      </c>
      <c r="L70" s="269">
        <v>750</v>
      </c>
      <c r="M70" s="318">
        <f t="shared" si="2"/>
        <v>4500</v>
      </c>
      <c r="N70" s="199">
        <v>750</v>
      </c>
      <c r="O70" s="193">
        <v>750</v>
      </c>
      <c r="P70" s="193">
        <v>750</v>
      </c>
      <c r="Q70" s="193">
        <v>750</v>
      </c>
      <c r="R70" s="193">
        <v>750</v>
      </c>
      <c r="S70" s="193">
        <v>750</v>
      </c>
      <c r="T70" s="200">
        <f t="shared" si="0"/>
        <v>4500</v>
      </c>
      <c r="U70" s="200">
        <f>M70+T70</f>
        <v>9000</v>
      </c>
    </row>
    <row r="71" spans="1:25">
      <c r="A71" s="201" t="s">
        <v>203</v>
      </c>
      <c r="B71" s="211" t="s">
        <v>36</v>
      </c>
      <c r="C71" s="141">
        <f>'4-2. 25년 기타경비 계획'!E71</f>
        <v>960</v>
      </c>
      <c r="D71" s="141">
        <f>U71</f>
        <v>920</v>
      </c>
      <c r="E71" s="296">
        <f t="shared" si="1"/>
        <v>95.833333333333343</v>
      </c>
      <c r="F71" s="212"/>
      <c r="G71" s="270">
        <v>230</v>
      </c>
      <c r="H71" s="271"/>
      <c r="I71" s="271"/>
      <c r="J71" s="271">
        <v>230</v>
      </c>
      <c r="K71" s="271"/>
      <c r="L71" s="271"/>
      <c r="M71" s="319">
        <f t="shared" si="2"/>
        <v>460</v>
      </c>
      <c r="N71" s="216">
        <v>230</v>
      </c>
      <c r="O71" s="141"/>
      <c r="P71" s="141"/>
      <c r="Q71" s="141">
        <v>230</v>
      </c>
      <c r="R71" s="141"/>
      <c r="S71" s="141"/>
      <c r="T71" s="145">
        <f>SUM(N71:S71)</f>
        <v>460</v>
      </c>
      <c r="U71" s="145">
        <f>M71+T71</f>
        <v>920</v>
      </c>
    </row>
    <row r="72" spans="1:25">
      <c r="A72" s="217" t="s">
        <v>35</v>
      </c>
      <c r="B72" s="177" t="s">
        <v>11</v>
      </c>
      <c r="C72" s="218">
        <f>SUM(C70:C71)</f>
        <v>10560</v>
      </c>
      <c r="D72" s="218">
        <f>SUM(D70:D71)</f>
        <v>9920</v>
      </c>
      <c r="E72" s="320">
        <f>IFERROR(D72/C72*100,"")</f>
        <v>93.939393939393938</v>
      </c>
      <c r="F72" s="220"/>
      <c r="G72" s="273">
        <f t="shared" ref="G72:L72" si="45">SUM(G70:G71)</f>
        <v>980</v>
      </c>
      <c r="H72" s="274">
        <f t="shared" si="45"/>
        <v>750</v>
      </c>
      <c r="I72" s="274">
        <f t="shared" si="45"/>
        <v>750</v>
      </c>
      <c r="J72" s="274">
        <f t="shared" si="45"/>
        <v>980</v>
      </c>
      <c r="K72" s="274">
        <f t="shared" si="45"/>
        <v>750</v>
      </c>
      <c r="L72" s="274">
        <f t="shared" si="45"/>
        <v>750</v>
      </c>
      <c r="M72" s="321">
        <f>SUM(G72:L72)</f>
        <v>4960</v>
      </c>
      <c r="N72" s="221">
        <f t="shared" ref="N72:S72" si="46">SUM(N70:N71)</f>
        <v>980</v>
      </c>
      <c r="O72" s="218">
        <f t="shared" si="46"/>
        <v>750</v>
      </c>
      <c r="P72" s="218">
        <f t="shared" si="46"/>
        <v>750</v>
      </c>
      <c r="Q72" s="218">
        <f t="shared" si="46"/>
        <v>980</v>
      </c>
      <c r="R72" s="218">
        <f t="shared" si="46"/>
        <v>750</v>
      </c>
      <c r="S72" s="218">
        <f t="shared" si="46"/>
        <v>750</v>
      </c>
      <c r="T72" s="222">
        <f>SUM(N72:S72)</f>
        <v>4960</v>
      </c>
      <c r="U72" s="222">
        <f>SUM(U70:U71)</f>
        <v>9920</v>
      </c>
    </row>
    <row r="73" spans="1:25">
      <c r="A73" s="201"/>
      <c r="B73" s="223"/>
      <c r="C73" s="224"/>
      <c r="D73" s="224">
        <f>U73</f>
        <v>0</v>
      </c>
      <c r="E73" s="322" t="str">
        <f>IFERROR(D73/C73*100,"")</f>
        <v/>
      </c>
      <c r="F73" s="226"/>
      <c r="G73" s="227"/>
      <c r="H73" s="228"/>
      <c r="I73" s="228"/>
      <c r="J73" s="228"/>
      <c r="K73" s="228"/>
      <c r="L73" s="228"/>
      <c r="M73" s="229">
        <f>SUM(G73:L73)</f>
        <v>0</v>
      </c>
      <c r="N73" s="230"/>
      <c r="O73" s="224"/>
      <c r="P73" s="224"/>
      <c r="Q73" s="224"/>
      <c r="R73" s="224"/>
      <c r="S73" s="224"/>
      <c r="T73" s="231">
        <f>SUM(N73:S73)</f>
        <v>0</v>
      </c>
      <c r="U73" s="231">
        <f>M73+T73</f>
        <v>0</v>
      </c>
    </row>
    <row r="74" spans="1:25">
      <c r="A74" s="201" t="s">
        <v>204</v>
      </c>
      <c r="B74" s="211"/>
      <c r="C74" s="141"/>
      <c r="D74" s="141">
        <f>U74</f>
        <v>0</v>
      </c>
      <c r="E74" s="296" t="str">
        <f>IFERROR(D74/C74*100,"")</f>
        <v/>
      </c>
      <c r="F74" s="212"/>
      <c r="G74" s="213"/>
      <c r="H74" s="214"/>
      <c r="I74" s="214"/>
      <c r="J74" s="214"/>
      <c r="K74" s="214"/>
      <c r="L74" s="214"/>
      <c r="M74" s="215">
        <f>SUM(G74:L74)</f>
        <v>0</v>
      </c>
      <c r="N74" s="216"/>
      <c r="O74" s="141"/>
      <c r="P74" s="141"/>
      <c r="Q74" s="141"/>
      <c r="R74" s="141"/>
      <c r="S74" s="141"/>
      <c r="T74" s="145">
        <f>SUM(N74:S74)</f>
        <v>0</v>
      </c>
      <c r="U74" s="145">
        <f>M74+T74</f>
        <v>0</v>
      </c>
    </row>
    <row r="75" spans="1:25" ht="17.25" thickBot="1">
      <c r="A75" s="232" t="s">
        <v>38</v>
      </c>
      <c r="B75" s="290" t="s">
        <v>11</v>
      </c>
      <c r="C75" s="234">
        <f>SUM(C73:C74)</f>
        <v>0</v>
      </c>
      <c r="D75" s="234">
        <f>SUM(D73:D74)</f>
        <v>0</v>
      </c>
      <c r="E75" s="323" t="str">
        <f>IFERROR(D75/C75*100,"")</f>
        <v/>
      </c>
      <c r="F75" s="236"/>
      <c r="G75" s="237">
        <f t="shared" ref="G75:L75" si="47">SUM(G73:G74)</f>
        <v>0</v>
      </c>
      <c r="H75" s="238">
        <f t="shared" si="47"/>
        <v>0</v>
      </c>
      <c r="I75" s="238">
        <f t="shared" si="47"/>
        <v>0</v>
      </c>
      <c r="J75" s="238">
        <f t="shared" si="47"/>
        <v>0</v>
      </c>
      <c r="K75" s="238">
        <f t="shared" si="47"/>
        <v>0</v>
      </c>
      <c r="L75" s="238">
        <f t="shared" si="47"/>
        <v>0</v>
      </c>
      <c r="M75" s="239">
        <f>SUM(G75:L75)</f>
        <v>0</v>
      </c>
      <c r="N75" s="240">
        <f t="shared" ref="N75:S75" si="48">SUM(N73:N74)</f>
        <v>0</v>
      </c>
      <c r="O75" s="234">
        <f t="shared" si="48"/>
        <v>0</v>
      </c>
      <c r="P75" s="234">
        <f t="shared" si="48"/>
        <v>0</v>
      </c>
      <c r="Q75" s="234">
        <f t="shared" si="48"/>
        <v>0</v>
      </c>
      <c r="R75" s="234">
        <f t="shared" si="48"/>
        <v>0</v>
      </c>
      <c r="S75" s="234">
        <f t="shared" si="48"/>
        <v>0</v>
      </c>
      <c r="T75" s="241">
        <f>SUM(N75:S75)</f>
        <v>0</v>
      </c>
      <c r="U75" s="241">
        <f>SUM(U73:U74)</f>
        <v>0</v>
      </c>
    </row>
    <row r="76" spans="1:25" ht="17.25" thickBot="1">
      <c r="A76" s="292" t="s">
        <v>39</v>
      </c>
      <c r="B76" s="243"/>
      <c r="C76" s="244">
        <f>C7+C10+C13+C16+C19+C22+C26+C29+C32+C36+C39+C42+C45+C48+C51+C54+C57+C60+C63+C66+C69+C75-C72</f>
        <v>59595</v>
      </c>
      <c r="D76" s="244">
        <f>D7+D10+D13+D16+D19+D22+D26+D29+D32+D36+D39+D42+D45+D48+D51+D54+D57+D60+D63+D66+D69+D75-D72</f>
        <v>61039</v>
      </c>
      <c r="E76" s="324">
        <f>IFERROR(D76/C76*100,"")</f>
        <v>102.42302206560953</v>
      </c>
      <c r="F76" s="246"/>
      <c r="G76" s="247">
        <f t="shared" ref="G76:U76" si="49">G7+G10+G13+G16+G19+G22+G26+G29+G32+G36+G39+G42+G45+G48+G51+G54+G57+G60+G63+G66+G69+G75-G72</f>
        <v>849</v>
      </c>
      <c r="H76" s="244">
        <f t="shared" si="49"/>
        <v>2599</v>
      </c>
      <c r="I76" s="244">
        <f t="shared" si="49"/>
        <v>9429</v>
      </c>
      <c r="J76" s="244">
        <f t="shared" si="49"/>
        <v>1249</v>
      </c>
      <c r="K76" s="244">
        <f t="shared" si="49"/>
        <v>1979</v>
      </c>
      <c r="L76" s="244">
        <f t="shared" si="49"/>
        <v>5541</v>
      </c>
      <c r="M76" s="248">
        <f t="shared" si="49"/>
        <v>21646</v>
      </c>
      <c r="N76" s="247">
        <f t="shared" si="49"/>
        <v>999</v>
      </c>
      <c r="O76" s="244">
        <f t="shared" si="49"/>
        <v>4670</v>
      </c>
      <c r="P76" s="244">
        <f t="shared" si="49"/>
        <v>5201</v>
      </c>
      <c r="Q76" s="244">
        <f t="shared" si="49"/>
        <v>19663</v>
      </c>
      <c r="R76" s="244">
        <f t="shared" si="49"/>
        <v>3721</v>
      </c>
      <c r="S76" s="244">
        <f t="shared" si="49"/>
        <v>5139</v>
      </c>
      <c r="T76" s="248">
        <f t="shared" si="49"/>
        <v>39393</v>
      </c>
      <c r="U76" s="248">
        <f t="shared" si="49"/>
        <v>61039</v>
      </c>
      <c r="W76" s="249">
        <f>C76+C72</f>
        <v>70155</v>
      </c>
      <c r="X76" s="249">
        <f>D76+D72</f>
        <v>70959</v>
      </c>
      <c r="Y76">
        <f>X76/W76</f>
        <v>1.0114603378233911</v>
      </c>
    </row>
    <row r="77" spans="1:25" ht="26.25">
      <c r="A77" s="535" t="s">
        <v>238</v>
      </c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</row>
    <row r="78" spans="1:25" ht="17.25" thickBot="1">
      <c r="S78" s="114"/>
      <c r="U78" s="114" t="s">
        <v>154</v>
      </c>
    </row>
    <row r="79" spans="1:25">
      <c r="A79" s="115" t="s">
        <v>155</v>
      </c>
      <c r="B79" s="116" t="s">
        <v>2</v>
      </c>
      <c r="C79" s="116" t="s">
        <v>212</v>
      </c>
      <c r="D79" s="252" t="s">
        <v>40</v>
      </c>
      <c r="E79" s="116" t="s">
        <v>212</v>
      </c>
      <c r="F79" s="119" t="s">
        <v>8</v>
      </c>
      <c r="G79" s="120" t="s">
        <v>157</v>
      </c>
      <c r="H79" s="121"/>
      <c r="I79" s="121"/>
      <c r="J79" s="121"/>
      <c r="K79" s="122"/>
      <c r="L79" s="123"/>
      <c r="M79" s="124"/>
      <c r="N79" s="125" t="s">
        <v>158</v>
      </c>
      <c r="O79" s="121"/>
      <c r="P79" s="121"/>
      <c r="Q79" s="121"/>
      <c r="R79" s="121"/>
      <c r="S79" s="122"/>
      <c r="T79" s="124"/>
      <c r="U79" s="126" t="s">
        <v>40</v>
      </c>
    </row>
    <row r="80" spans="1:25" ht="17.25" thickBot="1">
      <c r="A80" s="127"/>
      <c r="B80" s="128"/>
      <c r="C80" s="128" t="s">
        <v>6</v>
      </c>
      <c r="D80" s="128" t="s">
        <v>6</v>
      </c>
      <c r="E80" s="128" t="s">
        <v>159</v>
      </c>
      <c r="F80" s="129"/>
      <c r="G80" s="130" t="s">
        <v>68</v>
      </c>
      <c r="H80" s="131" t="s">
        <v>70</v>
      </c>
      <c r="I80" s="131" t="s">
        <v>72</v>
      </c>
      <c r="J80" s="131" t="s">
        <v>73</v>
      </c>
      <c r="K80" s="131" t="s">
        <v>74</v>
      </c>
      <c r="L80" s="131" t="s">
        <v>75</v>
      </c>
      <c r="M80" s="132" t="s">
        <v>160</v>
      </c>
      <c r="N80" s="133" t="s">
        <v>76</v>
      </c>
      <c r="O80" s="131" t="s">
        <v>77</v>
      </c>
      <c r="P80" s="131" t="s">
        <v>78</v>
      </c>
      <c r="Q80" s="131" t="s">
        <v>79</v>
      </c>
      <c r="R80" s="131" t="s">
        <v>80</v>
      </c>
      <c r="S80" s="131" t="s">
        <v>81</v>
      </c>
      <c r="T80" s="132" t="s">
        <v>160</v>
      </c>
      <c r="U80" s="132" t="s">
        <v>51</v>
      </c>
    </row>
    <row r="81" spans="1:23">
      <c r="A81" s="134"/>
      <c r="B81" s="3" t="s">
        <v>161</v>
      </c>
      <c r="C81" s="135">
        <f>D5</f>
        <v>6624</v>
      </c>
      <c r="D81" s="135">
        <f>U81</f>
        <v>6816</v>
      </c>
      <c r="E81" s="295">
        <f>IFERROR(D81/C81*100,"")</f>
        <v>102.89855072463767</v>
      </c>
      <c r="F81" s="137"/>
      <c r="G81" s="138">
        <v>568</v>
      </c>
      <c r="H81" s="135">
        <v>568</v>
      </c>
      <c r="I81" s="135">
        <v>568</v>
      </c>
      <c r="J81" s="135">
        <v>568</v>
      </c>
      <c r="K81" s="135">
        <v>568</v>
      </c>
      <c r="L81" s="135">
        <v>568</v>
      </c>
      <c r="M81" s="139">
        <f>SUM(G81:L81)</f>
        <v>3408</v>
      </c>
      <c r="N81" s="138">
        <v>568</v>
      </c>
      <c r="O81" s="135">
        <v>568</v>
      </c>
      <c r="P81" s="135">
        <v>568</v>
      </c>
      <c r="Q81" s="135">
        <v>568</v>
      </c>
      <c r="R81" s="135">
        <v>568</v>
      </c>
      <c r="S81" s="135">
        <v>568</v>
      </c>
      <c r="T81" s="139">
        <f t="shared" ref="T81:T146" si="50">SUM(N81:S81)</f>
        <v>3408</v>
      </c>
      <c r="U81" s="139">
        <f>M81+T81</f>
        <v>6816</v>
      </c>
      <c r="V81" s="255">
        <f>C81*1.03</f>
        <v>6822.72</v>
      </c>
    </row>
    <row r="82" spans="1:23">
      <c r="A82" s="140" t="s">
        <v>162</v>
      </c>
      <c r="B82" s="5" t="s">
        <v>163</v>
      </c>
      <c r="C82" s="141">
        <f>D6</f>
        <v>6780</v>
      </c>
      <c r="D82" s="141">
        <f>U82</f>
        <v>6984</v>
      </c>
      <c r="E82" s="296">
        <f t="shared" ref="E82:E147" si="51">IFERROR(D82/C82*100,"")</f>
        <v>103.00884955752213</v>
      </c>
      <c r="F82" s="143"/>
      <c r="G82" s="144">
        <v>582</v>
      </c>
      <c r="H82" s="141">
        <v>582</v>
      </c>
      <c r="I82" s="141">
        <v>582</v>
      </c>
      <c r="J82" s="141">
        <v>582</v>
      </c>
      <c r="K82" s="141">
        <v>582</v>
      </c>
      <c r="L82" s="141">
        <v>582</v>
      </c>
      <c r="M82" s="145">
        <f t="shared" ref="M82:M147" si="52">SUM(G82:L82)</f>
        <v>3492</v>
      </c>
      <c r="N82" s="144">
        <v>582</v>
      </c>
      <c r="O82" s="141">
        <v>582</v>
      </c>
      <c r="P82" s="141">
        <v>582</v>
      </c>
      <c r="Q82" s="141">
        <v>582</v>
      </c>
      <c r="R82" s="141">
        <v>582</v>
      </c>
      <c r="S82" s="141">
        <v>582</v>
      </c>
      <c r="T82" s="145">
        <f t="shared" si="50"/>
        <v>3492</v>
      </c>
      <c r="U82" s="145">
        <f>M82+T82</f>
        <v>6984</v>
      </c>
      <c r="V82" s="255">
        <f>V81/12</f>
        <v>568.56000000000006</v>
      </c>
      <c r="W82" s="255">
        <f>C82*1.03/12</f>
        <v>581.95000000000005</v>
      </c>
    </row>
    <row r="83" spans="1:23">
      <c r="A83" s="146" t="s">
        <v>12</v>
      </c>
      <c r="B83" s="147" t="s">
        <v>213</v>
      </c>
      <c r="C83" s="148">
        <f>SUM(C81:C82)</f>
        <v>13404</v>
      </c>
      <c r="D83" s="148">
        <f>SUM(D81:D82)</f>
        <v>13800</v>
      </c>
      <c r="E83" s="297">
        <f t="shared" si="51"/>
        <v>102.95434198746642</v>
      </c>
      <c r="F83" s="150"/>
      <c r="G83" s="151">
        <f t="shared" ref="G83:L83" si="53">SUM(G81:G82)</f>
        <v>1150</v>
      </c>
      <c r="H83" s="148">
        <f t="shared" si="53"/>
        <v>1150</v>
      </c>
      <c r="I83" s="148">
        <f t="shared" si="53"/>
        <v>1150</v>
      </c>
      <c r="J83" s="148">
        <f t="shared" si="53"/>
        <v>1150</v>
      </c>
      <c r="K83" s="148">
        <f t="shared" si="53"/>
        <v>1150</v>
      </c>
      <c r="L83" s="148">
        <f t="shared" si="53"/>
        <v>1150</v>
      </c>
      <c r="M83" s="152">
        <f t="shared" si="52"/>
        <v>6900</v>
      </c>
      <c r="N83" s="151">
        <f t="shared" ref="N83:S83" si="54">SUM(N81:N82)</f>
        <v>1150</v>
      </c>
      <c r="O83" s="148">
        <f t="shared" si="54"/>
        <v>1150</v>
      </c>
      <c r="P83" s="148">
        <f t="shared" si="54"/>
        <v>1150</v>
      </c>
      <c r="Q83" s="148">
        <f t="shared" si="54"/>
        <v>1150</v>
      </c>
      <c r="R83" s="148">
        <f t="shared" si="54"/>
        <v>1150</v>
      </c>
      <c r="S83" s="148">
        <f t="shared" si="54"/>
        <v>1150</v>
      </c>
      <c r="T83" s="152">
        <f t="shared" si="50"/>
        <v>6900</v>
      </c>
      <c r="U83" s="152">
        <f>SUM(U81:U82)</f>
        <v>13800</v>
      </c>
    </row>
    <row r="84" spans="1:23" hidden="1">
      <c r="A84" s="134"/>
      <c r="B84" s="3"/>
      <c r="C84" s="135"/>
      <c r="D84" s="135">
        <f>U84</f>
        <v>0</v>
      </c>
      <c r="E84" s="295" t="str">
        <f t="shared" si="51"/>
        <v/>
      </c>
      <c r="F84" s="137"/>
      <c r="G84" s="138"/>
      <c r="H84" s="135"/>
      <c r="I84" s="135"/>
      <c r="J84" s="135"/>
      <c r="K84" s="135"/>
      <c r="L84" s="135"/>
      <c r="M84" s="139">
        <f t="shared" si="52"/>
        <v>0</v>
      </c>
      <c r="N84" s="138"/>
      <c r="O84" s="135"/>
      <c r="P84" s="135"/>
      <c r="Q84" s="135"/>
      <c r="R84" s="135"/>
      <c r="S84" s="135"/>
      <c r="T84" s="139">
        <f t="shared" si="50"/>
        <v>0</v>
      </c>
      <c r="U84" s="139">
        <f>M84+T84</f>
        <v>0</v>
      </c>
    </row>
    <row r="85" spans="1:23" hidden="1">
      <c r="A85" s="140" t="s">
        <v>164</v>
      </c>
      <c r="B85" s="5"/>
      <c r="C85" s="141"/>
      <c r="D85" s="141">
        <f>U85</f>
        <v>0</v>
      </c>
      <c r="E85" s="296" t="str">
        <f t="shared" si="51"/>
        <v/>
      </c>
      <c r="F85" s="143"/>
      <c r="G85" s="144"/>
      <c r="H85" s="141"/>
      <c r="I85" s="141"/>
      <c r="J85" s="141"/>
      <c r="K85" s="141"/>
      <c r="L85" s="141"/>
      <c r="M85" s="145">
        <f t="shared" si="52"/>
        <v>0</v>
      </c>
      <c r="N85" s="144"/>
      <c r="O85" s="141"/>
      <c r="P85" s="141"/>
      <c r="Q85" s="141"/>
      <c r="R85" s="141"/>
      <c r="S85" s="141"/>
      <c r="T85" s="145">
        <f t="shared" si="50"/>
        <v>0</v>
      </c>
      <c r="U85" s="145">
        <f>M85+T85</f>
        <v>0</v>
      </c>
    </row>
    <row r="86" spans="1:23" hidden="1">
      <c r="A86" s="154" t="s">
        <v>13</v>
      </c>
      <c r="B86" s="147" t="s">
        <v>213</v>
      </c>
      <c r="C86" s="148">
        <f>SUM(C84:C85)</f>
        <v>0</v>
      </c>
      <c r="D86" s="148">
        <f>SUM(D84:D85)</f>
        <v>0</v>
      </c>
      <c r="E86" s="297" t="str">
        <f t="shared" si="51"/>
        <v/>
      </c>
      <c r="F86" s="150"/>
      <c r="G86" s="151">
        <f t="shared" ref="G86:L86" si="55">SUM(G84:G85)</f>
        <v>0</v>
      </c>
      <c r="H86" s="148">
        <f t="shared" si="55"/>
        <v>0</v>
      </c>
      <c r="I86" s="148">
        <f t="shared" si="55"/>
        <v>0</v>
      </c>
      <c r="J86" s="148">
        <f t="shared" si="55"/>
        <v>0</v>
      </c>
      <c r="K86" s="148">
        <f t="shared" si="55"/>
        <v>0</v>
      </c>
      <c r="L86" s="148">
        <f t="shared" si="55"/>
        <v>0</v>
      </c>
      <c r="M86" s="152">
        <f t="shared" si="52"/>
        <v>0</v>
      </c>
      <c r="N86" s="151">
        <f t="shared" ref="N86:S86" si="56">SUM(N84:N85)</f>
        <v>0</v>
      </c>
      <c r="O86" s="148">
        <f t="shared" si="56"/>
        <v>0</v>
      </c>
      <c r="P86" s="148">
        <f t="shared" si="56"/>
        <v>0</v>
      </c>
      <c r="Q86" s="148">
        <f t="shared" si="56"/>
        <v>0</v>
      </c>
      <c r="R86" s="148">
        <f t="shared" si="56"/>
        <v>0</v>
      </c>
      <c r="S86" s="148">
        <f t="shared" si="56"/>
        <v>0</v>
      </c>
      <c r="T86" s="152">
        <f t="shared" si="50"/>
        <v>0</v>
      </c>
      <c r="U86" s="152">
        <f>SUM(U84:U85)</f>
        <v>0</v>
      </c>
    </row>
    <row r="87" spans="1:23">
      <c r="A87" s="134"/>
      <c r="B87" s="3" t="s">
        <v>165</v>
      </c>
      <c r="C87" s="135">
        <f>D11</f>
        <v>3380</v>
      </c>
      <c r="D87" s="135">
        <f>U87</f>
        <v>3380</v>
      </c>
      <c r="E87" s="295">
        <f t="shared" si="51"/>
        <v>100</v>
      </c>
      <c r="F87" s="137"/>
      <c r="G87" s="138"/>
      <c r="H87" s="135">
        <v>100</v>
      </c>
      <c r="I87" s="135"/>
      <c r="J87" s="135">
        <v>200</v>
      </c>
      <c r="K87" s="135"/>
      <c r="L87" s="135">
        <f>352+300</f>
        <v>652</v>
      </c>
      <c r="M87" s="139">
        <f t="shared" si="52"/>
        <v>952</v>
      </c>
      <c r="N87" s="138">
        <v>150</v>
      </c>
      <c r="O87" s="135">
        <f>300</f>
        <v>300</v>
      </c>
      <c r="P87" s="135">
        <f>352</f>
        <v>352</v>
      </c>
      <c r="Q87" s="135">
        <f>352+352</f>
        <v>704</v>
      </c>
      <c r="R87" s="135">
        <v>352</v>
      </c>
      <c r="S87" s="135">
        <v>570</v>
      </c>
      <c r="T87" s="139">
        <f t="shared" si="50"/>
        <v>2428</v>
      </c>
      <c r="U87" s="139">
        <f>M87+T87</f>
        <v>3380</v>
      </c>
    </row>
    <row r="88" spans="1:23">
      <c r="A88" s="140" t="s">
        <v>166</v>
      </c>
      <c r="B88" s="5" t="s">
        <v>167</v>
      </c>
      <c r="C88" s="141">
        <f>D12</f>
        <v>4704</v>
      </c>
      <c r="D88" s="141">
        <f>U88</f>
        <v>4704</v>
      </c>
      <c r="E88" s="296">
        <f t="shared" si="51"/>
        <v>100</v>
      </c>
      <c r="F88" s="143"/>
      <c r="G88" s="144">
        <v>392</v>
      </c>
      <c r="H88" s="141">
        <v>392</v>
      </c>
      <c r="I88" s="141">
        <v>392</v>
      </c>
      <c r="J88" s="141">
        <v>392</v>
      </c>
      <c r="K88" s="141">
        <v>392</v>
      </c>
      <c r="L88" s="141">
        <v>392</v>
      </c>
      <c r="M88" s="145">
        <f t="shared" si="52"/>
        <v>2352</v>
      </c>
      <c r="N88" s="144">
        <v>392</v>
      </c>
      <c r="O88" s="141">
        <v>392</v>
      </c>
      <c r="P88" s="141">
        <v>392</v>
      </c>
      <c r="Q88" s="141">
        <v>392</v>
      </c>
      <c r="R88" s="141">
        <v>392</v>
      </c>
      <c r="S88" s="141">
        <v>392</v>
      </c>
      <c r="T88" s="145">
        <f t="shared" si="50"/>
        <v>2352</v>
      </c>
      <c r="U88" s="145">
        <f>M88+T88</f>
        <v>4704</v>
      </c>
    </row>
    <row r="89" spans="1:23">
      <c r="A89" s="154" t="s">
        <v>14</v>
      </c>
      <c r="B89" s="147" t="s">
        <v>213</v>
      </c>
      <c r="C89" s="155">
        <f>SUM(C87:C88)</f>
        <v>8084</v>
      </c>
      <c r="D89" s="155">
        <f>SUM(D87:D88)</f>
        <v>8084</v>
      </c>
      <c r="E89" s="298">
        <f t="shared" si="51"/>
        <v>100</v>
      </c>
      <c r="F89" s="157"/>
      <c r="G89" s="158">
        <f t="shared" ref="G89:L89" si="57">SUM(G87:G88)</f>
        <v>392</v>
      </c>
      <c r="H89" s="155">
        <f t="shared" si="57"/>
        <v>492</v>
      </c>
      <c r="I89" s="155">
        <f t="shared" si="57"/>
        <v>392</v>
      </c>
      <c r="J89" s="155">
        <f t="shared" si="57"/>
        <v>592</v>
      </c>
      <c r="K89" s="155">
        <f t="shared" si="57"/>
        <v>392</v>
      </c>
      <c r="L89" s="155">
        <f t="shared" si="57"/>
        <v>1044</v>
      </c>
      <c r="M89" s="159">
        <f t="shared" si="52"/>
        <v>3304</v>
      </c>
      <c r="N89" s="158">
        <f t="shared" ref="N89:S89" si="58">SUM(N87:N88)</f>
        <v>542</v>
      </c>
      <c r="O89" s="155">
        <f t="shared" si="58"/>
        <v>692</v>
      </c>
      <c r="P89" s="155">
        <f t="shared" si="58"/>
        <v>744</v>
      </c>
      <c r="Q89" s="155">
        <f t="shared" si="58"/>
        <v>1096</v>
      </c>
      <c r="R89" s="155">
        <f t="shared" si="58"/>
        <v>744</v>
      </c>
      <c r="S89" s="155">
        <f t="shared" si="58"/>
        <v>962</v>
      </c>
      <c r="T89" s="159">
        <f t="shared" si="50"/>
        <v>4780</v>
      </c>
      <c r="U89" s="159">
        <f>SUM(U87:U88)</f>
        <v>8084</v>
      </c>
    </row>
    <row r="90" spans="1:23">
      <c r="A90" s="134"/>
      <c r="B90" s="3" t="s">
        <v>168</v>
      </c>
      <c r="C90" s="135">
        <f>D14</f>
        <v>180</v>
      </c>
      <c r="D90" s="135">
        <f>U90</f>
        <v>180</v>
      </c>
      <c r="E90" s="295">
        <f t="shared" si="51"/>
        <v>100</v>
      </c>
      <c r="F90" s="137"/>
      <c r="G90" s="138">
        <v>15</v>
      </c>
      <c r="H90" s="135">
        <v>15</v>
      </c>
      <c r="I90" s="135">
        <v>15</v>
      </c>
      <c r="J90" s="135">
        <v>15</v>
      </c>
      <c r="K90" s="135">
        <v>15</v>
      </c>
      <c r="L90" s="135">
        <v>15</v>
      </c>
      <c r="M90" s="139">
        <f t="shared" si="52"/>
        <v>90</v>
      </c>
      <c r="N90" s="138">
        <v>15</v>
      </c>
      <c r="O90" s="135">
        <v>15</v>
      </c>
      <c r="P90" s="135">
        <v>15</v>
      </c>
      <c r="Q90" s="135">
        <v>15</v>
      </c>
      <c r="R90" s="135">
        <v>15</v>
      </c>
      <c r="S90" s="135">
        <v>15</v>
      </c>
      <c r="T90" s="139">
        <f t="shared" si="50"/>
        <v>90</v>
      </c>
      <c r="U90" s="139">
        <f>M90+T90</f>
        <v>180</v>
      </c>
    </row>
    <row r="91" spans="1:23">
      <c r="A91" s="140" t="s">
        <v>169</v>
      </c>
      <c r="B91" s="4" t="s">
        <v>170</v>
      </c>
      <c r="C91" s="160">
        <f>D15</f>
        <v>360</v>
      </c>
      <c r="D91" s="160">
        <f>U91</f>
        <v>360</v>
      </c>
      <c r="E91" s="299">
        <f t="shared" si="51"/>
        <v>100</v>
      </c>
      <c r="F91" s="162"/>
      <c r="G91" s="163">
        <v>30</v>
      </c>
      <c r="H91" s="160">
        <v>30</v>
      </c>
      <c r="I91" s="160">
        <v>30</v>
      </c>
      <c r="J91" s="160">
        <v>30</v>
      </c>
      <c r="K91" s="160">
        <v>30</v>
      </c>
      <c r="L91" s="160">
        <v>30</v>
      </c>
      <c r="M91" s="164">
        <f t="shared" si="52"/>
        <v>180</v>
      </c>
      <c r="N91" s="163">
        <v>30</v>
      </c>
      <c r="O91" s="160">
        <v>30</v>
      </c>
      <c r="P91" s="160">
        <v>30</v>
      </c>
      <c r="Q91" s="160">
        <v>30</v>
      </c>
      <c r="R91" s="160">
        <v>30</v>
      </c>
      <c r="S91" s="160">
        <v>30</v>
      </c>
      <c r="T91" s="164">
        <f t="shared" si="50"/>
        <v>180</v>
      </c>
      <c r="U91" s="164">
        <f>M91+T91</f>
        <v>360</v>
      </c>
    </row>
    <row r="92" spans="1:23">
      <c r="A92" s="154" t="s">
        <v>16</v>
      </c>
      <c r="B92" s="147" t="s">
        <v>213</v>
      </c>
      <c r="C92" s="148">
        <f>SUM(C90:C91)</f>
        <v>540</v>
      </c>
      <c r="D92" s="148">
        <f>SUM(D90:D91)</f>
        <v>540</v>
      </c>
      <c r="E92" s="297">
        <f t="shared" si="51"/>
        <v>100</v>
      </c>
      <c r="F92" s="150"/>
      <c r="G92" s="151">
        <f t="shared" ref="G92:L92" si="59">SUM(G90:G91)</f>
        <v>45</v>
      </c>
      <c r="H92" s="148">
        <f t="shared" si="59"/>
        <v>45</v>
      </c>
      <c r="I92" s="148">
        <f t="shared" si="59"/>
        <v>45</v>
      </c>
      <c r="J92" s="148">
        <f t="shared" si="59"/>
        <v>45</v>
      </c>
      <c r="K92" s="148">
        <f t="shared" si="59"/>
        <v>45</v>
      </c>
      <c r="L92" s="148">
        <f t="shared" si="59"/>
        <v>45</v>
      </c>
      <c r="M92" s="152">
        <f t="shared" si="52"/>
        <v>270</v>
      </c>
      <c r="N92" s="151">
        <f t="shared" ref="N92:S92" si="60">SUM(N90:N91)</f>
        <v>45</v>
      </c>
      <c r="O92" s="148">
        <f t="shared" si="60"/>
        <v>45</v>
      </c>
      <c r="P92" s="148">
        <f t="shared" si="60"/>
        <v>45</v>
      </c>
      <c r="Q92" s="148">
        <f t="shared" si="60"/>
        <v>45</v>
      </c>
      <c r="R92" s="148">
        <f t="shared" si="60"/>
        <v>45</v>
      </c>
      <c r="S92" s="148">
        <f t="shared" si="60"/>
        <v>45</v>
      </c>
      <c r="T92" s="152">
        <f t="shared" si="50"/>
        <v>270</v>
      </c>
      <c r="U92" s="152">
        <f>SUM(U90:U91)</f>
        <v>540</v>
      </c>
    </row>
    <row r="93" spans="1:23">
      <c r="A93" s="134"/>
      <c r="B93" s="3" t="s">
        <v>171</v>
      </c>
      <c r="C93" s="135">
        <f>D17</f>
        <v>2400</v>
      </c>
      <c r="D93" s="135">
        <f>U93</f>
        <v>2400</v>
      </c>
      <c r="E93" s="295">
        <f t="shared" si="51"/>
        <v>100</v>
      </c>
      <c r="F93" s="137"/>
      <c r="G93" s="138"/>
      <c r="H93" s="135">
        <v>600</v>
      </c>
      <c r="I93" s="135"/>
      <c r="J93" s="135"/>
      <c r="K93" s="135">
        <v>600</v>
      </c>
      <c r="L93" s="135"/>
      <c r="M93" s="139">
        <f t="shared" si="52"/>
        <v>1200</v>
      </c>
      <c r="N93" s="138"/>
      <c r="O93" s="135">
        <v>600</v>
      </c>
      <c r="P93" s="135"/>
      <c r="Q93" s="135"/>
      <c r="R93" s="135">
        <v>600</v>
      </c>
      <c r="S93" s="135"/>
      <c r="T93" s="139">
        <f t="shared" si="50"/>
        <v>1200</v>
      </c>
      <c r="U93" s="139">
        <f>M93+T93</f>
        <v>2400</v>
      </c>
    </row>
    <row r="94" spans="1:23">
      <c r="A94" s="140" t="s">
        <v>172</v>
      </c>
      <c r="B94" s="4" t="s">
        <v>173</v>
      </c>
      <c r="C94" s="160">
        <f>D18</f>
        <v>100</v>
      </c>
      <c r="D94" s="160">
        <f>U94</f>
        <v>100</v>
      </c>
      <c r="E94" s="299">
        <f t="shared" si="51"/>
        <v>100</v>
      </c>
      <c r="F94" s="162"/>
      <c r="G94" s="163"/>
      <c r="H94" s="160"/>
      <c r="I94" s="160">
        <v>50</v>
      </c>
      <c r="J94" s="160"/>
      <c r="K94" s="160"/>
      <c r="L94" s="160"/>
      <c r="M94" s="164">
        <f t="shared" si="52"/>
        <v>50</v>
      </c>
      <c r="N94" s="163"/>
      <c r="O94" s="160"/>
      <c r="P94" s="160">
        <v>50</v>
      </c>
      <c r="Q94" s="160"/>
      <c r="R94" s="160"/>
      <c r="S94" s="160"/>
      <c r="T94" s="164">
        <f t="shared" si="50"/>
        <v>50</v>
      </c>
      <c r="U94" s="164">
        <f>M94+T94</f>
        <v>100</v>
      </c>
    </row>
    <row r="95" spans="1:23">
      <c r="A95" s="154" t="s">
        <v>17</v>
      </c>
      <c r="B95" s="147" t="s">
        <v>213</v>
      </c>
      <c r="C95" s="148">
        <f>SUM(C93:C94)</f>
        <v>2500</v>
      </c>
      <c r="D95" s="148">
        <f>SUM(D93:D94)</f>
        <v>2500</v>
      </c>
      <c r="E95" s="297">
        <f t="shared" si="51"/>
        <v>100</v>
      </c>
      <c r="F95" s="150"/>
      <c r="G95" s="151">
        <f t="shared" ref="G95:L95" si="61">SUM(G93:G94)</f>
        <v>0</v>
      </c>
      <c r="H95" s="148">
        <f t="shared" si="61"/>
        <v>600</v>
      </c>
      <c r="I95" s="148">
        <f t="shared" si="61"/>
        <v>50</v>
      </c>
      <c r="J95" s="148">
        <f t="shared" si="61"/>
        <v>0</v>
      </c>
      <c r="K95" s="148">
        <f t="shared" si="61"/>
        <v>600</v>
      </c>
      <c r="L95" s="148">
        <f t="shared" si="61"/>
        <v>0</v>
      </c>
      <c r="M95" s="152">
        <f t="shared" si="52"/>
        <v>1250</v>
      </c>
      <c r="N95" s="151">
        <f t="shared" ref="N95:S95" si="62">SUM(N93:N94)</f>
        <v>0</v>
      </c>
      <c r="O95" s="148">
        <f t="shared" si="62"/>
        <v>600</v>
      </c>
      <c r="P95" s="148">
        <f t="shared" si="62"/>
        <v>50</v>
      </c>
      <c r="Q95" s="148">
        <f t="shared" si="62"/>
        <v>0</v>
      </c>
      <c r="R95" s="148">
        <f t="shared" si="62"/>
        <v>600</v>
      </c>
      <c r="S95" s="148">
        <f t="shared" si="62"/>
        <v>0</v>
      </c>
      <c r="T95" s="152">
        <f t="shared" si="50"/>
        <v>1250</v>
      </c>
      <c r="U95" s="152">
        <f>SUM(U93:U94)</f>
        <v>2500</v>
      </c>
    </row>
    <row r="96" spans="1:23" hidden="1">
      <c r="A96" s="134"/>
      <c r="B96" s="3"/>
      <c r="C96" s="135"/>
      <c r="D96" s="135">
        <f>U96</f>
        <v>0</v>
      </c>
      <c r="E96" s="295" t="str">
        <f t="shared" si="51"/>
        <v/>
      </c>
      <c r="F96" s="137"/>
      <c r="G96" s="138"/>
      <c r="H96" s="135"/>
      <c r="I96" s="135"/>
      <c r="J96" s="135"/>
      <c r="K96" s="135"/>
      <c r="L96" s="135"/>
      <c r="M96" s="139">
        <f t="shared" si="52"/>
        <v>0</v>
      </c>
      <c r="N96" s="138"/>
      <c r="O96" s="135"/>
      <c r="P96" s="135"/>
      <c r="Q96" s="135"/>
      <c r="R96" s="135"/>
      <c r="S96" s="135"/>
      <c r="T96" s="139">
        <f t="shared" si="50"/>
        <v>0</v>
      </c>
      <c r="U96" s="139">
        <f>M96+T96</f>
        <v>0</v>
      </c>
    </row>
    <row r="97" spans="1:21" hidden="1">
      <c r="A97" s="140" t="s">
        <v>174</v>
      </c>
      <c r="B97" s="5"/>
      <c r="C97" s="141"/>
      <c r="D97" s="141">
        <f>U97</f>
        <v>0</v>
      </c>
      <c r="E97" s="296" t="str">
        <f t="shared" si="51"/>
        <v/>
      </c>
      <c r="F97" s="143"/>
      <c r="G97" s="144"/>
      <c r="H97" s="141"/>
      <c r="I97" s="141"/>
      <c r="J97" s="141"/>
      <c r="K97" s="141"/>
      <c r="L97" s="141"/>
      <c r="M97" s="145">
        <f t="shared" si="52"/>
        <v>0</v>
      </c>
      <c r="N97" s="144"/>
      <c r="O97" s="141"/>
      <c r="P97" s="141"/>
      <c r="Q97" s="141"/>
      <c r="R97" s="141"/>
      <c r="S97" s="141"/>
      <c r="T97" s="145">
        <f t="shared" si="50"/>
        <v>0</v>
      </c>
      <c r="U97" s="145">
        <f>M97+T97</f>
        <v>0</v>
      </c>
    </row>
    <row r="98" spans="1:21" hidden="1">
      <c r="A98" s="154" t="s">
        <v>18</v>
      </c>
      <c r="B98" s="147" t="s">
        <v>213</v>
      </c>
      <c r="C98" s="148">
        <f>SUM(C96:C97)</f>
        <v>0</v>
      </c>
      <c r="D98" s="148">
        <f>SUM(D96:D97)</f>
        <v>0</v>
      </c>
      <c r="E98" s="297" t="str">
        <f t="shared" si="51"/>
        <v/>
      </c>
      <c r="F98" s="150"/>
      <c r="G98" s="151">
        <f t="shared" ref="G98:L98" si="63">SUM(G96:G97)</f>
        <v>0</v>
      </c>
      <c r="H98" s="148">
        <f t="shared" si="63"/>
        <v>0</v>
      </c>
      <c r="I98" s="148">
        <f t="shared" si="63"/>
        <v>0</v>
      </c>
      <c r="J98" s="148">
        <f t="shared" si="63"/>
        <v>0</v>
      </c>
      <c r="K98" s="148">
        <f t="shared" si="63"/>
        <v>0</v>
      </c>
      <c r="L98" s="148">
        <f t="shared" si="63"/>
        <v>0</v>
      </c>
      <c r="M98" s="152">
        <f t="shared" si="52"/>
        <v>0</v>
      </c>
      <c r="N98" s="151">
        <f t="shared" ref="N98:S98" si="64">SUM(N96:N97)</f>
        <v>0</v>
      </c>
      <c r="O98" s="148">
        <f t="shared" si="64"/>
        <v>0</v>
      </c>
      <c r="P98" s="148">
        <f t="shared" si="64"/>
        <v>0</v>
      </c>
      <c r="Q98" s="148">
        <f t="shared" si="64"/>
        <v>0</v>
      </c>
      <c r="R98" s="148">
        <f t="shared" si="64"/>
        <v>0</v>
      </c>
      <c r="S98" s="148">
        <f t="shared" si="64"/>
        <v>0</v>
      </c>
      <c r="T98" s="152">
        <f t="shared" si="50"/>
        <v>0</v>
      </c>
      <c r="U98" s="152">
        <f>SUM(U96:U97)</f>
        <v>0</v>
      </c>
    </row>
    <row r="99" spans="1:21">
      <c r="A99" s="134"/>
      <c r="B99" s="3" t="s">
        <v>175</v>
      </c>
      <c r="C99" s="135">
        <f>D23</f>
        <v>1500</v>
      </c>
      <c r="D99" s="135">
        <f>U99</f>
        <v>1500</v>
      </c>
      <c r="E99" s="295">
        <f t="shared" si="51"/>
        <v>100</v>
      </c>
      <c r="F99" s="137"/>
      <c r="G99" s="138"/>
      <c r="H99" s="135"/>
      <c r="I99" s="135"/>
      <c r="J99" s="135"/>
      <c r="K99" s="135"/>
      <c r="L99" s="135"/>
      <c r="M99" s="139">
        <f t="shared" si="52"/>
        <v>0</v>
      </c>
      <c r="N99" s="138"/>
      <c r="O99" s="135">
        <v>1500</v>
      </c>
      <c r="P99" s="135"/>
      <c r="Q99" s="135"/>
      <c r="R99" s="135"/>
      <c r="S99" s="135"/>
      <c r="T99" s="139">
        <f t="shared" si="50"/>
        <v>1500</v>
      </c>
      <c r="U99" s="139">
        <f>M99+T99</f>
        <v>1500</v>
      </c>
    </row>
    <row r="100" spans="1:21">
      <c r="A100" s="140" t="s">
        <v>176</v>
      </c>
      <c r="B100" s="4" t="s">
        <v>177</v>
      </c>
      <c r="C100" s="160">
        <f>D24</f>
        <v>0</v>
      </c>
      <c r="D100" s="160">
        <f>U100</f>
        <v>0</v>
      </c>
      <c r="E100" s="299" t="str">
        <f t="shared" si="51"/>
        <v/>
      </c>
      <c r="F100" s="162"/>
      <c r="G100" s="163"/>
      <c r="H100" s="160"/>
      <c r="I100" s="160"/>
      <c r="J100" s="160"/>
      <c r="K100" s="160"/>
      <c r="L100" s="160"/>
      <c r="M100" s="164">
        <f t="shared" si="52"/>
        <v>0</v>
      </c>
      <c r="N100" s="163"/>
      <c r="O100" s="160"/>
      <c r="P100" s="160"/>
      <c r="Q100" s="160"/>
      <c r="R100" s="160"/>
      <c r="S100" s="160"/>
      <c r="T100" s="164">
        <f t="shared" si="50"/>
        <v>0</v>
      </c>
      <c r="U100" s="164">
        <f>M100+T100</f>
        <v>0</v>
      </c>
    </row>
    <row r="101" spans="1:21">
      <c r="A101" s="140"/>
      <c r="B101" s="4" t="s">
        <v>178</v>
      </c>
      <c r="C101" s="160">
        <f>D25</f>
        <v>450</v>
      </c>
      <c r="D101" s="160">
        <f>U101</f>
        <v>450</v>
      </c>
      <c r="E101" s="299">
        <f t="shared" si="51"/>
        <v>100</v>
      </c>
      <c r="F101" s="162"/>
      <c r="G101" s="163"/>
      <c r="H101" s="160"/>
      <c r="I101" s="160"/>
      <c r="J101" s="160"/>
      <c r="K101" s="160"/>
      <c r="L101" s="160"/>
      <c r="M101" s="164">
        <f t="shared" si="52"/>
        <v>0</v>
      </c>
      <c r="N101" s="163"/>
      <c r="O101" s="160"/>
      <c r="P101" s="160">
        <v>450</v>
      </c>
      <c r="Q101" s="160"/>
      <c r="R101" s="160"/>
      <c r="S101" s="160"/>
      <c r="T101" s="164">
        <f t="shared" si="50"/>
        <v>450</v>
      </c>
      <c r="U101" s="164">
        <f>M101+T101</f>
        <v>450</v>
      </c>
    </row>
    <row r="102" spans="1:21">
      <c r="A102" s="154" t="s">
        <v>19</v>
      </c>
      <c r="B102" s="147" t="s">
        <v>213</v>
      </c>
      <c r="C102" s="148">
        <f>SUM(C99:C101)</f>
        <v>1950</v>
      </c>
      <c r="D102" s="148">
        <f>SUM(D99:D101)</f>
        <v>1950</v>
      </c>
      <c r="E102" s="297">
        <f t="shared" si="51"/>
        <v>100</v>
      </c>
      <c r="F102" s="150"/>
      <c r="G102" s="151">
        <f t="shared" ref="G102:L102" si="65">SUM(G99:G101)</f>
        <v>0</v>
      </c>
      <c r="H102" s="148">
        <f t="shared" si="65"/>
        <v>0</v>
      </c>
      <c r="I102" s="148">
        <f t="shared" si="65"/>
        <v>0</v>
      </c>
      <c r="J102" s="148">
        <f t="shared" si="65"/>
        <v>0</v>
      </c>
      <c r="K102" s="148">
        <f t="shared" si="65"/>
        <v>0</v>
      </c>
      <c r="L102" s="148">
        <f t="shared" si="65"/>
        <v>0</v>
      </c>
      <c r="M102" s="152">
        <f t="shared" si="52"/>
        <v>0</v>
      </c>
      <c r="N102" s="151">
        <f t="shared" ref="N102:S102" si="66">SUM(N99:N101)</f>
        <v>0</v>
      </c>
      <c r="O102" s="148">
        <f t="shared" si="66"/>
        <v>1500</v>
      </c>
      <c r="P102" s="148">
        <f t="shared" si="66"/>
        <v>450</v>
      </c>
      <c r="Q102" s="148">
        <f t="shared" si="66"/>
        <v>0</v>
      </c>
      <c r="R102" s="148">
        <f t="shared" si="66"/>
        <v>0</v>
      </c>
      <c r="S102" s="148">
        <f t="shared" si="66"/>
        <v>0</v>
      </c>
      <c r="T102" s="152">
        <f t="shared" si="50"/>
        <v>1950</v>
      </c>
      <c r="U102" s="152">
        <f>SUM(U99:U101)</f>
        <v>1950</v>
      </c>
    </row>
    <row r="103" spans="1:21" hidden="1">
      <c r="A103" s="134"/>
      <c r="B103" s="3"/>
      <c r="C103" s="135"/>
      <c r="D103" s="135">
        <f>U103</f>
        <v>0</v>
      </c>
      <c r="E103" s="295" t="str">
        <f t="shared" si="51"/>
        <v/>
      </c>
      <c r="F103" s="137"/>
      <c r="G103" s="138"/>
      <c r="H103" s="135"/>
      <c r="I103" s="135"/>
      <c r="J103" s="135"/>
      <c r="K103" s="135"/>
      <c r="L103" s="135"/>
      <c r="M103" s="139">
        <f t="shared" si="52"/>
        <v>0</v>
      </c>
      <c r="N103" s="138"/>
      <c r="O103" s="135"/>
      <c r="P103" s="135"/>
      <c r="Q103" s="135"/>
      <c r="R103" s="135"/>
      <c r="S103" s="135"/>
      <c r="T103" s="139">
        <f t="shared" si="50"/>
        <v>0</v>
      </c>
      <c r="U103" s="139">
        <f>M103+T103</f>
        <v>0</v>
      </c>
    </row>
    <row r="104" spans="1:21" hidden="1">
      <c r="A104" s="140" t="s">
        <v>180</v>
      </c>
      <c r="B104" s="5"/>
      <c r="C104" s="141"/>
      <c r="D104" s="141">
        <f>U104</f>
        <v>0</v>
      </c>
      <c r="E104" s="296" t="str">
        <f t="shared" si="51"/>
        <v/>
      </c>
      <c r="F104" s="143"/>
      <c r="G104" s="144"/>
      <c r="H104" s="141"/>
      <c r="I104" s="141"/>
      <c r="J104" s="141"/>
      <c r="K104" s="141"/>
      <c r="L104" s="141"/>
      <c r="M104" s="145">
        <f t="shared" si="52"/>
        <v>0</v>
      </c>
      <c r="N104" s="144"/>
      <c r="O104" s="141"/>
      <c r="P104" s="141"/>
      <c r="Q104" s="141"/>
      <c r="R104" s="141"/>
      <c r="S104" s="141"/>
      <c r="T104" s="145">
        <f t="shared" si="50"/>
        <v>0</v>
      </c>
      <c r="U104" s="145">
        <f>M104+T104</f>
        <v>0</v>
      </c>
    </row>
    <row r="105" spans="1:21" hidden="1">
      <c r="A105" s="154" t="s">
        <v>20</v>
      </c>
      <c r="B105" s="147" t="s">
        <v>213</v>
      </c>
      <c r="C105" s="148">
        <f>SUM(C103:C104)</f>
        <v>0</v>
      </c>
      <c r="D105" s="148">
        <f>SUM(D103:D104)</f>
        <v>0</v>
      </c>
      <c r="E105" s="297" t="str">
        <f t="shared" si="51"/>
        <v/>
      </c>
      <c r="F105" s="150"/>
      <c r="G105" s="151">
        <f t="shared" ref="G105:L105" si="67">SUM(G103:G104)</f>
        <v>0</v>
      </c>
      <c r="H105" s="148">
        <f t="shared" si="67"/>
        <v>0</v>
      </c>
      <c r="I105" s="148">
        <f t="shared" si="67"/>
        <v>0</v>
      </c>
      <c r="J105" s="148">
        <f t="shared" si="67"/>
        <v>0</v>
      </c>
      <c r="K105" s="148">
        <f t="shared" si="67"/>
        <v>0</v>
      </c>
      <c r="L105" s="148">
        <f t="shared" si="67"/>
        <v>0</v>
      </c>
      <c r="M105" s="152">
        <f t="shared" si="52"/>
        <v>0</v>
      </c>
      <c r="N105" s="151">
        <f t="shared" ref="N105:S105" si="68">SUM(N103:N104)</f>
        <v>0</v>
      </c>
      <c r="O105" s="148">
        <f t="shared" si="68"/>
        <v>0</v>
      </c>
      <c r="P105" s="148">
        <f t="shared" si="68"/>
        <v>0</v>
      </c>
      <c r="Q105" s="148">
        <f t="shared" si="68"/>
        <v>0</v>
      </c>
      <c r="R105" s="148">
        <f t="shared" si="68"/>
        <v>0</v>
      </c>
      <c r="S105" s="148">
        <f t="shared" si="68"/>
        <v>0</v>
      </c>
      <c r="T105" s="152">
        <f t="shared" si="50"/>
        <v>0</v>
      </c>
      <c r="U105" s="152">
        <f>SUM(U103:U104)</f>
        <v>0</v>
      </c>
    </row>
    <row r="106" spans="1:21">
      <c r="A106" s="134"/>
      <c r="B106" s="3" t="s">
        <v>181</v>
      </c>
      <c r="C106" s="135">
        <f>D30</f>
        <v>1000</v>
      </c>
      <c r="D106" s="135">
        <f>U106</f>
        <v>1000</v>
      </c>
      <c r="E106" s="295">
        <f t="shared" si="51"/>
        <v>100</v>
      </c>
      <c r="F106" s="137"/>
      <c r="G106" s="138"/>
      <c r="H106" s="135">
        <v>200</v>
      </c>
      <c r="I106" s="135"/>
      <c r="J106" s="135">
        <v>200</v>
      </c>
      <c r="K106" s="135"/>
      <c r="L106" s="135">
        <v>200</v>
      </c>
      <c r="M106" s="139">
        <f t="shared" si="52"/>
        <v>600</v>
      </c>
      <c r="N106" s="138"/>
      <c r="O106" s="135"/>
      <c r="P106" s="135">
        <v>200</v>
      </c>
      <c r="Q106" s="135"/>
      <c r="R106" s="135">
        <v>200</v>
      </c>
      <c r="S106" s="135"/>
      <c r="T106" s="139">
        <f t="shared" si="50"/>
        <v>400</v>
      </c>
      <c r="U106" s="139">
        <f>M106+T106</f>
        <v>1000</v>
      </c>
    </row>
    <row r="107" spans="1:21">
      <c r="A107" s="140" t="s">
        <v>182</v>
      </c>
      <c r="B107" s="4" t="s">
        <v>183</v>
      </c>
      <c r="C107" s="160">
        <f>D31</f>
        <v>0</v>
      </c>
      <c r="D107" s="160">
        <f>U107</f>
        <v>0</v>
      </c>
      <c r="E107" s="299" t="str">
        <f t="shared" si="51"/>
        <v/>
      </c>
      <c r="F107" s="162"/>
      <c r="G107" s="163"/>
      <c r="H107" s="160"/>
      <c r="I107" s="160"/>
      <c r="J107" s="160"/>
      <c r="K107" s="160"/>
      <c r="L107" s="160"/>
      <c r="M107" s="164">
        <f t="shared" si="52"/>
        <v>0</v>
      </c>
      <c r="N107" s="163"/>
      <c r="O107" s="160"/>
      <c r="P107" s="160"/>
      <c r="Q107" s="160"/>
      <c r="R107" s="160"/>
      <c r="S107" s="160"/>
      <c r="T107" s="164">
        <f t="shared" si="50"/>
        <v>0</v>
      </c>
      <c r="U107" s="164">
        <f>M107+T107</f>
        <v>0</v>
      </c>
    </row>
    <row r="108" spans="1:21">
      <c r="A108" s="154" t="s">
        <v>184</v>
      </c>
      <c r="B108" s="147" t="s">
        <v>213</v>
      </c>
      <c r="C108" s="148">
        <f>SUM(C106:C107)</f>
        <v>1000</v>
      </c>
      <c r="D108" s="148">
        <f>SUM(D106:D107)</f>
        <v>1000</v>
      </c>
      <c r="E108" s="297">
        <f t="shared" si="51"/>
        <v>100</v>
      </c>
      <c r="F108" s="150"/>
      <c r="G108" s="151">
        <f t="shared" ref="G108:L108" si="69">SUM(G106:G107)</f>
        <v>0</v>
      </c>
      <c r="H108" s="148">
        <f t="shared" si="69"/>
        <v>200</v>
      </c>
      <c r="I108" s="148">
        <f t="shared" si="69"/>
        <v>0</v>
      </c>
      <c r="J108" s="148">
        <f t="shared" si="69"/>
        <v>200</v>
      </c>
      <c r="K108" s="148">
        <f t="shared" si="69"/>
        <v>0</v>
      </c>
      <c r="L108" s="148">
        <f t="shared" si="69"/>
        <v>200</v>
      </c>
      <c r="M108" s="152">
        <f t="shared" si="52"/>
        <v>600</v>
      </c>
      <c r="N108" s="151">
        <f t="shared" ref="N108:S108" si="70">SUM(N106:N107)</f>
        <v>0</v>
      </c>
      <c r="O108" s="148">
        <f t="shared" si="70"/>
        <v>0</v>
      </c>
      <c r="P108" s="148">
        <f t="shared" si="70"/>
        <v>200</v>
      </c>
      <c r="Q108" s="148">
        <f t="shared" si="70"/>
        <v>0</v>
      </c>
      <c r="R108" s="148">
        <f t="shared" si="70"/>
        <v>200</v>
      </c>
      <c r="S108" s="148">
        <f t="shared" si="70"/>
        <v>0</v>
      </c>
      <c r="T108" s="152">
        <f t="shared" si="50"/>
        <v>400</v>
      </c>
      <c r="U108" s="152">
        <f>SUM(U106:U107)</f>
        <v>1000</v>
      </c>
    </row>
    <row r="109" spans="1:21">
      <c r="A109" s="134"/>
      <c r="B109" s="3" t="s">
        <v>185</v>
      </c>
      <c r="C109" s="135">
        <f>D33</f>
        <v>5500</v>
      </c>
      <c r="D109" s="135">
        <f>U109</f>
        <v>5500</v>
      </c>
      <c r="E109" s="295">
        <f t="shared" si="51"/>
        <v>100</v>
      </c>
      <c r="F109" s="137"/>
      <c r="G109" s="138"/>
      <c r="H109" s="135"/>
      <c r="I109" s="135">
        <v>5500</v>
      </c>
      <c r="J109" s="135"/>
      <c r="K109" s="135"/>
      <c r="L109" s="135"/>
      <c r="M109" s="139">
        <f t="shared" si="52"/>
        <v>5500</v>
      </c>
      <c r="N109" s="138"/>
      <c r="O109" s="135"/>
      <c r="P109" s="135"/>
      <c r="Q109" s="135"/>
      <c r="R109" s="135"/>
      <c r="S109" s="135"/>
      <c r="T109" s="139">
        <f t="shared" si="50"/>
        <v>0</v>
      </c>
      <c r="U109" s="139">
        <f>M109+T109</f>
        <v>5500</v>
      </c>
    </row>
    <row r="110" spans="1:21">
      <c r="A110" s="140"/>
      <c r="B110" s="169" t="s">
        <v>500</v>
      </c>
      <c r="C110" s="224">
        <f>D34</f>
        <v>10000</v>
      </c>
      <c r="D110" s="224">
        <f>U110</f>
        <v>10000</v>
      </c>
      <c r="E110" s="322">
        <f t="shared" ref="E110" si="71">IFERROR(D110/C110*100,"")</f>
        <v>100</v>
      </c>
      <c r="F110" s="356"/>
      <c r="G110" s="381"/>
      <c r="H110" s="224"/>
      <c r="I110" s="224"/>
      <c r="J110" s="224"/>
      <c r="K110" s="224"/>
      <c r="L110" s="224"/>
      <c r="M110" s="231">
        <f t="shared" si="52"/>
        <v>0</v>
      </c>
      <c r="N110" s="381"/>
      <c r="O110" s="224"/>
      <c r="P110" s="224"/>
      <c r="Q110" s="224">
        <v>10000</v>
      </c>
      <c r="R110" s="224"/>
      <c r="S110" s="224"/>
      <c r="T110" s="231">
        <f t="shared" ref="T110" si="72">SUM(N110:S110)</f>
        <v>10000</v>
      </c>
      <c r="U110" s="231">
        <f>M110+T110</f>
        <v>10000</v>
      </c>
    </row>
    <row r="111" spans="1:21">
      <c r="A111" s="140" t="s">
        <v>186</v>
      </c>
      <c r="B111" s="4" t="s">
        <v>502</v>
      </c>
      <c r="C111" s="160">
        <f>D35</f>
        <v>7000</v>
      </c>
      <c r="D111" s="160">
        <f>U111</f>
        <v>7000</v>
      </c>
      <c r="E111" s="299">
        <f t="shared" si="51"/>
        <v>100</v>
      </c>
      <c r="F111" s="162"/>
      <c r="G111" s="163"/>
      <c r="H111" s="160"/>
      <c r="I111" s="160"/>
      <c r="J111" s="160"/>
      <c r="K111" s="160"/>
      <c r="L111" s="160"/>
      <c r="M111" s="164">
        <f t="shared" si="52"/>
        <v>0</v>
      </c>
      <c r="N111" s="163"/>
      <c r="O111" s="160"/>
      <c r="P111" s="160"/>
      <c r="Q111" s="160">
        <v>7000</v>
      </c>
      <c r="R111" s="160"/>
      <c r="S111" s="160"/>
      <c r="T111" s="164">
        <f t="shared" si="50"/>
        <v>7000</v>
      </c>
      <c r="U111" s="164">
        <f>M111+T111</f>
        <v>7000</v>
      </c>
    </row>
    <row r="112" spans="1:21">
      <c r="A112" s="154" t="s">
        <v>22</v>
      </c>
      <c r="B112" s="147" t="s">
        <v>213</v>
      </c>
      <c r="C112" s="148">
        <f>SUM(C109:C111)</f>
        <v>22500</v>
      </c>
      <c r="D112" s="148">
        <f>SUM(D109:D111)</f>
        <v>22500</v>
      </c>
      <c r="E112" s="297">
        <f t="shared" si="51"/>
        <v>100</v>
      </c>
      <c r="F112" s="150"/>
      <c r="G112" s="151">
        <f t="shared" ref="G112:L112" si="73">SUM(G109:G111)</f>
        <v>0</v>
      </c>
      <c r="H112" s="148">
        <f t="shared" si="73"/>
        <v>0</v>
      </c>
      <c r="I112" s="148">
        <f t="shared" si="73"/>
        <v>5500</v>
      </c>
      <c r="J112" s="148">
        <f t="shared" si="73"/>
        <v>0</v>
      </c>
      <c r="K112" s="148">
        <f t="shared" si="73"/>
        <v>0</v>
      </c>
      <c r="L112" s="148">
        <f t="shared" si="73"/>
        <v>0</v>
      </c>
      <c r="M112" s="152">
        <f t="shared" si="52"/>
        <v>5500</v>
      </c>
      <c r="N112" s="151">
        <f t="shared" ref="N112:S112" si="74">SUM(N109:N111)</f>
        <v>0</v>
      </c>
      <c r="O112" s="148">
        <f t="shared" si="74"/>
        <v>0</v>
      </c>
      <c r="P112" s="148">
        <f t="shared" si="74"/>
        <v>0</v>
      </c>
      <c r="Q112" s="148">
        <f t="shared" si="74"/>
        <v>17000</v>
      </c>
      <c r="R112" s="148">
        <f t="shared" si="74"/>
        <v>0</v>
      </c>
      <c r="S112" s="148">
        <f t="shared" si="74"/>
        <v>0</v>
      </c>
      <c r="T112" s="152">
        <f t="shared" si="50"/>
        <v>17000</v>
      </c>
      <c r="U112" s="152">
        <f>SUM(U109:U111)</f>
        <v>22500</v>
      </c>
    </row>
    <row r="113" spans="1:21">
      <c r="A113" s="167"/>
      <c r="B113" s="3" t="s">
        <v>188</v>
      </c>
      <c r="C113" s="135">
        <f>D37</f>
        <v>300</v>
      </c>
      <c r="D113" s="135">
        <f>U113</f>
        <v>300</v>
      </c>
      <c r="E113" s="295">
        <f t="shared" si="51"/>
        <v>100</v>
      </c>
      <c r="F113" s="137"/>
      <c r="G113" s="138">
        <v>25</v>
      </c>
      <c r="H113" s="135">
        <v>25</v>
      </c>
      <c r="I113" s="135">
        <v>25</v>
      </c>
      <c r="J113" s="135">
        <v>25</v>
      </c>
      <c r="K113" s="135">
        <v>25</v>
      </c>
      <c r="L113" s="135">
        <v>25</v>
      </c>
      <c r="M113" s="139">
        <f t="shared" si="52"/>
        <v>150</v>
      </c>
      <c r="N113" s="138">
        <v>25</v>
      </c>
      <c r="O113" s="135">
        <v>25</v>
      </c>
      <c r="P113" s="135">
        <v>25</v>
      </c>
      <c r="Q113" s="135">
        <v>25</v>
      </c>
      <c r="R113" s="135">
        <v>25</v>
      </c>
      <c r="S113" s="135">
        <v>25</v>
      </c>
      <c r="T113" s="139">
        <f t="shared" si="50"/>
        <v>150</v>
      </c>
      <c r="U113" s="139">
        <f>M113+T113</f>
        <v>300</v>
      </c>
    </row>
    <row r="114" spans="1:21">
      <c r="A114" s="168" t="s">
        <v>189</v>
      </c>
      <c r="B114" s="169" t="s">
        <v>190</v>
      </c>
      <c r="C114" s="141">
        <f>D38</f>
        <v>3000</v>
      </c>
      <c r="D114" s="141">
        <f>U114</f>
        <v>3000</v>
      </c>
      <c r="E114" s="296">
        <f t="shared" si="51"/>
        <v>100</v>
      </c>
      <c r="F114" s="143"/>
      <c r="G114" s="144">
        <v>250</v>
      </c>
      <c r="H114" s="141">
        <v>250</v>
      </c>
      <c r="I114" s="141">
        <v>250</v>
      </c>
      <c r="J114" s="141">
        <v>250</v>
      </c>
      <c r="K114" s="141">
        <v>250</v>
      </c>
      <c r="L114" s="141">
        <v>250</v>
      </c>
      <c r="M114" s="145">
        <f t="shared" si="52"/>
        <v>1500</v>
      </c>
      <c r="N114" s="144">
        <v>250</v>
      </c>
      <c r="O114" s="141">
        <v>250</v>
      </c>
      <c r="P114" s="141">
        <v>250</v>
      </c>
      <c r="Q114" s="141">
        <v>250</v>
      </c>
      <c r="R114" s="141">
        <v>250</v>
      </c>
      <c r="S114" s="141">
        <v>250</v>
      </c>
      <c r="T114" s="145">
        <f t="shared" si="50"/>
        <v>1500</v>
      </c>
      <c r="U114" s="145">
        <f>M114+T114</f>
        <v>3000</v>
      </c>
    </row>
    <row r="115" spans="1:21">
      <c r="A115" s="154" t="s">
        <v>23</v>
      </c>
      <c r="B115" s="147" t="s">
        <v>213</v>
      </c>
      <c r="C115" s="155">
        <f>SUM(C113:C114)</f>
        <v>3300</v>
      </c>
      <c r="D115" s="155">
        <f>SUM(D113:D114)</f>
        <v>3300</v>
      </c>
      <c r="E115" s="298">
        <f t="shared" si="51"/>
        <v>100</v>
      </c>
      <c r="F115" s="157"/>
      <c r="G115" s="158">
        <f t="shared" ref="G115:L115" si="75">SUM(G113:G114)</f>
        <v>275</v>
      </c>
      <c r="H115" s="155">
        <f t="shared" si="75"/>
        <v>275</v>
      </c>
      <c r="I115" s="155">
        <f t="shared" si="75"/>
        <v>275</v>
      </c>
      <c r="J115" s="155">
        <f t="shared" si="75"/>
        <v>275</v>
      </c>
      <c r="K115" s="155">
        <f t="shared" si="75"/>
        <v>275</v>
      </c>
      <c r="L115" s="155">
        <f t="shared" si="75"/>
        <v>275</v>
      </c>
      <c r="M115" s="159">
        <f t="shared" si="52"/>
        <v>1650</v>
      </c>
      <c r="N115" s="158">
        <f t="shared" ref="N115:S115" si="76">SUM(N113:N114)</f>
        <v>275</v>
      </c>
      <c r="O115" s="155">
        <f t="shared" si="76"/>
        <v>275</v>
      </c>
      <c r="P115" s="155">
        <f t="shared" si="76"/>
        <v>275</v>
      </c>
      <c r="Q115" s="155">
        <f t="shared" si="76"/>
        <v>275</v>
      </c>
      <c r="R115" s="155">
        <f t="shared" si="76"/>
        <v>275</v>
      </c>
      <c r="S115" s="155">
        <f t="shared" si="76"/>
        <v>275</v>
      </c>
      <c r="T115" s="159">
        <f t="shared" si="50"/>
        <v>1650</v>
      </c>
      <c r="U115" s="159">
        <f>SUM(U113:U114)</f>
        <v>3300</v>
      </c>
    </row>
    <row r="116" spans="1:21" hidden="1">
      <c r="A116" s="134"/>
      <c r="B116" s="3"/>
      <c r="C116" s="135"/>
      <c r="D116" s="135">
        <f>U116</f>
        <v>0</v>
      </c>
      <c r="E116" s="295" t="str">
        <f t="shared" si="51"/>
        <v/>
      </c>
      <c r="F116" s="137"/>
      <c r="G116" s="138"/>
      <c r="H116" s="135"/>
      <c r="I116" s="135"/>
      <c r="J116" s="135"/>
      <c r="K116" s="135"/>
      <c r="L116" s="135"/>
      <c r="M116" s="139">
        <f t="shared" si="52"/>
        <v>0</v>
      </c>
      <c r="N116" s="138"/>
      <c r="O116" s="135"/>
      <c r="P116" s="135"/>
      <c r="Q116" s="135"/>
      <c r="R116" s="135"/>
      <c r="S116" s="135"/>
      <c r="T116" s="139">
        <f t="shared" si="50"/>
        <v>0</v>
      </c>
      <c r="U116" s="139">
        <f>M116+T116</f>
        <v>0</v>
      </c>
    </row>
    <row r="117" spans="1:21" hidden="1">
      <c r="A117" s="140" t="s">
        <v>191</v>
      </c>
      <c r="B117" s="170"/>
      <c r="C117" s="171"/>
      <c r="D117" s="171">
        <f>U117</f>
        <v>0</v>
      </c>
      <c r="E117" s="300" t="str">
        <f t="shared" si="51"/>
        <v/>
      </c>
      <c r="F117" s="173"/>
      <c r="G117" s="174"/>
      <c r="H117" s="171"/>
      <c r="I117" s="171"/>
      <c r="J117" s="171"/>
      <c r="K117" s="171"/>
      <c r="L117" s="171"/>
      <c r="M117" s="175">
        <f t="shared" si="52"/>
        <v>0</v>
      </c>
      <c r="N117" s="174"/>
      <c r="O117" s="171"/>
      <c r="P117" s="171"/>
      <c r="Q117" s="171"/>
      <c r="R117" s="171"/>
      <c r="S117" s="171"/>
      <c r="T117" s="175">
        <f t="shared" si="50"/>
        <v>0</v>
      </c>
      <c r="U117" s="175">
        <f>M117+T117</f>
        <v>0</v>
      </c>
    </row>
    <row r="118" spans="1:21" hidden="1">
      <c r="A118" s="154" t="s">
        <v>24</v>
      </c>
      <c r="B118" s="147" t="s">
        <v>213</v>
      </c>
      <c r="C118" s="148">
        <f>SUM(C116:C117)</f>
        <v>0</v>
      </c>
      <c r="D118" s="148">
        <f>SUM(D116:D117)</f>
        <v>0</v>
      </c>
      <c r="E118" s="297" t="str">
        <f t="shared" si="51"/>
        <v/>
      </c>
      <c r="F118" s="150"/>
      <c r="G118" s="151">
        <f t="shared" ref="G118:L118" si="77">SUM(G116:G117)</f>
        <v>0</v>
      </c>
      <c r="H118" s="148">
        <f t="shared" si="77"/>
        <v>0</v>
      </c>
      <c r="I118" s="148">
        <f t="shared" si="77"/>
        <v>0</v>
      </c>
      <c r="J118" s="148">
        <f t="shared" si="77"/>
        <v>0</v>
      </c>
      <c r="K118" s="148">
        <f t="shared" si="77"/>
        <v>0</v>
      </c>
      <c r="L118" s="148">
        <f t="shared" si="77"/>
        <v>0</v>
      </c>
      <c r="M118" s="152">
        <f t="shared" si="52"/>
        <v>0</v>
      </c>
      <c r="N118" s="151">
        <f t="shared" ref="N118:S118" si="78">SUM(N116:N117)</f>
        <v>0</v>
      </c>
      <c r="O118" s="148">
        <f t="shared" si="78"/>
        <v>0</v>
      </c>
      <c r="P118" s="148">
        <f t="shared" si="78"/>
        <v>0</v>
      </c>
      <c r="Q118" s="148">
        <f t="shared" si="78"/>
        <v>0</v>
      </c>
      <c r="R118" s="148">
        <f t="shared" si="78"/>
        <v>0</v>
      </c>
      <c r="S118" s="148">
        <f t="shared" si="78"/>
        <v>0</v>
      </c>
      <c r="T118" s="152">
        <f t="shared" si="50"/>
        <v>0</v>
      </c>
      <c r="U118" s="152">
        <f>SUM(U116:U117)</f>
        <v>0</v>
      </c>
    </row>
    <row r="119" spans="1:21" hidden="1">
      <c r="A119" s="134"/>
      <c r="B119" s="3"/>
      <c r="C119" s="135"/>
      <c r="D119" s="135">
        <f>U119</f>
        <v>0</v>
      </c>
      <c r="E119" s="295" t="str">
        <f t="shared" si="51"/>
        <v/>
      </c>
      <c r="F119" s="137"/>
      <c r="G119" s="138"/>
      <c r="H119" s="135"/>
      <c r="I119" s="135"/>
      <c r="J119" s="135"/>
      <c r="K119" s="135"/>
      <c r="L119" s="135"/>
      <c r="M119" s="139">
        <f t="shared" si="52"/>
        <v>0</v>
      </c>
      <c r="N119" s="138"/>
      <c r="O119" s="135"/>
      <c r="P119" s="135"/>
      <c r="Q119" s="135"/>
      <c r="R119" s="135"/>
      <c r="S119" s="135"/>
      <c r="T119" s="139">
        <f t="shared" si="50"/>
        <v>0</v>
      </c>
      <c r="U119" s="139">
        <f>M119+T119</f>
        <v>0</v>
      </c>
    </row>
    <row r="120" spans="1:21" hidden="1">
      <c r="A120" s="140" t="s">
        <v>192</v>
      </c>
      <c r="B120" s="4"/>
      <c r="C120" s="160"/>
      <c r="D120" s="160">
        <f>U120</f>
        <v>0</v>
      </c>
      <c r="E120" s="299" t="str">
        <f t="shared" si="51"/>
        <v/>
      </c>
      <c r="F120" s="162"/>
      <c r="G120" s="163"/>
      <c r="H120" s="160"/>
      <c r="I120" s="160"/>
      <c r="J120" s="160"/>
      <c r="K120" s="160"/>
      <c r="L120" s="160"/>
      <c r="M120" s="164">
        <f t="shared" si="52"/>
        <v>0</v>
      </c>
      <c r="N120" s="163"/>
      <c r="O120" s="160"/>
      <c r="P120" s="160"/>
      <c r="Q120" s="160"/>
      <c r="R120" s="160"/>
      <c r="S120" s="160"/>
      <c r="T120" s="164">
        <f t="shared" si="50"/>
        <v>0</v>
      </c>
      <c r="U120" s="164">
        <f>M120+T120</f>
        <v>0</v>
      </c>
    </row>
    <row r="121" spans="1:21" hidden="1">
      <c r="A121" s="154" t="s">
        <v>25</v>
      </c>
      <c r="B121" s="147" t="s">
        <v>213</v>
      </c>
      <c r="C121" s="148">
        <f>SUM(C119:C120)</f>
        <v>0</v>
      </c>
      <c r="D121" s="148">
        <f>SUM(D119:D120)</f>
        <v>0</v>
      </c>
      <c r="E121" s="297" t="str">
        <f t="shared" si="51"/>
        <v/>
      </c>
      <c r="F121" s="150"/>
      <c r="G121" s="151">
        <f t="shared" ref="G121:L121" si="79">SUM(G119:G120)</f>
        <v>0</v>
      </c>
      <c r="H121" s="148">
        <f t="shared" si="79"/>
        <v>0</v>
      </c>
      <c r="I121" s="148">
        <f t="shared" si="79"/>
        <v>0</v>
      </c>
      <c r="J121" s="148">
        <f t="shared" si="79"/>
        <v>0</v>
      </c>
      <c r="K121" s="148">
        <f t="shared" si="79"/>
        <v>0</v>
      </c>
      <c r="L121" s="148">
        <f t="shared" si="79"/>
        <v>0</v>
      </c>
      <c r="M121" s="152">
        <f t="shared" si="52"/>
        <v>0</v>
      </c>
      <c r="N121" s="151">
        <f t="shared" ref="N121:S121" si="80">SUM(N119:N120)</f>
        <v>0</v>
      </c>
      <c r="O121" s="148">
        <f t="shared" si="80"/>
        <v>0</v>
      </c>
      <c r="P121" s="148">
        <f t="shared" si="80"/>
        <v>0</v>
      </c>
      <c r="Q121" s="148">
        <f t="shared" si="80"/>
        <v>0</v>
      </c>
      <c r="R121" s="148">
        <f t="shared" si="80"/>
        <v>0</v>
      </c>
      <c r="S121" s="148">
        <f t="shared" si="80"/>
        <v>0</v>
      </c>
      <c r="T121" s="152">
        <f t="shared" si="50"/>
        <v>0</v>
      </c>
      <c r="U121" s="152">
        <f>SUM(U119:U120)</f>
        <v>0</v>
      </c>
    </row>
    <row r="122" spans="1:21">
      <c r="A122" s="168"/>
      <c r="B122" s="325" t="s">
        <v>185</v>
      </c>
      <c r="C122" s="301">
        <f>D46</f>
        <v>6431</v>
      </c>
      <c r="D122" s="301">
        <f>U122</f>
        <v>6431</v>
      </c>
      <c r="E122" s="302">
        <f t="shared" si="51"/>
        <v>100</v>
      </c>
      <c r="F122" s="303"/>
      <c r="G122" s="138"/>
      <c r="H122" s="135">
        <v>620</v>
      </c>
      <c r="I122" s="135"/>
      <c r="J122" s="135"/>
      <c r="K122" s="135"/>
      <c r="L122" s="135">
        <v>1110</v>
      </c>
      <c r="M122" s="139">
        <f t="shared" si="52"/>
        <v>1730</v>
      </c>
      <c r="N122" s="138"/>
      <c r="O122" s="135">
        <v>641</v>
      </c>
      <c r="P122" s="135">
        <v>770</v>
      </c>
      <c r="Q122" s="135">
        <v>1110</v>
      </c>
      <c r="R122" s="135">
        <v>1190</v>
      </c>
      <c r="S122" s="135">
        <v>990</v>
      </c>
      <c r="T122" s="139">
        <f t="shared" si="50"/>
        <v>4701</v>
      </c>
      <c r="U122" s="305">
        <f>M122+T122</f>
        <v>6431</v>
      </c>
    </row>
    <row r="123" spans="1:21">
      <c r="A123" s="168" t="s">
        <v>193</v>
      </c>
      <c r="B123" s="178" t="s">
        <v>187</v>
      </c>
      <c r="C123" s="179">
        <f>D47</f>
        <v>1250</v>
      </c>
      <c r="D123" s="179">
        <f>U123</f>
        <v>1250</v>
      </c>
      <c r="E123" s="315">
        <f t="shared" si="51"/>
        <v>100</v>
      </c>
      <c r="F123" s="181"/>
      <c r="G123" s="182"/>
      <c r="H123" s="179">
        <v>300</v>
      </c>
      <c r="I123" s="179"/>
      <c r="J123" s="179">
        <v>350</v>
      </c>
      <c r="K123" s="179"/>
      <c r="L123" s="179"/>
      <c r="M123" s="175">
        <f t="shared" si="52"/>
        <v>650</v>
      </c>
      <c r="N123" s="182"/>
      <c r="O123" s="179"/>
      <c r="P123" s="179">
        <v>300</v>
      </c>
      <c r="Q123" s="179"/>
      <c r="R123" s="179">
        <v>300</v>
      </c>
      <c r="S123" s="179"/>
      <c r="T123" s="183">
        <f t="shared" si="50"/>
        <v>600</v>
      </c>
      <c r="U123" s="183">
        <f>M123+T123</f>
        <v>1250</v>
      </c>
    </row>
    <row r="124" spans="1:21">
      <c r="A124" s="154" t="s">
        <v>26</v>
      </c>
      <c r="B124" s="177" t="s">
        <v>11</v>
      </c>
      <c r="C124" s="155">
        <f>SUM(C122:C123)</f>
        <v>7681</v>
      </c>
      <c r="D124" s="155">
        <f>SUM(D122:D123)</f>
        <v>7681</v>
      </c>
      <c r="E124" s="298">
        <f t="shared" si="51"/>
        <v>100</v>
      </c>
      <c r="F124" s="157"/>
      <c r="G124" s="158">
        <f t="shared" ref="G124:L124" si="81">SUM(G122:G123)</f>
        <v>0</v>
      </c>
      <c r="H124" s="155">
        <f t="shared" si="81"/>
        <v>920</v>
      </c>
      <c r="I124" s="155">
        <f t="shared" si="81"/>
        <v>0</v>
      </c>
      <c r="J124" s="155">
        <f t="shared" si="81"/>
        <v>350</v>
      </c>
      <c r="K124" s="155">
        <f t="shared" si="81"/>
        <v>0</v>
      </c>
      <c r="L124" s="155">
        <f t="shared" si="81"/>
        <v>1110</v>
      </c>
      <c r="M124" s="314">
        <f t="shared" si="52"/>
        <v>2380</v>
      </c>
      <c r="N124" s="158">
        <f t="shared" ref="N124:S124" si="82">SUM(N122:N123)</f>
        <v>0</v>
      </c>
      <c r="O124" s="155">
        <f t="shared" si="82"/>
        <v>641</v>
      </c>
      <c r="P124" s="155">
        <f t="shared" si="82"/>
        <v>1070</v>
      </c>
      <c r="Q124" s="155">
        <f t="shared" si="82"/>
        <v>1110</v>
      </c>
      <c r="R124" s="155">
        <f t="shared" si="82"/>
        <v>1490</v>
      </c>
      <c r="S124" s="155">
        <f t="shared" si="82"/>
        <v>990</v>
      </c>
      <c r="T124" s="159">
        <f t="shared" si="50"/>
        <v>5301</v>
      </c>
      <c r="U124" s="159">
        <f>SUM(U122:U123)</f>
        <v>7681</v>
      </c>
    </row>
    <row r="125" spans="1:21" hidden="1">
      <c r="A125" s="134"/>
      <c r="B125" s="3"/>
      <c r="C125" s="135"/>
      <c r="D125" s="135">
        <f>U125</f>
        <v>0</v>
      </c>
      <c r="E125" s="295" t="str">
        <f t="shared" si="51"/>
        <v/>
      </c>
      <c r="F125" s="137"/>
      <c r="G125" s="138"/>
      <c r="H125" s="135"/>
      <c r="I125" s="135"/>
      <c r="J125" s="135"/>
      <c r="K125" s="135"/>
      <c r="L125" s="135"/>
      <c r="M125" s="139">
        <f t="shared" si="52"/>
        <v>0</v>
      </c>
      <c r="N125" s="138"/>
      <c r="O125" s="135"/>
      <c r="P125" s="135"/>
      <c r="Q125" s="135"/>
      <c r="R125" s="135"/>
      <c r="S125" s="135"/>
      <c r="T125" s="139">
        <f t="shared" si="50"/>
        <v>0</v>
      </c>
      <c r="U125" s="139">
        <f>M125+T125</f>
        <v>0</v>
      </c>
    </row>
    <row r="126" spans="1:21" hidden="1">
      <c r="A126" s="140" t="s">
        <v>194</v>
      </c>
      <c r="B126" s="178"/>
      <c r="C126" s="141"/>
      <c r="D126" s="141">
        <f>U126</f>
        <v>0</v>
      </c>
      <c r="E126" s="315" t="str">
        <f t="shared" si="51"/>
        <v/>
      </c>
      <c r="F126" s="181"/>
      <c r="G126" s="144"/>
      <c r="H126" s="141"/>
      <c r="I126" s="141"/>
      <c r="J126" s="141"/>
      <c r="K126" s="141"/>
      <c r="L126" s="141"/>
      <c r="M126" s="145">
        <f t="shared" si="52"/>
        <v>0</v>
      </c>
      <c r="N126" s="144"/>
      <c r="O126" s="141"/>
      <c r="P126" s="141"/>
      <c r="Q126" s="141"/>
      <c r="R126" s="141"/>
      <c r="S126" s="141"/>
      <c r="T126" s="145">
        <f t="shared" si="50"/>
        <v>0</v>
      </c>
      <c r="U126" s="145">
        <f>M126+T126</f>
        <v>0</v>
      </c>
    </row>
    <row r="127" spans="1:21" hidden="1">
      <c r="A127" s="154" t="s">
        <v>27</v>
      </c>
      <c r="B127" s="177" t="s">
        <v>11</v>
      </c>
      <c r="C127" s="148">
        <f>SUM(C125:C126)</f>
        <v>0</v>
      </c>
      <c r="D127" s="148">
        <f>SUM(D125:D126)</f>
        <v>0</v>
      </c>
      <c r="E127" s="298" t="str">
        <f t="shared" si="51"/>
        <v/>
      </c>
      <c r="F127" s="157"/>
      <c r="G127" s="151">
        <f t="shared" ref="G127:L127" si="83">SUM(G125:G126)</f>
        <v>0</v>
      </c>
      <c r="H127" s="148">
        <f t="shared" si="83"/>
        <v>0</v>
      </c>
      <c r="I127" s="148">
        <f t="shared" si="83"/>
        <v>0</v>
      </c>
      <c r="J127" s="148">
        <f t="shared" si="83"/>
        <v>0</v>
      </c>
      <c r="K127" s="148">
        <f t="shared" si="83"/>
        <v>0</v>
      </c>
      <c r="L127" s="148">
        <f t="shared" si="83"/>
        <v>0</v>
      </c>
      <c r="M127" s="152">
        <f t="shared" si="52"/>
        <v>0</v>
      </c>
      <c r="N127" s="151">
        <f t="shared" ref="N127:S127" si="84">SUM(N125:N126)</f>
        <v>0</v>
      </c>
      <c r="O127" s="148">
        <f t="shared" si="84"/>
        <v>0</v>
      </c>
      <c r="P127" s="148">
        <f t="shared" si="84"/>
        <v>0</v>
      </c>
      <c r="Q127" s="148">
        <f t="shared" si="84"/>
        <v>0</v>
      </c>
      <c r="R127" s="148">
        <f t="shared" si="84"/>
        <v>0</v>
      </c>
      <c r="S127" s="148">
        <f t="shared" si="84"/>
        <v>0</v>
      </c>
      <c r="T127" s="152">
        <f t="shared" si="50"/>
        <v>0</v>
      </c>
      <c r="U127" s="152">
        <f>SUM(U125:U126)</f>
        <v>0</v>
      </c>
    </row>
    <row r="128" spans="1:21">
      <c r="A128" s="167"/>
      <c r="B128" s="3" t="s">
        <v>195</v>
      </c>
      <c r="C128" s="135">
        <f>D52</f>
        <v>10000</v>
      </c>
      <c r="D128" s="135">
        <f>U128</f>
        <v>10000</v>
      </c>
      <c r="E128" s="295">
        <f t="shared" si="51"/>
        <v>100</v>
      </c>
      <c r="F128" s="137"/>
      <c r="G128" s="138"/>
      <c r="H128" s="135"/>
      <c r="I128" s="135">
        <v>2500</v>
      </c>
      <c r="J128" s="135"/>
      <c r="K128" s="135"/>
      <c r="L128" s="135">
        <v>2500</v>
      </c>
      <c r="M128" s="139">
        <f t="shared" si="52"/>
        <v>5000</v>
      </c>
      <c r="N128" s="138"/>
      <c r="O128" s="135"/>
      <c r="P128" s="135">
        <v>2500</v>
      </c>
      <c r="Q128" s="135"/>
      <c r="R128" s="135"/>
      <c r="S128" s="135">
        <v>2500</v>
      </c>
      <c r="T128" s="139">
        <f t="shared" si="50"/>
        <v>5000</v>
      </c>
      <c r="U128" s="139">
        <f>M128+T128</f>
        <v>10000</v>
      </c>
    </row>
    <row r="129" spans="1:25">
      <c r="A129" s="168" t="s">
        <v>196</v>
      </c>
      <c r="B129" s="5"/>
      <c r="C129" s="179">
        <f>D53</f>
        <v>0</v>
      </c>
      <c r="D129" s="179">
        <f>U129</f>
        <v>0</v>
      </c>
      <c r="E129" s="296" t="str">
        <f t="shared" si="51"/>
        <v/>
      </c>
      <c r="F129" s="143"/>
      <c r="G129" s="182"/>
      <c r="H129" s="179"/>
      <c r="I129" s="179"/>
      <c r="J129" s="179"/>
      <c r="K129" s="179"/>
      <c r="L129" s="179"/>
      <c r="M129" s="183">
        <f t="shared" si="52"/>
        <v>0</v>
      </c>
      <c r="N129" s="182"/>
      <c r="O129" s="179"/>
      <c r="P129" s="179"/>
      <c r="Q129" s="179"/>
      <c r="R129" s="179"/>
      <c r="S129" s="179"/>
      <c r="T129" s="183">
        <f t="shared" si="50"/>
        <v>0</v>
      </c>
      <c r="U129" s="183">
        <f>M129+T129</f>
        <v>0</v>
      </c>
    </row>
    <row r="130" spans="1:25">
      <c r="A130" s="154" t="s">
        <v>28</v>
      </c>
      <c r="B130" s="147" t="s">
        <v>11</v>
      </c>
      <c r="C130" s="155">
        <f>SUM(C128:C129)</f>
        <v>10000</v>
      </c>
      <c r="D130" s="155">
        <f>SUM(D128:D129)</f>
        <v>10000</v>
      </c>
      <c r="E130" s="297">
        <f t="shared" si="51"/>
        <v>100</v>
      </c>
      <c r="F130" s="150"/>
      <c r="G130" s="158">
        <f t="shared" ref="G130:L130" si="85">SUM(G128:G129)</f>
        <v>0</v>
      </c>
      <c r="H130" s="155">
        <f t="shared" si="85"/>
        <v>0</v>
      </c>
      <c r="I130" s="155">
        <f t="shared" si="85"/>
        <v>2500</v>
      </c>
      <c r="J130" s="155">
        <f t="shared" si="85"/>
        <v>0</v>
      </c>
      <c r="K130" s="155">
        <f t="shared" si="85"/>
        <v>0</v>
      </c>
      <c r="L130" s="155">
        <f t="shared" si="85"/>
        <v>2500</v>
      </c>
      <c r="M130" s="159">
        <f t="shared" si="52"/>
        <v>5000</v>
      </c>
      <c r="N130" s="158">
        <f t="shared" ref="N130:S130" si="86">SUM(N128:N129)</f>
        <v>0</v>
      </c>
      <c r="O130" s="155">
        <f t="shared" si="86"/>
        <v>0</v>
      </c>
      <c r="P130" s="155">
        <f t="shared" si="86"/>
        <v>2500</v>
      </c>
      <c r="Q130" s="155">
        <f t="shared" si="86"/>
        <v>0</v>
      </c>
      <c r="R130" s="155">
        <f t="shared" si="86"/>
        <v>0</v>
      </c>
      <c r="S130" s="155">
        <f t="shared" si="86"/>
        <v>2500</v>
      </c>
      <c r="T130" s="159">
        <f t="shared" si="50"/>
        <v>5000</v>
      </c>
      <c r="U130" s="159">
        <f>SUM(U128:U129)</f>
        <v>10000</v>
      </c>
    </row>
    <row r="131" spans="1:25">
      <c r="A131" s="134"/>
      <c r="B131" s="3" t="s">
        <v>197</v>
      </c>
      <c r="C131" s="135">
        <f>D55</f>
        <v>0</v>
      </c>
      <c r="D131" s="135">
        <f>U131</f>
        <v>0</v>
      </c>
      <c r="E131" s="295" t="str">
        <f t="shared" si="51"/>
        <v/>
      </c>
      <c r="F131" s="137"/>
      <c r="G131" s="138"/>
      <c r="H131" s="135"/>
      <c r="I131" s="135"/>
      <c r="J131" s="135"/>
      <c r="K131" s="135"/>
      <c r="L131" s="135"/>
      <c r="M131" s="139">
        <f t="shared" si="52"/>
        <v>0</v>
      </c>
      <c r="N131" s="138"/>
      <c r="O131" s="135"/>
      <c r="P131" s="135"/>
      <c r="Q131" s="135"/>
      <c r="R131" s="135"/>
      <c r="S131" s="135"/>
      <c r="T131" s="139">
        <f t="shared" si="50"/>
        <v>0</v>
      </c>
      <c r="U131" s="139">
        <f>M131+T131</f>
        <v>0</v>
      </c>
      <c r="W131" t="s">
        <v>211</v>
      </c>
      <c r="X131" s="249">
        <f>SUM(U81,U87,U90,U95,U102,U109,U113,U122,U128)</f>
        <v>37057</v>
      </c>
      <c r="Y131" s="43">
        <f>X131/X55</f>
        <v>1.0052081920520819</v>
      </c>
    </row>
    <row r="132" spans="1:25">
      <c r="A132" s="140" t="s">
        <v>198</v>
      </c>
      <c r="B132" s="5"/>
      <c r="C132" s="141">
        <f>D56</f>
        <v>0</v>
      </c>
      <c r="D132" s="141">
        <f>U132</f>
        <v>0</v>
      </c>
      <c r="E132" s="5" t="str">
        <f t="shared" si="51"/>
        <v/>
      </c>
      <c r="F132" s="143"/>
      <c r="G132" s="144"/>
      <c r="H132" s="141"/>
      <c r="I132" s="141"/>
      <c r="J132" s="141"/>
      <c r="K132" s="141"/>
      <c r="L132" s="141"/>
      <c r="M132" s="145">
        <f t="shared" si="52"/>
        <v>0</v>
      </c>
      <c r="N132" s="144"/>
      <c r="O132" s="141"/>
      <c r="P132" s="141"/>
      <c r="Q132" s="141"/>
      <c r="R132" s="141"/>
      <c r="S132" s="141"/>
      <c r="T132" s="145">
        <f t="shared" si="50"/>
        <v>0</v>
      </c>
      <c r="U132" s="145">
        <f>M132+T132</f>
        <v>0</v>
      </c>
      <c r="W132" t="s">
        <v>214</v>
      </c>
      <c r="X132" s="249">
        <f>SUM(U82,U88,U91,U106,U111,U114,U123)</f>
        <v>24298</v>
      </c>
      <c r="Y132" s="43">
        <f>X132/X56</f>
        <v>1.0084668382169835</v>
      </c>
    </row>
    <row r="133" spans="1:25" ht="17.25" thickBot="1">
      <c r="A133" s="154" t="s">
        <v>29</v>
      </c>
      <c r="B133" s="147" t="s">
        <v>11</v>
      </c>
      <c r="C133" s="148">
        <f>SUM(C131:C132)</f>
        <v>0</v>
      </c>
      <c r="D133" s="148">
        <f>SUM(D131:D132)</f>
        <v>0</v>
      </c>
      <c r="E133" s="326" t="str">
        <f t="shared" si="51"/>
        <v/>
      </c>
      <c r="F133" s="150"/>
      <c r="G133" s="151">
        <f t="shared" ref="G133:L133" si="87">SUM(G131:G132)</f>
        <v>0</v>
      </c>
      <c r="H133" s="148">
        <f t="shared" si="87"/>
        <v>0</v>
      </c>
      <c r="I133" s="148">
        <f t="shared" si="87"/>
        <v>0</v>
      </c>
      <c r="J133" s="148">
        <f t="shared" si="87"/>
        <v>0</v>
      </c>
      <c r="K133" s="148">
        <f t="shared" si="87"/>
        <v>0</v>
      </c>
      <c r="L133" s="148">
        <f t="shared" si="87"/>
        <v>0</v>
      </c>
      <c r="M133" s="152">
        <f t="shared" si="52"/>
        <v>0</v>
      </c>
      <c r="N133" s="151">
        <f t="shared" ref="N133:S133" si="88">SUM(N131:N132)</f>
        <v>0</v>
      </c>
      <c r="O133" s="148">
        <f t="shared" si="88"/>
        <v>0</v>
      </c>
      <c r="P133" s="148">
        <f t="shared" si="88"/>
        <v>0</v>
      </c>
      <c r="Q133" s="148">
        <f t="shared" si="88"/>
        <v>0</v>
      </c>
      <c r="R133" s="148">
        <f t="shared" si="88"/>
        <v>0</v>
      </c>
      <c r="S133" s="148">
        <f t="shared" si="88"/>
        <v>0</v>
      </c>
      <c r="T133" s="152">
        <f t="shared" si="50"/>
        <v>0</v>
      </c>
      <c r="U133" s="152">
        <f>SUM(U131:U132)</f>
        <v>0</v>
      </c>
      <c r="X133" s="249">
        <f>SUM(X131:X132)</f>
        <v>61355</v>
      </c>
    </row>
    <row r="134" spans="1:25" ht="17.25" hidden="1" thickBot="1">
      <c r="A134" s="134"/>
      <c r="B134" s="3"/>
      <c r="C134" s="135"/>
      <c r="D134" s="135">
        <f>U134</f>
        <v>0</v>
      </c>
      <c r="E134" s="3" t="str">
        <f t="shared" si="51"/>
        <v/>
      </c>
      <c r="F134" s="137"/>
      <c r="G134" s="138"/>
      <c r="H134" s="135"/>
      <c r="I134" s="135"/>
      <c r="J134" s="135"/>
      <c r="K134" s="135"/>
      <c r="L134" s="135"/>
      <c r="M134" s="139">
        <f t="shared" si="52"/>
        <v>0</v>
      </c>
      <c r="N134" s="138"/>
      <c r="O134" s="135"/>
      <c r="P134" s="135"/>
      <c r="Q134" s="135"/>
      <c r="R134" s="135"/>
      <c r="S134" s="135"/>
      <c r="T134" s="139">
        <f t="shared" si="50"/>
        <v>0</v>
      </c>
      <c r="U134" s="139">
        <f>M134+T134</f>
        <v>0</v>
      </c>
    </row>
    <row r="135" spans="1:25" ht="17.25" hidden="1" thickBot="1">
      <c r="A135" s="140" t="s">
        <v>199</v>
      </c>
      <c r="B135" s="5"/>
      <c r="C135" s="141"/>
      <c r="D135" s="141">
        <f>U135</f>
        <v>0</v>
      </c>
      <c r="E135" s="5" t="str">
        <f t="shared" si="51"/>
        <v/>
      </c>
      <c r="F135" s="143"/>
      <c r="G135" s="144"/>
      <c r="H135" s="141"/>
      <c r="I135" s="141"/>
      <c r="J135" s="141"/>
      <c r="K135" s="141"/>
      <c r="L135" s="141"/>
      <c r="M135" s="145">
        <f t="shared" si="52"/>
        <v>0</v>
      </c>
      <c r="N135" s="144"/>
      <c r="O135" s="141"/>
      <c r="P135" s="141"/>
      <c r="Q135" s="141"/>
      <c r="R135" s="141"/>
      <c r="S135" s="141"/>
      <c r="T135" s="145">
        <f t="shared" si="50"/>
        <v>0</v>
      </c>
      <c r="U135" s="145">
        <f>M135+T135</f>
        <v>0</v>
      </c>
    </row>
    <row r="136" spans="1:25" ht="17.25" hidden="1" thickBot="1">
      <c r="A136" s="154" t="s">
        <v>30</v>
      </c>
      <c r="B136" s="147" t="s">
        <v>11</v>
      </c>
      <c r="C136" s="148">
        <f>SUM(C134:C135)</f>
        <v>0</v>
      </c>
      <c r="D136" s="148">
        <f>SUM(D134:D135)</f>
        <v>0</v>
      </c>
      <c r="E136" s="326" t="str">
        <f t="shared" si="51"/>
        <v/>
      </c>
      <c r="F136" s="150"/>
      <c r="G136" s="151">
        <f t="shared" ref="G136:L136" si="89">SUM(G134:G135)</f>
        <v>0</v>
      </c>
      <c r="H136" s="148">
        <f t="shared" si="89"/>
        <v>0</v>
      </c>
      <c r="I136" s="148">
        <f t="shared" si="89"/>
        <v>0</v>
      </c>
      <c r="J136" s="148">
        <f t="shared" si="89"/>
        <v>0</v>
      </c>
      <c r="K136" s="148">
        <f t="shared" si="89"/>
        <v>0</v>
      </c>
      <c r="L136" s="148">
        <f t="shared" si="89"/>
        <v>0</v>
      </c>
      <c r="M136" s="152">
        <f t="shared" si="52"/>
        <v>0</v>
      </c>
      <c r="N136" s="151">
        <f t="shared" ref="N136:S136" si="90">SUM(N134:N135)</f>
        <v>0</v>
      </c>
      <c r="O136" s="148">
        <f t="shared" si="90"/>
        <v>0</v>
      </c>
      <c r="P136" s="148">
        <f t="shared" si="90"/>
        <v>0</v>
      </c>
      <c r="Q136" s="148">
        <f t="shared" si="90"/>
        <v>0</v>
      </c>
      <c r="R136" s="148">
        <f t="shared" si="90"/>
        <v>0</v>
      </c>
      <c r="S136" s="148">
        <f t="shared" si="90"/>
        <v>0</v>
      </c>
      <c r="T136" s="152">
        <f t="shared" si="50"/>
        <v>0</v>
      </c>
      <c r="U136" s="152">
        <f>SUM(U134:U135)</f>
        <v>0</v>
      </c>
    </row>
    <row r="137" spans="1:25" ht="17.25" hidden="1" thickBot="1">
      <c r="A137" s="134"/>
      <c r="B137" s="3"/>
      <c r="C137" s="135"/>
      <c r="D137" s="135">
        <f>U137</f>
        <v>0</v>
      </c>
      <c r="E137" s="3" t="str">
        <f t="shared" si="51"/>
        <v/>
      </c>
      <c r="F137" s="137"/>
      <c r="G137" s="138"/>
      <c r="H137" s="135"/>
      <c r="I137" s="135"/>
      <c r="J137" s="135"/>
      <c r="K137" s="135"/>
      <c r="L137" s="135"/>
      <c r="M137" s="139">
        <f t="shared" si="52"/>
        <v>0</v>
      </c>
      <c r="N137" s="138"/>
      <c r="O137" s="135"/>
      <c r="P137" s="135"/>
      <c r="Q137" s="135"/>
      <c r="R137" s="135"/>
      <c r="S137" s="135"/>
      <c r="T137" s="139">
        <f t="shared" si="50"/>
        <v>0</v>
      </c>
      <c r="U137" s="139">
        <f>M137+T137</f>
        <v>0</v>
      </c>
    </row>
    <row r="138" spans="1:25" ht="17.25" hidden="1" thickBot="1">
      <c r="A138" s="140" t="s">
        <v>200</v>
      </c>
      <c r="B138" s="5"/>
      <c r="C138" s="141"/>
      <c r="D138" s="141">
        <f>U138</f>
        <v>0</v>
      </c>
      <c r="E138" s="5" t="str">
        <f t="shared" si="51"/>
        <v/>
      </c>
      <c r="F138" s="143"/>
      <c r="G138" s="144"/>
      <c r="H138" s="141"/>
      <c r="I138" s="141"/>
      <c r="J138" s="141"/>
      <c r="K138" s="141"/>
      <c r="L138" s="141"/>
      <c r="M138" s="145">
        <f t="shared" si="52"/>
        <v>0</v>
      </c>
      <c r="N138" s="144"/>
      <c r="O138" s="141"/>
      <c r="P138" s="141"/>
      <c r="Q138" s="141"/>
      <c r="R138" s="141"/>
      <c r="S138" s="141"/>
      <c r="T138" s="145">
        <f t="shared" si="50"/>
        <v>0</v>
      </c>
      <c r="U138" s="145">
        <f>M138+T138</f>
        <v>0</v>
      </c>
    </row>
    <row r="139" spans="1:25" ht="17.25" hidden="1" thickBot="1">
      <c r="A139" s="154" t="s">
        <v>31</v>
      </c>
      <c r="B139" s="147" t="s">
        <v>11</v>
      </c>
      <c r="C139" s="148">
        <f>SUM(C137:C138)</f>
        <v>0</v>
      </c>
      <c r="D139" s="148">
        <f>SUM(D137:D138)</f>
        <v>0</v>
      </c>
      <c r="E139" s="326" t="str">
        <f t="shared" si="51"/>
        <v/>
      </c>
      <c r="F139" s="150"/>
      <c r="G139" s="151">
        <f t="shared" ref="G139:L139" si="91">SUM(G137:G138)</f>
        <v>0</v>
      </c>
      <c r="H139" s="148">
        <f t="shared" si="91"/>
        <v>0</v>
      </c>
      <c r="I139" s="148">
        <f t="shared" si="91"/>
        <v>0</v>
      </c>
      <c r="J139" s="148">
        <f t="shared" si="91"/>
        <v>0</v>
      </c>
      <c r="K139" s="148">
        <f t="shared" si="91"/>
        <v>0</v>
      </c>
      <c r="L139" s="148">
        <f t="shared" si="91"/>
        <v>0</v>
      </c>
      <c r="M139" s="152">
        <f t="shared" si="52"/>
        <v>0</v>
      </c>
      <c r="N139" s="151">
        <f t="shared" ref="N139:S139" si="92">SUM(N137:N138)</f>
        <v>0</v>
      </c>
      <c r="O139" s="148">
        <f t="shared" si="92"/>
        <v>0</v>
      </c>
      <c r="P139" s="148">
        <f t="shared" si="92"/>
        <v>0</v>
      </c>
      <c r="Q139" s="148">
        <f t="shared" si="92"/>
        <v>0</v>
      </c>
      <c r="R139" s="148">
        <f t="shared" si="92"/>
        <v>0</v>
      </c>
      <c r="S139" s="148">
        <f t="shared" si="92"/>
        <v>0</v>
      </c>
      <c r="T139" s="152">
        <f t="shared" si="50"/>
        <v>0</v>
      </c>
      <c r="U139" s="152">
        <f>SUM(U137:U138)</f>
        <v>0</v>
      </c>
    </row>
    <row r="140" spans="1:25" ht="17.25" hidden="1" thickBot="1">
      <c r="A140" s="134"/>
      <c r="B140" s="3"/>
      <c r="C140" s="135"/>
      <c r="D140" s="135">
        <f>U140</f>
        <v>0</v>
      </c>
      <c r="E140" s="3" t="str">
        <f t="shared" si="51"/>
        <v/>
      </c>
      <c r="F140" s="137"/>
      <c r="G140" s="138"/>
      <c r="H140" s="135"/>
      <c r="I140" s="135"/>
      <c r="J140" s="135"/>
      <c r="K140" s="135"/>
      <c r="L140" s="135"/>
      <c r="M140" s="139">
        <f t="shared" si="52"/>
        <v>0</v>
      </c>
      <c r="N140" s="138"/>
      <c r="O140" s="135"/>
      <c r="P140" s="135"/>
      <c r="Q140" s="135"/>
      <c r="R140" s="135"/>
      <c r="S140" s="135"/>
      <c r="T140" s="139">
        <f t="shared" si="50"/>
        <v>0</v>
      </c>
      <c r="U140" s="139">
        <f>M140+T140</f>
        <v>0</v>
      </c>
    </row>
    <row r="141" spans="1:25" ht="17.25" hidden="1" thickBot="1">
      <c r="A141" s="140" t="s">
        <v>201</v>
      </c>
      <c r="B141" s="5"/>
      <c r="C141" s="141"/>
      <c r="D141" s="141">
        <f>U141</f>
        <v>0</v>
      </c>
      <c r="E141" s="5" t="str">
        <f t="shared" si="51"/>
        <v/>
      </c>
      <c r="F141" s="143"/>
      <c r="G141" s="144"/>
      <c r="H141" s="141"/>
      <c r="I141" s="141"/>
      <c r="J141" s="141"/>
      <c r="K141" s="141"/>
      <c r="L141" s="141"/>
      <c r="M141" s="145">
        <f t="shared" si="52"/>
        <v>0</v>
      </c>
      <c r="N141" s="144"/>
      <c r="O141" s="141"/>
      <c r="P141" s="141"/>
      <c r="Q141" s="141"/>
      <c r="R141" s="141"/>
      <c r="S141" s="141"/>
      <c r="T141" s="145">
        <f t="shared" si="50"/>
        <v>0</v>
      </c>
      <c r="U141" s="145">
        <f>M141+T141</f>
        <v>0</v>
      </c>
    </row>
    <row r="142" spans="1:25" ht="17.25" hidden="1" thickBot="1">
      <c r="A142" s="154" t="s">
        <v>32</v>
      </c>
      <c r="B142" s="147" t="s">
        <v>11</v>
      </c>
      <c r="C142" s="148">
        <f>SUM(C140:C141)</f>
        <v>0</v>
      </c>
      <c r="D142" s="148">
        <f>SUM(D140:D141)</f>
        <v>0</v>
      </c>
      <c r="E142" s="326" t="str">
        <f t="shared" si="51"/>
        <v/>
      </c>
      <c r="F142" s="150"/>
      <c r="G142" s="151">
        <f t="shared" ref="G142:L142" si="93">SUM(G140:G141)</f>
        <v>0</v>
      </c>
      <c r="H142" s="148">
        <f t="shared" si="93"/>
        <v>0</v>
      </c>
      <c r="I142" s="148">
        <f t="shared" si="93"/>
        <v>0</v>
      </c>
      <c r="J142" s="148">
        <f t="shared" si="93"/>
        <v>0</v>
      </c>
      <c r="K142" s="148">
        <f t="shared" si="93"/>
        <v>0</v>
      </c>
      <c r="L142" s="148">
        <f t="shared" si="93"/>
        <v>0</v>
      </c>
      <c r="M142" s="152">
        <f t="shared" si="52"/>
        <v>0</v>
      </c>
      <c r="N142" s="151">
        <f t="shared" ref="N142:S142" si="94">SUM(N140:N141)</f>
        <v>0</v>
      </c>
      <c r="O142" s="148">
        <f t="shared" si="94"/>
        <v>0</v>
      </c>
      <c r="P142" s="148">
        <f t="shared" si="94"/>
        <v>0</v>
      </c>
      <c r="Q142" s="148">
        <f t="shared" si="94"/>
        <v>0</v>
      </c>
      <c r="R142" s="148">
        <f t="shared" si="94"/>
        <v>0</v>
      </c>
      <c r="S142" s="148">
        <f t="shared" si="94"/>
        <v>0</v>
      </c>
      <c r="T142" s="152">
        <f t="shared" si="50"/>
        <v>0</v>
      </c>
      <c r="U142" s="152">
        <f>SUM(U140:U141)</f>
        <v>0</v>
      </c>
    </row>
    <row r="143" spans="1:25" ht="17.25" hidden="1" thickBot="1">
      <c r="A143" s="134"/>
      <c r="B143" s="3"/>
      <c r="C143" s="135"/>
      <c r="D143" s="135">
        <f>U143</f>
        <v>0</v>
      </c>
      <c r="E143" s="3" t="str">
        <f t="shared" si="51"/>
        <v/>
      </c>
      <c r="F143" s="137"/>
      <c r="G143" s="138"/>
      <c r="H143" s="135"/>
      <c r="I143" s="135"/>
      <c r="J143" s="135"/>
      <c r="K143" s="135"/>
      <c r="L143" s="135"/>
      <c r="M143" s="139">
        <f t="shared" si="52"/>
        <v>0</v>
      </c>
      <c r="N143" s="138"/>
      <c r="O143" s="135"/>
      <c r="P143" s="135"/>
      <c r="Q143" s="135"/>
      <c r="R143" s="135"/>
      <c r="S143" s="135"/>
      <c r="T143" s="139">
        <f t="shared" si="50"/>
        <v>0</v>
      </c>
      <c r="U143" s="139">
        <f>M143+T143</f>
        <v>0</v>
      </c>
    </row>
    <row r="144" spans="1:25" ht="17.25" hidden="1" thickBot="1">
      <c r="A144" s="140" t="s">
        <v>202</v>
      </c>
      <c r="B144" s="5"/>
      <c r="C144" s="141"/>
      <c r="D144" s="141">
        <f>U144</f>
        <v>0</v>
      </c>
      <c r="E144" s="5" t="str">
        <f t="shared" si="51"/>
        <v/>
      </c>
      <c r="F144" s="143"/>
      <c r="G144" s="144"/>
      <c r="H144" s="141"/>
      <c r="I144" s="141"/>
      <c r="J144" s="141"/>
      <c r="K144" s="141"/>
      <c r="L144" s="141"/>
      <c r="M144" s="145">
        <f t="shared" si="52"/>
        <v>0</v>
      </c>
      <c r="N144" s="144"/>
      <c r="O144" s="141"/>
      <c r="P144" s="141"/>
      <c r="Q144" s="141"/>
      <c r="R144" s="141"/>
      <c r="S144" s="141"/>
      <c r="T144" s="145">
        <f t="shared" si="50"/>
        <v>0</v>
      </c>
      <c r="U144" s="145">
        <f>M144+T144</f>
        <v>0</v>
      </c>
    </row>
    <row r="145" spans="1:24" ht="17.25" hidden="1" thickBot="1">
      <c r="A145" s="184" t="s">
        <v>33</v>
      </c>
      <c r="B145" s="185" t="s">
        <v>11</v>
      </c>
      <c r="C145" s="186">
        <f>SUM(C143:C144)</f>
        <v>0</v>
      </c>
      <c r="D145" s="186">
        <f>SUM(D143:D144)</f>
        <v>0</v>
      </c>
      <c r="E145" s="327" t="str">
        <f t="shared" si="51"/>
        <v/>
      </c>
      <c r="F145" s="188"/>
      <c r="G145" s="189">
        <f t="shared" ref="G145:L145" si="95">SUM(G143:G144)</f>
        <v>0</v>
      </c>
      <c r="H145" s="186">
        <f t="shared" si="95"/>
        <v>0</v>
      </c>
      <c r="I145" s="186">
        <f t="shared" si="95"/>
        <v>0</v>
      </c>
      <c r="J145" s="186">
        <f t="shared" si="95"/>
        <v>0</v>
      </c>
      <c r="K145" s="186">
        <f t="shared" si="95"/>
        <v>0</v>
      </c>
      <c r="L145" s="186">
        <f t="shared" si="95"/>
        <v>0</v>
      </c>
      <c r="M145" s="190">
        <f t="shared" si="52"/>
        <v>0</v>
      </c>
      <c r="N145" s="189">
        <f t="shared" ref="N145:S145" si="96">SUM(N143:N144)</f>
        <v>0</v>
      </c>
      <c r="O145" s="186">
        <f t="shared" si="96"/>
        <v>0</v>
      </c>
      <c r="P145" s="186">
        <f t="shared" si="96"/>
        <v>0</v>
      </c>
      <c r="Q145" s="186">
        <f t="shared" si="96"/>
        <v>0</v>
      </c>
      <c r="R145" s="186">
        <f t="shared" si="96"/>
        <v>0</v>
      </c>
      <c r="S145" s="186">
        <f t="shared" si="96"/>
        <v>0</v>
      </c>
      <c r="T145" s="190">
        <f t="shared" si="50"/>
        <v>0</v>
      </c>
      <c r="U145" s="190">
        <f>SUM(U143:U144)</f>
        <v>0</v>
      </c>
    </row>
    <row r="146" spans="1:24" ht="17.25" thickTop="1">
      <c r="A146" s="191"/>
      <c r="B146" s="265" t="s">
        <v>34</v>
      </c>
      <c r="C146" s="193">
        <f>D70</f>
        <v>9000</v>
      </c>
      <c r="D146" s="193">
        <f>U146</f>
        <v>8400</v>
      </c>
      <c r="E146" s="328">
        <f t="shared" si="51"/>
        <v>93.333333333333329</v>
      </c>
      <c r="F146" s="267"/>
      <c r="G146" s="268">
        <v>700</v>
      </c>
      <c r="H146" s="269">
        <v>700</v>
      </c>
      <c r="I146" s="269">
        <v>700</v>
      </c>
      <c r="J146" s="269">
        <v>700</v>
      </c>
      <c r="K146" s="269">
        <v>700</v>
      </c>
      <c r="L146" s="269">
        <v>700</v>
      </c>
      <c r="M146" s="318">
        <f t="shared" si="52"/>
        <v>4200</v>
      </c>
      <c r="N146" s="199">
        <v>700</v>
      </c>
      <c r="O146" s="193">
        <v>700</v>
      </c>
      <c r="P146" s="193">
        <v>700</v>
      </c>
      <c r="Q146" s="193">
        <v>700</v>
      </c>
      <c r="R146" s="193">
        <v>700</v>
      </c>
      <c r="S146" s="193">
        <v>700</v>
      </c>
      <c r="T146" s="200">
        <f t="shared" si="50"/>
        <v>4200</v>
      </c>
      <c r="U146" s="200">
        <f>M146+T146</f>
        <v>8400</v>
      </c>
    </row>
    <row r="147" spans="1:24">
      <c r="A147" s="201" t="s">
        <v>203</v>
      </c>
      <c r="B147" s="211" t="s">
        <v>36</v>
      </c>
      <c r="C147" s="141">
        <f>D71</f>
        <v>920</v>
      </c>
      <c r="D147" s="141">
        <f>U147</f>
        <v>880</v>
      </c>
      <c r="E147" s="329">
        <f t="shared" si="51"/>
        <v>95.652173913043484</v>
      </c>
      <c r="F147" s="212"/>
      <c r="G147" s="270">
        <v>220</v>
      </c>
      <c r="H147" s="271"/>
      <c r="I147" s="271"/>
      <c r="J147" s="271">
        <v>220</v>
      </c>
      <c r="K147" s="271"/>
      <c r="L147" s="271"/>
      <c r="M147" s="319">
        <f t="shared" si="52"/>
        <v>440</v>
      </c>
      <c r="N147" s="216">
        <v>220</v>
      </c>
      <c r="O147" s="141"/>
      <c r="P147" s="141"/>
      <c r="Q147" s="141">
        <v>220</v>
      </c>
      <c r="R147" s="141"/>
      <c r="S147" s="141"/>
      <c r="T147" s="145">
        <f>SUM(N147:S147)</f>
        <v>440</v>
      </c>
      <c r="U147" s="145">
        <f>M147+T147</f>
        <v>880</v>
      </c>
    </row>
    <row r="148" spans="1:24">
      <c r="A148" s="217" t="s">
        <v>35</v>
      </c>
      <c r="B148" s="177" t="s">
        <v>11</v>
      </c>
      <c r="C148" s="218">
        <f>SUM(C146:C147)</f>
        <v>9920</v>
      </c>
      <c r="D148" s="218">
        <f>SUM(D146:D147)</f>
        <v>9280</v>
      </c>
      <c r="E148" s="330">
        <f>IFERROR(D148/C148*100,"")</f>
        <v>93.548387096774192</v>
      </c>
      <c r="F148" s="220"/>
      <c r="G148" s="273">
        <f t="shared" ref="G148:L148" si="97">SUM(G146:G147)</f>
        <v>920</v>
      </c>
      <c r="H148" s="274">
        <f t="shared" si="97"/>
        <v>700</v>
      </c>
      <c r="I148" s="274">
        <f t="shared" si="97"/>
        <v>700</v>
      </c>
      <c r="J148" s="274">
        <f t="shared" si="97"/>
        <v>920</v>
      </c>
      <c r="K148" s="274">
        <f t="shared" si="97"/>
        <v>700</v>
      </c>
      <c r="L148" s="274">
        <f t="shared" si="97"/>
        <v>700</v>
      </c>
      <c r="M148" s="321">
        <f>SUM(G148:L148)</f>
        <v>4640</v>
      </c>
      <c r="N148" s="221">
        <f t="shared" ref="N148:S148" si="98">SUM(N146:N147)</f>
        <v>920</v>
      </c>
      <c r="O148" s="218">
        <f t="shared" si="98"/>
        <v>700</v>
      </c>
      <c r="P148" s="218">
        <f t="shared" si="98"/>
        <v>700</v>
      </c>
      <c r="Q148" s="218">
        <f t="shared" si="98"/>
        <v>920</v>
      </c>
      <c r="R148" s="218">
        <f t="shared" si="98"/>
        <v>700</v>
      </c>
      <c r="S148" s="218">
        <f t="shared" si="98"/>
        <v>700</v>
      </c>
      <c r="T148" s="222">
        <f>SUM(N148:S148)</f>
        <v>4640</v>
      </c>
      <c r="U148" s="222">
        <f>SUM(U146:U147)</f>
        <v>9280</v>
      </c>
    </row>
    <row r="149" spans="1:24">
      <c r="A149" s="201"/>
      <c r="B149" s="223"/>
      <c r="C149" s="224"/>
      <c r="D149" s="224">
        <f>U149</f>
        <v>0</v>
      </c>
      <c r="E149" s="169" t="str">
        <f>IFERROR(D149/C149*100,"")</f>
        <v/>
      </c>
      <c r="F149" s="226"/>
      <c r="G149" s="227"/>
      <c r="H149" s="228"/>
      <c r="I149" s="228"/>
      <c r="J149" s="228"/>
      <c r="K149" s="228"/>
      <c r="L149" s="228"/>
      <c r="M149" s="229">
        <f>SUM(G149:L149)</f>
        <v>0</v>
      </c>
      <c r="N149" s="230"/>
      <c r="O149" s="224"/>
      <c r="P149" s="224"/>
      <c r="Q149" s="224"/>
      <c r="R149" s="224"/>
      <c r="S149" s="224"/>
      <c r="T149" s="231">
        <f>SUM(N149:S149)</f>
        <v>0</v>
      </c>
      <c r="U149" s="231">
        <f>M149+T149</f>
        <v>0</v>
      </c>
    </row>
    <row r="150" spans="1:24">
      <c r="A150" s="201" t="s">
        <v>204</v>
      </c>
      <c r="B150" s="211"/>
      <c r="C150" s="141"/>
      <c r="D150" s="141">
        <f>U150</f>
        <v>0</v>
      </c>
      <c r="E150" s="5" t="str">
        <f>IFERROR(D150/C150*100,"")</f>
        <v/>
      </c>
      <c r="F150" s="212"/>
      <c r="G150" s="213"/>
      <c r="H150" s="214"/>
      <c r="I150" s="214"/>
      <c r="J150" s="214"/>
      <c r="K150" s="214"/>
      <c r="L150" s="214"/>
      <c r="M150" s="215">
        <f>SUM(G150:L150)</f>
        <v>0</v>
      </c>
      <c r="N150" s="216"/>
      <c r="O150" s="141"/>
      <c r="P150" s="141"/>
      <c r="Q150" s="141"/>
      <c r="R150" s="141"/>
      <c r="S150" s="141"/>
      <c r="T150" s="145">
        <f>SUM(N150:S150)</f>
        <v>0</v>
      </c>
      <c r="U150" s="145">
        <f>M150+T150</f>
        <v>0</v>
      </c>
    </row>
    <row r="151" spans="1:24" ht="17.25" thickBot="1">
      <c r="A151" s="232" t="s">
        <v>38</v>
      </c>
      <c r="B151" s="290" t="s">
        <v>11</v>
      </c>
      <c r="C151" s="234">
        <f>SUM(C149:C150)</f>
        <v>0</v>
      </c>
      <c r="D151" s="234">
        <f>SUM(D149:D150)</f>
        <v>0</v>
      </c>
      <c r="E151" s="331" t="str">
        <f>IFERROR(D151/C151*100,"")</f>
        <v/>
      </c>
      <c r="F151" s="236"/>
      <c r="G151" s="237">
        <f t="shared" ref="G151:L151" si="99">SUM(G149:G150)</f>
        <v>0</v>
      </c>
      <c r="H151" s="238">
        <f t="shared" si="99"/>
        <v>0</v>
      </c>
      <c r="I151" s="238">
        <f t="shared" si="99"/>
        <v>0</v>
      </c>
      <c r="J151" s="238">
        <f t="shared" si="99"/>
        <v>0</v>
      </c>
      <c r="K151" s="238">
        <f t="shared" si="99"/>
        <v>0</v>
      </c>
      <c r="L151" s="238">
        <f t="shared" si="99"/>
        <v>0</v>
      </c>
      <c r="M151" s="239">
        <f>SUM(G151:L151)</f>
        <v>0</v>
      </c>
      <c r="N151" s="240">
        <f t="shared" ref="N151:S151" si="100">SUM(N149:N150)</f>
        <v>0</v>
      </c>
      <c r="O151" s="234">
        <f t="shared" si="100"/>
        <v>0</v>
      </c>
      <c r="P151" s="234">
        <f t="shared" si="100"/>
        <v>0</v>
      </c>
      <c r="Q151" s="234">
        <f t="shared" si="100"/>
        <v>0</v>
      </c>
      <c r="R151" s="234">
        <f t="shared" si="100"/>
        <v>0</v>
      </c>
      <c r="S151" s="234">
        <f t="shared" si="100"/>
        <v>0</v>
      </c>
      <c r="T151" s="241">
        <f>SUM(N151:S151)</f>
        <v>0</v>
      </c>
      <c r="U151" s="241">
        <f>SUM(U149:U150)</f>
        <v>0</v>
      </c>
    </row>
    <row r="152" spans="1:24" ht="17.25" thickBot="1">
      <c r="A152" s="292" t="s">
        <v>39</v>
      </c>
      <c r="B152" s="243"/>
      <c r="C152" s="244">
        <f>C83+C86+C89+C92+C95+C98+C102+C105+C108+C112+C115+C118+C121+C124+C127+C130+C133+C136+C139+C142+C145+C151-C148</f>
        <v>61039</v>
      </c>
      <c r="D152" s="244">
        <f>D83+D86+D89+D92+D95+D98+D102+D105+D108+D112+D115+D118+D121+D124+D127+D130+D133+D136+D139+D142+D145+D151-D148</f>
        <v>62075</v>
      </c>
      <c r="E152" s="332">
        <f>IFERROR(D152/C152*100,"")</f>
        <v>101.69727551237733</v>
      </c>
      <c r="F152" s="246"/>
      <c r="G152" s="247">
        <f t="shared" ref="G152:U152" si="101">G83+G86+G89+G92+G95+G98+G102+G105+G108+G112+G115+G118+G121+G124+G127+G130+G133+G136+G139+G142+G145+G151-G148</f>
        <v>942</v>
      </c>
      <c r="H152" s="244">
        <f t="shared" si="101"/>
        <v>2982</v>
      </c>
      <c r="I152" s="244">
        <f t="shared" si="101"/>
        <v>9212</v>
      </c>
      <c r="J152" s="244">
        <f t="shared" si="101"/>
        <v>1692</v>
      </c>
      <c r="K152" s="244">
        <f t="shared" si="101"/>
        <v>1762</v>
      </c>
      <c r="L152" s="244">
        <f t="shared" si="101"/>
        <v>5624</v>
      </c>
      <c r="M152" s="248">
        <f t="shared" si="101"/>
        <v>22214</v>
      </c>
      <c r="N152" s="247">
        <f t="shared" si="101"/>
        <v>1092</v>
      </c>
      <c r="O152" s="244">
        <f t="shared" si="101"/>
        <v>4203</v>
      </c>
      <c r="P152" s="244">
        <f t="shared" si="101"/>
        <v>5784</v>
      </c>
      <c r="Q152" s="244">
        <f t="shared" si="101"/>
        <v>19756</v>
      </c>
      <c r="R152" s="244">
        <f t="shared" si="101"/>
        <v>3804</v>
      </c>
      <c r="S152" s="244">
        <f t="shared" si="101"/>
        <v>5222</v>
      </c>
      <c r="T152" s="248">
        <f t="shared" si="101"/>
        <v>39861</v>
      </c>
      <c r="U152" s="248">
        <f t="shared" si="101"/>
        <v>62075</v>
      </c>
      <c r="V152" s="249">
        <f>C152+C148</f>
        <v>70959</v>
      </c>
      <c r="W152" s="249">
        <f>D152+D148</f>
        <v>71355</v>
      </c>
      <c r="X152">
        <f>W152/V152</f>
        <v>1.0055806874392255</v>
      </c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12" scale="64" fitToHeight="2" orientation="landscape" r:id="rId1"/>
  <rowBreaks count="1" manualBreakCount="1">
    <brk id="76" max="2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36"/>
  <sheetViews>
    <sheetView workbookViewId="0">
      <selection activeCell="C15" sqref="C15"/>
    </sheetView>
  </sheetViews>
  <sheetFormatPr defaultRowHeight="14.25"/>
  <cols>
    <col min="1" max="1" width="8.5" style="538" bestFit="1" customWidth="1"/>
    <col min="2" max="2" width="11.75" style="538" bestFit="1" customWidth="1"/>
    <col min="3" max="11" width="17.5" style="538" customWidth="1"/>
    <col min="12" max="12" width="9" style="538"/>
    <col min="13" max="13" width="19.125" style="538" bestFit="1" customWidth="1"/>
    <col min="14" max="14" width="13.25" style="538" bestFit="1" customWidth="1"/>
    <col min="15" max="15" width="13.125" style="538" bestFit="1" customWidth="1"/>
    <col min="16" max="16" width="13.25" style="538" bestFit="1" customWidth="1"/>
    <col min="17" max="17" width="13.125" style="538" bestFit="1" customWidth="1"/>
    <col min="18" max="18" width="13.25" style="538" bestFit="1" customWidth="1"/>
    <col min="19" max="19" width="14.375" style="538" bestFit="1" customWidth="1"/>
    <col min="20" max="20" width="13.25" style="538" bestFit="1" customWidth="1"/>
    <col min="21" max="21" width="14.375" style="538" bestFit="1" customWidth="1"/>
    <col min="22" max="16384" width="9" style="538"/>
  </cols>
  <sheetData>
    <row r="1" spans="1:14" ht="30" customHeight="1">
      <c r="A1" s="611" t="s">
        <v>264</v>
      </c>
      <c r="B1" s="536"/>
      <c r="C1" s="536"/>
      <c r="D1" s="536"/>
      <c r="E1" s="536"/>
      <c r="F1" s="537"/>
      <c r="G1" s="536"/>
      <c r="H1" s="536"/>
      <c r="I1" s="536"/>
      <c r="J1" s="536"/>
      <c r="K1" s="536"/>
    </row>
    <row r="2" spans="1:14" ht="15" thickBot="1">
      <c r="K2" s="952" t="s">
        <v>521</v>
      </c>
    </row>
    <row r="3" spans="1:14" s="539" customFormat="1" ht="30" customHeight="1">
      <c r="A3" s="1072" t="s">
        <v>239</v>
      </c>
      <c r="B3" s="1073"/>
      <c r="C3" s="1076" t="s">
        <v>240</v>
      </c>
      <c r="D3" s="1077"/>
      <c r="E3" s="1078"/>
      <c r="F3" s="1063" t="s">
        <v>241</v>
      </c>
      <c r="G3" s="1073"/>
      <c r="H3" s="1076" t="s">
        <v>242</v>
      </c>
      <c r="I3" s="1078"/>
      <c r="J3" s="1063" t="s">
        <v>265</v>
      </c>
      <c r="K3" s="1064"/>
    </row>
    <row r="4" spans="1:14" s="539" customFormat="1" ht="30" customHeight="1">
      <c r="A4" s="1074"/>
      <c r="B4" s="1075"/>
      <c r="C4" s="540" t="s">
        <v>243</v>
      </c>
      <c r="D4" s="541" t="s">
        <v>244</v>
      </c>
      <c r="E4" s="542" t="s">
        <v>245</v>
      </c>
      <c r="F4" s="543" t="s">
        <v>243</v>
      </c>
      <c r="G4" s="544" t="s">
        <v>246</v>
      </c>
      <c r="H4" s="540" t="s">
        <v>9</v>
      </c>
      <c r="I4" s="542" t="s">
        <v>247</v>
      </c>
      <c r="J4" s="543" t="s">
        <v>9</v>
      </c>
      <c r="K4" s="545" t="s">
        <v>266</v>
      </c>
    </row>
    <row r="5" spans="1:14" s="539" customFormat="1" ht="30" customHeight="1">
      <c r="A5" s="1071" t="s">
        <v>248</v>
      </c>
      <c r="B5" s="546" t="s">
        <v>249</v>
      </c>
      <c r="C5" s="547">
        <v>1950132</v>
      </c>
      <c r="D5" s="548">
        <f>'5-2. 시설분담금 상세'!P15</f>
        <v>1951275</v>
      </c>
      <c r="E5" s="549">
        <f>D5-C5</f>
        <v>1143</v>
      </c>
      <c r="F5" s="550">
        <f>'5-2. 시설분담금 상세'!P43</f>
        <v>1523808</v>
      </c>
      <c r="G5" s="551">
        <f>F5-D5</f>
        <v>-427467</v>
      </c>
      <c r="H5" s="552">
        <f>'5-2. 시설분담금 상세'!P70</f>
        <v>326651</v>
      </c>
      <c r="I5" s="553">
        <f>H5-F5</f>
        <v>-1197157</v>
      </c>
      <c r="J5" s="550">
        <f>'5-2. 시설분담금 상세'!P97</f>
        <v>950922</v>
      </c>
      <c r="K5" s="554">
        <f>J5-H5</f>
        <v>624271</v>
      </c>
      <c r="M5" s="953"/>
    </row>
    <row r="6" spans="1:14" s="539" customFormat="1" ht="30" customHeight="1">
      <c r="A6" s="1065"/>
      <c r="B6" s="555" t="s">
        <v>250</v>
      </c>
      <c r="C6" s="556">
        <v>0</v>
      </c>
      <c r="D6" s="557">
        <f>'5-2. 시설분담금 상세'!P16</f>
        <v>22275</v>
      </c>
      <c r="E6" s="558">
        <f>D6-C6</f>
        <v>22275</v>
      </c>
      <c r="F6" s="559">
        <f>'5-2. 시설분담금 상세'!P44</f>
        <v>0</v>
      </c>
      <c r="G6" s="558">
        <f>F6-D6</f>
        <v>-22275</v>
      </c>
      <c r="H6" s="556">
        <f>'5-2. 시설분담금 상세'!P71</f>
        <v>0</v>
      </c>
      <c r="I6" s="558">
        <f>H6-F6</f>
        <v>0</v>
      </c>
      <c r="J6" s="559">
        <f>'5-2. 시설분담금 상세'!P98</f>
        <v>0</v>
      </c>
      <c r="K6" s="560">
        <f>J6-H6</f>
        <v>0</v>
      </c>
      <c r="M6" s="953"/>
    </row>
    <row r="7" spans="1:14" s="539" customFormat="1" ht="30" customHeight="1">
      <c r="A7" s="1065"/>
      <c r="B7" s="555" t="s">
        <v>251</v>
      </c>
      <c r="C7" s="556">
        <v>149336</v>
      </c>
      <c r="D7" s="557">
        <f>'5-2. 시설분담금 상세'!P17</f>
        <v>191011</v>
      </c>
      <c r="E7" s="558">
        <f t="shared" ref="E7:E12" si="0">D7-C7</f>
        <v>41675</v>
      </c>
      <c r="F7" s="559">
        <f>'5-2. 시설분담금 상세'!P45</f>
        <v>115650</v>
      </c>
      <c r="G7" s="561">
        <f>F7-D7</f>
        <v>-75361</v>
      </c>
      <c r="H7" s="556">
        <f>'5-2. 시설분담금 상세'!P72</f>
        <v>117288</v>
      </c>
      <c r="I7" s="558">
        <f>H7-F7</f>
        <v>1638</v>
      </c>
      <c r="J7" s="559">
        <f>'5-2. 시설분담금 상세'!P99</f>
        <v>119333</v>
      </c>
      <c r="K7" s="560">
        <f>J7-H7</f>
        <v>2045</v>
      </c>
      <c r="M7" s="953"/>
    </row>
    <row r="8" spans="1:14" s="539" customFormat="1" ht="30" customHeight="1">
      <c r="A8" s="1065"/>
      <c r="B8" s="555" t="s">
        <v>252</v>
      </c>
      <c r="C8" s="556">
        <v>118128</v>
      </c>
      <c r="D8" s="557">
        <f>'5-2. 시설분담금 상세'!P18</f>
        <v>108899</v>
      </c>
      <c r="E8" s="558">
        <f t="shared" si="0"/>
        <v>-9229</v>
      </c>
      <c r="F8" s="559">
        <f>'5-2. 시설분담금 상세'!P46</f>
        <v>104422</v>
      </c>
      <c r="G8" s="561">
        <f t="shared" ref="G8:G10" si="1">F8-D8</f>
        <v>-4477</v>
      </c>
      <c r="H8" s="556">
        <f>'5-2. 시설분담금 상세'!P73</f>
        <v>114809</v>
      </c>
      <c r="I8" s="558">
        <f t="shared" ref="I8:I10" si="2">H8-F8</f>
        <v>10387</v>
      </c>
      <c r="J8" s="559">
        <f>'5-2. 시설분담금 상세'!P100</f>
        <v>112854</v>
      </c>
      <c r="K8" s="560">
        <f t="shared" ref="K8:K10" si="3">J8-H8</f>
        <v>-1955</v>
      </c>
      <c r="M8" s="953"/>
    </row>
    <row r="9" spans="1:14" s="539" customFormat="1" ht="30" customHeight="1">
      <c r="A9" s="1065"/>
      <c r="B9" s="555" t="s">
        <v>253</v>
      </c>
      <c r="C9" s="556">
        <v>10456</v>
      </c>
      <c r="D9" s="557">
        <f>'5-2. 시설분담금 상세'!P19</f>
        <v>25481</v>
      </c>
      <c r="E9" s="558">
        <f t="shared" si="0"/>
        <v>15025</v>
      </c>
      <c r="F9" s="559">
        <f>'5-2. 시설분담금 상세'!P47</f>
        <v>18411</v>
      </c>
      <c r="G9" s="561">
        <f t="shared" si="1"/>
        <v>-7070</v>
      </c>
      <c r="H9" s="556">
        <f>'5-2. 시설분담금 상세'!P74</f>
        <v>10682</v>
      </c>
      <c r="I9" s="558">
        <f t="shared" si="2"/>
        <v>-7729</v>
      </c>
      <c r="J9" s="559">
        <f>'5-2. 시설분담금 상세'!P101</f>
        <v>11820</v>
      </c>
      <c r="K9" s="560">
        <f t="shared" si="3"/>
        <v>1138</v>
      </c>
      <c r="M9" s="953"/>
    </row>
    <row r="10" spans="1:14" s="539" customFormat="1" ht="30" customHeight="1">
      <c r="A10" s="1065"/>
      <c r="B10" s="555" t="s">
        <v>254</v>
      </c>
      <c r="C10" s="556">
        <v>546</v>
      </c>
      <c r="D10" s="557">
        <f>'5-2. 시설분담금 상세'!P20</f>
        <v>136</v>
      </c>
      <c r="E10" s="558">
        <f t="shared" si="0"/>
        <v>-410</v>
      </c>
      <c r="F10" s="559">
        <f>'5-2. 시설분담금 상세'!P48</f>
        <v>408</v>
      </c>
      <c r="G10" s="561">
        <f t="shared" si="1"/>
        <v>272</v>
      </c>
      <c r="H10" s="556">
        <f>'5-2. 시설분담금 상세'!P75</f>
        <v>104966</v>
      </c>
      <c r="I10" s="558">
        <f t="shared" si="2"/>
        <v>104558</v>
      </c>
      <c r="J10" s="559">
        <f>'5-2. 시설분담금 상세'!P102</f>
        <v>104966</v>
      </c>
      <c r="K10" s="560">
        <f t="shared" si="3"/>
        <v>0</v>
      </c>
      <c r="M10" s="953"/>
    </row>
    <row r="11" spans="1:14" s="539" customFormat="1" ht="30" customHeight="1">
      <c r="A11" s="1065"/>
      <c r="B11" s="555" t="s">
        <v>160</v>
      </c>
      <c r="C11" s="562">
        <f>SUM(C5:C10)</f>
        <v>2228598</v>
      </c>
      <c r="D11" s="563">
        <f>SUM(D5:D10)</f>
        <v>2299077</v>
      </c>
      <c r="E11" s="564">
        <f t="shared" si="0"/>
        <v>70479</v>
      </c>
      <c r="F11" s="565">
        <f t="shared" ref="F11:K11" si="4">SUM(F5:F10)</f>
        <v>1762699</v>
      </c>
      <c r="G11" s="566">
        <f t="shared" si="4"/>
        <v>-536378</v>
      </c>
      <c r="H11" s="562">
        <f t="shared" si="4"/>
        <v>674396</v>
      </c>
      <c r="I11" s="564">
        <f t="shared" si="4"/>
        <v>-1088303</v>
      </c>
      <c r="J11" s="565">
        <f t="shared" si="4"/>
        <v>1299895</v>
      </c>
      <c r="K11" s="567">
        <f t="shared" si="4"/>
        <v>625499</v>
      </c>
      <c r="M11" s="953"/>
    </row>
    <row r="12" spans="1:14" s="539" customFormat="1" ht="30" customHeight="1">
      <c r="A12" s="1065" t="s">
        <v>255</v>
      </c>
      <c r="B12" s="1066"/>
      <c r="C12" s="556">
        <v>0</v>
      </c>
      <c r="D12" s="557">
        <f>'5-2. 시설분담금 상세'!P22</f>
        <v>101186</v>
      </c>
      <c r="E12" s="558">
        <f t="shared" si="0"/>
        <v>101186</v>
      </c>
      <c r="F12" s="559">
        <f>'5-2. 시설분담금 상세'!P50</f>
        <v>0</v>
      </c>
      <c r="G12" s="561">
        <f>F12-D12</f>
        <v>-101186</v>
      </c>
      <c r="H12" s="556">
        <f>'5-2. 시설분담금 상세'!P77</f>
        <v>0</v>
      </c>
      <c r="I12" s="558">
        <f>H12-F12</f>
        <v>0</v>
      </c>
      <c r="J12" s="559">
        <f>'5-2. 시설분담금 상세'!P104</f>
        <v>0</v>
      </c>
      <c r="K12" s="560">
        <f>J12-H12</f>
        <v>0</v>
      </c>
      <c r="M12" s="953"/>
    </row>
    <row r="13" spans="1:14" s="539" customFormat="1" ht="30" customHeight="1">
      <c r="A13" s="1065" t="s">
        <v>256</v>
      </c>
      <c r="B13" s="1066"/>
      <c r="C13" s="568">
        <v>270801</v>
      </c>
      <c r="D13" s="557">
        <f>'5-2. 시설분담금 상세'!P23</f>
        <v>221326</v>
      </c>
      <c r="E13" s="569">
        <f>D13-C13</f>
        <v>-49475</v>
      </c>
      <c r="F13" s="559">
        <f>'5-2. 시설분담금 상세'!P51</f>
        <v>199360</v>
      </c>
      <c r="G13" s="558">
        <f>F13-D13</f>
        <v>-21966</v>
      </c>
      <c r="H13" s="556">
        <f>'5-2. 시설분담금 상세'!P78</f>
        <v>179808</v>
      </c>
      <c r="I13" s="558">
        <f>H13-F13</f>
        <v>-19552</v>
      </c>
      <c r="J13" s="559">
        <f>'5-2. 시설분담금 상세'!P105</f>
        <v>174647</v>
      </c>
      <c r="K13" s="560">
        <f>J13-H13</f>
        <v>-5161</v>
      </c>
      <c r="M13" s="953"/>
      <c r="N13" s="570"/>
    </row>
    <row r="14" spans="1:14" s="539" customFormat="1" ht="30" customHeight="1">
      <c r="A14" s="1067" t="s">
        <v>257</v>
      </c>
      <c r="B14" s="1068"/>
      <c r="C14" s="571">
        <v>5897787</v>
      </c>
      <c r="D14" s="572">
        <f>'5-2. 시설분담금 상세'!P30</f>
        <v>5674373</v>
      </c>
      <c r="E14" s="573">
        <f>D14-C14</f>
        <v>-223414</v>
      </c>
      <c r="F14" s="574">
        <f>'5-2. 시설분담금 상세'!P56</f>
        <v>6335000</v>
      </c>
      <c r="G14" s="575">
        <f>F14-D14</f>
        <v>660627</v>
      </c>
      <c r="H14" s="576">
        <f>'5-2. 시설분담금 상세'!P84</f>
        <v>3696111</v>
      </c>
      <c r="I14" s="575">
        <f>H14-F14</f>
        <v>-2638889</v>
      </c>
      <c r="J14" s="574">
        <f>'5-2. 시설분담금 상세'!P111</f>
        <v>2177000</v>
      </c>
      <c r="K14" s="577">
        <f>J14-H14</f>
        <v>-1519111</v>
      </c>
      <c r="M14" s="953"/>
    </row>
    <row r="15" spans="1:14" s="539" customFormat="1" ht="30" customHeight="1">
      <c r="A15" s="1069" t="s">
        <v>258</v>
      </c>
      <c r="B15" s="1070"/>
      <c r="C15" s="578">
        <f>SUM(C11:C14)</f>
        <v>8397186</v>
      </c>
      <c r="D15" s="579">
        <f>SUM(D11:D14)</f>
        <v>8295962</v>
      </c>
      <c r="E15" s="580">
        <f>SUM(E11:E14)</f>
        <v>-101224</v>
      </c>
      <c r="F15" s="581">
        <f>F14+F13+F12+F11</f>
        <v>8297059</v>
      </c>
      <c r="G15" s="582">
        <f>SUM(G11:G14)</f>
        <v>1097</v>
      </c>
      <c r="H15" s="583">
        <f>H14+H13+H12+H11</f>
        <v>4550315</v>
      </c>
      <c r="I15" s="580">
        <f>SUM(I11:I14)</f>
        <v>-3746744</v>
      </c>
      <c r="J15" s="581">
        <f>J14+J13+J12+J11</f>
        <v>3651542</v>
      </c>
      <c r="K15" s="584">
        <f>SUM(K11:K14)</f>
        <v>-898773</v>
      </c>
      <c r="M15" s="585"/>
    </row>
    <row r="16" spans="1:14" ht="22.5" customHeight="1">
      <c r="A16" s="1057" t="s">
        <v>259</v>
      </c>
      <c r="B16" s="1058"/>
      <c r="C16" s="586"/>
      <c r="D16" s="587"/>
      <c r="E16" s="588"/>
      <c r="F16" s="539"/>
      <c r="G16" s="539"/>
      <c r="H16" s="586"/>
      <c r="I16" s="588"/>
      <c r="J16" s="539"/>
      <c r="K16" s="589"/>
    </row>
    <row r="17" spans="1:14" ht="22.5" customHeight="1">
      <c r="A17" s="1059"/>
      <c r="B17" s="1060"/>
      <c r="C17" s="590" t="s">
        <v>518</v>
      </c>
      <c r="D17" s="539"/>
      <c r="E17" s="591"/>
      <c r="F17" s="590" t="s">
        <v>519</v>
      </c>
      <c r="G17" s="592"/>
      <c r="H17" s="590" t="s">
        <v>507</v>
      </c>
      <c r="I17" s="593"/>
      <c r="J17" s="590" t="s">
        <v>515</v>
      </c>
      <c r="K17" s="594"/>
      <c r="M17" s="595"/>
    </row>
    <row r="18" spans="1:14" ht="22.5" customHeight="1">
      <c r="A18" s="1059"/>
      <c r="B18" s="1060"/>
      <c r="C18" s="590" t="s">
        <v>505</v>
      </c>
      <c r="D18" s="596"/>
      <c r="E18" s="597"/>
      <c r="F18" s="590" t="s">
        <v>301</v>
      </c>
      <c r="G18" s="539"/>
      <c r="H18" s="590" t="s">
        <v>508</v>
      </c>
      <c r="I18" s="591"/>
      <c r="J18" s="590" t="s">
        <v>516</v>
      </c>
      <c r="K18" s="589"/>
    </row>
    <row r="19" spans="1:14" ht="22.5" customHeight="1">
      <c r="A19" s="1059"/>
      <c r="B19" s="1060"/>
      <c r="C19" s="590" t="s">
        <v>297</v>
      </c>
      <c r="D19" s="539"/>
      <c r="E19" s="591"/>
      <c r="F19" s="590" t="s">
        <v>302</v>
      </c>
      <c r="G19" s="539"/>
      <c r="H19" s="590" t="s">
        <v>509</v>
      </c>
      <c r="I19" s="591"/>
      <c r="J19" s="590" t="s">
        <v>517</v>
      </c>
      <c r="K19" s="589"/>
      <c r="N19" s="598"/>
    </row>
    <row r="20" spans="1:14" ht="22.5" customHeight="1">
      <c r="A20" s="1059"/>
      <c r="B20" s="1060"/>
      <c r="C20" s="590" t="s">
        <v>298</v>
      </c>
      <c r="D20" s="539"/>
      <c r="E20" s="591"/>
      <c r="F20" s="590" t="s">
        <v>303</v>
      </c>
      <c r="G20" s="539"/>
      <c r="H20" s="590" t="s">
        <v>510</v>
      </c>
      <c r="I20" s="597"/>
      <c r="J20" s="590" t="s">
        <v>260</v>
      </c>
      <c r="K20" s="600"/>
      <c r="N20" s="601"/>
    </row>
    <row r="21" spans="1:14" ht="22.5" customHeight="1">
      <c r="A21" s="1059"/>
      <c r="B21" s="1060"/>
      <c r="C21" s="590" t="s">
        <v>299</v>
      </c>
      <c r="D21" s="539"/>
      <c r="E21" s="591"/>
      <c r="F21" s="590" t="s">
        <v>304</v>
      </c>
      <c r="G21" s="539"/>
      <c r="H21" s="590" t="s">
        <v>513</v>
      </c>
      <c r="I21" s="591"/>
      <c r="J21" s="590" t="s">
        <v>520</v>
      </c>
      <c r="K21" s="589"/>
      <c r="N21" s="598"/>
    </row>
    <row r="22" spans="1:14" ht="22.5" customHeight="1">
      <c r="A22" s="1059"/>
      <c r="B22" s="1060"/>
      <c r="C22" s="590" t="s">
        <v>512</v>
      </c>
      <c r="D22" s="539"/>
      <c r="E22" s="591"/>
      <c r="F22" s="599" t="s">
        <v>506</v>
      </c>
      <c r="G22" s="539"/>
      <c r="H22" s="590" t="s">
        <v>261</v>
      </c>
      <c r="I22" s="591"/>
      <c r="J22" s="590" t="s">
        <v>262</v>
      </c>
      <c r="K22" s="589"/>
      <c r="N22" s="598"/>
    </row>
    <row r="23" spans="1:14" ht="22.5" customHeight="1">
      <c r="A23" s="1059"/>
      <c r="B23" s="1060"/>
      <c r="C23" s="590" t="s">
        <v>511</v>
      </c>
      <c r="D23" s="539"/>
      <c r="E23" s="602"/>
      <c r="F23" s="599" t="s">
        <v>306</v>
      </c>
      <c r="G23" s="539"/>
      <c r="H23" s="590" t="s">
        <v>514</v>
      </c>
      <c r="I23" s="591"/>
      <c r="J23" s="590" t="s">
        <v>514</v>
      </c>
      <c r="K23" s="589"/>
    </row>
    <row r="24" spans="1:14" ht="22.5" customHeight="1">
      <c r="A24" s="1059"/>
      <c r="B24" s="1060"/>
      <c r="C24" s="590" t="s">
        <v>300</v>
      </c>
      <c r="D24" s="539"/>
      <c r="E24" s="602"/>
      <c r="F24" s="599" t="s">
        <v>305</v>
      </c>
      <c r="G24" s="539"/>
      <c r="H24" s="590" t="s">
        <v>263</v>
      </c>
      <c r="I24" s="591"/>
      <c r="J24" s="590"/>
      <c r="K24" s="589"/>
    </row>
    <row r="25" spans="1:14" ht="22.5" customHeight="1">
      <c r="A25" s="1059"/>
      <c r="B25" s="1060"/>
      <c r="C25" s="590"/>
      <c r="D25" s="539"/>
      <c r="E25" s="591"/>
      <c r="F25" s="599" t="s">
        <v>307</v>
      </c>
      <c r="G25" s="539"/>
      <c r="H25" s="590"/>
      <c r="I25" s="591"/>
      <c r="J25" s="590"/>
      <c r="K25" s="589"/>
    </row>
    <row r="26" spans="1:14" ht="22.5" customHeight="1" thickBot="1">
      <c r="A26" s="1061"/>
      <c r="B26" s="1062"/>
      <c r="C26" s="603"/>
      <c r="D26" s="604"/>
      <c r="E26" s="605"/>
      <c r="F26" s="606"/>
      <c r="G26" s="604"/>
      <c r="H26" s="603"/>
      <c r="I26" s="607"/>
      <c r="J26" s="606"/>
      <c r="K26" s="608"/>
    </row>
    <row r="27" spans="1:14" ht="21" customHeight="1">
      <c r="A27" s="609"/>
    </row>
    <row r="28" spans="1:14" ht="21" customHeight="1"/>
    <row r="29" spans="1:14" ht="21" customHeight="1">
      <c r="C29" s="610"/>
      <c r="D29" s="610"/>
      <c r="E29" s="610"/>
      <c r="F29" s="610"/>
      <c r="G29" s="610"/>
      <c r="H29" s="610"/>
      <c r="I29" s="610"/>
      <c r="J29" s="610"/>
      <c r="K29" s="610"/>
    </row>
    <row r="30" spans="1:14" ht="21" customHeight="1"/>
    <row r="31" spans="1:14" ht="21" customHeight="1"/>
    <row r="32" spans="1:14" ht="21" customHeight="1"/>
    <row r="33" ht="21" customHeight="1"/>
    <row r="34" ht="21" customHeight="1"/>
    <row r="35" ht="21" customHeight="1"/>
    <row r="36" ht="21" customHeight="1"/>
  </sheetData>
  <mergeCells count="11">
    <mergeCell ref="A16:B26"/>
    <mergeCell ref="J3:K3"/>
    <mergeCell ref="A12:B12"/>
    <mergeCell ref="A13:B13"/>
    <mergeCell ref="A14:B14"/>
    <mergeCell ref="A15:B15"/>
    <mergeCell ref="A5:A11"/>
    <mergeCell ref="A3:B4"/>
    <mergeCell ref="C3:E3"/>
    <mergeCell ref="F3:G3"/>
    <mergeCell ref="H3:I3"/>
  </mergeCells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12" scale="8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114"/>
  <sheetViews>
    <sheetView view="pageBreakPreview" zoomScale="85" zoomScaleNormal="100" zoomScaleSheetLayoutView="85" workbookViewId="0">
      <selection activeCell="E11" sqref="E11"/>
    </sheetView>
  </sheetViews>
  <sheetFormatPr defaultRowHeight="20.100000000000001" customHeight="1"/>
  <cols>
    <col min="1" max="1" width="18.625" style="601" customWidth="1"/>
    <col min="2" max="2" width="19.75" style="613" customWidth="1"/>
    <col min="3" max="3" width="13.125" style="601" customWidth="1"/>
    <col min="4" max="16" width="21.375" style="614" customWidth="1"/>
    <col min="17" max="16384" width="9" style="601"/>
  </cols>
  <sheetData>
    <row r="1" spans="1:16" s="538" customFormat="1" ht="30" customHeight="1">
      <c r="A1" s="628" t="s">
        <v>294</v>
      </c>
      <c r="B1" s="536"/>
      <c r="C1" s="536"/>
      <c r="D1" s="536"/>
      <c r="E1" s="536"/>
      <c r="F1" s="537"/>
      <c r="G1" s="536"/>
      <c r="H1" s="536"/>
      <c r="I1" s="536"/>
      <c r="J1" s="536"/>
      <c r="K1" s="536"/>
      <c r="L1" s="536"/>
      <c r="M1" s="536"/>
      <c r="N1" s="536"/>
      <c r="O1" s="536"/>
      <c r="P1" s="536"/>
    </row>
    <row r="2" spans="1:16" ht="20.100000000000001" customHeight="1">
      <c r="A2" s="599" t="s">
        <v>267</v>
      </c>
      <c r="P2" s="929" t="s">
        <v>523</v>
      </c>
    </row>
    <row r="3" spans="1:16" ht="20.100000000000001" hidden="1" customHeight="1">
      <c r="P3" s="615">
        <v>3218</v>
      </c>
    </row>
    <row r="4" spans="1:16" ht="6" customHeight="1"/>
    <row r="5" spans="1:16" s="613" customFormat="1" ht="23.25" customHeight="1">
      <c r="A5" s="675">
        <v>2024</v>
      </c>
      <c r="B5" s="616" t="s">
        <v>268</v>
      </c>
      <c r="C5" s="658" t="s">
        <v>269</v>
      </c>
      <c r="D5" s="642" t="s">
        <v>270</v>
      </c>
      <c r="E5" s="617" t="s">
        <v>271</v>
      </c>
      <c r="F5" s="617" t="s">
        <v>72</v>
      </c>
      <c r="G5" s="617" t="s">
        <v>73</v>
      </c>
      <c r="H5" s="617" t="s">
        <v>74</v>
      </c>
      <c r="I5" s="617" t="s">
        <v>75</v>
      </c>
      <c r="J5" s="617" t="s">
        <v>76</v>
      </c>
      <c r="K5" s="617" t="s">
        <v>77</v>
      </c>
      <c r="L5" s="617" t="s">
        <v>78</v>
      </c>
      <c r="M5" s="617" t="s">
        <v>79</v>
      </c>
      <c r="N5" s="617" t="s">
        <v>80</v>
      </c>
      <c r="O5" s="617" t="s">
        <v>81</v>
      </c>
      <c r="P5" s="617" t="s">
        <v>272</v>
      </c>
    </row>
    <row r="6" spans="1:16" ht="23.25" customHeight="1">
      <c r="A6" s="1086" t="s">
        <v>273</v>
      </c>
      <c r="B6" s="659" t="s">
        <v>274</v>
      </c>
      <c r="C6" s="666"/>
      <c r="D6" s="643">
        <v>1582</v>
      </c>
      <c r="E6" s="618">
        <v>3710</v>
      </c>
      <c r="F6" s="618">
        <v>368</v>
      </c>
      <c r="G6" s="618">
        <v>2341</v>
      </c>
      <c r="H6" s="618">
        <v>4831</v>
      </c>
      <c r="I6" s="618">
        <v>2381</v>
      </c>
      <c r="J6" s="618">
        <v>984</v>
      </c>
      <c r="K6" s="618">
        <v>593</v>
      </c>
      <c r="L6" s="618">
        <v>2082</v>
      </c>
      <c r="M6" s="619">
        <v>945</v>
      </c>
      <c r="N6" s="619">
        <v>117</v>
      </c>
      <c r="O6" s="619">
        <v>2993</v>
      </c>
      <c r="P6" s="619">
        <f>SUM(D6:O6)</f>
        <v>22927</v>
      </c>
    </row>
    <row r="7" spans="1:16" ht="23.25" customHeight="1">
      <c r="A7" s="1087"/>
      <c r="B7" s="660" t="s">
        <v>275</v>
      </c>
      <c r="C7" s="667"/>
      <c r="D7" s="644">
        <v>96</v>
      </c>
      <c r="E7" s="620">
        <v>123</v>
      </c>
      <c r="F7" s="620">
        <v>121</v>
      </c>
      <c r="G7" s="620">
        <v>154</v>
      </c>
      <c r="H7" s="620">
        <v>256</v>
      </c>
      <c r="I7" s="620">
        <v>144</v>
      </c>
      <c r="J7" s="620">
        <v>182</v>
      </c>
      <c r="K7" s="620">
        <v>165</v>
      </c>
      <c r="L7" s="620">
        <v>761</v>
      </c>
      <c r="M7" s="621">
        <v>251</v>
      </c>
      <c r="N7" s="621">
        <v>246</v>
      </c>
      <c r="O7" s="621">
        <v>161</v>
      </c>
      <c r="P7" s="621">
        <f>SUM(D7:O7)</f>
        <v>2660</v>
      </c>
    </row>
    <row r="8" spans="1:16" ht="23.25" customHeight="1">
      <c r="A8" s="1087"/>
      <c r="B8" s="661" t="s">
        <v>276</v>
      </c>
      <c r="C8" s="668"/>
      <c r="D8" s="645">
        <f>SUM(D6:D7)</f>
        <v>1678</v>
      </c>
      <c r="E8" s="622">
        <f t="shared" ref="E8:O8" si="0">SUM(E6:E7)</f>
        <v>3833</v>
      </c>
      <c r="F8" s="622">
        <f t="shared" si="0"/>
        <v>489</v>
      </c>
      <c r="G8" s="622">
        <f t="shared" si="0"/>
        <v>2495</v>
      </c>
      <c r="H8" s="622">
        <f t="shared" si="0"/>
        <v>5087</v>
      </c>
      <c r="I8" s="622">
        <f t="shared" si="0"/>
        <v>2525</v>
      </c>
      <c r="J8" s="622">
        <f t="shared" si="0"/>
        <v>1166</v>
      </c>
      <c r="K8" s="622">
        <f t="shared" si="0"/>
        <v>758</v>
      </c>
      <c r="L8" s="622">
        <f t="shared" si="0"/>
        <v>2843</v>
      </c>
      <c r="M8" s="635">
        <f t="shared" si="0"/>
        <v>1196</v>
      </c>
      <c r="N8" s="635">
        <f t="shared" si="0"/>
        <v>363</v>
      </c>
      <c r="O8" s="635">
        <f t="shared" si="0"/>
        <v>3154</v>
      </c>
      <c r="P8" s="622">
        <f>SUM(D8:O8)</f>
        <v>25587</v>
      </c>
    </row>
    <row r="9" spans="1:16" ht="23.25" customHeight="1">
      <c r="A9" s="1087"/>
      <c r="B9" s="660" t="s">
        <v>277</v>
      </c>
      <c r="C9" s="667"/>
      <c r="D9" s="644">
        <v>1678</v>
      </c>
      <c r="E9" s="620">
        <v>3441</v>
      </c>
      <c r="F9" s="620">
        <v>489</v>
      </c>
      <c r="G9" s="620">
        <v>2495</v>
      </c>
      <c r="H9" s="620">
        <v>5087</v>
      </c>
      <c r="I9" s="620">
        <v>2525</v>
      </c>
      <c r="J9" s="620">
        <v>1166</v>
      </c>
      <c r="K9" s="620">
        <v>758</v>
      </c>
      <c r="L9" s="620">
        <v>2843</v>
      </c>
      <c r="M9" s="621">
        <v>1196</v>
      </c>
      <c r="N9" s="621">
        <v>363</v>
      </c>
      <c r="O9" s="621">
        <v>3154</v>
      </c>
      <c r="P9" s="621">
        <f t="shared" ref="P9:P22" si="1">SUM(D9:O9)</f>
        <v>25195</v>
      </c>
    </row>
    <row r="10" spans="1:16" ht="23.25" customHeight="1">
      <c r="A10" s="1087"/>
      <c r="B10" s="660" t="s">
        <v>278</v>
      </c>
      <c r="C10" s="667">
        <v>2.5</v>
      </c>
      <c r="D10" s="644"/>
      <c r="E10" s="620">
        <v>392</v>
      </c>
      <c r="F10" s="620"/>
      <c r="G10" s="620"/>
      <c r="H10" s="620"/>
      <c r="I10" s="620"/>
      <c r="J10" s="620"/>
      <c r="K10" s="620"/>
      <c r="L10" s="620"/>
      <c r="M10" s="621"/>
      <c r="N10" s="621"/>
      <c r="O10" s="621"/>
      <c r="P10" s="621">
        <f t="shared" si="1"/>
        <v>392</v>
      </c>
    </row>
    <row r="11" spans="1:16" ht="23.25" customHeight="1">
      <c r="A11" s="1087"/>
      <c r="B11" s="660" t="s">
        <v>279</v>
      </c>
      <c r="C11" s="667">
        <v>6</v>
      </c>
      <c r="D11" s="644">
        <v>72</v>
      </c>
      <c r="E11" s="620">
        <v>45</v>
      </c>
      <c r="F11" s="620">
        <v>99</v>
      </c>
      <c r="G11" s="620">
        <v>73</v>
      </c>
      <c r="H11" s="620">
        <v>78</v>
      </c>
      <c r="I11" s="620">
        <v>63</v>
      </c>
      <c r="J11" s="620">
        <v>64</v>
      </c>
      <c r="K11" s="620">
        <v>76</v>
      </c>
      <c r="L11" s="620">
        <v>70</v>
      </c>
      <c r="M11" s="621">
        <v>77</v>
      </c>
      <c r="N11" s="621">
        <v>86</v>
      </c>
      <c r="O11" s="621">
        <v>97</v>
      </c>
      <c r="P11" s="621">
        <f t="shared" si="1"/>
        <v>900</v>
      </c>
    </row>
    <row r="12" spans="1:16" ht="23.25" customHeight="1">
      <c r="A12" s="1087"/>
      <c r="B12" s="660" t="s">
        <v>280</v>
      </c>
      <c r="C12" s="667"/>
      <c r="D12" s="644">
        <v>27</v>
      </c>
      <c r="E12" s="620">
        <v>22</v>
      </c>
      <c r="F12" s="620">
        <v>18</v>
      </c>
      <c r="G12" s="620">
        <v>36</v>
      </c>
      <c r="H12" s="620">
        <v>26</v>
      </c>
      <c r="I12" s="620">
        <v>34</v>
      </c>
      <c r="J12" s="620">
        <v>19</v>
      </c>
      <c r="K12" s="620">
        <v>20</v>
      </c>
      <c r="L12" s="620">
        <v>21</v>
      </c>
      <c r="M12" s="621">
        <v>33</v>
      </c>
      <c r="N12" s="621">
        <v>35</v>
      </c>
      <c r="O12" s="621">
        <v>26</v>
      </c>
      <c r="P12" s="621">
        <f t="shared" si="1"/>
        <v>317</v>
      </c>
    </row>
    <row r="13" spans="1:16" ht="23.25" customHeight="1">
      <c r="A13" s="1087"/>
      <c r="B13" s="662" t="s">
        <v>281</v>
      </c>
      <c r="C13" s="669"/>
      <c r="D13" s="646">
        <v>1</v>
      </c>
      <c r="E13" s="623">
        <v>4</v>
      </c>
      <c r="F13" s="623">
        <v>0</v>
      </c>
      <c r="G13" s="623">
        <v>1</v>
      </c>
      <c r="H13" s="623">
        <v>0</v>
      </c>
      <c r="I13" s="623">
        <v>0</v>
      </c>
      <c r="J13" s="623">
        <v>1</v>
      </c>
      <c r="K13" s="623">
        <v>1</v>
      </c>
      <c r="L13" s="623">
        <v>8</v>
      </c>
      <c r="M13" s="624">
        <v>0</v>
      </c>
      <c r="N13" s="624">
        <v>0</v>
      </c>
      <c r="O13" s="624">
        <v>0</v>
      </c>
      <c r="P13" s="624">
        <f t="shared" si="1"/>
        <v>16</v>
      </c>
    </row>
    <row r="14" spans="1:16" ht="23.25" customHeight="1" thickBot="1">
      <c r="A14" s="1088"/>
      <c r="B14" s="663" t="s">
        <v>282</v>
      </c>
      <c r="C14" s="670"/>
      <c r="D14" s="647">
        <v>0</v>
      </c>
      <c r="E14" s="636">
        <v>0</v>
      </c>
      <c r="F14" s="636">
        <v>0</v>
      </c>
      <c r="G14" s="636">
        <v>1</v>
      </c>
      <c r="H14" s="636">
        <v>0</v>
      </c>
      <c r="I14" s="636"/>
      <c r="J14" s="636"/>
      <c r="K14" s="636"/>
      <c r="L14" s="636">
        <v>0</v>
      </c>
      <c r="M14" s="637">
        <v>1</v>
      </c>
      <c r="N14" s="637">
        <v>0</v>
      </c>
      <c r="O14" s="637">
        <v>0</v>
      </c>
      <c r="P14" s="637">
        <f t="shared" si="1"/>
        <v>2</v>
      </c>
    </row>
    <row r="15" spans="1:16" ht="23.25" customHeight="1" thickTop="1">
      <c r="A15" s="1089" t="s">
        <v>283</v>
      </c>
      <c r="B15" s="664" t="s">
        <v>284</v>
      </c>
      <c r="C15" s="671">
        <v>4</v>
      </c>
      <c r="D15" s="648">
        <v>155257</v>
      </c>
      <c r="E15" s="625">
        <v>211389</v>
      </c>
      <c r="F15" s="625">
        <v>43221</v>
      </c>
      <c r="G15" s="625">
        <v>210139</v>
      </c>
      <c r="H15" s="625">
        <v>405555</v>
      </c>
      <c r="I15" s="625">
        <v>213787</v>
      </c>
      <c r="J15" s="625">
        <v>77055</v>
      </c>
      <c r="K15" s="625">
        <v>56041</v>
      </c>
      <c r="L15" s="625">
        <v>176680</v>
      </c>
      <c r="M15" s="625">
        <v>107740</v>
      </c>
      <c r="N15" s="625">
        <v>31129</v>
      </c>
      <c r="O15" s="625">
        <v>263282</v>
      </c>
      <c r="P15" s="625">
        <f t="shared" si="1"/>
        <v>1951275</v>
      </c>
    </row>
    <row r="16" spans="1:16" ht="23.25" customHeight="1">
      <c r="A16" s="1090"/>
      <c r="B16" s="660" t="s">
        <v>278</v>
      </c>
      <c r="C16" s="667">
        <v>2.5</v>
      </c>
      <c r="D16" s="649">
        <v>0</v>
      </c>
      <c r="E16" s="621">
        <v>22275</v>
      </c>
      <c r="F16" s="621">
        <v>0</v>
      </c>
      <c r="G16" s="621">
        <v>0</v>
      </c>
      <c r="H16" s="621">
        <v>0</v>
      </c>
      <c r="I16" s="621">
        <v>0</v>
      </c>
      <c r="J16" s="621">
        <v>0</v>
      </c>
      <c r="K16" s="621">
        <v>0</v>
      </c>
      <c r="L16" s="621">
        <v>0</v>
      </c>
      <c r="M16" s="621">
        <v>0</v>
      </c>
      <c r="N16" s="621">
        <v>0</v>
      </c>
      <c r="O16" s="621">
        <v>0</v>
      </c>
      <c r="P16" s="621">
        <f t="shared" si="1"/>
        <v>22275</v>
      </c>
    </row>
    <row r="17" spans="1:16" ht="23.25" customHeight="1">
      <c r="A17" s="1090"/>
      <c r="B17" s="660" t="s">
        <v>279</v>
      </c>
      <c r="C17" s="667">
        <v>6</v>
      </c>
      <c r="D17" s="649">
        <v>19116</v>
      </c>
      <c r="E17" s="621">
        <v>12547</v>
      </c>
      <c r="F17" s="621">
        <v>19718</v>
      </c>
      <c r="G17" s="621">
        <v>16661</v>
      </c>
      <c r="H17" s="621">
        <v>18786</v>
      </c>
      <c r="I17" s="621">
        <v>16206</v>
      </c>
      <c r="J17" s="621">
        <v>16377</v>
      </c>
      <c r="K17" s="621">
        <v>18832</v>
      </c>
      <c r="L17" s="621">
        <v>17309</v>
      </c>
      <c r="M17" s="621">
        <v>10501</v>
      </c>
      <c r="N17" s="621">
        <v>11729</v>
      </c>
      <c r="O17" s="621">
        <v>13229</v>
      </c>
      <c r="P17" s="621">
        <f t="shared" si="1"/>
        <v>191011</v>
      </c>
    </row>
    <row r="18" spans="1:16" ht="23.25" customHeight="1">
      <c r="A18" s="1090"/>
      <c r="B18" s="660" t="s">
        <v>280</v>
      </c>
      <c r="C18" s="667"/>
      <c r="D18" s="649">
        <v>4080</v>
      </c>
      <c r="E18" s="621">
        <v>7251</v>
      </c>
      <c r="F18" s="621">
        <v>17116</v>
      </c>
      <c r="G18" s="621">
        <v>14422</v>
      </c>
      <c r="H18" s="621">
        <v>5001</v>
      </c>
      <c r="I18" s="621">
        <v>6444</v>
      </c>
      <c r="J18" s="621">
        <v>4432</v>
      </c>
      <c r="K18" s="621">
        <v>4160</v>
      </c>
      <c r="L18" s="621">
        <v>7626</v>
      </c>
      <c r="M18" s="621">
        <v>13933</v>
      </c>
      <c r="N18" s="621">
        <v>12774</v>
      </c>
      <c r="O18" s="621">
        <v>11660</v>
      </c>
      <c r="P18" s="621">
        <f t="shared" si="1"/>
        <v>108899</v>
      </c>
    </row>
    <row r="19" spans="1:16" ht="23.25" customHeight="1">
      <c r="A19" s="1090"/>
      <c r="B19" s="660" t="s">
        <v>281</v>
      </c>
      <c r="C19" s="667"/>
      <c r="D19" s="649">
        <v>0</v>
      </c>
      <c r="E19" s="621">
        <v>4841</v>
      </c>
      <c r="F19" s="621">
        <v>1796</v>
      </c>
      <c r="G19" s="621">
        <v>909</v>
      </c>
      <c r="H19" s="621">
        <v>0</v>
      </c>
      <c r="I19" s="621">
        <v>3205</v>
      </c>
      <c r="J19" s="621">
        <v>5319</v>
      </c>
      <c r="K19" s="621">
        <v>1114</v>
      </c>
      <c r="L19" s="621">
        <v>4887</v>
      </c>
      <c r="M19" s="621">
        <v>3410</v>
      </c>
      <c r="N19" s="621">
        <v>0</v>
      </c>
      <c r="O19" s="621">
        <v>0</v>
      </c>
      <c r="P19" s="621">
        <f t="shared" si="1"/>
        <v>25481</v>
      </c>
    </row>
    <row r="20" spans="1:16" ht="23.25" customHeight="1">
      <c r="A20" s="1091"/>
      <c r="B20" s="662" t="s">
        <v>282</v>
      </c>
      <c r="C20" s="669"/>
      <c r="D20" s="650">
        <v>0</v>
      </c>
      <c r="E20" s="624">
        <v>0</v>
      </c>
      <c r="F20" s="624">
        <v>0</v>
      </c>
      <c r="G20" s="624">
        <v>0</v>
      </c>
      <c r="H20" s="624">
        <v>0</v>
      </c>
      <c r="I20" s="624">
        <v>0</v>
      </c>
      <c r="J20" s="624">
        <v>0</v>
      </c>
      <c r="K20" s="624">
        <v>0</v>
      </c>
      <c r="L20" s="624">
        <v>0</v>
      </c>
      <c r="M20" s="624">
        <v>136</v>
      </c>
      <c r="N20" s="624">
        <v>0</v>
      </c>
      <c r="O20" s="624">
        <v>0</v>
      </c>
      <c r="P20" s="624">
        <f t="shared" si="1"/>
        <v>136</v>
      </c>
    </row>
    <row r="21" spans="1:16" ht="23.25" customHeight="1">
      <c r="A21" s="1092"/>
      <c r="B21" s="665" t="s">
        <v>290</v>
      </c>
      <c r="C21" s="672"/>
      <c r="D21" s="651">
        <f>SUM(D15:D20)</f>
        <v>178453</v>
      </c>
      <c r="E21" s="638">
        <f t="shared" ref="E21:O21" si="2">SUM(E15:E20)</f>
        <v>258303</v>
      </c>
      <c r="F21" s="638">
        <f t="shared" si="2"/>
        <v>81851</v>
      </c>
      <c r="G21" s="638">
        <f t="shared" si="2"/>
        <v>242131</v>
      </c>
      <c r="H21" s="638">
        <f t="shared" si="2"/>
        <v>429342</v>
      </c>
      <c r="I21" s="638">
        <f t="shared" si="2"/>
        <v>239642</v>
      </c>
      <c r="J21" s="638">
        <f t="shared" si="2"/>
        <v>103183</v>
      </c>
      <c r="K21" s="638">
        <f t="shared" si="2"/>
        <v>80147</v>
      </c>
      <c r="L21" s="638">
        <f t="shared" si="2"/>
        <v>206502</v>
      </c>
      <c r="M21" s="638">
        <f t="shared" si="2"/>
        <v>135720</v>
      </c>
      <c r="N21" s="638">
        <f t="shared" si="2"/>
        <v>55632</v>
      </c>
      <c r="O21" s="638">
        <f t="shared" si="2"/>
        <v>288171</v>
      </c>
      <c r="P21" s="638">
        <f>SUM(D21:O21)</f>
        <v>2299077</v>
      </c>
    </row>
    <row r="22" spans="1:16" ht="23.25" customHeight="1">
      <c r="A22" s="1093" t="s">
        <v>285</v>
      </c>
      <c r="B22" s="1094"/>
      <c r="C22" s="673">
        <v>2.5</v>
      </c>
      <c r="D22" s="651">
        <v>0</v>
      </c>
      <c r="E22" s="638">
        <v>101186</v>
      </c>
      <c r="F22" s="638">
        <v>0</v>
      </c>
      <c r="G22" s="638">
        <v>0</v>
      </c>
      <c r="H22" s="638">
        <v>0</v>
      </c>
      <c r="I22" s="638">
        <v>0</v>
      </c>
      <c r="J22" s="638">
        <v>0</v>
      </c>
      <c r="K22" s="638">
        <v>0</v>
      </c>
      <c r="L22" s="638">
        <v>0</v>
      </c>
      <c r="M22" s="638">
        <v>0</v>
      </c>
      <c r="N22" s="638">
        <v>0</v>
      </c>
      <c r="O22" s="638">
        <v>0</v>
      </c>
      <c r="P22" s="638">
        <f t="shared" si="1"/>
        <v>101186</v>
      </c>
    </row>
    <row r="23" spans="1:16" ht="23.25" customHeight="1">
      <c r="A23" s="1093" t="s">
        <v>286</v>
      </c>
      <c r="B23" s="1094"/>
      <c r="C23" s="674"/>
      <c r="D23" s="652">
        <v>14204</v>
      </c>
      <c r="E23" s="639">
        <v>5322</v>
      </c>
      <c r="F23" s="639">
        <v>5538</v>
      </c>
      <c r="G23" s="639">
        <v>23040</v>
      </c>
      <c r="H23" s="639">
        <v>37374</v>
      </c>
      <c r="I23" s="639">
        <v>18265</v>
      </c>
      <c r="J23" s="639">
        <v>13914</v>
      </c>
      <c r="K23" s="639">
        <v>18718</v>
      </c>
      <c r="L23" s="639">
        <v>58502</v>
      </c>
      <c r="M23" s="639">
        <v>6712</v>
      </c>
      <c r="N23" s="639">
        <v>2037</v>
      </c>
      <c r="O23" s="639">
        <v>17700</v>
      </c>
      <c r="P23" s="638">
        <f>SUM(D23:O23)</f>
        <v>221326</v>
      </c>
    </row>
    <row r="24" spans="1:16" ht="23.25" customHeight="1">
      <c r="A24" s="1079" t="s">
        <v>295</v>
      </c>
      <c r="B24" s="1099" t="s">
        <v>287</v>
      </c>
      <c r="C24" s="1100"/>
      <c r="D24" s="653">
        <v>0</v>
      </c>
      <c r="E24" s="631">
        <v>0</v>
      </c>
      <c r="F24" s="631">
        <v>0</v>
      </c>
      <c r="G24" s="631">
        <v>0</v>
      </c>
      <c r="H24" s="631">
        <v>0</v>
      </c>
      <c r="I24" s="631">
        <v>490000</v>
      </c>
      <c r="J24" s="631">
        <v>0</v>
      </c>
      <c r="K24" s="631">
        <v>0</v>
      </c>
      <c r="L24" s="631">
        <v>0</v>
      </c>
      <c r="M24" s="631">
        <v>0</v>
      </c>
      <c r="N24" s="631">
        <v>-195542</v>
      </c>
      <c r="O24" s="631">
        <v>0</v>
      </c>
      <c r="P24" s="632">
        <f>SUM(D24:O24)</f>
        <v>294458</v>
      </c>
    </row>
    <row r="25" spans="1:16" ht="23.25" customHeight="1">
      <c r="A25" s="1080"/>
      <c r="B25" s="1101" t="s">
        <v>288</v>
      </c>
      <c r="C25" s="1102"/>
      <c r="D25" s="654">
        <v>0</v>
      </c>
      <c r="E25" s="630">
        <v>0</v>
      </c>
      <c r="F25" s="630">
        <v>0</v>
      </c>
      <c r="G25" s="630">
        <v>0</v>
      </c>
      <c r="H25" s="630">
        <v>2820000</v>
      </c>
      <c r="I25" s="630">
        <v>0</v>
      </c>
      <c r="J25" s="630">
        <v>0</v>
      </c>
      <c r="K25" s="630">
        <v>0</v>
      </c>
      <c r="L25" s="630">
        <v>0</v>
      </c>
      <c r="M25" s="630">
        <v>0</v>
      </c>
      <c r="N25" s="630">
        <v>-390000</v>
      </c>
      <c r="O25" s="630">
        <v>0</v>
      </c>
      <c r="P25" s="633">
        <f t="shared" ref="P25:P29" si="3">SUM(D25:O25)</f>
        <v>2430000</v>
      </c>
    </row>
    <row r="26" spans="1:16" ht="23.25" customHeight="1">
      <c r="A26" s="1080"/>
      <c r="B26" s="1082" t="s">
        <v>289</v>
      </c>
      <c r="C26" s="1083"/>
      <c r="D26" s="654">
        <v>0</v>
      </c>
      <c r="E26" s="630">
        <v>2600000</v>
      </c>
      <c r="F26" s="630">
        <v>0</v>
      </c>
      <c r="G26" s="630">
        <v>0</v>
      </c>
      <c r="H26" s="630">
        <v>0</v>
      </c>
      <c r="I26" s="634">
        <v>0</v>
      </c>
      <c r="J26" s="630">
        <v>0</v>
      </c>
      <c r="K26" s="630">
        <v>0</v>
      </c>
      <c r="L26" s="630">
        <v>0</v>
      </c>
      <c r="M26" s="634">
        <v>0</v>
      </c>
      <c r="N26" s="630">
        <v>0</v>
      </c>
      <c r="O26" s="630">
        <v>-140000</v>
      </c>
      <c r="P26" s="633">
        <f t="shared" si="3"/>
        <v>2460000</v>
      </c>
    </row>
    <row r="27" spans="1:16" ht="23.25" customHeight="1">
      <c r="A27" s="1080"/>
      <c r="B27" s="1082" t="s">
        <v>291</v>
      </c>
      <c r="C27" s="1083"/>
      <c r="D27" s="654">
        <v>0</v>
      </c>
      <c r="E27" s="630">
        <v>0</v>
      </c>
      <c r="F27" s="630">
        <v>0</v>
      </c>
      <c r="G27" s="630">
        <v>0</v>
      </c>
      <c r="H27" s="630">
        <v>0</v>
      </c>
      <c r="I27" s="630">
        <v>0</v>
      </c>
      <c r="J27" s="630">
        <v>0</v>
      </c>
      <c r="K27" s="630">
        <v>0</v>
      </c>
      <c r="L27" s="630">
        <v>0</v>
      </c>
      <c r="M27" s="630">
        <v>646863</v>
      </c>
      <c r="N27" s="630">
        <v>0</v>
      </c>
      <c r="O27" s="630">
        <v>0</v>
      </c>
      <c r="P27" s="633">
        <f t="shared" si="3"/>
        <v>646863</v>
      </c>
    </row>
    <row r="28" spans="1:16" ht="23.25" customHeight="1">
      <c r="A28" s="1080"/>
      <c r="B28" s="1082" t="s">
        <v>296</v>
      </c>
      <c r="C28" s="1083"/>
      <c r="D28" s="654">
        <v>0</v>
      </c>
      <c r="E28" s="630">
        <v>0</v>
      </c>
      <c r="F28" s="630">
        <v>0</v>
      </c>
      <c r="G28" s="630">
        <v>0</v>
      </c>
      <c r="H28" s="630">
        <v>-156948</v>
      </c>
      <c r="I28" s="630">
        <v>0</v>
      </c>
      <c r="J28" s="630">
        <v>0</v>
      </c>
      <c r="K28" s="630">
        <v>0</v>
      </c>
      <c r="L28" s="630">
        <v>0</v>
      </c>
      <c r="M28" s="630">
        <v>0</v>
      </c>
      <c r="N28" s="630">
        <v>0</v>
      </c>
      <c r="O28" s="630">
        <v>0</v>
      </c>
      <c r="P28" s="633">
        <f t="shared" si="3"/>
        <v>-156948</v>
      </c>
    </row>
    <row r="29" spans="1:16" ht="23.25" customHeight="1">
      <c r="A29" s="1080"/>
      <c r="B29" s="1095"/>
      <c r="C29" s="1096"/>
      <c r="D29" s="655">
        <v>0</v>
      </c>
      <c r="E29" s="629">
        <v>0</v>
      </c>
      <c r="F29" s="629">
        <v>0</v>
      </c>
      <c r="G29" s="629">
        <v>0</v>
      </c>
      <c r="H29" s="629">
        <v>0</v>
      </c>
      <c r="I29" s="629">
        <v>0</v>
      </c>
      <c r="J29" s="629">
        <v>0</v>
      </c>
      <c r="K29" s="629">
        <v>0</v>
      </c>
      <c r="L29" s="629">
        <v>0</v>
      </c>
      <c r="M29" s="629">
        <v>0</v>
      </c>
      <c r="N29" s="629">
        <v>0</v>
      </c>
      <c r="O29" s="629">
        <v>0</v>
      </c>
      <c r="P29" s="629">
        <f t="shared" si="3"/>
        <v>0</v>
      </c>
    </row>
    <row r="30" spans="1:16" ht="23.25" customHeight="1">
      <c r="A30" s="1081"/>
      <c r="B30" s="1097" t="s">
        <v>290</v>
      </c>
      <c r="C30" s="1098"/>
      <c r="D30" s="656">
        <f t="shared" ref="D30:P30" si="4">SUM(D24:D29)</f>
        <v>0</v>
      </c>
      <c r="E30" s="640">
        <f t="shared" si="4"/>
        <v>2600000</v>
      </c>
      <c r="F30" s="640">
        <f t="shared" si="4"/>
        <v>0</v>
      </c>
      <c r="G30" s="640">
        <f t="shared" si="4"/>
        <v>0</v>
      </c>
      <c r="H30" s="640">
        <f t="shared" si="4"/>
        <v>2663052</v>
      </c>
      <c r="I30" s="640">
        <f t="shared" si="4"/>
        <v>490000</v>
      </c>
      <c r="J30" s="640">
        <f t="shared" si="4"/>
        <v>0</v>
      </c>
      <c r="K30" s="640">
        <f t="shared" si="4"/>
        <v>0</v>
      </c>
      <c r="L30" s="640">
        <f t="shared" si="4"/>
        <v>0</v>
      </c>
      <c r="M30" s="640">
        <f t="shared" si="4"/>
        <v>646863</v>
      </c>
      <c r="N30" s="640">
        <f t="shared" si="4"/>
        <v>-585542</v>
      </c>
      <c r="O30" s="640">
        <f t="shared" si="4"/>
        <v>-140000</v>
      </c>
      <c r="P30" s="640">
        <f t="shared" si="4"/>
        <v>5674373</v>
      </c>
    </row>
    <row r="31" spans="1:16" ht="27.75" customHeight="1">
      <c r="A31" s="1084" t="s">
        <v>293</v>
      </c>
      <c r="B31" s="1084"/>
      <c r="C31" s="1085"/>
      <c r="D31" s="657">
        <f>SUM(D21,D22,D23,D30)</f>
        <v>192657</v>
      </c>
      <c r="E31" s="641">
        <f t="shared" ref="E31:P31" si="5">SUM(E21,E22,E23,E30)</f>
        <v>2964811</v>
      </c>
      <c r="F31" s="641">
        <f t="shared" si="5"/>
        <v>87389</v>
      </c>
      <c r="G31" s="641">
        <f t="shared" si="5"/>
        <v>265171</v>
      </c>
      <c r="H31" s="641">
        <f t="shared" si="5"/>
        <v>3129768</v>
      </c>
      <c r="I31" s="641">
        <f t="shared" si="5"/>
        <v>747907</v>
      </c>
      <c r="J31" s="641">
        <f t="shared" si="5"/>
        <v>117097</v>
      </c>
      <c r="K31" s="641">
        <f t="shared" si="5"/>
        <v>98865</v>
      </c>
      <c r="L31" s="641">
        <f t="shared" si="5"/>
        <v>265004</v>
      </c>
      <c r="M31" s="641">
        <f t="shared" si="5"/>
        <v>789295</v>
      </c>
      <c r="N31" s="641">
        <f t="shared" si="5"/>
        <v>-527873</v>
      </c>
      <c r="O31" s="641">
        <f t="shared" si="5"/>
        <v>165871</v>
      </c>
      <c r="P31" s="641">
        <f t="shared" si="5"/>
        <v>8295962</v>
      </c>
    </row>
    <row r="32" spans="1:16" ht="18.75" customHeight="1">
      <c r="A32" s="613"/>
      <c r="D32" s="626"/>
      <c r="E32" s="626"/>
      <c r="F32" s="626"/>
      <c r="G32" s="626"/>
      <c r="H32" s="626"/>
      <c r="I32" s="626"/>
      <c r="J32" s="626"/>
      <c r="K32" s="626"/>
      <c r="L32" s="626"/>
      <c r="M32" s="626"/>
      <c r="N32" s="626"/>
      <c r="O32" s="626"/>
      <c r="P32" s="626"/>
    </row>
    <row r="33" spans="1:16" s="613" customFormat="1" ht="23.25" customHeight="1">
      <c r="A33" s="675">
        <f>A5+1</f>
        <v>2025</v>
      </c>
      <c r="B33" s="616" t="s">
        <v>268</v>
      </c>
      <c r="C33" s="658" t="s">
        <v>269</v>
      </c>
      <c r="D33" s="642" t="s">
        <v>270</v>
      </c>
      <c r="E33" s="617" t="s">
        <v>271</v>
      </c>
      <c r="F33" s="617" t="s">
        <v>72</v>
      </c>
      <c r="G33" s="617" t="s">
        <v>73</v>
      </c>
      <c r="H33" s="617" t="s">
        <v>74</v>
      </c>
      <c r="I33" s="617" t="s">
        <v>75</v>
      </c>
      <c r="J33" s="617" t="s">
        <v>76</v>
      </c>
      <c r="K33" s="617" t="s">
        <v>77</v>
      </c>
      <c r="L33" s="617" t="s">
        <v>78</v>
      </c>
      <c r="M33" s="617" t="s">
        <v>79</v>
      </c>
      <c r="N33" s="617" t="s">
        <v>80</v>
      </c>
      <c r="O33" s="617" t="s">
        <v>81</v>
      </c>
      <c r="P33" s="617" t="s">
        <v>272</v>
      </c>
    </row>
    <row r="34" spans="1:16" ht="23.25" customHeight="1">
      <c r="A34" s="1086" t="s">
        <v>273</v>
      </c>
      <c r="B34" s="659" t="s">
        <v>274</v>
      </c>
      <c r="C34" s="666"/>
      <c r="D34" s="643">
        <v>0</v>
      </c>
      <c r="E34" s="618">
        <v>959</v>
      </c>
      <c r="F34" s="618">
        <v>1571</v>
      </c>
      <c r="G34" s="618">
        <v>0</v>
      </c>
      <c r="H34" s="618">
        <v>0</v>
      </c>
      <c r="I34" s="618">
        <v>0</v>
      </c>
      <c r="J34" s="618">
        <v>2265</v>
      </c>
      <c r="K34" s="618">
        <v>4196</v>
      </c>
      <c r="L34" s="618">
        <v>3013</v>
      </c>
      <c r="M34" s="619">
        <v>3957</v>
      </c>
      <c r="N34" s="619">
        <v>695</v>
      </c>
      <c r="O34" s="619">
        <v>1295</v>
      </c>
      <c r="P34" s="619">
        <f>SUM(D34:O34)</f>
        <v>17951</v>
      </c>
    </row>
    <row r="35" spans="1:16" ht="23.25" customHeight="1">
      <c r="A35" s="1087"/>
      <c r="B35" s="660" t="s">
        <v>275</v>
      </c>
      <c r="C35" s="667"/>
      <c r="D35" s="644">
        <v>118</v>
      </c>
      <c r="E35" s="620">
        <v>113</v>
      </c>
      <c r="F35" s="620">
        <v>194</v>
      </c>
      <c r="G35" s="620">
        <v>224</v>
      </c>
      <c r="H35" s="620">
        <v>267</v>
      </c>
      <c r="I35" s="620">
        <v>233</v>
      </c>
      <c r="J35" s="620">
        <v>204</v>
      </c>
      <c r="K35" s="620">
        <v>161</v>
      </c>
      <c r="L35" s="620">
        <v>197</v>
      </c>
      <c r="M35" s="621">
        <v>262</v>
      </c>
      <c r="N35" s="621">
        <v>258</v>
      </c>
      <c r="O35" s="621">
        <v>165</v>
      </c>
      <c r="P35" s="621">
        <f>SUM(D35:O35)</f>
        <v>2396</v>
      </c>
    </row>
    <row r="36" spans="1:16" ht="23.25" customHeight="1">
      <c r="A36" s="1087"/>
      <c r="B36" s="661" t="s">
        <v>276</v>
      </c>
      <c r="C36" s="668"/>
      <c r="D36" s="645">
        <f>SUM(D34:D35)</f>
        <v>118</v>
      </c>
      <c r="E36" s="622">
        <f t="shared" ref="E36:O36" si="6">SUM(E34:E35)</f>
        <v>1072</v>
      </c>
      <c r="F36" s="622">
        <f t="shared" si="6"/>
        <v>1765</v>
      </c>
      <c r="G36" s="622">
        <f t="shared" si="6"/>
        <v>224</v>
      </c>
      <c r="H36" s="622">
        <f t="shared" si="6"/>
        <v>267</v>
      </c>
      <c r="I36" s="622">
        <f t="shared" si="6"/>
        <v>233</v>
      </c>
      <c r="J36" s="622">
        <f t="shared" si="6"/>
        <v>2469</v>
      </c>
      <c r="K36" s="622">
        <f t="shared" si="6"/>
        <v>4357</v>
      </c>
      <c r="L36" s="622">
        <f t="shared" si="6"/>
        <v>3210</v>
      </c>
      <c r="M36" s="635">
        <f t="shared" si="6"/>
        <v>4219</v>
      </c>
      <c r="N36" s="635">
        <f t="shared" si="6"/>
        <v>953</v>
      </c>
      <c r="O36" s="635">
        <f t="shared" si="6"/>
        <v>1460</v>
      </c>
      <c r="P36" s="622">
        <f>SUM(D36:O36)</f>
        <v>20347</v>
      </c>
    </row>
    <row r="37" spans="1:16" ht="23.25" customHeight="1">
      <c r="A37" s="1087"/>
      <c r="B37" s="660" t="s">
        <v>277</v>
      </c>
      <c r="C37" s="667"/>
      <c r="D37" s="644">
        <v>118</v>
      </c>
      <c r="E37" s="620">
        <v>1072</v>
      </c>
      <c r="F37" s="620">
        <v>1765</v>
      </c>
      <c r="G37" s="620">
        <v>224</v>
      </c>
      <c r="H37" s="620">
        <v>267</v>
      </c>
      <c r="I37" s="620">
        <v>233</v>
      </c>
      <c r="J37" s="620">
        <v>2469</v>
      </c>
      <c r="K37" s="620">
        <v>4357</v>
      </c>
      <c r="L37" s="620">
        <v>3210</v>
      </c>
      <c r="M37" s="621">
        <v>4219</v>
      </c>
      <c r="N37" s="621">
        <v>953</v>
      </c>
      <c r="O37" s="621">
        <v>1460</v>
      </c>
      <c r="P37" s="621">
        <f t="shared" ref="P37:P48" si="7">SUM(D37:O37)</f>
        <v>20347</v>
      </c>
    </row>
    <row r="38" spans="1:16" ht="23.25" customHeight="1">
      <c r="A38" s="1087"/>
      <c r="B38" s="660" t="s">
        <v>278</v>
      </c>
      <c r="C38" s="667">
        <v>2.5</v>
      </c>
      <c r="D38" s="644"/>
      <c r="E38" s="620"/>
      <c r="F38" s="620"/>
      <c r="G38" s="620"/>
      <c r="H38" s="620"/>
      <c r="I38" s="620"/>
      <c r="J38" s="620"/>
      <c r="K38" s="620"/>
      <c r="L38" s="620"/>
      <c r="M38" s="621"/>
      <c r="N38" s="621"/>
      <c r="O38" s="621"/>
      <c r="P38" s="621">
        <f t="shared" si="7"/>
        <v>0</v>
      </c>
    </row>
    <row r="39" spans="1:16" ht="23.25" customHeight="1">
      <c r="A39" s="1087"/>
      <c r="B39" s="660" t="s">
        <v>279</v>
      </c>
      <c r="C39" s="667">
        <v>6</v>
      </c>
      <c r="D39" s="644">
        <v>57</v>
      </c>
      <c r="E39" s="620">
        <v>52</v>
      </c>
      <c r="F39" s="620">
        <v>78</v>
      </c>
      <c r="G39" s="620">
        <v>72</v>
      </c>
      <c r="H39" s="620">
        <v>72</v>
      </c>
      <c r="I39" s="620">
        <v>70</v>
      </c>
      <c r="J39" s="620">
        <v>69</v>
      </c>
      <c r="K39" s="620">
        <v>78</v>
      </c>
      <c r="L39" s="620">
        <v>68</v>
      </c>
      <c r="M39" s="621">
        <v>72</v>
      </c>
      <c r="N39" s="621">
        <v>72</v>
      </c>
      <c r="O39" s="621">
        <v>88</v>
      </c>
      <c r="P39" s="621">
        <f t="shared" si="7"/>
        <v>848</v>
      </c>
    </row>
    <row r="40" spans="1:16" ht="23.25" customHeight="1">
      <c r="A40" s="1087"/>
      <c r="B40" s="660" t="s">
        <v>280</v>
      </c>
      <c r="C40" s="667"/>
      <c r="D40" s="644">
        <v>27</v>
      </c>
      <c r="E40" s="620">
        <v>25</v>
      </c>
      <c r="F40" s="620">
        <v>31</v>
      </c>
      <c r="G40" s="620">
        <v>29</v>
      </c>
      <c r="H40" s="620">
        <v>27</v>
      </c>
      <c r="I40" s="620">
        <v>24</v>
      </c>
      <c r="J40" s="620">
        <v>24</v>
      </c>
      <c r="K40" s="620">
        <v>21</v>
      </c>
      <c r="L40" s="620">
        <v>28</v>
      </c>
      <c r="M40" s="621">
        <v>33</v>
      </c>
      <c r="N40" s="621">
        <v>35</v>
      </c>
      <c r="O40" s="621">
        <v>26</v>
      </c>
      <c r="P40" s="621">
        <f t="shared" si="7"/>
        <v>330</v>
      </c>
    </row>
    <row r="41" spans="1:16" ht="23.25" customHeight="1">
      <c r="A41" s="1087"/>
      <c r="B41" s="662" t="s">
        <v>281</v>
      </c>
      <c r="C41" s="669"/>
      <c r="D41" s="646">
        <v>1</v>
      </c>
      <c r="E41" s="623">
        <v>1</v>
      </c>
      <c r="F41" s="623">
        <v>0</v>
      </c>
      <c r="G41" s="623">
        <v>1</v>
      </c>
      <c r="H41" s="623">
        <v>1</v>
      </c>
      <c r="I41" s="623">
        <v>1</v>
      </c>
      <c r="J41" s="623">
        <v>0</v>
      </c>
      <c r="K41" s="623">
        <v>1</v>
      </c>
      <c r="L41" s="623">
        <v>0</v>
      </c>
      <c r="M41" s="624">
        <v>1</v>
      </c>
      <c r="N41" s="624">
        <v>2</v>
      </c>
      <c r="O41" s="624">
        <v>1</v>
      </c>
      <c r="P41" s="624">
        <f t="shared" si="7"/>
        <v>10</v>
      </c>
    </row>
    <row r="42" spans="1:16" ht="23.25" customHeight="1" thickBot="1">
      <c r="A42" s="1088"/>
      <c r="B42" s="663" t="s">
        <v>282</v>
      </c>
      <c r="C42" s="670"/>
      <c r="D42" s="647">
        <v>0</v>
      </c>
      <c r="E42" s="636">
        <v>1</v>
      </c>
      <c r="F42" s="636">
        <v>0</v>
      </c>
      <c r="G42" s="636">
        <v>0</v>
      </c>
      <c r="H42" s="636">
        <v>0</v>
      </c>
      <c r="I42" s="636">
        <v>1</v>
      </c>
      <c r="J42" s="636">
        <v>0</v>
      </c>
      <c r="K42" s="636">
        <v>0</v>
      </c>
      <c r="L42" s="636">
        <v>0</v>
      </c>
      <c r="M42" s="637">
        <v>1</v>
      </c>
      <c r="N42" s="637">
        <v>0</v>
      </c>
      <c r="O42" s="637">
        <v>0</v>
      </c>
      <c r="P42" s="637">
        <f t="shared" si="7"/>
        <v>3</v>
      </c>
    </row>
    <row r="43" spans="1:16" ht="23.25" customHeight="1" thickTop="1">
      <c r="A43" s="1089" t="s">
        <v>283</v>
      </c>
      <c r="B43" s="664" t="s">
        <v>284</v>
      </c>
      <c r="C43" s="671">
        <v>4</v>
      </c>
      <c r="D43" s="648">
        <v>10729</v>
      </c>
      <c r="E43" s="625">
        <v>86669</v>
      </c>
      <c r="F43" s="625">
        <v>119242</v>
      </c>
      <c r="G43" s="625">
        <v>20366</v>
      </c>
      <c r="H43" s="625">
        <v>24276</v>
      </c>
      <c r="I43" s="625">
        <v>21184</v>
      </c>
      <c r="J43" s="625">
        <v>170873</v>
      </c>
      <c r="K43" s="625">
        <v>327244</v>
      </c>
      <c r="L43" s="625">
        <v>234619</v>
      </c>
      <c r="M43" s="625">
        <v>310321</v>
      </c>
      <c r="N43" s="625">
        <v>86647</v>
      </c>
      <c r="O43" s="625">
        <v>111638</v>
      </c>
      <c r="P43" s="625">
        <f t="shared" si="7"/>
        <v>1523808</v>
      </c>
    </row>
    <row r="44" spans="1:16" ht="23.25" customHeight="1">
      <c r="A44" s="1090"/>
      <c r="B44" s="660" t="s">
        <v>278</v>
      </c>
      <c r="C44" s="667">
        <v>2.5</v>
      </c>
      <c r="D44" s="649">
        <v>0</v>
      </c>
      <c r="E44" s="621">
        <v>0</v>
      </c>
      <c r="F44" s="621">
        <v>0</v>
      </c>
      <c r="G44" s="621">
        <v>0</v>
      </c>
      <c r="H44" s="621">
        <v>0</v>
      </c>
      <c r="I44" s="621">
        <v>0</v>
      </c>
      <c r="J44" s="621">
        <v>0</v>
      </c>
      <c r="K44" s="621">
        <v>0</v>
      </c>
      <c r="L44" s="621">
        <v>0</v>
      </c>
      <c r="M44" s="621">
        <v>0</v>
      </c>
      <c r="N44" s="621">
        <v>0</v>
      </c>
      <c r="O44" s="621">
        <v>0</v>
      </c>
      <c r="P44" s="621">
        <f t="shared" si="7"/>
        <v>0</v>
      </c>
    </row>
    <row r="45" spans="1:16" ht="23.25" customHeight="1">
      <c r="A45" s="1090"/>
      <c r="B45" s="660" t="s">
        <v>279</v>
      </c>
      <c r="C45" s="667">
        <v>6</v>
      </c>
      <c r="D45" s="649">
        <v>7774</v>
      </c>
      <c r="E45" s="621">
        <v>7092</v>
      </c>
      <c r="F45" s="621">
        <v>10638</v>
      </c>
      <c r="G45" s="621">
        <v>9819</v>
      </c>
      <c r="H45" s="621">
        <v>9819</v>
      </c>
      <c r="I45" s="621">
        <v>9547</v>
      </c>
      <c r="J45" s="621">
        <v>9410</v>
      </c>
      <c r="K45" s="621">
        <v>10638</v>
      </c>
      <c r="L45" s="621">
        <v>9274</v>
      </c>
      <c r="M45" s="621">
        <v>9819</v>
      </c>
      <c r="N45" s="621">
        <v>9819</v>
      </c>
      <c r="O45" s="621">
        <v>12001</v>
      </c>
      <c r="P45" s="621">
        <f t="shared" si="7"/>
        <v>115650</v>
      </c>
    </row>
    <row r="46" spans="1:16" ht="23.25" customHeight="1">
      <c r="A46" s="1090"/>
      <c r="B46" s="660" t="s">
        <v>280</v>
      </c>
      <c r="C46" s="667"/>
      <c r="D46" s="649">
        <v>6910</v>
      </c>
      <c r="E46" s="621">
        <v>5910</v>
      </c>
      <c r="F46" s="621">
        <v>8206</v>
      </c>
      <c r="G46" s="621">
        <v>7410</v>
      </c>
      <c r="H46" s="621">
        <v>6728</v>
      </c>
      <c r="I46" s="621">
        <v>9501</v>
      </c>
      <c r="J46" s="621">
        <v>11297</v>
      </c>
      <c r="K46" s="621">
        <v>5523</v>
      </c>
      <c r="L46" s="621">
        <v>6910</v>
      </c>
      <c r="M46" s="621">
        <v>12820</v>
      </c>
      <c r="N46" s="621">
        <v>12047</v>
      </c>
      <c r="O46" s="621">
        <v>11160</v>
      </c>
      <c r="P46" s="621">
        <f t="shared" si="7"/>
        <v>104422</v>
      </c>
    </row>
    <row r="47" spans="1:16" ht="23.25" customHeight="1">
      <c r="A47" s="1090"/>
      <c r="B47" s="660" t="s">
        <v>281</v>
      </c>
      <c r="C47" s="667"/>
      <c r="D47" s="649">
        <v>909</v>
      </c>
      <c r="E47" s="621">
        <v>7956</v>
      </c>
      <c r="F47" s="621">
        <v>0</v>
      </c>
      <c r="G47" s="621">
        <v>909</v>
      </c>
      <c r="H47" s="621">
        <v>909</v>
      </c>
      <c r="I47" s="621">
        <v>909</v>
      </c>
      <c r="J47" s="621">
        <v>0</v>
      </c>
      <c r="K47" s="621">
        <v>909</v>
      </c>
      <c r="L47" s="621">
        <v>0</v>
      </c>
      <c r="M47" s="621">
        <v>909</v>
      </c>
      <c r="N47" s="621">
        <v>2273</v>
      </c>
      <c r="O47" s="621">
        <v>2728</v>
      </c>
      <c r="P47" s="621">
        <f t="shared" si="7"/>
        <v>18411</v>
      </c>
    </row>
    <row r="48" spans="1:16" ht="23.25" customHeight="1">
      <c r="A48" s="1091"/>
      <c r="B48" s="662" t="s">
        <v>282</v>
      </c>
      <c r="C48" s="669"/>
      <c r="D48" s="650">
        <v>0</v>
      </c>
      <c r="E48" s="624">
        <v>136</v>
      </c>
      <c r="F48" s="624">
        <v>0</v>
      </c>
      <c r="G48" s="624">
        <v>0</v>
      </c>
      <c r="H48" s="624">
        <v>0</v>
      </c>
      <c r="I48" s="624">
        <v>136</v>
      </c>
      <c r="J48" s="624">
        <v>0</v>
      </c>
      <c r="K48" s="624">
        <v>0</v>
      </c>
      <c r="L48" s="624">
        <v>0</v>
      </c>
      <c r="M48" s="624">
        <v>136</v>
      </c>
      <c r="N48" s="624">
        <v>0</v>
      </c>
      <c r="O48" s="624">
        <v>0</v>
      </c>
      <c r="P48" s="624">
        <f t="shared" si="7"/>
        <v>408</v>
      </c>
    </row>
    <row r="49" spans="1:17" ht="23.25" customHeight="1">
      <c r="A49" s="1092"/>
      <c r="B49" s="665" t="s">
        <v>290</v>
      </c>
      <c r="C49" s="672"/>
      <c r="D49" s="651">
        <f>SUM(D43:D48)</f>
        <v>26322</v>
      </c>
      <c r="E49" s="638">
        <f t="shared" ref="E49:O49" si="8">SUM(E43:E48)</f>
        <v>107763</v>
      </c>
      <c r="F49" s="638">
        <f t="shared" si="8"/>
        <v>138086</v>
      </c>
      <c r="G49" s="638">
        <f t="shared" si="8"/>
        <v>38504</v>
      </c>
      <c r="H49" s="638">
        <f t="shared" si="8"/>
        <v>41732</v>
      </c>
      <c r="I49" s="638">
        <f t="shared" si="8"/>
        <v>41277</v>
      </c>
      <c r="J49" s="638">
        <f t="shared" si="8"/>
        <v>191580</v>
      </c>
      <c r="K49" s="638">
        <f t="shared" si="8"/>
        <v>344314</v>
      </c>
      <c r="L49" s="638">
        <f t="shared" si="8"/>
        <v>250803</v>
      </c>
      <c r="M49" s="638">
        <f t="shared" si="8"/>
        <v>334005</v>
      </c>
      <c r="N49" s="638">
        <f t="shared" si="8"/>
        <v>110786</v>
      </c>
      <c r="O49" s="638">
        <f t="shared" si="8"/>
        <v>137527</v>
      </c>
      <c r="P49" s="638">
        <f>SUM(D49:O49)</f>
        <v>1762699</v>
      </c>
    </row>
    <row r="50" spans="1:17" ht="23.25" customHeight="1">
      <c r="A50" s="1093" t="s">
        <v>285</v>
      </c>
      <c r="B50" s="1094"/>
      <c r="C50" s="673">
        <v>2.5</v>
      </c>
      <c r="D50" s="651">
        <v>0</v>
      </c>
      <c r="E50" s="638">
        <v>0</v>
      </c>
      <c r="F50" s="638">
        <v>0</v>
      </c>
      <c r="G50" s="638">
        <v>0</v>
      </c>
      <c r="H50" s="638">
        <v>0</v>
      </c>
      <c r="I50" s="638">
        <v>0</v>
      </c>
      <c r="J50" s="638">
        <v>0</v>
      </c>
      <c r="K50" s="638">
        <v>0</v>
      </c>
      <c r="L50" s="638">
        <v>0</v>
      </c>
      <c r="M50" s="638">
        <v>0</v>
      </c>
      <c r="N50" s="638">
        <v>0</v>
      </c>
      <c r="O50" s="638">
        <v>0</v>
      </c>
      <c r="P50" s="638">
        <f t="shared" ref="P50" si="9">SUM(D50:O50)</f>
        <v>0</v>
      </c>
    </row>
    <row r="51" spans="1:17" ht="23.25" customHeight="1">
      <c r="A51" s="1093" t="s">
        <v>286</v>
      </c>
      <c r="B51" s="1094"/>
      <c r="C51" s="674"/>
      <c r="D51" s="652">
        <v>9818</v>
      </c>
      <c r="E51" s="639">
        <v>9402</v>
      </c>
      <c r="F51" s="639">
        <v>16142</v>
      </c>
      <c r="G51" s="639">
        <v>18638</v>
      </c>
      <c r="H51" s="639">
        <v>22216</v>
      </c>
      <c r="I51" s="639">
        <v>19387</v>
      </c>
      <c r="J51" s="639">
        <v>16974</v>
      </c>
      <c r="K51" s="639">
        <v>13396</v>
      </c>
      <c r="L51" s="639">
        <v>16391</v>
      </c>
      <c r="M51" s="639">
        <v>21800</v>
      </c>
      <c r="N51" s="639">
        <v>21467</v>
      </c>
      <c r="O51" s="639">
        <v>13729</v>
      </c>
      <c r="P51" s="638">
        <f>SUM(D51:O51)</f>
        <v>199360</v>
      </c>
    </row>
    <row r="52" spans="1:17" ht="23.25" customHeight="1">
      <c r="A52" s="1079" t="s">
        <v>295</v>
      </c>
      <c r="B52" s="1099" t="s">
        <v>287</v>
      </c>
      <c r="C52" s="1100"/>
      <c r="D52" s="653">
        <v>0</v>
      </c>
      <c r="E52" s="631">
        <v>0</v>
      </c>
      <c r="F52" s="631">
        <v>0</v>
      </c>
      <c r="G52" s="631">
        <v>0</v>
      </c>
      <c r="H52" s="631">
        <v>0</v>
      </c>
      <c r="I52" s="631">
        <v>495000</v>
      </c>
      <c r="J52" s="631">
        <v>0</v>
      </c>
      <c r="K52" s="631">
        <v>0</v>
      </c>
      <c r="L52" s="631">
        <v>0</v>
      </c>
      <c r="M52" s="631">
        <v>0</v>
      </c>
      <c r="N52" s="631">
        <v>0</v>
      </c>
      <c r="O52" s="631">
        <v>0</v>
      </c>
      <c r="P52" s="632">
        <f>SUM(D52:O52)</f>
        <v>495000</v>
      </c>
    </row>
    <row r="53" spans="1:17" ht="23.25" customHeight="1">
      <c r="A53" s="1080"/>
      <c r="B53" s="1101" t="s">
        <v>288</v>
      </c>
      <c r="C53" s="1102"/>
      <c r="D53" s="654">
        <v>0</v>
      </c>
      <c r="E53" s="630">
        <v>0</v>
      </c>
      <c r="F53" s="630">
        <v>0</v>
      </c>
      <c r="G53" s="630">
        <v>0</v>
      </c>
      <c r="H53" s="630">
        <v>2700000</v>
      </c>
      <c r="I53" s="630">
        <v>0</v>
      </c>
      <c r="J53" s="630">
        <v>0</v>
      </c>
      <c r="K53" s="630">
        <v>0</v>
      </c>
      <c r="L53" s="630">
        <v>0</v>
      </c>
      <c r="M53" s="630">
        <v>0</v>
      </c>
      <c r="N53" s="630">
        <v>0</v>
      </c>
      <c r="O53" s="630">
        <v>0</v>
      </c>
      <c r="P53" s="633">
        <f t="shared" ref="P53:P55" si="10">SUM(D53:O53)</f>
        <v>2700000</v>
      </c>
    </row>
    <row r="54" spans="1:17" ht="23.25" customHeight="1">
      <c r="A54" s="1080"/>
      <c r="B54" s="1082" t="s">
        <v>289</v>
      </c>
      <c r="C54" s="1083"/>
      <c r="D54" s="654">
        <v>0</v>
      </c>
      <c r="E54" s="630">
        <v>0</v>
      </c>
      <c r="F54" s="630">
        <v>3140000</v>
      </c>
      <c r="G54" s="630">
        <v>0</v>
      </c>
      <c r="H54" s="630">
        <v>0</v>
      </c>
      <c r="I54" s="634">
        <v>0</v>
      </c>
      <c r="J54" s="630">
        <v>0</v>
      </c>
      <c r="K54" s="630">
        <v>0</v>
      </c>
      <c r="L54" s="630">
        <v>0</v>
      </c>
      <c r="M54" s="634">
        <v>0</v>
      </c>
      <c r="N54" s="630">
        <v>0</v>
      </c>
      <c r="O54" s="630">
        <v>0</v>
      </c>
      <c r="P54" s="633">
        <f t="shared" si="10"/>
        <v>3140000</v>
      </c>
    </row>
    <row r="55" spans="1:17" ht="23.25" customHeight="1">
      <c r="A55" s="1080"/>
      <c r="B55" s="1095"/>
      <c r="C55" s="1096"/>
      <c r="D55" s="655">
        <v>0</v>
      </c>
      <c r="E55" s="629">
        <v>0</v>
      </c>
      <c r="F55" s="629">
        <v>0</v>
      </c>
      <c r="G55" s="629">
        <v>0</v>
      </c>
      <c r="H55" s="629">
        <v>0</v>
      </c>
      <c r="I55" s="629">
        <v>0</v>
      </c>
      <c r="J55" s="629">
        <v>0</v>
      </c>
      <c r="K55" s="629">
        <v>0</v>
      </c>
      <c r="L55" s="629">
        <v>0</v>
      </c>
      <c r="M55" s="629">
        <v>0</v>
      </c>
      <c r="N55" s="629">
        <v>0</v>
      </c>
      <c r="O55" s="629">
        <v>0</v>
      </c>
      <c r="P55" s="629">
        <f t="shared" si="10"/>
        <v>0</v>
      </c>
    </row>
    <row r="56" spans="1:17" ht="23.25" customHeight="1">
      <c r="A56" s="1081"/>
      <c r="B56" s="1097" t="s">
        <v>290</v>
      </c>
      <c r="C56" s="1098"/>
      <c r="D56" s="656">
        <f t="shared" ref="D56:P56" si="11">SUM(D52:D55)</f>
        <v>0</v>
      </c>
      <c r="E56" s="640">
        <f t="shared" si="11"/>
        <v>0</v>
      </c>
      <c r="F56" s="640">
        <f t="shared" si="11"/>
        <v>3140000</v>
      </c>
      <c r="G56" s="640">
        <f t="shared" si="11"/>
        <v>0</v>
      </c>
      <c r="H56" s="640">
        <f t="shared" si="11"/>
        <v>2700000</v>
      </c>
      <c r="I56" s="640">
        <f t="shared" si="11"/>
        <v>495000</v>
      </c>
      <c r="J56" s="640">
        <f t="shared" si="11"/>
        <v>0</v>
      </c>
      <c r="K56" s="640">
        <f t="shared" si="11"/>
        <v>0</v>
      </c>
      <c r="L56" s="640">
        <f t="shared" si="11"/>
        <v>0</v>
      </c>
      <c r="M56" s="640">
        <f t="shared" si="11"/>
        <v>0</v>
      </c>
      <c r="N56" s="640">
        <f t="shared" si="11"/>
        <v>0</v>
      </c>
      <c r="O56" s="640">
        <f t="shared" si="11"/>
        <v>0</v>
      </c>
      <c r="P56" s="640">
        <f t="shared" si="11"/>
        <v>6335000</v>
      </c>
    </row>
    <row r="57" spans="1:17" ht="27.75" customHeight="1">
      <c r="A57" s="1084" t="s">
        <v>293</v>
      </c>
      <c r="B57" s="1084"/>
      <c r="C57" s="1085"/>
      <c r="D57" s="657">
        <f t="shared" ref="D57:P57" si="12">SUM(D49,D50,D51,D56)</f>
        <v>36140</v>
      </c>
      <c r="E57" s="641">
        <f t="shared" si="12"/>
        <v>117165</v>
      </c>
      <c r="F57" s="641">
        <f t="shared" si="12"/>
        <v>3294228</v>
      </c>
      <c r="G57" s="641">
        <f t="shared" si="12"/>
        <v>57142</v>
      </c>
      <c r="H57" s="641">
        <f t="shared" si="12"/>
        <v>2763948</v>
      </c>
      <c r="I57" s="641">
        <f t="shared" si="12"/>
        <v>555664</v>
      </c>
      <c r="J57" s="641">
        <f t="shared" si="12"/>
        <v>208554</v>
      </c>
      <c r="K57" s="641">
        <f t="shared" si="12"/>
        <v>357710</v>
      </c>
      <c r="L57" s="641">
        <f t="shared" si="12"/>
        <v>267194</v>
      </c>
      <c r="M57" s="641">
        <f t="shared" si="12"/>
        <v>355805</v>
      </c>
      <c r="N57" s="641">
        <f t="shared" si="12"/>
        <v>132253</v>
      </c>
      <c r="O57" s="641">
        <f t="shared" si="12"/>
        <v>151256</v>
      </c>
      <c r="P57" s="641">
        <f t="shared" si="12"/>
        <v>8297059</v>
      </c>
    </row>
    <row r="58" spans="1:17" s="614" customFormat="1" ht="20.100000000000001" customHeight="1">
      <c r="A58" s="599"/>
      <c r="B58" s="613"/>
      <c r="C58" s="601"/>
      <c r="H58" s="627"/>
      <c r="O58" s="627"/>
      <c r="Q58" s="601"/>
    </row>
    <row r="59" spans="1:17" s="614" customFormat="1" ht="20.100000000000001" customHeight="1">
      <c r="A59" s="599"/>
      <c r="B59" s="613"/>
      <c r="C59" s="601"/>
      <c r="H59" s="627"/>
      <c r="O59" s="627"/>
      <c r="P59" s="929" t="s">
        <v>498</v>
      </c>
      <c r="Q59" s="601"/>
    </row>
    <row r="60" spans="1:17" s="613" customFormat="1" ht="23.25" customHeight="1">
      <c r="A60" s="675">
        <f>A33+1</f>
        <v>2026</v>
      </c>
      <c r="B60" s="616" t="s">
        <v>268</v>
      </c>
      <c r="C60" s="658" t="s">
        <v>269</v>
      </c>
      <c r="D60" s="642" t="s">
        <v>270</v>
      </c>
      <c r="E60" s="617" t="s">
        <v>271</v>
      </c>
      <c r="F60" s="617" t="s">
        <v>72</v>
      </c>
      <c r="G60" s="617" t="s">
        <v>73</v>
      </c>
      <c r="H60" s="617" t="s">
        <v>74</v>
      </c>
      <c r="I60" s="617" t="s">
        <v>75</v>
      </c>
      <c r="J60" s="617" t="s">
        <v>76</v>
      </c>
      <c r="K60" s="617" t="s">
        <v>77</v>
      </c>
      <c r="L60" s="617" t="s">
        <v>78</v>
      </c>
      <c r="M60" s="617" t="s">
        <v>79</v>
      </c>
      <c r="N60" s="617" t="s">
        <v>80</v>
      </c>
      <c r="O60" s="617" t="s">
        <v>81</v>
      </c>
      <c r="P60" s="617" t="s">
        <v>272</v>
      </c>
    </row>
    <row r="61" spans="1:17" ht="23.25" customHeight="1">
      <c r="A61" s="1086" t="s">
        <v>273</v>
      </c>
      <c r="B61" s="659" t="s">
        <v>274</v>
      </c>
      <c r="C61" s="666"/>
      <c r="D61" s="643">
        <v>355</v>
      </c>
      <c r="E61" s="618">
        <v>0</v>
      </c>
      <c r="F61" s="618">
        <v>272</v>
      </c>
      <c r="G61" s="618">
        <v>360</v>
      </c>
      <c r="H61" s="618">
        <v>844</v>
      </c>
      <c r="I61" s="618">
        <v>0</v>
      </c>
      <c r="J61" s="618">
        <v>0</v>
      </c>
      <c r="K61" s="618">
        <v>0</v>
      </c>
      <c r="L61" s="618">
        <v>0</v>
      </c>
      <c r="M61" s="619">
        <v>278</v>
      </c>
      <c r="N61" s="619">
        <v>0</v>
      </c>
      <c r="O61" s="619">
        <v>0</v>
      </c>
      <c r="P61" s="619">
        <f>SUM(D61:O61)</f>
        <v>2109</v>
      </c>
    </row>
    <row r="62" spans="1:17" ht="23.25" customHeight="1">
      <c r="A62" s="1087"/>
      <c r="B62" s="660" t="s">
        <v>275</v>
      </c>
      <c r="C62" s="667"/>
      <c r="D62" s="644">
        <v>107</v>
      </c>
      <c r="E62" s="620">
        <v>102</v>
      </c>
      <c r="F62" s="620">
        <v>176</v>
      </c>
      <c r="G62" s="620">
        <v>203</v>
      </c>
      <c r="H62" s="620">
        <v>241</v>
      </c>
      <c r="I62" s="620">
        <v>211</v>
      </c>
      <c r="J62" s="620">
        <v>185</v>
      </c>
      <c r="K62" s="620">
        <v>146</v>
      </c>
      <c r="L62" s="620">
        <v>171</v>
      </c>
      <c r="M62" s="621">
        <v>237</v>
      </c>
      <c r="N62" s="621">
        <v>233</v>
      </c>
      <c r="O62" s="621">
        <v>149</v>
      </c>
      <c r="P62" s="621">
        <f>SUM(D62:O62)</f>
        <v>2161</v>
      </c>
    </row>
    <row r="63" spans="1:17" ht="23.25" customHeight="1">
      <c r="A63" s="1087"/>
      <c r="B63" s="661" t="s">
        <v>276</v>
      </c>
      <c r="C63" s="668"/>
      <c r="D63" s="645">
        <f>SUM(D61:D62)</f>
        <v>462</v>
      </c>
      <c r="E63" s="622">
        <f t="shared" ref="E63:O63" si="13">SUM(E61:E62)</f>
        <v>102</v>
      </c>
      <c r="F63" s="622">
        <f t="shared" si="13"/>
        <v>448</v>
      </c>
      <c r="G63" s="622">
        <f t="shared" si="13"/>
        <v>563</v>
      </c>
      <c r="H63" s="622">
        <f t="shared" si="13"/>
        <v>1085</v>
      </c>
      <c r="I63" s="622">
        <f t="shared" si="13"/>
        <v>211</v>
      </c>
      <c r="J63" s="622">
        <f t="shared" si="13"/>
        <v>185</v>
      </c>
      <c r="K63" s="622">
        <f t="shared" si="13"/>
        <v>146</v>
      </c>
      <c r="L63" s="622">
        <f t="shared" si="13"/>
        <v>171</v>
      </c>
      <c r="M63" s="635">
        <f t="shared" si="13"/>
        <v>515</v>
      </c>
      <c r="N63" s="635">
        <f t="shared" si="13"/>
        <v>233</v>
      </c>
      <c r="O63" s="635">
        <f t="shared" si="13"/>
        <v>149</v>
      </c>
      <c r="P63" s="622">
        <f>SUM(D63:O63)</f>
        <v>4270</v>
      </c>
    </row>
    <row r="64" spans="1:17" ht="23.25" customHeight="1">
      <c r="A64" s="1087"/>
      <c r="B64" s="660" t="s">
        <v>277</v>
      </c>
      <c r="C64" s="667"/>
      <c r="D64" s="644">
        <v>462</v>
      </c>
      <c r="E64" s="620">
        <v>102</v>
      </c>
      <c r="F64" s="620">
        <v>448</v>
      </c>
      <c r="G64" s="620">
        <v>563</v>
      </c>
      <c r="H64" s="620">
        <v>1085</v>
      </c>
      <c r="I64" s="620">
        <v>211</v>
      </c>
      <c r="J64" s="620">
        <v>185</v>
      </c>
      <c r="K64" s="620">
        <v>146</v>
      </c>
      <c r="L64" s="620">
        <v>171</v>
      </c>
      <c r="M64" s="621">
        <v>515</v>
      </c>
      <c r="N64" s="621">
        <v>233</v>
      </c>
      <c r="O64" s="621">
        <v>149</v>
      </c>
      <c r="P64" s="621">
        <f t="shared" ref="P64:P75" si="14">SUM(D64:O64)</f>
        <v>4270</v>
      </c>
    </row>
    <row r="65" spans="1:16" ht="23.25" customHeight="1">
      <c r="A65" s="1087"/>
      <c r="B65" s="660" t="s">
        <v>278</v>
      </c>
      <c r="C65" s="667">
        <v>2.5</v>
      </c>
      <c r="D65" s="644"/>
      <c r="E65" s="620"/>
      <c r="F65" s="620"/>
      <c r="G65" s="620"/>
      <c r="H65" s="620"/>
      <c r="I65" s="620"/>
      <c r="J65" s="620"/>
      <c r="K65" s="620"/>
      <c r="L65" s="620"/>
      <c r="M65" s="621"/>
      <c r="N65" s="621"/>
      <c r="O65" s="621"/>
      <c r="P65" s="621">
        <f t="shared" si="14"/>
        <v>0</v>
      </c>
    </row>
    <row r="66" spans="1:16" ht="23.25" customHeight="1">
      <c r="A66" s="1087"/>
      <c r="B66" s="660" t="s">
        <v>279</v>
      </c>
      <c r="C66" s="667">
        <v>6</v>
      </c>
      <c r="D66" s="644">
        <v>58</v>
      </c>
      <c r="E66" s="620">
        <v>53</v>
      </c>
      <c r="F66" s="620">
        <v>79</v>
      </c>
      <c r="G66" s="620">
        <v>73</v>
      </c>
      <c r="H66" s="620">
        <v>73</v>
      </c>
      <c r="I66" s="620">
        <v>71</v>
      </c>
      <c r="J66" s="620">
        <v>70</v>
      </c>
      <c r="K66" s="620">
        <v>79</v>
      </c>
      <c r="L66" s="620">
        <v>69</v>
      </c>
      <c r="M66" s="621">
        <v>73</v>
      </c>
      <c r="N66" s="621">
        <v>73</v>
      </c>
      <c r="O66" s="621">
        <v>89</v>
      </c>
      <c r="P66" s="621">
        <f t="shared" si="14"/>
        <v>860</v>
      </c>
    </row>
    <row r="67" spans="1:16" ht="23.25" customHeight="1">
      <c r="A67" s="1087"/>
      <c r="B67" s="660" t="s">
        <v>280</v>
      </c>
      <c r="C67" s="667"/>
      <c r="D67" s="644">
        <v>27</v>
      </c>
      <c r="E67" s="620">
        <v>25</v>
      </c>
      <c r="F67" s="620">
        <v>30</v>
      </c>
      <c r="G67" s="620">
        <v>28</v>
      </c>
      <c r="H67" s="620">
        <v>27</v>
      </c>
      <c r="I67" s="620">
        <v>23</v>
      </c>
      <c r="J67" s="620">
        <v>23</v>
      </c>
      <c r="K67" s="620">
        <v>20</v>
      </c>
      <c r="L67" s="620">
        <v>28</v>
      </c>
      <c r="M67" s="621">
        <v>32</v>
      </c>
      <c r="N67" s="621">
        <v>34</v>
      </c>
      <c r="O67" s="621">
        <v>25</v>
      </c>
      <c r="P67" s="621">
        <f t="shared" si="14"/>
        <v>322</v>
      </c>
    </row>
    <row r="68" spans="1:16" ht="23.25" customHeight="1">
      <c r="A68" s="1087"/>
      <c r="B68" s="662" t="s">
        <v>281</v>
      </c>
      <c r="C68" s="669"/>
      <c r="D68" s="646">
        <v>0</v>
      </c>
      <c r="E68" s="623">
        <v>1</v>
      </c>
      <c r="F68" s="623">
        <v>1</v>
      </c>
      <c r="G68" s="623">
        <v>1</v>
      </c>
      <c r="H68" s="623">
        <v>1</v>
      </c>
      <c r="I68" s="623">
        <v>1</v>
      </c>
      <c r="J68" s="623">
        <v>1</v>
      </c>
      <c r="K68" s="623">
        <v>1</v>
      </c>
      <c r="L68" s="623">
        <v>1</v>
      </c>
      <c r="M68" s="624">
        <v>1</v>
      </c>
      <c r="N68" s="624">
        <v>1</v>
      </c>
      <c r="O68" s="624">
        <v>0</v>
      </c>
      <c r="P68" s="624">
        <f t="shared" si="14"/>
        <v>10</v>
      </c>
    </row>
    <row r="69" spans="1:16" ht="23.25" customHeight="1" thickBot="1">
      <c r="A69" s="1088"/>
      <c r="B69" s="663" t="s">
        <v>282</v>
      </c>
      <c r="C69" s="670"/>
      <c r="D69" s="647">
        <v>0</v>
      </c>
      <c r="E69" s="636">
        <v>1</v>
      </c>
      <c r="F69" s="636">
        <v>0</v>
      </c>
      <c r="G69" s="636">
        <v>4</v>
      </c>
      <c r="H69" s="636">
        <v>0</v>
      </c>
      <c r="I69" s="636">
        <v>1</v>
      </c>
      <c r="J69" s="636">
        <v>0</v>
      </c>
      <c r="K69" s="636">
        <v>0</v>
      </c>
      <c r="L69" s="636">
        <v>0</v>
      </c>
      <c r="M69" s="637">
        <v>1</v>
      </c>
      <c r="N69" s="637">
        <v>0</v>
      </c>
      <c r="O69" s="637">
        <v>0</v>
      </c>
      <c r="P69" s="637">
        <f t="shared" si="14"/>
        <v>7</v>
      </c>
    </row>
    <row r="70" spans="1:16" ht="23.25" customHeight="1" thickTop="1">
      <c r="A70" s="1089" t="s">
        <v>283</v>
      </c>
      <c r="B70" s="664" t="s">
        <v>284</v>
      </c>
      <c r="C70" s="671">
        <v>4</v>
      </c>
      <c r="D70" s="648">
        <v>12945</v>
      </c>
      <c r="E70" s="625">
        <v>9274</v>
      </c>
      <c r="F70" s="625">
        <v>25298</v>
      </c>
      <c r="G70" s="625">
        <v>43062</v>
      </c>
      <c r="H70" s="625">
        <v>89840</v>
      </c>
      <c r="I70" s="625">
        <v>19184</v>
      </c>
      <c r="J70" s="625">
        <v>16820</v>
      </c>
      <c r="K70" s="625">
        <v>13274</v>
      </c>
      <c r="L70" s="625">
        <v>15547</v>
      </c>
      <c r="M70" s="625">
        <v>46676</v>
      </c>
      <c r="N70" s="625">
        <v>21184</v>
      </c>
      <c r="O70" s="625">
        <v>13547</v>
      </c>
      <c r="P70" s="625">
        <f t="shared" si="14"/>
        <v>326651</v>
      </c>
    </row>
    <row r="71" spans="1:16" ht="23.25" customHeight="1">
      <c r="A71" s="1090"/>
      <c r="B71" s="660" t="s">
        <v>278</v>
      </c>
      <c r="C71" s="667">
        <v>2.5</v>
      </c>
      <c r="D71" s="649">
        <v>0</v>
      </c>
      <c r="E71" s="621">
        <v>0</v>
      </c>
      <c r="F71" s="621">
        <v>0</v>
      </c>
      <c r="G71" s="621">
        <v>0</v>
      </c>
      <c r="H71" s="621">
        <v>0</v>
      </c>
      <c r="I71" s="621">
        <v>0</v>
      </c>
      <c r="J71" s="621">
        <v>0</v>
      </c>
      <c r="K71" s="621">
        <v>0</v>
      </c>
      <c r="L71" s="621">
        <v>0</v>
      </c>
      <c r="M71" s="621">
        <v>0</v>
      </c>
      <c r="N71" s="621">
        <v>0</v>
      </c>
      <c r="O71" s="621">
        <v>0</v>
      </c>
      <c r="P71" s="621">
        <f t="shared" si="14"/>
        <v>0</v>
      </c>
    </row>
    <row r="72" spans="1:16" ht="23.25" customHeight="1">
      <c r="A72" s="1090"/>
      <c r="B72" s="660" t="s">
        <v>279</v>
      </c>
      <c r="C72" s="667">
        <v>6</v>
      </c>
      <c r="D72" s="649">
        <v>7910</v>
      </c>
      <c r="E72" s="621">
        <v>7228</v>
      </c>
      <c r="F72" s="621">
        <v>10774</v>
      </c>
      <c r="G72" s="621">
        <v>9956</v>
      </c>
      <c r="H72" s="621">
        <v>9956</v>
      </c>
      <c r="I72" s="621">
        <v>9683</v>
      </c>
      <c r="J72" s="621">
        <v>9547</v>
      </c>
      <c r="K72" s="621">
        <v>10774</v>
      </c>
      <c r="L72" s="621">
        <v>9410</v>
      </c>
      <c r="M72" s="621">
        <v>9956</v>
      </c>
      <c r="N72" s="621">
        <v>9956</v>
      </c>
      <c r="O72" s="621">
        <v>12138</v>
      </c>
      <c r="P72" s="621">
        <f t="shared" si="14"/>
        <v>117288</v>
      </c>
    </row>
    <row r="73" spans="1:16" ht="23.25" customHeight="1">
      <c r="A73" s="1090"/>
      <c r="B73" s="660" t="s">
        <v>280</v>
      </c>
      <c r="C73" s="667"/>
      <c r="D73" s="649">
        <v>7933</v>
      </c>
      <c r="E73" s="621">
        <v>9024</v>
      </c>
      <c r="F73" s="621">
        <v>10888</v>
      </c>
      <c r="G73" s="621">
        <v>10524</v>
      </c>
      <c r="H73" s="621">
        <v>8274</v>
      </c>
      <c r="I73" s="621">
        <v>8978</v>
      </c>
      <c r="J73" s="621">
        <v>10910</v>
      </c>
      <c r="K73" s="621">
        <v>5523</v>
      </c>
      <c r="L73" s="621">
        <v>8137</v>
      </c>
      <c r="M73" s="621">
        <v>12479</v>
      </c>
      <c r="N73" s="621">
        <v>10888</v>
      </c>
      <c r="O73" s="621">
        <v>11251</v>
      </c>
      <c r="P73" s="621">
        <f t="shared" si="14"/>
        <v>114809</v>
      </c>
    </row>
    <row r="74" spans="1:16" ht="23.25" customHeight="1">
      <c r="A74" s="1090"/>
      <c r="B74" s="660" t="s">
        <v>281</v>
      </c>
      <c r="C74" s="667"/>
      <c r="D74" s="649">
        <v>0</v>
      </c>
      <c r="E74" s="621">
        <v>909</v>
      </c>
      <c r="F74" s="621">
        <v>909</v>
      </c>
      <c r="G74" s="621">
        <v>1364</v>
      </c>
      <c r="H74" s="621">
        <v>909</v>
      </c>
      <c r="I74" s="621">
        <v>1818</v>
      </c>
      <c r="J74" s="621">
        <v>1137</v>
      </c>
      <c r="K74" s="621">
        <v>909</v>
      </c>
      <c r="L74" s="621">
        <v>909</v>
      </c>
      <c r="M74" s="621">
        <v>909</v>
      </c>
      <c r="N74" s="621">
        <v>909</v>
      </c>
      <c r="O74" s="621">
        <v>0</v>
      </c>
      <c r="P74" s="621">
        <f t="shared" si="14"/>
        <v>10682</v>
      </c>
    </row>
    <row r="75" spans="1:16" ht="23.25" customHeight="1">
      <c r="A75" s="1091"/>
      <c r="B75" s="662" t="s">
        <v>282</v>
      </c>
      <c r="C75" s="669"/>
      <c r="D75" s="650">
        <v>0</v>
      </c>
      <c r="E75" s="624">
        <v>136</v>
      </c>
      <c r="F75" s="624">
        <v>0</v>
      </c>
      <c r="G75" s="624">
        <v>104558</v>
      </c>
      <c r="H75" s="624">
        <v>0</v>
      </c>
      <c r="I75" s="624">
        <v>136</v>
      </c>
      <c r="J75" s="624">
        <v>0</v>
      </c>
      <c r="K75" s="624">
        <v>0</v>
      </c>
      <c r="L75" s="624">
        <v>0</v>
      </c>
      <c r="M75" s="624">
        <v>136</v>
      </c>
      <c r="N75" s="624">
        <v>0</v>
      </c>
      <c r="O75" s="624">
        <v>0</v>
      </c>
      <c r="P75" s="624">
        <f t="shared" si="14"/>
        <v>104966</v>
      </c>
    </row>
    <row r="76" spans="1:16" ht="23.25" customHeight="1">
      <c r="A76" s="1092"/>
      <c r="B76" s="665" t="s">
        <v>290</v>
      </c>
      <c r="C76" s="672"/>
      <c r="D76" s="651">
        <f>SUM(D70:D75)</f>
        <v>28788</v>
      </c>
      <c r="E76" s="638">
        <f t="shared" ref="E76:O76" si="15">SUM(E70:E75)</f>
        <v>26571</v>
      </c>
      <c r="F76" s="638">
        <f t="shared" si="15"/>
        <v>47869</v>
      </c>
      <c r="G76" s="638">
        <f t="shared" si="15"/>
        <v>169464</v>
      </c>
      <c r="H76" s="638">
        <f t="shared" si="15"/>
        <v>108979</v>
      </c>
      <c r="I76" s="638">
        <f t="shared" si="15"/>
        <v>39799</v>
      </c>
      <c r="J76" s="638">
        <f t="shared" si="15"/>
        <v>38414</v>
      </c>
      <c r="K76" s="638">
        <f t="shared" si="15"/>
        <v>30480</v>
      </c>
      <c r="L76" s="638">
        <f t="shared" si="15"/>
        <v>34003</v>
      </c>
      <c r="M76" s="638">
        <f t="shared" si="15"/>
        <v>70156</v>
      </c>
      <c r="N76" s="638">
        <f t="shared" si="15"/>
        <v>42937</v>
      </c>
      <c r="O76" s="638">
        <f t="shared" si="15"/>
        <v>36936</v>
      </c>
      <c r="P76" s="638">
        <f>SUM(D76:O76)</f>
        <v>674396</v>
      </c>
    </row>
    <row r="77" spans="1:16" ht="23.25" customHeight="1">
      <c r="A77" s="1093" t="s">
        <v>285</v>
      </c>
      <c r="B77" s="1094"/>
      <c r="C77" s="673">
        <v>2.5</v>
      </c>
      <c r="D77" s="651">
        <v>0</v>
      </c>
      <c r="E77" s="638">
        <v>0</v>
      </c>
      <c r="F77" s="638">
        <v>0</v>
      </c>
      <c r="G77" s="638">
        <v>0</v>
      </c>
      <c r="H77" s="638">
        <v>0</v>
      </c>
      <c r="I77" s="638">
        <v>0</v>
      </c>
      <c r="J77" s="638">
        <v>0</v>
      </c>
      <c r="K77" s="638">
        <v>0</v>
      </c>
      <c r="L77" s="638">
        <v>0</v>
      </c>
      <c r="M77" s="638">
        <v>0</v>
      </c>
      <c r="N77" s="638">
        <v>0</v>
      </c>
      <c r="O77" s="638">
        <v>0</v>
      </c>
      <c r="P77" s="638">
        <f t="shared" ref="P77" si="16">SUM(D77:O77)</f>
        <v>0</v>
      </c>
    </row>
    <row r="78" spans="1:16" ht="23.25" customHeight="1">
      <c r="A78" s="1093" t="s">
        <v>286</v>
      </c>
      <c r="B78" s="1094"/>
      <c r="C78" s="674"/>
      <c r="D78" s="652">
        <v>8903</v>
      </c>
      <c r="E78" s="639">
        <v>8487</v>
      </c>
      <c r="F78" s="639">
        <v>14644</v>
      </c>
      <c r="G78" s="639">
        <v>16891</v>
      </c>
      <c r="H78" s="639">
        <v>20053</v>
      </c>
      <c r="I78" s="639">
        <v>17556</v>
      </c>
      <c r="J78" s="639">
        <v>15393</v>
      </c>
      <c r="K78" s="639">
        <v>12148</v>
      </c>
      <c r="L78" s="639">
        <v>14228</v>
      </c>
      <c r="M78" s="639">
        <v>19720</v>
      </c>
      <c r="N78" s="639">
        <v>19387</v>
      </c>
      <c r="O78" s="639">
        <v>12398</v>
      </c>
      <c r="P78" s="638">
        <f>SUM(D78:O78)</f>
        <v>179808</v>
      </c>
    </row>
    <row r="79" spans="1:16" ht="23.25" customHeight="1">
      <c r="A79" s="1079" t="s">
        <v>295</v>
      </c>
      <c r="B79" s="1099" t="s">
        <v>287</v>
      </c>
      <c r="C79" s="1100"/>
      <c r="D79" s="653">
        <v>0</v>
      </c>
      <c r="E79" s="631">
        <v>0</v>
      </c>
      <c r="F79" s="631">
        <v>0</v>
      </c>
      <c r="G79" s="631">
        <v>0</v>
      </c>
      <c r="H79" s="631">
        <v>495000</v>
      </c>
      <c r="I79" s="631">
        <v>0</v>
      </c>
      <c r="J79" s="631">
        <v>0</v>
      </c>
      <c r="K79" s="631">
        <v>0</v>
      </c>
      <c r="L79" s="631">
        <v>0</v>
      </c>
      <c r="M79" s="631">
        <v>0</v>
      </c>
      <c r="N79" s="631">
        <v>0</v>
      </c>
      <c r="O79" s="631">
        <v>0</v>
      </c>
      <c r="P79" s="632">
        <f>SUM(D79:O79)</f>
        <v>495000</v>
      </c>
    </row>
    <row r="80" spans="1:16" ht="23.25" customHeight="1">
      <c r="A80" s="1080"/>
      <c r="B80" s="1101" t="s">
        <v>288</v>
      </c>
      <c r="C80" s="1102"/>
      <c r="D80" s="654">
        <v>0</v>
      </c>
      <c r="E80" s="630">
        <v>0</v>
      </c>
      <c r="F80" s="630">
        <v>0</v>
      </c>
      <c r="G80" s="630">
        <v>2699000</v>
      </c>
      <c r="H80" s="630">
        <v>0</v>
      </c>
      <c r="I80" s="630">
        <v>0</v>
      </c>
      <c r="J80" s="630">
        <v>0</v>
      </c>
      <c r="K80" s="630">
        <v>0</v>
      </c>
      <c r="L80" s="630">
        <v>0</v>
      </c>
      <c r="M80" s="630">
        <v>0</v>
      </c>
      <c r="N80" s="630">
        <v>0</v>
      </c>
      <c r="O80" s="630">
        <v>0</v>
      </c>
      <c r="P80" s="633">
        <f t="shared" ref="P80:P83" si="17">SUM(D80:O80)</f>
        <v>2699000</v>
      </c>
    </row>
    <row r="81" spans="1:16" ht="23.25" customHeight="1">
      <c r="A81" s="1080"/>
      <c r="B81" s="1082" t="s">
        <v>289</v>
      </c>
      <c r="C81" s="1083"/>
      <c r="D81" s="654">
        <v>0</v>
      </c>
      <c r="E81" s="630">
        <v>0</v>
      </c>
      <c r="F81" s="630">
        <v>0</v>
      </c>
      <c r="G81" s="630">
        <v>0</v>
      </c>
      <c r="H81" s="630">
        <v>0</v>
      </c>
      <c r="I81" s="634">
        <v>0</v>
      </c>
      <c r="J81" s="630">
        <v>0</v>
      </c>
      <c r="K81" s="630">
        <v>0</v>
      </c>
      <c r="L81" s="630">
        <v>0</v>
      </c>
      <c r="M81" s="634">
        <v>0</v>
      </c>
      <c r="N81" s="630">
        <v>0</v>
      </c>
      <c r="O81" s="630">
        <v>0</v>
      </c>
      <c r="P81" s="633">
        <f t="shared" si="17"/>
        <v>0</v>
      </c>
    </row>
    <row r="82" spans="1:16" ht="23.25" customHeight="1">
      <c r="A82" s="1080"/>
      <c r="B82" s="1082" t="s">
        <v>292</v>
      </c>
      <c r="C82" s="1083"/>
      <c r="D82" s="676">
        <v>0</v>
      </c>
      <c r="E82" s="677">
        <v>0</v>
      </c>
      <c r="F82" s="677">
        <v>0</v>
      </c>
      <c r="G82" s="677">
        <v>0</v>
      </c>
      <c r="H82" s="677">
        <v>0</v>
      </c>
      <c r="I82" s="678">
        <v>0</v>
      </c>
      <c r="J82" s="677">
        <v>0</v>
      </c>
      <c r="K82" s="677">
        <v>0</v>
      </c>
      <c r="L82" s="677">
        <v>0</v>
      </c>
      <c r="M82" s="678">
        <v>502111</v>
      </c>
      <c r="N82" s="677">
        <v>0</v>
      </c>
      <c r="O82" s="677">
        <v>0</v>
      </c>
      <c r="P82" s="633">
        <f t="shared" si="17"/>
        <v>502111</v>
      </c>
    </row>
    <row r="83" spans="1:16" ht="23.25" customHeight="1">
      <c r="A83" s="1080"/>
      <c r="B83" s="1095"/>
      <c r="C83" s="1096"/>
      <c r="D83" s="655">
        <v>0</v>
      </c>
      <c r="E83" s="629">
        <v>0</v>
      </c>
      <c r="F83" s="629">
        <v>0</v>
      </c>
      <c r="G83" s="629">
        <v>0</v>
      </c>
      <c r="H83" s="629">
        <v>0</v>
      </c>
      <c r="I83" s="629">
        <v>0</v>
      </c>
      <c r="J83" s="629">
        <v>0</v>
      </c>
      <c r="K83" s="629">
        <v>0</v>
      </c>
      <c r="L83" s="629">
        <v>0</v>
      </c>
      <c r="M83" s="629">
        <v>0</v>
      </c>
      <c r="N83" s="629">
        <v>0</v>
      </c>
      <c r="O83" s="629">
        <v>0</v>
      </c>
      <c r="P83" s="629">
        <f t="shared" si="17"/>
        <v>0</v>
      </c>
    </row>
    <row r="84" spans="1:16" ht="23.25" customHeight="1">
      <c r="A84" s="1081"/>
      <c r="B84" s="1097" t="s">
        <v>290</v>
      </c>
      <c r="C84" s="1098"/>
      <c r="D84" s="656">
        <f t="shared" ref="D84:P84" si="18">SUM(D79:D83)</f>
        <v>0</v>
      </c>
      <c r="E84" s="640">
        <f t="shared" si="18"/>
        <v>0</v>
      </c>
      <c r="F84" s="640">
        <f t="shared" si="18"/>
        <v>0</v>
      </c>
      <c r="G84" s="640">
        <f t="shared" si="18"/>
        <v>2699000</v>
      </c>
      <c r="H84" s="640">
        <f t="shared" si="18"/>
        <v>495000</v>
      </c>
      <c r="I84" s="640">
        <f t="shared" si="18"/>
        <v>0</v>
      </c>
      <c r="J84" s="640">
        <f t="shared" si="18"/>
        <v>0</v>
      </c>
      <c r="K84" s="640">
        <f t="shared" si="18"/>
        <v>0</v>
      </c>
      <c r="L84" s="640">
        <f t="shared" si="18"/>
        <v>0</v>
      </c>
      <c r="M84" s="640">
        <f t="shared" si="18"/>
        <v>502111</v>
      </c>
      <c r="N84" s="640">
        <f t="shared" si="18"/>
        <v>0</v>
      </c>
      <c r="O84" s="640">
        <f t="shared" si="18"/>
        <v>0</v>
      </c>
      <c r="P84" s="640">
        <f t="shared" si="18"/>
        <v>3696111</v>
      </c>
    </row>
    <row r="85" spans="1:16" ht="27.75" customHeight="1">
      <c r="A85" s="1084" t="s">
        <v>293</v>
      </c>
      <c r="B85" s="1084"/>
      <c r="C85" s="1085"/>
      <c r="D85" s="657">
        <f t="shared" ref="D85:P85" si="19">SUM(D76,D77,D78,D84)</f>
        <v>37691</v>
      </c>
      <c r="E85" s="641">
        <f t="shared" si="19"/>
        <v>35058</v>
      </c>
      <c r="F85" s="641">
        <f t="shared" si="19"/>
        <v>62513</v>
      </c>
      <c r="G85" s="641">
        <f t="shared" si="19"/>
        <v>2885355</v>
      </c>
      <c r="H85" s="641">
        <f t="shared" si="19"/>
        <v>624032</v>
      </c>
      <c r="I85" s="641">
        <f t="shared" si="19"/>
        <v>57355</v>
      </c>
      <c r="J85" s="641">
        <f t="shared" si="19"/>
        <v>53807</v>
      </c>
      <c r="K85" s="641">
        <f t="shared" si="19"/>
        <v>42628</v>
      </c>
      <c r="L85" s="641">
        <f t="shared" si="19"/>
        <v>48231</v>
      </c>
      <c r="M85" s="641">
        <f t="shared" si="19"/>
        <v>591987</v>
      </c>
      <c r="N85" s="641">
        <f t="shared" si="19"/>
        <v>62324</v>
      </c>
      <c r="O85" s="641">
        <f t="shared" si="19"/>
        <v>49334</v>
      </c>
      <c r="P85" s="641">
        <f t="shared" si="19"/>
        <v>4550315</v>
      </c>
    </row>
    <row r="87" spans="1:16" s="613" customFormat="1" ht="23.25" customHeight="1">
      <c r="A87" s="675">
        <f>A60+1</f>
        <v>2027</v>
      </c>
      <c r="B87" s="616" t="s">
        <v>268</v>
      </c>
      <c r="C87" s="658" t="s">
        <v>269</v>
      </c>
      <c r="D87" s="642" t="s">
        <v>270</v>
      </c>
      <c r="E87" s="617" t="s">
        <v>271</v>
      </c>
      <c r="F87" s="617" t="s">
        <v>72</v>
      </c>
      <c r="G87" s="617" t="s">
        <v>73</v>
      </c>
      <c r="H87" s="617" t="s">
        <v>74</v>
      </c>
      <c r="I87" s="617" t="s">
        <v>75</v>
      </c>
      <c r="J87" s="617" t="s">
        <v>76</v>
      </c>
      <c r="K87" s="617" t="s">
        <v>77</v>
      </c>
      <c r="L87" s="617" t="s">
        <v>78</v>
      </c>
      <c r="M87" s="617" t="s">
        <v>79</v>
      </c>
      <c r="N87" s="617" t="s">
        <v>80</v>
      </c>
      <c r="O87" s="617" t="s">
        <v>81</v>
      </c>
      <c r="P87" s="617" t="s">
        <v>272</v>
      </c>
    </row>
    <row r="88" spans="1:16" ht="23.25" customHeight="1">
      <c r="A88" s="1086" t="s">
        <v>273</v>
      </c>
      <c r="B88" s="659" t="s">
        <v>274</v>
      </c>
      <c r="C88" s="666"/>
      <c r="D88" s="643">
        <v>67</v>
      </c>
      <c r="E88" s="618">
        <v>1447</v>
      </c>
      <c r="F88" s="618">
        <v>380</v>
      </c>
      <c r="G88" s="618">
        <v>0</v>
      </c>
      <c r="H88" s="618">
        <v>0</v>
      </c>
      <c r="I88" s="618">
        <v>0</v>
      </c>
      <c r="J88" s="618">
        <v>0</v>
      </c>
      <c r="K88" s="618">
        <v>1098</v>
      </c>
      <c r="L88" s="618">
        <v>4497</v>
      </c>
      <c r="M88" s="619">
        <v>0</v>
      </c>
      <c r="N88" s="619">
        <v>0</v>
      </c>
      <c r="O88" s="619">
        <v>3429</v>
      </c>
      <c r="P88" s="619">
        <f>SUM(D88:O88)</f>
        <v>10918</v>
      </c>
    </row>
    <row r="89" spans="1:16" ht="23.25" customHeight="1">
      <c r="A89" s="1087"/>
      <c r="B89" s="660" t="s">
        <v>275</v>
      </c>
      <c r="C89" s="667"/>
      <c r="D89" s="644">
        <v>104</v>
      </c>
      <c r="E89" s="620">
        <v>99</v>
      </c>
      <c r="F89" s="620">
        <v>171</v>
      </c>
      <c r="G89" s="620">
        <v>198</v>
      </c>
      <c r="H89" s="620">
        <v>234</v>
      </c>
      <c r="I89" s="620">
        <v>205</v>
      </c>
      <c r="J89" s="620">
        <v>179</v>
      </c>
      <c r="K89" s="620">
        <v>142</v>
      </c>
      <c r="L89" s="620">
        <v>166</v>
      </c>
      <c r="M89" s="621">
        <v>230</v>
      </c>
      <c r="N89" s="621">
        <v>226</v>
      </c>
      <c r="O89" s="621">
        <v>145</v>
      </c>
      <c r="P89" s="621">
        <f>SUM(D89:O89)</f>
        <v>2099</v>
      </c>
    </row>
    <row r="90" spans="1:16" ht="23.25" customHeight="1">
      <c r="A90" s="1087"/>
      <c r="B90" s="661" t="s">
        <v>276</v>
      </c>
      <c r="C90" s="668"/>
      <c r="D90" s="645">
        <f>SUM(D88:D89)</f>
        <v>171</v>
      </c>
      <c r="E90" s="622">
        <f t="shared" ref="E90:O90" si="20">SUM(E88:E89)</f>
        <v>1546</v>
      </c>
      <c r="F90" s="622">
        <f t="shared" si="20"/>
        <v>551</v>
      </c>
      <c r="G90" s="622">
        <f t="shared" si="20"/>
        <v>198</v>
      </c>
      <c r="H90" s="622">
        <f t="shared" si="20"/>
        <v>234</v>
      </c>
      <c r="I90" s="622">
        <f t="shared" si="20"/>
        <v>205</v>
      </c>
      <c r="J90" s="622">
        <f t="shared" si="20"/>
        <v>179</v>
      </c>
      <c r="K90" s="622">
        <f t="shared" si="20"/>
        <v>1240</v>
      </c>
      <c r="L90" s="622">
        <f t="shared" si="20"/>
        <v>4663</v>
      </c>
      <c r="M90" s="635">
        <f t="shared" si="20"/>
        <v>230</v>
      </c>
      <c r="N90" s="635">
        <f t="shared" si="20"/>
        <v>226</v>
      </c>
      <c r="O90" s="635">
        <f t="shared" si="20"/>
        <v>3574</v>
      </c>
      <c r="P90" s="622">
        <f>SUM(D90:O90)</f>
        <v>13017</v>
      </c>
    </row>
    <row r="91" spans="1:16" ht="23.25" customHeight="1">
      <c r="A91" s="1087"/>
      <c r="B91" s="660" t="s">
        <v>277</v>
      </c>
      <c r="C91" s="667"/>
      <c r="D91" s="644">
        <v>171</v>
      </c>
      <c r="E91" s="620">
        <v>1546</v>
      </c>
      <c r="F91" s="620">
        <v>551</v>
      </c>
      <c r="G91" s="620">
        <v>198</v>
      </c>
      <c r="H91" s="620">
        <v>234</v>
      </c>
      <c r="I91" s="620">
        <v>205</v>
      </c>
      <c r="J91" s="620">
        <v>179</v>
      </c>
      <c r="K91" s="620">
        <v>1240</v>
      </c>
      <c r="L91" s="620">
        <v>4663</v>
      </c>
      <c r="M91" s="621">
        <v>230</v>
      </c>
      <c r="N91" s="621">
        <v>226</v>
      </c>
      <c r="O91" s="621">
        <v>3574</v>
      </c>
      <c r="P91" s="621">
        <f t="shared" ref="P91:P102" si="21">SUM(D91:O91)</f>
        <v>13017</v>
      </c>
    </row>
    <row r="92" spans="1:16" ht="23.25" customHeight="1">
      <c r="A92" s="1087"/>
      <c r="B92" s="660" t="s">
        <v>278</v>
      </c>
      <c r="C92" s="667">
        <v>2.5</v>
      </c>
      <c r="D92" s="644"/>
      <c r="E92" s="620"/>
      <c r="F92" s="620"/>
      <c r="G92" s="620"/>
      <c r="H92" s="620"/>
      <c r="I92" s="620"/>
      <c r="J92" s="620"/>
      <c r="K92" s="620"/>
      <c r="L92" s="620"/>
      <c r="M92" s="621"/>
      <c r="N92" s="621"/>
      <c r="O92" s="621"/>
      <c r="P92" s="621">
        <f t="shared" si="21"/>
        <v>0</v>
      </c>
    </row>
    <row r="93" spans="1:16" ht="23.25" customHeight="1">
      <c r="A93" s="1087"/>
      <c r="B93" s="660" t="s">
        <v>279</v>
      </c>
      <c r="C93" s="667">
        <v>6</v>
      </c>
      <c r="D93" s="644">
        <v>59</v>
      </c>
      <c r="E93" s="620">
        <v>54</v>
      </c>
      <c r="F93" s="620">
        <v>81</v>
      </c>
      <c r="G93" s="620">
        <v>74</v>
      </c>
      <c r="H93" s="620">
        <v>74</v>
      </c>
      <c r="I93" s="620">
        <v>72</v>
      </c>
      <c r="J93" s="620">
        <v>71</v>
      </c>
      <c r="K93" s="620">
        <v>81</v>
      </c>
      <c r="L93" s="620">
        <v>70</v>
      </c>
      <c r="M93" s="621">
        <v>74</v>
      </c>
      <c r="N93" s="621">
        <v>74</v>
      </c>
      <c r="O93" s="621">
        <v>91</v>
      </c>
      <c r="P93" s="621">
        <f t="shared" si="21"/>
        <v>875</v>
      </c>
    </row>
    <row r="94" spans="1:16" ht="23.25" customHeight="1">
      <c r="A94" s="1087"/>
      <c r="B94" s="660" t="s">
        <v>280</v>
      </c>
      <c r="C94" s="667"/>
      <c r="D94" s="644">
        <v>27</v>
      </c>
      <c r="E94" s="620">
        <v>24</v>
      </c>
      <c r="F94" s="620">
        <v>29</v>
      </c>
      <c r="G94" s="620">
        <v>27</v>
      </c>
      <c r="H94" s="620">
        <v>27</v>
      </c>
      <c r="I94" s="620">
        <v>23</v>
      </c>
      <c r="J94" s="620">
        <v>22</v>
      </c>
      <c r="K94" s="620">
        <v>20</v>
      </c>
      <c r="L94" s="620">
        <v>27</v>
      </c>
      <c r="M94" s="621">
        <v>31</v>
      </c>
      <c r="N94" s="621">
        <v>33</v>
      </c>
      <c r="O94" s="621">
        <v>24</v>
      </c>
      <c r="P94" s="621">
        <f t="shared" si="21"/>
        <v>314</v>
      </c>
    </row>
    <row r="95" spans="1:16" ht="23.25" customHeight="1">
      <c r="A95" s="1087"/>
      <c r="B95" s="662" t="s">
        <v>281</v>
      </c>
      <c r="C95" s="669"/>
      <c r="D95" s="646">
        <v>0</v>
      </c>
      <c r="E95" s="623">
        <v>1</v>
      </c>
      <c r="F95" s="623">
        <v>1</v>
      </c>
      <c r="G95" s="623">
        <v>1</v>
      </c>
      <c r="H95" s="623">
        <v>0</v>
      </c>
      <c r="I95" s="623">
        <v>1</v>
      </c>
      <c r="J95" s="623">
        <v>1</v>
      </c>
      <c r="K95" s="623">
        <v>1</v>
      </c>
      <c r="L95" s="623">
        <v>1</v>
      </c>
      <c r="M95" s="624">
        <v>0</v>
      </c>
      <c r="N95" s="624">
        <v>2</v>
      </c>
      <c r="O95" s="624">
        <v>0</v>
      </c>
      <c r="P95" s="624">
        <f t="shared" si="21"/>
        <v>9</v>
      </c>
    </row>
    <row r="96" spans="1:16" ht="23.25" customHeight="1" thickBot="1">
      <c r="A96" s="1088"/>
      <c r="B96" s="663" t="s">
        <v>282</v>
      </c>
      <c r="C96" s="670"/>
      <c r="D96" s="647">
        <v>0</v>
      </c>
      <c r="E96" s="636">
        <v>1</v>
      </c>
      <c r="F96" s="636">
        <v>0</v>
      </c>
      <c r="G96" s="636">
        <v>4</v>
      </c>
      <c r="H96" s="636">
        <v>0</v>
      </c>
      <c r="I96" s="636">
        <v>1</v>
      </c>
      <c r="J96" s="636">
        <v>0</v>
      </c>
      <c r="K96" s="636">
        <v>0</v>
      </c>
      <c r="L96" s="636">
        <v>0</v>
      </c>
      <c r="M96" s="637">
        <v>1</v>
      </c>
      <c r="N96" s="637">
        <v>0</v>
      </c>
      <c r="O96" s="637">
        <v>0</v>
      </c>
      <c r="P96" s="637">
        <f t="shared" si="21"/>
        <v>7</v>
      </c>
    </row>
    <row r="97" spans="1:16" ht="23.25" customHeight="1" thickTop="1">
      <c r="A97" s="1089" t="s">
        <v>283</v>
      </c>
      <c r="B97" s="664" t="s">
        <v>284</v>
      </c>
      <c r="C97" s="671">
        <v>4</v>
      </c>
      <c r="D97" s="648">
        <v>15547</v>
      </c>
      <c r="E97" s="625">
        <v>78430</v>
      </c>
      <c r="F97" s="625">
        <v>46699</v>
      </c>
      <c r="G97" s="625">
        <v>18002</v>
      </c>
      <c r="H97" s="625">
        <v>21275</v>
      </c>
      <c r="I97" s="625">
        <v>18639</v>
      </c>
      <c r="J97" s="625">
        <v>16275</v>
      </c>
      <c r="K97" s="625">
        <v>112741</v>
      </c>
      <c r="L97" s="625">
        <v>358441</v>
      </c>
      <c r="M97" s="625">
        <v>20912</v>
      </c>
      <c r="N97" s="625">
        <v>20548</v>
      </c>
      <c r="O97" s="625">
        <v>223413</v>
      </c>
      <c r="P97" s="625">
        <f t="shared" si="21"/>
        <v>950922</v>
      </c>
    </row>
    <row r="98" spans="1:16" ht="23.25" customHeight="1">
      <c r="A98" s="1090"/>
      <c r="B98" s="660" t="s">
        <v>278</v>
      </c>
      <c r="C98" s="667">
        <v>2.5</v>
      </c>
      <c r="D98" s="649">
        <v>0</v>
      </c>
      <c r="E98" s="621">
        <v>0</v>
      </c>
      <c r="F98" s="621">
        <v>0</v>
      </c>
      <c r="G98" s="621">
        <v>0</v>
      </c>
      <c r="H98" s="621">
        <v>0</v>
      </c>
      <c r="I98" s="621">
        <v>0</v>
      </c>
      <c r="J98" s="621">
        <v>0</v>
      </c>
      <c r="K98" s="621">
        <v>0</v>
      </c>
      <c r="L98" s="621">
        <v>0</v>
      </c>
      <c r="M98" s="621">
        <v>0</v>
      </c>
      <c r="N98" s="621">
        <v>0</v>
      </c>
      <c r="O98" s="621">
        <v>0</v>
      </c>
      <c r="P98" s="621">
        <f t="shared" si="21"/>
        <v>0</v>
      </c>
    </row>
    <row r="99" spans="1:16" ht="23.25" customHeight="1">
      <c r="A99" s="1090"/>
      <c r="B99" s="660" t="s">
        <v>279</v>
      </c>
      <c r="C99" s="667">
        <v>6</v>
      </c>
      <c r="D99" s="649">
        <v>8046</v>
      </c>
      <c r="E99" s="621">
        <v>7365</v>
      </c>
      <c r="F99" s="621">
        <v>11047</v>
      </c>
      <c r="G99" s="621">
        <v>10092</v>
      </c>
      <c r="H99" s="621">
        <v>10092</v>
      </c>
      <c r="I99" s="621">
        <v>9819</v>
      </c>
      <c r="J99" s="621">
        <v>9683</v>
      </c>
      <c r="K99" s="621">
        <v>11047</v>
      </c>
      <c r="L99" s="621">
        <v>9547</v>
      </c>
      <c r="M99" s="621">
        <v>10092</v>
      </c>
      <c r="N99" s="621">
        <v>10092</v>
      </c>
      <c r="O99" s="621">
        <v>12411</v>
      </c>
      <c r="P99" s="621">
        <f t="shared" si="21"/>
        <v>119333</v>
      </c>
    </row>
    <row r="100" spans="1:16" ht="23.25" customHeight="1">
      <c r="A100" s="1090"/>
      <c r="B100" s="660" t="s">
        <v>280</v>
      </c>
      <c r="C100" s="667"/>
      <c r="D100" s="649">
        <v>8319</v>
      </c>
      <c r="E100" s="621">
        <v>8365</v>
      </c>
      <c r="F100" s="621">
        <v>11251</v>
      </c>
      <c r="G100" s="621">
        <v>9638</v>
      </c>
      <c r="H100" s="621">
        <v>8183</v>
      </c>
      <c r="I100" s="621">
        <v>8546</v>
      </c>
      <c r="J100" s="621">
        <v>10410</v>
      </c>
      <c r="K100" s="621">
        <v>5182</v>
      </c>
      <c r="L100" s="621">
        <v>7910</v>
      </c>
      <c r="M100" s="621">
        <v>12570</v>
      </c>
      <c r="N100" s="621">
        <v>12092</v>
      </c>
      <c r="O100" s="621">
        <v>10388</v>
      </c>
      <c r="P100" s="621">
        <f t="shared" si="21"/>
        <v>112854</v>
      </c>
    </row>
    <row r="101" spans="1:16" ht="23.25" customHeight="1">
      <c r="A101" s="1090"/>
      <c r="B101" s="660" t="s">
        <v>281</v>
      </c>
      <c r="C101" s="667"/>
      <c r="D101" s="649">
        <v>0</v>
      </c>
      <c r="E101" s="621">
        <v>909</v>
      </c>
      <c r="F101" s="621">
        <v>909</v>
      </c>
      <c r="G101" s="621">
        <v>1818</v>
      </c>
      <c r="H101" s="621">
        <v>0</v>
      </c>
      <c r="I101" s="621">
        <v>1137</v>
      </c>
      <c r="J101" s="621">
        <v>909</v>
      </c>
      <c r="K101" s="621">
        <v>1137</v>
      </c>
      <c r="L101" s="621">
        <v>1364</v>
      </c>
      <c r="M101" s="621">
        <v>0</v>
      </c>
      <c r="N101" s="621">
        <v>3637</v>
      </c>
      <c r="O101" s="621">
        <v>0</v>
      </c>
      <c r="P101" s="621">
        <f t="shared" si="21"/>
        <v>11820</v>
      </c>
    </row>
    <row r="102" spans="1:16" ht="23.25" customHeight="1">
      <c r="A102" s="1091"/>
      <c r="B102" s="662" t="s">
        <v>282</v>
      </c>
      <c r="C102" s="669"/>
      <c r="D102" s="650">
        <v>0</v>
      </c>
      <c r="E102" s="624">
        <v>136</v>
      </c>
      <c r="F102" s="624">
        <v>0</v>
      </c>
      <c r="G102" s="624">
        <v>104558</v>
      </c>
      <c r="H102" s="624">
        <v>0</v>
      </c>
      <c r="I102" s="624">
        <v>136</v>
      </c>
      <c r="J102" s="624">
        <v>0</v>
      </c>
      <c r="K102" s="624">
        <v>0</v>
      </c>
      <c r="L102" s="624">
        <v>0</v>
      </c>
      <c r="M102" s="624">
        <v>136</v>
      </c>
      <c r="N102" s="624">
        <v>0</v>
      </c>
      <c r="O102" s="624">
        <v>0</v>
      </c>
      <c r="P102" s="624">
        <f t="shared" si="21"/>
        <v>104966</v>
      </c>
    </row>
    <row r="103" spans="1:16" ht="23.25" customHeight="1">
      <c r="A103" s="1092"/>
      <c r="B103" s="665" t="s">
        <v>290</v>
      </c>
      <c r="C103" s="672"/>
      <c r="D103" s="651">
        <f>SUM(D97:D102)</f>
        <v>31912</v>
      </c>
      <c r="E103" s="638">
        <f t="shared" ref="E103:O103" si="22">SUM(E97:E102)</f>
        <v>95205</v>
      </c>
      <c r="F103" s="638">
        <f t="shared" si="22"/>
        <v>69906</v>
      </c>
      <c r="G103" s="638">
        <f t="shared" si="22"/>
        <v>144108</v>
      </c>
      <c r="H103" s="638">
        <f t="shared" si="22"/>
        <v>39550</v>
      </c>
      <c r="I103" s="638">
        <f t="shared" si="22"/>
        <v>38277</v>
      </c>
      <c r="J103" s="638">
        <f t="shared" si="22"/>
        <v>37277</v>
      </c>
      <c r="K103" s="638">
        <f t="shared" si="22"/>
        <v>130107</v>
      </c>
      <c r="L103" s="638">
        <f t="shared" si="22"/>
        <v>377262</v>
      </c>
      <c r="M103" s="638">
        <f t="shared" si="22"/>
        <v>43710</v>
      </c>
      <c r="N103" s="638">
        <f t="shared" si="22"/>
        <v>46369</v>
      </c>
      <c r="O103" s="638">
        <f t="shared" si="22"/>
        <v>246212</v>
      </c>
      <c r="P103" s="638">
        <f>SUM(D103:O103)</f>
        <v>1299895</v>
      </c>
    </row>
    <row r="104" spans="1:16" ht="23.25" customHeight="1">
      <c r="A104" s="1093" t="s">
        <v>285</v>
      </c>
      <c r="B104" s="1094"/>
      <c r="C104" s="673">
        <v>2.5</v>
      </c>
      <c r="D104" s="651">
        <v>0</v>
      </c>
      <c r="E104" s="638">
        <v>0</v>
      </c>
      <c r="F104" s="638">
        <v>0</v>
      </c>
      <c r="G104" s="638">
        <v>0</v>
      </c>
      <c r="H104" s="638">
        <v>0</v>
      </c>
      <c r="I104" s="638">
        <v>0</v>
      </c>
      <c r="J104" s="638">
        <v>0</v>
      </c>
      <c r="K104" s="638">
        <v>0</v>
      </c>
      <c r="L104" s="638">
        <v>0</v>
      </c>
      <c r="M104" s="638">
        <v>0</v>
      </c>
      <c r="N104" s="638">
        <v>0</v>
      </c>
      <c r="O104" s="638">
        <v>0</v>
      </c>
      <c r="P104" s="638">
        <f t="shared" ref="P104" si="23">SUM(D104:O104)</f>
        <v>0</v>
      </c>
    </row>
    <row r="105" spans="1:16" ht="23.25" customHeight="1">
      <c r="A105" s="1093" t="s">
        <v>286</v>
      </c>
      <c r="B105" s="1094"/>
      <c r="C105" s="674"/>
      <c r="D105" s="652">
        <v>8653</v>
      </c>
      <c r="E105" s="639">
        <v>8237</v>
      </c>
      <c r="F105" s="639">
        <v>14228</v>
      </c>
      <c r="G105" s="639">
        <v>16475</v>
      </c>
      <c r="H105" s="639">
        <v>19470</v>
      </c>
      <c r="I105" s="639">
        <v>17057</v>
      </c>
      <c r="J105" s="639">
        <v>14894</v>
      </c>
      <c r="K105" s="639">
        <v>11815</v>
      </c>
      <c r="L105" s="639">
        <v>13812</v>
      </c>
      <c r="M105" s="639">
        <v>19137</v>
      </c>
      <c r="N105" s="639">
        <v>18804</v>
      </c>
      <c r="O105" s="639">
        <v>12065</v>
      </c>
      <c r="P105" s="638">
        <f>SUM(D105:O105)</f>
        <v>174647</v>
      </c>
    </row>
    <row r="106" spans="1:16" ht="23.25" customHeight="1">
      <c r="A106" s="1079" t="s">
        <v>295</v>
      </c>
      <c r="B106" s="1099" t="s">
        <v>287</v>
      </c>
      <c r="C106" s="1100"/>
      <c r="D106" s="653">
        <v>0</v>
      </c>
      <c r="E106" s="631">
        <v>0</v>
      </c>
      <c r="F106" s="631">
        <v>0</v>
      </c>
      <c r="G106" s="631">
        <v>0</v>
      </c>
      <c r="H106" s="631">
        <v>495000</v>
      </c>
      <c r="I106" s="631">
        <v>0</v>
      </c>
      <c r="J106" s="631">
        <v>0</v>
      </c>
      <c r="K106" s="631">
        <v>0</v>
      </c>
      <c r="L106" s="631">
        <v>0</v>
      </c>
      <c r="M106" s="631">
        <v>0</v>
      </c>
      <c r="N106" s="631">
        <v>0</v>
      </c>
      <c r="O106" s="631">
        <v>0</v>
      </c>
      <c r="P106" s="632">
        <f>SUM(D106:O106)</f>
        <v>495000</v>
      </c>
    </row>
    <row r="107" spans="1:16" ht="23.25" customHeight="1">
      <c r="A107" s="1080"/>
      <c r="B107" s="1101" t="s">
        <v>288</v>
      </c>
      <c r="C107" s="1102"/>
      <c r="D107" s="654">
        <v>0</v>
      </c>
      <c r="E107" s="630">
        <v>0</v>
      </c>
      <c r="F107" s="630">
        <v>0</v>
      </c>
      <c r="G107" s="630">
        <v>1682000</v>
      </c>
      <c r="H107" s="630">
        <v>0</v>
      </c>
      <c r="I107" s="630">
        <v>0</v>
      </c>
      <c r="J107" s="630">
        <v>0</v>
      </c>
      <c r="K107" s="630">
        <v>0</v>
      </c>
      <c r="L107" s="630">
        <v>0</v>
      </c>
      <c r="M107" s="630">
        <v>0</v>
      </c>
      <c r="N107" s="630">
        <v>0</v>
      </c>
      <c r="O107" s="630">
        <v>0</v>
      </c>
      <c r="P107" s="633">
        <f t="shared" ref="P107:P110" si="24">SUM(D107:O107)</f>
        <v>1682000</v>
      </c>
    </row>
    <row r="108" spans="1:16" ht="23.25" customHeight="1">
      <c r="A108" s="1080"/>
      <c r="B108" s="1082" t="s">
        <v>289</v>
      </c>
      <c r="C108" s="1083"/>
      <c r="D108" s="654">
        <v>0</v>
      </c>
      <c r="E108" s="630">
        <v>0</v>
      </c>
      <c r="F108" s="630">
        <v>0</v>
      </c>
      <c r="G108" s="630">
        <v>0</v>
      </c>
      <c r="H108" s="630">
        <v>0</v>
      </c>
      <c r="I108" s="634">
        <v>0</v>
      </c>
      <c r="J108" s="630">
        <v>0</v>
      </c>
      <c r="K108" s="630">
        <v>0</v>
      </c>
      <c r="L108" s="630">
        <v>0</v>
      </c>
      <c r="M108" s="634">
        <v>0</v>
      </c>
      <c r="N108" s="630">
        <v>0</v>
      </c>
      <c r="O108" s="630">
        <v>0</v>
      </c>
      <c r="P108" s="633">
        <f t="shared" si="24"/>
        <v>0</v>
      </c>
    </row>
    <row r="109" spans="1:16" ht="23.25" customHeight="1">
      <c r="A109" s="1080"/>
      <c r="B109" s="1082"/>
      <c r="C109" s="1083"/>
      <c r="D109" s="676">
        <v>0</v>
      </c>
      <c r="E109" s="677">
        <v>0</v>
      </c>
      <c r="F109" s="677">
        <v>0</v>
      </c>
      <c r="G109" s="677">
        <v>0</v>
      </c>
      <c r="H109" s="677">
        <v>0</v>
      </c>
      <c r="I109" s="678">
        <v>0</v>
      </c>
      <c r="J109" s="677">
        <v>0</v>
      </c>
      <c r="K109" s="677">
        <v>0</v>
      </c>
      <c r="L109" s="677">
        <v>0</v>
      </c>
      <c r="M109" s="678">
        <v>0</v>
      </c>
      <c r="N109" s="677">
        <v>0</v>
      </c>
      <c r="O109" s="677">
        <v>0</v>
      </c>
      <c r="P109" s="633">
        <f t="shared" si="24"/>
        <v>0</v>
      </c>
    </row>
    <row r="110" spans="1:16" ht="23.25" customHeight="1">
      <c r="A110" s="1080"/>
      <c r="B110" s="1095"/>
      <c r="C110" s="1096"/>
      <c r="D110" s="655">
        <v>0</v>
      </c>
      <c r="E110" s="629">
        <v>0</v>
      </c>
      <c r="F110" s="629">
        <v>0</v>
      </c>
      <c r="G110" s="629">
        <v>0</v>
      </c>
      <c r="H110" s="629">
        <v>0</v>
      </c>
      <c r="I110" s="629">
        <v>0</v>
      </c>
      <c r="J110" s="629">
        <v>0</v>
      </c>
      <c r="K110" s="629">
        <v>0</v>
      </c>
      <c r="L110" s="629">
        <v>0</v>
      </c>
      <c r="M110" s="629">
        <v>0</v>
      </c>
      <c r="N110" s="629">
        <v>0</v>
      </c>
      <c r="O110" s="629">
        <v>0</v>
      </c>
      <c r="P110" s="629">
        <f t="shared" si="24"/>
        <v>0</v>
      </c>
    </row>
    <row r="111" spans="1:16" ht="23.25" customHeight="1">
      <c r="A111" s="1081"/>
      <c r="B111" s="1097" t="s">
        <v>290</v>
      </c>
      <c r="C111" s="1098"/>
      <c r="D111" s="656">
        <f t="shared" ref="D111:P111" si="25">SUM(D106:D110)</f>
        <v>0</v>
      </c>
      <c r="E111" s="640">
        <f t="shared" si="25"/>
        <v>0</v>
      </c>
      <c r="F111" s="640">
        <f t="shared" si="25"/>
        <v>0</v>
      </c>
      <c r="G111" s="640">
        <f t="shared" si="25"/>
        <v>1682000</v>
      </c>
      <c r="H111" s="640">
        <f t="shared" si="25"/>
        <v>495000</v>
      </c>
      <c r="I111" s="640">
        <f t="shared" si="25"/>
        <v>0</v>
      </c>
      <c r="J111" s="640">
        <f t="shared" si="25"/>
        <v>0</v>
      </c>
      <c r="K111" s="640">
        <f t="shared" si="25"/>
        <v>0</v>
      </c>
      <c r="L111" s="640">
        <f t="shared" si="25"/>
        <v>0</v>
      </c>
      <c r="M111" s="640">
        <f t="shared" si="25"/>
        <v>0</v>
      </c>
      <c r="N111" s="640">
        <f t="shared" si="25"/>
        <v>0</v>
      </c>
      <c r="O111" s="640">
        <f t="shared" si="25"/>
        <v>0</v>
      </c>
      <c r="P111" s="640">
        <f t="shared" si="25"/>
        <v>2177000</v>
      </c>
    </row>
    <row r="112" spans="1:16" ht="27.75" customHeight="1">
      <c r="A112" s="1084" t="s">
        <v>293</v>
      </c>
      <c r="B112" s="1084"/>
      <c r="C112" s="1085"/>
      <c r="D112" s="657">
        <f t="shared" ref="D112:P112" si="26">SUM(D103,D104,D105,D111)</f>
        <v>40565</v>
      </c>
      <c r="E112" s="641">
        <f t="shared" si="26"/>
        <v>103442</v>
      </c>
      <c r="F112" s="641">
        <f t="shared" si="26"/>
        <v>84134</v>
      </c>
      <c r="G112" s="641">
        <f t="shared" si="26"/>
        <v>1842583</v>
      </c>
      <c r="H112" s="641">
        <f t="shared" si="26"/>
        <v>554020</v>
      </c>
      <c r="I112" s="641">
        <f t="shared" si="26"/>
        <v>55334</v>
      </c>
      <c r="J112" s="641">
        <f t="shared" si="26"/>
        <v>52171</v>
      </c>
      <c r="K112" s="641">
        <f t="shared" si="26"/>
        <v>141922</v>
      </c>
      <c r="L112" s="641">
        <f t="shared" si="26"/>
        <v>391074</v>
      </c>
      <c r="M112" s="641">
        <f t="shared" si="26"/>
        <v>62847</v>
      </c>
      <c r="N112" s="641">
        <f t="shared" si="26"/>
        <v>65173</v>
      </c>
      <c r="O112" s="641">
        <f t="shared" si="26"/>
        <v>258277</v>
      </c>
      <c r="P112" s="641">
        <f t="shared" si="26"/>
        <v>3651542</v>
      </c>
    </row>
    <row r="114" spans="1:17" s="614" customFormat="1" ht="20.100000000000001" customHeight="1">
      <c r="A114" s="601"/>
      <c r="B114" s="613"/>
      <c r="C114" s="601"/>
      <c r="Q114" s="601"/>
    </row>
  </sheetData>
  <mergeCells count="48">
    <mergeCell ref="A6:A14"/>
    <mergeCell ref="A15:A21"/>
    <mergeCell ref="A22:B22"/>
    <mergeCell ref="A23:B23"/>
    <mergeCell ref="B30:C30"/>
    <mergeCell ref="B29:C29"/>
    <mergeCell ref="A31:C31"/>
    <mergeCell ref="A24:A30"/>
    <mergeCell ref="B24:C24"/>
    <mergeCell ref="B25:C25"/>
    <mergeCell ref="B26:C26"/>
    <mergeCell ref="B27:C27"/>
    <mergeCell ref="B28:C28"/>
    <mergeCell ref="A78:B78"/>
    <mergeCell ref="A50:B50"/>
    <mergeCell ref="A51:B51"/>
    <mergeCell ref="A52:A56"/>
    <mergeCell ref="B52:C52"/>
    <mergeCell ref="B53:C53"/>
    <mergeCell ref="B54:C54"/>
    <mergeCell ref="B55:C55"/>
    <mergeCell ref="B56:C56"/>
    <mergeCell ref="A57:C57"/>
    <mergeCell ref="A34:A42"/>
    <mergeCell ref="A43:A49"/>
    <mergeCell ref="A61:A69"/>
    <mergeCell ref="A70:A76"/>
    <mergeCell ref="A77:B77"/>
    <mergeCell ref="A85:C85"/>
    <mergeCell ref="B82:C82"/>
    <mergeCell ref="A79:A84"/>
    <mergeCell ref="B79:C79"/>
    <mergeCell ref="B80:C80"/>
    <mergeCell ref="B81:C81"/>
    <mergeCell ref="B83:C83"/>
    <mergeCell ref="B84:C84"/>
    <mergeCell ref="A106:A111"/>
    <mergeCell ref="B109:C109"/>
    <mergeCell ref="A112:C112"/>
    <mergeCell ref="A88:A96"/>
    <mergeCell ref="A97:A103"/>
    <mergeCell ref="A104:B104"/>
    <mergeCell ref="A105:B105"/>
    <mergeCell ref="B110:C110"/>
    <mergeCell ref="B111:C111"/>
    <mergeCell ref="B106:C106"/>
    <mergeCell ref="B107:C107"/>
    <mergeCell ref="B108:C108"/>
  </mergeCells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12" scale="46" fitToHeight="0" orientation="landscape" r:id="rId1"/>
  <headerFooter alignWithMargins="0"/>
  <rowBreaks count="1" manualBreakCount="1">
    <brk id="58" max="15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C78E-B212-45D4-9069-9F97BE2B6E6D}">
  <sheetPr>
    <tabColor rgb="FFFF0000"/>
  </sheetPr>
  <dimension ref="A1:Q322"/>
  <sheetViews>
    <sheetView topLeftCell="C1" workbookViewId="0">
      <selection activeCell="C13" sqref="C13"/>
    </sheetView>
  </sheetViews>
  <sheetFormatPr defaultRowHeight="16.5"/>
  <cols>
    <col min="1" max="1" width="24.25" customWidth="1"/>
    <col min="2" max="2" width="10.25" customWidth="1"/>
    <col min="3" max="3" width="22.125" style="916" customWidth="1"/>
    <col min="4" max="4" width="21.75" customWidth="1"/>
    <col min="5" max="15" width="20.625" customWidth="1"/>
  </cols>
  <sheetData>
    <row r="1" spans="1:15" s="731" customFormat="1" ht="31.5" customHeight="1">
      <c r="A1" s="730" t="s">
        <v>342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</row>
    <row r="2" spans="1:15" s="731" customFormat="1" ht="31.5" customHeight="1">
      <c r="A2" s="732"/>
      <c r="B2" s="733"/>
      <c r="C2" s="733"/>
      <c r="D2" s="733"/>
      <c r="E2" s="733"/>
      <c r="F2" s="733"/>
      <c r="G2" s="733"/>
      <c r="H2" s="733"/>
      <c r="I2" s="733"/>
      <c r="J2" s="733"/>
      <c r="K2" s="733"/>
      <c r="L2" s="733"/>
      <c r="M2" s="733"/>
      <c r="N2" s="733"/>
      <c r="O2" s="733"/>
    </row>
    <row r="3" spans="1:15" s="731" customFormat="1" ht="26.25" thickBot="1">
      <c r="A3" s="734" t="s">
        <v>343</v>
      </c>
      <c r="B3" s="735"/>
      <c r="C3" s="736"/>
      <c r="D3" s="735"/>
      <c r="E3" s="735"/>
      <c r="F3" s="735"/>
      <c r="G3" s="735"/>
      <c r="H3" s="735"/>
      <c r="I3" s="735"/>
      <c r="J3" s="735"/>
      <c r="K3" s="735"/>
      <c r="L3" s="735"/>
      <c r="M3" s="735"/>
      <c r="N3" s="735"/>
      <c r="O3" s="735"/>
    </row>
    <row r="4" spans="1:15" s="737" customFormat="1" ht="16.5" customHeight="1">
      <c r="A4" s="1103" t="s">
        <v>344</v>
      </c>
      <c r="B4" s="1104"/>
      <c r="C4" s="1107" t="s">
        <v>345</v>
      </c>
      <c r="D4" s="1108"/>
      <c r="E4" s="1108"/>
      <c r="F4" s="1108"/>
      <c r="G4" s="1108"/>
      <c r="H4" s="1109"/>
      <c r="I4" s="1110" t="s">
        <v>346</v>
      </c>
      <c r="J4" s="1108"/>
      <c r="K4" s="1108"/>
      <c r="L4" s="1108"/>
      <c r="M4" s="1108"/>
      <c r="N4" s="1111"/>
      <c r="O4" s="1112" t="s">
        <v>347</v>
      </c>
    </row>
    <row r="5" spans="1:15" s="737" customFormat="1" ht="12.75" thickBot="1">
      <c r="A5" s="1105"/>
      <c r="B5" s="1106"/>
      <c r="C5" s="738">
        <v>1</v>
      </c>
      <c r="D5" s="739">
        <f>C5+1</f>
        <v>2</v>
      </c>
      <c r="E5" s="739">
        <f t="shared" ref="E5:N5" si="0">D5+1</f>
        <v>3</v>
      </c>
      <c r="F5" s="739">
        <f t="shared" si="0"/>
        <v>4</v>
      </c>
      <c r="G5" s="739">
        <f t="shared" si="0"/>
        <v>5</v>
      </c>
      <c r="H5" s="740">
        <f t="shared" si="0"/>
        <v>6</v>
      </c>
      <c r="I5" s="741">
        <f t="shared" si="0"/>
        <v>7</v>
      </c>
      <c r="J5" s="739">
        <f t="shared" si="0"/>
        <v>8</v>
      </c>
      <c r="K5" s="739">
        <f t="shared" si="0"/>
        <v>9</v>
      </c>
      <c r="L5" s="739">
        <f t="shared" si="0"/>
        <v>10</v>
      </c>
      <c r="M5" s="739">
        <f t="shared" si="0"/>
        <v>11</v>
      </c>
      <c r="N5" s="742">
        <f t="shared" si="0"/>
        <v>12</v>
      </c>
      <c r="O5" s="1113"/>
    </row>
    <row r="6" spans="1:15" s="737" customFormat="1" ht="20.100000000000001" customHeight="1">
      <c r="A6" s="1114" t="s">
        <v>348</v>
      </c>
      <c r="B6" s="1117" t="s">
        <v>349</v>
      </c>
      <c r="C6" s="743" t="s">
        <v>435</v>
      </c>
      <c r="D6" s="744" t="s">
        <v>436</v>
      </c>
      <c r="E6" s="744" t="s">
        <v>437</v>
      </c>
      <c r="F6" s="744" t="s">
        <v>438</v>
      </c>
      <c r="G6" s="744" t="s">
        <v>439</v>
      </c>
      <c r="H6" s="745" t="s">
        <v>440</v>
      </c>
      <c r="I6" s="746" t="s">
        <v>441</v>
      </c>
      <c r="J6" s="744" t="s">
        <v>442</v>
      </c>
      <c r="K6" s="744" t="s">
        <v>443</v>
      </c>
      <c r="L6" s="744" t="s">
        <v>444</v>
      </c>
      <c r="M6" s="744" t="s">
        <v>445</v>
      </c>
      <c r="N6" s="747" t="s">
        <v>446</v>
      </c>
      <c r="O6" s="748"/>
    </row>
    <row r="7" spans="1:15" s="737" customFormat="1" ht="20.100000000000001" customHeight="1">
      <c r="A7" s="1115"/>
      <c r="B7" s="1118"/>
      <c r="C7" s="749">
        <v>287</v>
      </c>
      <c r="D7" s="750">
        <v>959</v>
      </c>
      <c r="E7" s="750">
        <v>500</v>
      </c>
      <c r="F7" s="750">
        <v>392</v>
      </c>
      <c r="G7" s="750">
        <v>345</v>
      </c>
      <c r="H7" s="751">
        <v>469</v>
      </c>
      <c r="I7" s="752">
        <v>512</v>
      </c>
      <c r="J7" s="750">
        <v>450</v>
      </c>
      <c r="K7" s="750">
        <v>1296</v>
      </c>
      <c r="L7" s="750">
        <v>924</v>
      </c>
      <c r="M7" s="750">
        <v>366</v>
      </c>
      <c r="N7" s="753">
        <v>240</v>
      </c>
      <c r="O7" s="754"/>
    </row>
    <row r="8" spans="1:15" s="737" customFormat="1" ht="20.100000000000001" customHeight="1">
      <c r="A8" s="1115"/>
      <c r="B8" s="1118"/>
      <c r="C8" s="755" t="s">
        <v>447</v>
      </c>
      <c r="D8" s="756" t="s">
        <v>448</v>
      </c>
      <c r="E8" s="757" t="s">
        <v>449</v>
      </c>
      <c r="F8" s="757" t="s">
        <v>450</v>
      </c>
      <c r="G8" s="757" t="s">
        <v>451</v>
      </c>
      <c r="H8" s="758" t="s">
        <v>452</v>
      </c>
      <c r="I8" s="759" t="s">
        <v>453</v>
      </c>
      <c r="J8" s="757" t="s">
        <v>377</v>
      </c>
      <c r="K8" s="757" t="s">
        <v>454</v>
      </c>
      <c r="L8" s="757" t="s">
        <v>455</v>
      </c>
      <c r="M8" s="757" t="s">
        <v>456</v>
      </c>
      <c r="N8" s="760" t="s">
        <v>457</v>
      </c>
      <c r="O8" s="761"/>
    </row>
    <row r="9" spans="1:15" s="737" customFormat="1" ht="20.100000000000001" customHeight="1">
      <c r="A9" s="1115"/>
      <c r="B9" s="1118"/>
      <c r="C9" s="762">
        <v>306</v>
      </c>
      <c r="D9" s="763">
        <v>429</v>
      </c>
      <c r="E9" s="750">
        <v>521</v>
      </c>
      <c r="F9" s="750">
        <v>500</v>
      </c>
      <c r="G9" s="750">
        <v>246</v>
      </c>
      <c r="H9" s="751">
        <v>1196</v>
      </c>
      <c r="I9" s="752">
        <v>148</v>
      </c>
      <c r="J9" s="750" t="s">
        <v>377</v>
      </c>
      <c r="K9" s="750">
        <v>108</v>
      </c>
      <c r="L9" s="764">
        <v>673</v>
      </c>
      <c r="M9" s="750">
        <v>51</v>
      </c>
      <c r="N9" s="753">
        <v>718</v>
      </c>
      <c r="O9" s="754"/>
    </row>
    <row r="10" spans="1:15" s="737" customFormat="1" ht="20.100000000000001" customHeight="1">
      <c r="A10" s="1115"/>
      <c r="B10" s="1118"/>
      <c r="C10" s="755" t="s">
        <v>458</v>
      </c>
      <c r="D10" s="756" t="s">
        <v>377</v>
      </c>
      <c r="E10" s="757" t="s">
        <v>459</v>
      </c>
      <c r="F10" s="757" t="s">
        <v>460</v>
      </c>
      <c r="G10" s="757" t="s">
        <v>461</v>
      </c>
      <c r="H10" s="758" t="s">
        <v>462</v>
      </c>
      <c r="I10" s="759" t="s">
        <v>463</v>
      </c>
      <c r="J10" s="757" t="s">
        <v>377</v>
      </c>
      <c r="K10" s="757" t="s">
        <v>464</v>
      </c>
      <c r="L10" s="757" t="s">
        <v>465</v>
      </c>
      <c r="M10" s="757" t="s">
        <v>466</v>
      </c>
      <c r="N10" s="760" t="s">
        <v>467</v>
      </c>
      <c r="O10" s="761"/>
    </row>
    <row r="11" spans="1:15" s="737" customFormat="1" ht="20.100000000000001" customHeight="1">
      <c r="A11" s="1115"/>
      <c r="B11" s="1118"/>
      <c r="C11" s="762">
        <v>28</v>
      </c>
      <c r="D11" s="763" t="s">
        <v>377</v>
      </c>
      <c r="E11" s="750">
        <v>1458</v>
      </c>
      <c r="F11" s="750">
        <v>1150</v>
      </c>
      <c r="G11" s="750">
        <v>929</v>
      </c>
      <c r="H11" s="751">
        <v>372</v>
      </c>
      <c r="I11" s="752">
        <v>368</v>
      </c>
      <c r="J11" s="750" t="s">
        <v>377</v>
      </c>
      <c r="K11" s="750">
        <v>335</v>
      </c>
      <c r="L11" s="764">
        <v>541</v>
      </c>
      <c r="M11" s="750">
        <v>493</v>
      </c>
      <c r="N11" s="753">
        <v>454</v>
      </c>
      <c r="O11" s="754"/>
    </row>
    <row r="12" spans="1:15" s="737" customFormat="1" ht="20.100000000000001" customHeight="1">
      <c r="A12" s="1115"/>
      <c r="B12" s="1118"/>
      <c r="C12" s="755" t="s">
        <v>377</v>
      </c>
      <c r="D12" s="756" t="s">
        <v>377</v>
      </c>
      <c r="E12" s="757" t="s">
        <v>468</v>
      </c>
      <c r="F12" s="757" t="s">
        <v>469</v>
      </c>
      <c r="G12" s="757" t="s">
        <v>377</v>
      </c>
      <c r="H12" s="758" t="s">
        <v>377</v>
      </c>
      <c r="I12" s="759" t="s">
        <v>470</v>
      </c>
      <c r="J12" s="757" t="s">
        <v>377</v>
      </c>
      <c r="K12" s="757" t="s">
        <v>471</v>
      </c>
      <c r="L12" s="757" t="s">
        <v>472</v>
      </c>
      <c r="M12" s="757" t="s">
        <v>473</v>
      </c>
      <c r="N12" s="760" t="s">
        <v>474</v>
      </c>
      <c r="O12" s="761"/>
    </row>
    <row r="13" spans="1:15" s="737" customFormat="1" ht="20.100000000000001" customHeight="1">
      <c r="A13" s="1115"/>
      <c r="B13" s="1118"/>
      <c r="C13" s="762" t="s">
        <v>377</v>
      </c>
      <c r="D13" s="763" t="s">
        <v>377</v>
      </c>
      <c r="E13" s="750">
        <v>631</v>
      </c>
      <c r="F13" s="750">
        <v>614</v>
      </c>
      <c r="G13" s="750" t="s">
        <v>377</v>
      </c>
      <c r="H13" s="751" t="s">
        <v>377</v>
      </c>
      <c r="I13" s="752">
        <v>794</v>
      </c>
      <c r="J13" s="750" t="s">
        <v>377</v>
      </c>
      <c r="K13" s="750">
        <v>448</v>
      </c>
      <c r="L13" s="764">
        <v>392</v>
      </c>
      <c r="M13" s="750">
        <v>420</v>
      </c>
      <c r="N13" s="753">
        <v>456</v>
      </c>
      <c r="O13" s="754"/>
    </row>
    <row r="14" spans="1:15" s="737" customFormat="1" ht="20.100000000000001" customHeight="1">
      <c r="A14" s="1115"/>
      <c r="B14" s="1118"/>
      <c r="C14" s="755" t="s">
        <v>377</v>
      </c>
      <c r="D14" s="756" t="s">
        <v>377</v>
      </c>
      <c r="E14" s="757" t="s">
        <v>475</v>
      </c>
      <c r="F14" s="757" t="s">
        <v>476</v>
      </c>
      <c r="G14" s="757" t="s">
        <v>377</v>
      </c>
      <c r="H14" s="758" t="s">
        <v>377</v>
      </c>
      <c r="I14" s="759" t="s">
        <v>377</v>
      </c>
      <c r="J14" s="757" t="s">
        <v>377</v>
      </c>
      <c r="K14" s="757" t="s">
        <v>477</v>
      </c>
      <c r="L14" s="757" t="s">
        <v>478</v>
      </c>
      <c r="M14" s="757" t="s">
        <v>479</v>
      </c>
      <c r="N14" s="760" t="s">
        <v>480</v>
      </c>
      <c r="O14" s="761"/>
    </row>
    <row r="15" spans="1:15" s="737" customFormat="1" ht="20.100000000000001" customHeight="1">
      <c r="A15" s="1115"/>
      <c r="B15" s="1118"/>
      <c r="C15" s="762" t="s">
        <v>377</v>
      </c>
      <c r="D15" s="763" t="s">
        <v>377</v>
      </c>
      <c r="E15" s="750">
        <v>568</v>
      </c>
      <c r="F15" s="750">
        <v>1190</v>
      </c>
      <c r="G15" s="750" t="s">
        <v>377</v>
      </c>
      <c r="H15" s="751" t="s">
        <v>377</v>
      </c>
      <c r="I15" s="752" t="s">
        <v>377</v>
      </c>
      <c r="J15" s="750" t="s">
        <v>377</v>
      </c>
      <c r="K15" s="750">
        <v>123</v>
      </c>
      <c r="L15" s="764">
        <v>506</v>
      </c>
      <c r="M15" s="750">
        <v>990</v>
      </c>
      <c r="N15" s="753">
        <v>186</v>
      </c>
      <c r="O15" s="754"/>
    </row>
    <row r="16" spans="1:15" s="737" customFormat="1" ht="20.100000000000001" customHeight="1">
      <c r="A16" s="1115"/>
      <c r="B16" s="1118"/>
      <c r="C16" s="755" t="s">
        <v>377</v>
      </c>
      <c r="D16" s="756" t="s">
        <v>377</v>
      </c>
      <c r="E16" s="757" t="s">
        <v>481</v>
      </c>
      <c r="F16" s="757" t="s">
        <v>482</v>
      </c>
      <c r="G16" s="757" t="s">
        <v>377</v>
      </c>
      <c r="H16" s="758" t="s">
        <v>377</v>
      </c>
      <c r="I16" s="759" t="s">
        <v>377</v>
      </c>
      <c r="J16" s="757" t="s">
        <v>377</v>
      </c>
      <c r="K16" s="757" t="s">
        <v>483</v>
      </c>
      <c r="L16" s="757" t="s">
        <v>377</v>
      </c>
      <c r="M16" s="757" t="s">
        <v>484</v>
      </c>
      <c r="N16" s="760" t="s">
        <v>485</v>
      </c>
      <c r="O16" s="761"/>
    </row>
    <row r="17" spans="1:15" s="737" customFormat="1" ht="20.100000000000001" customHeight="1">
      <c r="A17" s="1115"/>
      <c r="B17" s="1118"/>
      <c r="C17" s="762" t="s">
        <v>377</v>
      </c>
      <c r="D17" s="763" t="s">
        <v>377</v>
      </c>
      <c r="E17" s="750">
        <v>96</v>
      </c>
      <c r="F17" s="750">
        <v>977</v>
      </c>
      <c r="G17" s="750" t="s">
        <v>377</v>
      </c>
      <c r="H17" s="751" t="s">
        <v>377</v>
      </c>
      <c r="I17" s="752" t="s">
        <v>377</v>
      </c>
      <c r="J17" s="750" t="s">
        <v>377</v>
      </c>
      <c r="K17" s="750">
        <v>669</v>
      </c>
      <c r="L17" s="764" t="s">
        <v>377</v>
      </c>
      <c r="M17" s="750">
        <v>60</v>
      </c>
      <c r="N17" s="753">
        <v>229</v>
      </c>
      <c r="O17" s="754"/>
    </row>
    <row r="18" spans="1:15" s="737" customFormat="1" ht="20.100000000000001" customHeight="1">
      <c r="A18" s="1115"/>
      <c r="B18" s="1118"/>
      <c r="C18" s="755" t="s">
        <v>377</v>
      </c>
      <c r="D18" s="756" t="s">
        <v>377</v>
      </c>
      <c r="E18" s="757" t="s">
        <v>486</v>
      </c>
      <c r="F18" s="757" t="s">
        <v>487</v>
      </c>
      <c r="G18" s="757" t="s">
        <v>377</v>
      </c>
      <c r="H18" s="758" t="s">
        <v>377</v>
      </c>
      <c r="I18" s="759" t="s">
        <v>377</v>
      </c>
      <c r="J18" s="757" t="s">
        <v>377</v>
      </c>
      <c r="K18" s="757" t="s">
        <v>488</v>
      </c>
      <c r="L18" s="757" t="s">
        <v>377</v>
      </c>
      <c r="M18" s="757" t="s">
        <v>489</v>
      </c>
      <c r="N18" s="760" t="s">
        <v>490</v>
      </c>
      <c r="O18" s="761"/>
    </row>
    <row r="19" spans="1:15" s="737" customFormat="1" ht="20.100000000000001" customHeight="1">
      <c r="A19" s="1115"/>
      <c r="B19" s="1118"/>
      <c r="C19" s="762" t="s">
        <v>377</v>
      </c>
      <c r="D19" s="763" t="s">
        <v>377</v>
      </c>
      <c r="E19" s="750">
        <v>191</v>
      </c>
      <c r="F19" s="750">
        <v>394</v>
      </c>
      <c r="G19" s="750" t="s">
        <v>377</v>
      </c>
      <c r="H19" s="751" t="s">
        <v>377</v>
      </c>
      <c r="I19" s="752" t="s">
        <v>377</v>
      </c>
      <c r="J19" s="750" t="s">
        <v>377</v>
      </c>
      <c r="K19" s="750">
        <v>433</v>
      </c>
      <c r="L19" s="764" t="s">
        <v>377</v>
      </c>
      <c r="M19" s="750">
        <v>39</v>
      </c>
      <c r="N19" s="753">
        <v>228</v>
      </c>
      <c r="O19" s="754"/>
    </row>
    <row r="20" spans="1:15" s="737" customFormat="1" ht="20.100000000000001" customHeight="1">
      <c r="A20" s="1115"/>
      <c r="B20" s="1118"/>
      <c r="C20" s="755" t="s">
        <v>377</v>
      </c>
      <c r="D20" s="756" t="s">
        <v>377</v>
      </c>
      <c r="E20" s="757" t="s">
        <v>491</v>
      </c>
      <c r="F20" s="757" t="s">
        <v>492</v>
      </c>
      <c r="G20" s="757" t="s">
        <v>377</v>
      </c>
      <c r="H20" s="758" t="s">
        <v>377</v>
      </c>
      <c r="I20" s="759" t="s">
        <v>377</v>
      </c>
      <c r="J20" s="757" t="s">
        <v>377</v>
      </c>
      <c r="K20" s="757" t="s">
        <v>377</v>
      </c>
      <c r="L20" s="757" t="s">
        <v>377</v>
      </c>
      <c r="M20" s="757" t="s">
        <v>493</v>
      </c>
      <c r="N20" s="760" t="s">
        <v>494</v>
      </c>
      <c r="O20" s="761"/>
    </row>
    <row r="21" spans="1:15" s="737" customFormat="1" ht="20.100000000000001" customHeight="1">
      <c r="A21" s="1115"/>
      <c r="B21" s="1118"/>
      <c r="C21" s="762" t="s">
        <v>377</v>
      </c>
      <c r="D21" s="763" t="s">
        <v>377</v>
      </c>
      <c r="E21" s="750">
        <v>714</v>
      </c>
      <c r="F21" s="750">
        <v>1207</v>
      </c>
      <c r="G21" s="750" t="s">
        <v>377</v>
      </c>
      <c r="H21" s="751" t="s">
        <v>377</v>
      </c>
      <c r="I21" s="752" t="s">
        <v>377</v>
      </c>
      <c r="J21" s="750" t="s">
        <v>377</v>
      </c>
      <c r="K21" s="750" t="s">
        <v>377</v>
      </c>
      <c r="L21" s="764" t="s">
        <v>377</v>
      </c>
      <c r="M21" s="750">
        <v>454</v>
      </c>
      <c r="N21" s="753">
        <v>365</v>
      </c>
      <c r="O21" s="754"/>
    </row>
    <row r="22" spans="1:15" s="737" customFormat="1" ht="20.100000000000001" customHeight="1">
      <c r="A22" s="1115"/>
      <c r="B22" s="1118"/>
      <c r="C22" s="755" t="s">
        <v>377</v>
      </c>
      <c r="D22" s="756" t="s">
        <v>377</v>
      </c>
      <c r="E22" s="757" t="s">
        <v>377</v>
      </c>
      <c r="F22" s="757" t="s">
        <v>377</v>
      </c>
      <c r="G22" s="757" t="s">
        <v>377</v>
      </c>
      <c r="H22" s="758" t="s">
        <v>377</v>
      </c>
      <c r="I22" s="759" t="s">
        <v>377</v>
      </c>
      <c r="J22" s="757" t="s">
        <v>377</v>
      </c>
      <c r="K22" s="757" t="s">
        <v>377</v>
      </c>
      <c r="L22" s="757" t="s">
        <v>377</v>
      </c>
      <c r="M22" s="757" t="s">
        <v>495</v>
      </c>
      <c r="N22" s="760" t="s">
        <v>377</v>
      </c>
      <c r="O22" s="761"/>
    </row>
    <row r="23" spans="1:15" s="737" customFormat="1" ht="20.100000000000001" customHeight="1">
      <c r="A23" s="1115"/>
      <c r="B23" s="1118"/>
      <c r="C23" s="762" t="s">
        <v>377</v>
      </c>
      <c r="D23" s="763" t="s">
        <v>377</v>
      </c>
      <c r="E23" s="750" t="s">
        <v>377</v>
      </c>
      <c r="F23" s="750" t="s">
        <v>377</v>
      </c>
      <c r="G23" s="750" t="s">
        <v>377</v>
      </c>
      <c r="H23" s="751" t="s">
        <v>377</v>
      </c>
      <c r="I23" s="752" t="s">
        <v>377</v>
      </c>
      <c r="J23" s="750" t="s">
        <v>377</v>
      </c>
      <c r="K23" s="750" t="s">
        <v>377</v>
      </c>
      <c r="L23" s="764" t="s">
        <v>377</v>
      </c>
      <c r="M23" s="750">
        <v>1089</v>
      </c>
      <c r="N23" s="753" t="s">
        <v>377</v>
      </c>
      <c r="O23" s="754"/>
    </row>
    <row r="24" spans="1:15" s="737" customFormat="1" ht="20.100000000000001" customHeight="1">
      <c r="A24" s="1115"/>
      <c r="B24" s="1118"/>
      <c r="C24" s="755" t="s">
        <v>377</v>
      </c>
      <c r="D24" s="756" t="s">
        <v>377</v>
      </c>
      <c r="E24" s="757" t="s">
        <v>377</v>
      </c>
      <c r="F24" s="757" t="s">
        <v>377</v>
      </c>
      <c r="G24" s="757" t="s">
        <v>377</v>
      </c>
      <c r="H24" s="758" t="s">
        <v>377</v>
      </c>
      <c r="I24" s="759" t="s">
        <v>377</v>
      </c>
      <c r="J24" s="757" t="s">
        <v>377</v>
      </c>
      <c r="K24" s="757" t="s">
        <v>377</v>
      </c>
      <c r="L24" s="757" t="s">
        <v>377</v>
      </c>
      <c r="M24" s="757" t="s">
        <v>496</v>
      </c>
      <c r="N24" s="760" t="s">
        <v>377</v>
      </c>
      <c r="O24" s="761"/>
    </row>
    <row r="25" spans="1:15" s="737" customFormat="1" ht="20.100000000000001" customHeight="1">
      <c r="A25" s="1115"/>
      <c r="B25" s="1118"/>
      <c r="C25" s="762" t="s">
        <v>377</v>
      </c>
      <c r="D25" s="763" t="s">
        <v>377</v>
      </c>
      <c r="E25" s="750" t="s">
        <v>377</v>
      </c>
      <c r="F25" s="750" t="s">
        <v>377</v>
      </c>
      <c r="G25" s="750" t="s">
        <v>377</v>
      </c>
      <c r="H25" s="751" t="s">
        <v>377</v>
      </c>
      <c r="I25" s="752" t="s">
        <v>377</v>
      </c>
      <c r="J25" s="750" t="s">
        <v>377</v>
      </c>
      <c r="K25" s="750" t="s">
        <v>377</v>
      </c>
      <c r="L25" s="764" t="s">
        <v>377</v>
      </c>
      <c r="M25" s="750">
        <v>219</v>
      </c>
      <c r="N25" s="753" t="s">
        <v>377</v>
      </c>
      <c r="O25" s="754"/>
    </row>
    <row r="26" spans="1:15" s="737" customFormat="1" ht="20.100000000000001" customHeight="1">
      <c r="A26" s="1115"/>
      <c r="B26" s="1118"/>
      <c r="C26" s="755" t="s">
        <v>377</v>
      </c>
      <c r="D26" s="756" t="s">
        <v>377</v>
      </c>
      <c r="E26" s="757" t="s">
        <v>377</v>
      </c>
      <c r="F26" s="757" t="s">
        <v>377</v>
      </c>
      <c r="G26" s="757" t="s">
        <v>377</v>
      </c>
      <c r="H26" s="758" t="s">
        <v>377</v>
      </c>
      <c r="I26" s="759" t="s">
        <v>377</v>
      </c>
      <c r="J26" s="757" t="s">
        <v>377</v>
      </c>
      <c r="K26" s="757" t="s">
        <v>377</v>
      </c>
      <c r="L26" s="757" t="s">
        <v>377</v>
      </c>
      <c r="M26" s="757" t="s">
        <v>497</v>
      </c>
      <c r="N26" s="760" t="s">
        <v>377</v>
      </c>
      <c r="O26" s="761"/>
    </row>
    <row r="27" spans="1:15" s="737" customFormat="1" ht="20.100000000000001" customHeight="1">
      <c r="A27" s="1115"/>
      <c r="B27" s="1118"/>
      <c r="C27" s="762" t="s">
        <v>377</v>
      </c>
      <c r="D27" s="763" t="s">
        <v>377</v>
      </c>
      <c r="E27" s="750" t="s">
        <v>377</v>
      </c>
      <c r="F27" s="750" t="s">
        <v>377</v>
      </c>
      <c r="G27" s="750" t="s">
        <v>377</v>
      </c>
      <c r="H27" s="751" t="s">
        <v>377</v>
      </c>
      <c r="I27" s="752" t="s">
        <v>377</v>
      </c>
      <c r="J27" s="750" t="s">
        <v>377</v>
      </c>
      <c r="K27" s="750" t="s">
        <v>377</v>
      </c>
      <c r="L27" s="764" t="s">
        <v>377</v>
      </c>
      <c r="M27" s="750">
        <v>258</v>
      </c>
      <c r="N27" s="753" t="s">
        <v>377</v>
      </c>
      <c r="O27" s="754"/>
    </row>
    <row r="28" spans="1:15" s="737" customFormat="1" ht="20.100000000000001" customHeight="1">
      <c r="A28" s="1115"/>
      <c r="B28" s="1118"/>
      <c r="C28" s="765" t="s">
        <v>377</v>
      </c>
      <c r="D28" s="766" t="s">
        <v>377</v>
      </c>
      <c r="E28" s="767" t="s">
        <v>377</v>
      </c>
      <c r="F28" s="767" t="s">
        <v>377</v>
      </c>
      <c r="G28" s="767" t="s">
        <v>377</v>
      </c>
      <c r="H28" s="768" t="s">
        <v>377</v>
      </c>
      <c r="I28" s="769" t="s">
        <v>377</v>
      </c>
      <c r="J28" s="767" t="s">
        <v>377</v>
      </c>
      <c r="K28" s="767" t="s">
        <v>377</v>
      </c>
      <c r="L28" s="770" t="s">
        <v>377</v>
      </c>
      <c r="M28" s="767" t="s">
        <v>377</v>
      </c>
      <c r="N28" s="771" t="s">
        <v>377</v>
      </c>
      <c r="O28" s="772"/>
    </row>
    <row r="29" spans="1:15" s="737" customFormat="1" ht="20.100000000000001" customHeight="1">
      <c r="A29" s="1115"/>
      <c r="B29" s="1119"/>
      <c r="C29" s="765" t="s">
        <v>377</v>
      </c>
      <c r="D29" s="766" t="s">
        <v>377</v>
      </c>
      <c r="E29" s="767" t="s">
        <v>377</v>
      </c>
      <c r="F29" s="767" t="s">
        <v>377</v>
      </c>
      <c r="G29" s="767" t="s">
        <v>377</v>
      </c>
      <c r="H29" s="768" t="s">
        <v>377</v>
      </c>
      <c r="I29" s="769" t="s">
        <v>377</v>
      </c>
      <c r="J29" s="767" t="s">
        <v>377</v>
      </c>
      <c r="K29" s="767" t="s">
        <v>377</v>
      </c>
      <c r="L29" s="770" t="s">
        <v>377</v>
      </c>
      <c r="M29" s="767" t="s">
        <v>377</v>
      </c>
      <c r="N29" s="771" t="s">
        <v>377</v>
      </c>
      <c r="O29" s="772"/>
    </row>
    <row r="30" spans="1:15" s="780" customFormat="1" ht="21.75" customHeight="1" thickBot="1">
      <c r="A30" s="1116"/>
      <c r="B30" s="773" t="s">
        <v>350</v>
      </c>
      <c r="C30" s="774">
        <v>2741</v>
      </c>
      <c r="D30" s="775">
        <v>1943</v>
      </c>
      <c r="E30" s="775">
        <v>2181</v>
      </c>
      <c r="F30" s="775">
        <v>3891</v>
      </c>
      <c r="G30" s="775">
        <v>3853</v>
      </c>
      <c r="H30" s="776">
        <v>2657</v>
      </c>
      <c r="I30" s="777">
        <v>1895</v>
      </c>
      <c r="J30" s="775">
        <v>2226</v>
      </c>
      <c r="K30" s="778">
        <v>1743</v>
      </c>
      <c r="L30" s="778">
        <v>1672</v>
      </c>
      <c r="M30" s="778">
        <v>2643</v>
      </c>
      <c r="N30" s="778">
        <v>2688</v>
      </c>
      <c r="O30" s="779">
        <f>SUM(C30:N30)</f>
        <v>30133</v>
      </c>
    </row>
    <row r="31" spans="1:15" s="782" customFormat="1" ht="20.100000000000001" customHeight="1">
      <c r="A31" s="1120" t="s">
        <v>351</v>
      </c>
      <c r="B31" s="1123" t="s">
        <v>352</v>
      </c>
      <c r="C31" s="743" t="s">
        <v>451</v>
      </c>
      <c r="D31" s="744" t="s">
        <v>452</v>
      </c>
      <c r="E31" s="744" t="s">
        <v>463</v>
      </c>
      <c r="F31" s="744" t="s">
        <v>470</v>
      </c>
      <c r="G31" s="744" t="s">
        <v>443</v>
      </c>
      <c r="H31" s="745" t="s">
        <v>483</v>
      </c>
      <c r="I31" s="746" t="s">
        <v>488</v>
      </c>
      <c r="J31" s="744" t="s">
        <v>490</v>
      </c>
      <c r="K31" s="744" t="s">
        <v>480</v>
      </c>
      <c r="L31" s="744" t="s">
        <v>364</v>
      </c>
      <c r="M31" s="744" t="s">
        <v>378</v>
      </c>
      <c r="N31" s="747" t="s">
        <v>380</v>
      </c>
      <c r="O31" s="781"/>
    </row>
    <row r="32" spans="1:15" s="782" customFormat="1" ht="20.100000000000001" customHeight="1">
      <c r="A32" s="1121"/>
      <c r="B32" s="1124"/>
      <c r="C32" s="749">
        <v>246</v>
      </c>
      <c r="D32" s="750">
        <v>1196</v>
      </c>
      <c r="E32" s="750">
        <v>368</v>
      </c>
      <c r="F32" s="750">
        <v>794</v>
      </c>
      <c r="G32" s="750">
        <v>1296</v>
      </c>
      <c r="H32" s="751">
        <v>669</v>
      </c>
      <c r="I32" s="752">
        <v>433</v>
      </c>
      <c r="J32" s="750">
        <v>228</v>
      </c>
      <c r="K32" s="750">
        <v>186</v>
      </c>
      <c r="L32" s="750">
        <v>50</v>
      </c>
      <c r="M32" s="750">
        <v>117</v>
      </c>
      <c r="N32" s="753">
        <v>1009</v>
      </c>
      <c r="O32" s="783"/>
    </row>
    <row r="33" spans="1:15" s="782" customFormat="1" ht="20.100000000000001" customHeight="1">
      <c r="A33" s="1121"/>
      <c r="B33" s="1124"/>
      <c r="C33" s="755" t="s">
        <v>440</v>
      </c>
      <c r="D33" s="756" t="s">
        <v>441</v>
      </c>
      <c r="E33" s="757" t="s">
        <v>377</v>
      </c>
      <c r="F33" s="757" t="s">
        <v>464</v>
      </c>
      <c r="G33" s="757" t="s">
        <v>454</v>
      </c>
      <c r="H33" s="758" t="s">
        <v>472</v>
      </c>
      <c r="I33" s="759" t="s">
        <v>478</v>
      </c>
      <c r="J33" s="757" t="s">
        <v>494</v>
      </c>
      <c r="K33" s="757" t="s">
        <v>485</v>
      </c>
      <c r="L33" s="757" t="s">
        <v>367</v>
      </c>
      <c r="M33" s="757" t="s">
        <v>377</v>
      </c>
      <c r="N33" s="760" t="s">
        <v>382</v>
      </c>
      <c r="O33" s="784"/>
    </row>
    <row r="34" spans="1:15" s="782" customFormat="1" ht="20.100000000000001" customHeight="1">
      <c r="A34" s="1121"/>
      <c r="B34" s="1124"/>
      <c r="C34" s="762">
        <v>469</v>
      </c>
      <c r="D34" s="763">
        <v>512</v>
      </c>
      <c r="E34" s="750" t="s">
        <v>377</v>
      </c>
      <c r="F34" s="750">
        <v>335</v>
      </c>
      <c r="G34" s="750">
        <v>108</v>
      </c>
      <c r="H34" s="751">
        <v>392</v>
      </c>
      <c r="I34" s="752">
        <v>506</v>
      </c>
      <c r="J34" s="750">
        <v>365</v>
      </c>
      <c r="K34" s="750">
        <v>229</v>
      </c>
      <c r="L34" s="764">
        <v>505</v>
      </c>
      <c r="M34" s="750" t="s">
        <v>377</v>
      </c>
      <c r="N34" s="753">
        <v>1386</v>
      </c>
      <c r="O34" s="783"/>
    </row>
    <row r="35" spans="1:15" s="782" customFormat="1" ht="20.100000000000001" customHeight="1">
      <c r="A35" s="1121"/>
      <c r="B35" s="1124"/>
      <c r="C35" s="755" t="s">
        <v>442</v>
      </c>
      <c r="D35" s="756" t="s">
        <v>466</v>
      </c>
      <c r="E35" s="757" t="s">
        <v>377</v>
      </c>
      <c r="F35" s="757" t="s">
        <v>467</v>
      </c>
      <c r="G35" s="757" t="s">
        <v>471</v>
      </c>
      <c r="H35" s="758" t="s">
        <v>496</v>
      </c>
      <c r="I35" s="759" t="s">
        <v>366</v>
      </c>
      <c r="J35" s="757" t="s">
        <v>377</v>
      </c>
      <c r="K35" s="757" t="s">
        <v>497</v>
      </c>
      <c r="L35" s="757" t="s">
        <v>379</v>
      </c>
      <c r="M35" s="757" t="s">
        <v>377</v>
      </c>
      <c r="N35" s="760" t="s">
        <v>389</v>
      </c>
      <c r="O35" s="784"/>
    </row>
    <row r="36" spans="1:15" s="782" customFormat="1" ht="20.100000000000001" customHeight="1">
      <c r="A36" s="1121"/>
      <c r="B36" s="1124"/>
      <c r="C36" s="762">
        <v>450</v>
      </c>
      <c r="D36" s="763">
        <v>493</v>
      </c>
      <c r="E36" s="750" t="s">
        <v>377</v>
      </c>
      <c r="F36" s="750">
        <v>454</v>
      </c>
      <c r="G36" s="750">
        <v>448</v>
      </c>
      <c r="H36" s="751">
        <v>219</v>
      </c>
      <c r="I36" s="752">
        <v>44</v>
      </c>
      <c r="J36" s="750" t="s">
        <v>377</v>
      </c>
      <c r="K36" s="750">
        <v>258</v>
      </c>
      <c r="L36" s="764">
        <v>216</v>
      </c>
      <c r="M36" s="750" t="s">
        <v>377</v>
      </c>
      <c r="N36" s="753">
        <v>598</v>
      </c>
      <c r="O36" s="783"/>
    </row>
    <row r="37" spans="1:15" s="782" customFormat="1" ht="20.100000000000001" customHeight="1">
      <c r="A37" s="1121"/>
      <c r="B37" s="1124"/>
      <c r="C37" s="755" t="s">
        <v>445</v>
      </c>
      <c r="D37" s="756" t="s">
        <v>473</v>
      </c>
      <c r="E37" s="757" t="s">
        <v>377</v>
      </c>
      <c r="F37" s="757" t="s">
        <v>387</v>
      </c>
      <c r="G37" s="757" t="s">
        <v>477</v>
      </c>
      <c r="H37" s="758" t="s">
        <v>474</v>
      </c>
      <c r="I37" s="759" t="s">
        <v>50</v>
      </c>
      <c r="J37" s="757" t="s">
        <v>377</v>
      </c>
      <c r="K37" s="757" t="s">
        <v>391</v>
      </c>
      <c r="L37" s="757" t="s">
        <v>388</v>
      </c>
      <c r="M37" s="757" t="s">
        <v>377</v>
      </c>
      <c r="N37" s="785" t="s">
        <v>377</v>
      </c>
      <c r="O37" s="784"/>
    </row>
    <row r="38" spans="1:15" s="782" customFormat="1" ht="20.100000000000001" customHeight="1">
      <c r="A38" s="1121"/>
      <c r="B38" s="1124"/>
      <c r="C38" s="762">
        <v>366</v>
      </c>
      <c r="D38" s="763">
        <v>420</v>
      </c>
      <c r="E38" s="750" t="s">
        <v>377</v>
      </c>
      <c r="F38" s="750">
        <v>757</v>
      </c>
      <c r="G38" s="750">
        <v>123</v>
      </c>
      <c r="H38" s="751">
        <v>456</v>
      </c>
      <c r="I38" s="752">
        <v>1</v>
      </c>
      <c r="J38" s="750" t="s">
        <v>377</v>
      </c>
      <c r="K38" s="750">
        <v>576</v>
      </c>
      <c r="L38" s="764">
        <v>174</v>
      </c>
      <c r="M38" s="750" t="s">
        <v>377</v>
      </c>
      <c r="N38" s="786" t="s">
        <v>377</v>
      </c>
      <c r="O38" s="783"/>
    </row>
    <row r="39" spans="1:15" s="782" customFormat="1" ht="20.100000000000001" customHeight="1">
      <c r="A39" s="1121"/>
      <c r="B39" s="1124"/>
      <c r="C39" s="755" t="s">
        <v>456</v>
      </c>
      <c r="D39" s="756" t="s">
        <v>495</v>
      </c>
      <c r="E39" s="757" t="s">
        <v>377</v>
      </c>
      <c r="F39" s="757" t="s">
        <v>50</v>
      </c>
      <c r="G39" s="757" t="s">
        <v>444</v>
      </c>
      <c r="H39" s="758" t="s">
        <v>376</v>
      </c>
      <c r="I39" s="759" t="s">
        <v>377</v>
      </c>
      <c r="J39" s="757" t="s">
        <v>377</v>
      </c>
      <c r="K39" s="757" t="s">
        <v>381</v>
      </c>
      <c r="L39" s="757" t="s">
        <v>377</v>
      </c>
      <c r="M39" s="757" t="s">
        <v>377</v>
      </c>
      <c r="N39" s="760" t="s">
        <v>377</v>
      </c>
      <c r="O39" s="784"/>
    </row>
    <row r="40" spans="1:15" s="782" customFormat="1" ht="20.100000000000001" customHeight="1">
      <c r="A40" s="1121"/>
      <c r="B40" s="1124"/>
      <c r="C40" s="762">
        <v>51</v>
      </c>
      <c r="D40" s="763">
        <v>1089</v>
      </c>
      <c r="E40" s="750" t="s">
        <v>377</v>
      </c>
      <c r="F40" s="750">
        <v>1</v>
      </c>
      <c r="G40" s="750">
        <v>924</v>
      </c>
      <c r="H40" s="751">
        <v>124</v>
      </c>
      <c r="I40" s="752" t="s">
        <v>377</v>
      </c>
      <c r="J40" s="750" t="s">
        <v>377</v>
      </c>
      <c r="K40" s="750">
        <v>837</v>
      </c>
      <c r="L40" s="764" t="s">
        <v>377</v>
      </c>
      <c r="M40" s="750" t="s">
        <v>377</v>
      </c>
      <c r="N40" s="753" t="s">
        <v>377</v>
      </c>
      <c r="O40" s="783"/>
    </row>
    <row r="41" spans="1:15" s="782" customFormat="1" ht="20.100000000000001" customHeight="1">
      <c r="A41" s="1121"/>
      <c r="B41" s="1124"/>
      <c r="C41" s="755" t="s">
        <v>377</v>
      </c>
      <c r="D41" s="756" t="s">
        <v>377</v>
      </c>
      <c r="E41" s="757" t="s">
        <v>377</v>
      </c>
      <c r="F41" s="757" t="s">
        <v>377</v>
      </c>
      <c r="G41" s="757" t="s">
        <v>455</v>
      </c>
      <c r="H41" s="758" t="s">
        <v>365</v>
      </c>
      <c r="I41" s="759" t="s">
        <v>377</v>
      </c>
      <c r="J41" s="757" t="s">
        <v>377</v>
      </c>
      <c r="K41" s="757" t="s">
        <v>377</v>
      </c>
      <c r="L41" s="757" t="s">
        <v>377</v>
      </c>
      <c r="M41" s="757" t="s">
        <v>377</v>
      </c>
      <c r="N41" s="760" t="s">
        <v>377</v>
      </c>
      <c r="O41" s="784"/>
    </row>
    <row r="42" spans="1:15" s="782" customFormat="1" ht="20.100000000000001" customHeight="1">
      <c r="A42" s="1121"/>
      <c r="B42" s="1124"/>
      <c r="C42" s="762" t="s">
        <v>377</v>
      </c>
      <c r="D42" s="763" t="s">
        <v>377</v>
      </c>
      <c r="E42" s="750" t="s">
        <v>377</v>
      </c>
      <c r="F42" s="750" t="s">
        <v>377</v>
      </c>
      <c r="G42" s="750">
        <v>673</v>
      </c>
      <c r="H42" s="751">
        <v>520</v>
      </c>
      <c r="I42" s="752" t="s">
        <v>377</v>
      </c>
      <c r="J42" s="750" t="s">
        <v>377</v>
      </c>
      <c r="K42" s="750" t="s">
        <v>377</v>
      </c>
      <c r="L42" s="764" t="s">
        <v>377</v>
      </c>
      <c r="M42" s="750" t="s">
        <v>377</v>
      </c>
      <c r="N42" s="753" t="s">
        <v>377</v>
      </c>
      <c r="O42" s="783"/>
    </row>
    <row r="43" spans="1:15" s="782" customFormat="1" ht="20.100000000000001" customHeight="1">
      <c r="A43" s="1121"/>
      <c r="B43" s="1124"/>
      <c r="C43" s="755" t="s">
        <v>377</v>
      </c>
      <c r="D43" s="756" t="s">
        <v>377</v>
      </c>
      <c r="E43" s="757" t="s">
        <v>377</v>
      </c>
      <c r="F43" s="757" t="s">
        <v>377</v>
      </c>
      <c r="G43" s="757" t="s">
        <v>465</v>
      </c>
      <c r="H43" s="758" t="s">
        <v>50</v>
      </c>
      <c r="I43" s="759" t="s">
        <v>377</v>
      </c>
      <c r="J43" s="757"/>
      <c r="K43" s="757" t="s">
        <v>377</v>
      </c>
      <c r="L43" s="757" t="s">
        <v>377</v>
      </c>
      <c r="M43" s="757" t="s">
        <v>377</v>
      </c>
      <c r="N43" s="760" t="s">
        <v>377</v>
      </c>
      <c r="O43" s="784"/>
    </row>
    <row r="44" spans="1:15" s="782" customFormat="1" ht="20.100000000000001" customHeight="1">
      <c r="A44" s="1121"/>
      <c r="B44" s="1124"/>
      <c r="C44" s="762" t="s">
        <v>377</v>
      </c>
      <c r="D44" s="763" t="s">
        <v>377</v>
      </c>
      <c r="E44" s="750" t="s">
        <v>377</v>
      </c>
      <c r="F44" s="750" t="s">
        <v>377</v>
      </c>
      <c r="G44" s="750">
        <v>541</v>
      </c>
      <c r="H44" s="751">
        <v>1</v>
      </c>
      <c r="I44" s="752" t="s">
        <v>377</v>
      </c>
      <c r="J44" s="750"/>
      <c r="K44" s="750" t="s">
        <v>377</v>
      </c>
      <c r="L44" s="764" t="s">
        <v>377</v>
      </c>
      <c r="M44" s="750" t="s">
        <v>377</v>
      </c>
      <c r="N44" s="753" t="s">
        <v>377</v>
      </c>
      <c r="O44" s="783"/>
    </row>
    <row r="45" spans="1:15" s="782" customFormat="1" ht="20.100000000000001" customHeight="1">
      <c r="A45" s="1121"/>
      <c r="B45" s="1124"/>
      <c r="C45" s="755" t="s">
        <v>377</v>
      </c>
      <c r="D45" s="756" t="s">
        <v>377</v>
      </c>
      <c r="E45" s="757" t="s">
        <v>377</v>
      </c>
      <c r="F45" s="757" t="s">
        <v>377</v>
      </c>
      <c r="G45" s="757" t="s">
        <v>457</v>
      </c>
      <c r="H45" s="758"/>
      <c r="I45" s="759" t="s">
        <v>377</v>
      </c>
      <c r="J45" s="757" t="s">
        <v>377</v>
      </c>
      <c r="K45" s="757" t="s">
        <v>377</v>
      </c>
      <c r="L45" s="757" t="s">
        <v>377</v>
      </c>
      <c r="M45" s="757" t="s">
        <v>377</v>
      </c>
      <c r="N45" s="760" t="s">
        <v>377</v>
      </c>
      <c r="O45" s="784"/>
    </row>
    <row r="46" spans="1:15" s="782" customFormat="1" ht="20.100000000000001" customHeight="1">
      <c r="A46" s="1121"/>
      <c r="B46" s="1124"/>
      <c r="C46" s="762" t="s">
        <v>377</v>
      </c>
      <c r="D46" s="763" t="s">
        <v>377</v>
      </c>
      <c r="E46" s="750" t="s">
        <v>377</v>
      </c>
      <c r="F46" s="750" t="s">
        <v>377</v>
      </c>
      <c r="G46" s="750">
        <v>718</v>
      </c>
      <c r="H46" s="751"/>
      <c r="I46" s="752" t="s">
        <v>377</v>
      </c>
      <c r="J46" s="750" t="s">
        <v>377</v>
      </c>
      <c r="K46" s="750" t="s">
        <v>377</v>
      </c>
      <c r="L46" s="764" t="s">
        <v>377</v>
      </c>
      <c r="M46" s="750" t="s">
        <v>377</v>
      </c>
      <c r="N46" s="753" t="s">
        <v>377</v>
      </c>
      <c r="O46" s="783"/>
    </row>
    <row r="47" spans="1:15" s="780" customFormat="1" ht="20.100000000000001" customHeight="1">
      <c r="A47" s="1121"/>
      <c r="B47" s="1124"/>
      <c r="C47" s="755" t="s">
        <v>377</v>
      </c>
      <c r="D47" s="756" t="s">
        <v>377</v>
      </c>
      <c r="E47" s="757" t="s">
        <v>377</v>
      </c>
      <c r="F47" s="757" t="s">
        <v>377</v>
      </c>
      <c r="G47" s="757" t="s">
        <v>377</v>
      </c>
      <c r="H47" s="758" t="s">
        <v>377</v>
      </c>
      <c r="I47" s="759" t="s">
        <v>377</v>
      </c>
      <c r="J47" s="757" t="s">
        <v>377</v>
      </c>
      <c r="K47" s="757" t="s">
        <v>377</v>
      </c>
      <c r="L47" s="757" t="s">
        <v>377</v>
      </c>
      <c r="M47" s="757" t="s">
        <v>377</v>
      </c>
      <c r="N47" s="760" t="s">
        <v>377</v>
      </c>
      <c r="O47" s="787"/>
    </row>
    <row r="48" spans="1:15" s="780" customFormat="1" ht="20.100000000000001" customHeight="1">
      <c r="A48" s="1121"/>
      <c r="B48" s="1124"/>
      <c r="C48" s="762" t="s">
        <v>377</v>
      </c>
      <c r="D48" s="763" t="s">
        <v>377</v>
      </c>
      <c r="E48" s="750" t="s">
        <v>377</v>
      </c>
      <c r="F48" s="750" t="s">
        <v>377</v>
      </c>
      <c r="G48" s="750" t="s">
        <v>377</v>
      </c>
      <c r="H48" s="751" t="s">
        <v>377</v>
      </c>
      <c r="I48" s="752" t="s">
        <v>377</v>
      </c>
      <c r="J48" s="750" t="s">
        <v>377</v>
      </c>
      <c r="K48" s="750" t="s">
        <v>377</v>
      </c>
      <c r="L48" s="764" t="s">
        <v>377</v>
      </c>
      <c r="M48" s="750" t="s">
        <v>377</v>
      </c>
      <c r="N48" s="753" t="s">
        <v>377</v>
      </c>
      <c r="O48" s="788"/>
    </row>
    <row r="49" spans="1:15" s="780" customFormat="1" ht="21" customHeight="1" thickBot="1">
      <c r="A49" s="1121"/>
      <c r="B49" s="789" t="s">
        <v>353</v>
      </c>
      <c r="C49" s="790">
        <f t="shared" ref="C49:N49" si="1">SUM(C31:C48)</f>
        <v>1582</v>
      </c>
      <c r="D49" s="791">
        <f t="shared" si="1"/>
        <v>3710</v>
      </c>
      <c r="E49" s="791">
        <f t="shared" si="1"/>
        <v>368</v>
      </c>
      <c r="F49" s="791">
        <f t="shared" si="1"/>
        <v>2341</v>
      </c>
      <c r="G49" s="791">
        <f t="shared" si="1"/>
        <v>4831</v>
      </c>
      <c r="H49" s="792">
        <f t="shared" si="1"/>
        <v>2381</v>
      </c>
      <c r="I49" s="793">
        <f t="shared" si="1"/>
        <v>984</v>
      </c>
      <c r="J49" s="791">
        <f t="shared" si="1"/>
        <v>593</v>
      </c>
      <c r="K49" s="791">
        <f t="shared" si="1"/>
        <v>2086</v>
      </c>
      <c r="L49" s="791">
        <f t="shared" si="1"/>
        <v>945</v>
      </c>
      <c r="M49" s="791">
        <f t="shared" si="1"/>
        <v>117</v>
      </c>
      <c r="N49" s="794">
        <f t="shared" si="1"/>
        <v>2993</v>
      </c>
      <c r="O49" s="795">
        <f>SUM(C49:N49)</f>
        <v>22931</v>
      </c>
    </row>
    <row r="50" spans="1:15" s="782" customFormat="1" ht="20.100000000000001" hidden="1" customHeight="1">
      <c r="A50" s="1121"/>
      <c r="B50" s="1125" t="s">
        <v>354</v>
      </c>
      <c r="C50" s="796"/>
      <c r="D50" s="797"/>
      <c r="E50" s="797"/>
      <c r="F50" s="798"/>
      <c r="G50" s="799"/>
      <c r="H50" s="800"/>
      <c r="I50" s="801"/>
      <c r="J50" s="802"/>
      <c r="K50" s="802"/>
      <c r="L50" s="803"/>
      <c r="M50" s="804"/>
      <c r="N50" s="805"/>
      <c r="O50" s="781"/>
    </row>
    <row r="51" spans="1:15" s="782" customFormat="1" ht="20.100000000000001" hidden="1" customHeight="1">
      <c r="A51" s="1121"/>
      <c r="B51" s="1126"/>
      <c r="C51" s="806"/>
      <c r="D51" s="807"/>
      <c r="E51" s="807"/>
      <c r="F51" s="807"/>
      <c r="G51" s="807"/>
      <c r="H51" s="808"/>
      <c r="I51" s="809"/>
      <c r="J51" s="810"/>
      <c r="K51" s="810"/>
      <c r="L51" s="810"/>
      <c r="M51" s="810"/>
      <c r="N51" s="811"/>
      <c r="O51" s="783"/>
    </row>
    <row r="52" spans="1:15" s="782" customFormat="1" ht="20.100000000000001" hidden="1" customHeight="1">
      <c r="A52" s="1121"/>
      <c r="B52" s="1126"/>
      <c r="C52" s="812"/>
      <c r="D52" s="813"/>
      <c r="E52" s="813"/>
      <c r="F52" s="799"/>
      <c r="G52" s="814"/>
      <c r="H52" s="800"/>
      <c r="I52" s="815"/>
      <c r="J52" s="816"/>
      <c r="K52" s="817"/>
      <c r="L52" s="757"/>
      <c r="M52" s="818"/>
      <c r="N52" s="819"/>
      <c r="O52" s="784"/>
    </row>
    <row r="53" spans="1:15" s="782" customFormat="1" ht="20.100000000000001" hidden="1" customHeight="1">
      <c r="A53" s="1121"/>
      <c r="B53" s="1126"/>
      <c r="C53" s="806"/>
      <c r="D53" s="807"/>
      <c r="E53" s="807"/>
      <c r="F53" s="807"/>
      <c r="G53" s="807"/>
      <c r="H53" s="808"/>
      <c r="I53" s="809"/>
      <c r="J53" s="810"/>
      <c r="K53" s="810"/>
      <c r="L53" s="764"/>
      <c r="M53" s="811"/>
      <c r="N53" s="811"/>
      <c r="O53" s="783"/>
    </row>
    <row r="54" spans="1:15" s="782" customFormat="1" ht="20.100000000000001" hidden="1" customHeight="1">
      <c r="A54" s="1121"/>
      <c r="B54" s="1126"/>
      <c r="C54" s="812"/>
      <c r="D54" s="813"/>
      <c r="E54" s="813"/>
      <c r="F54" s="799"/>
      <c r="G54" s="814"/>
      <c r="H54" s="800"/>
      <c r="I54" s="817"/>
      <c r="J54" s="816"/>
      <c r="K54" s="820"/>
      <c r="L54" s="817"/>
      <c r="M54" s="821"/>
      <c r="N54" s="819"/>
      <c r="O54" s="784"/>
    </row>
    <row r="55" spans="1:15" s="782" customFormat="1" ht="20.100000000000001" hidden="1" customHeight="1">
      <c r="A55" s="1121"/>
      <c r="B55" s="1126"/>
      <c r="C55" s="806"/>
      <c r="D55" s="822"/>
      <c r="E55" s="807"/>
      <c r="F55" s="807"/>
      <c r="G55" s="807"/>
      <c r="H55" s="808"/>
      <c r="I55" s="810"/>
      <c r="J55" s="810"/>
      <c r="K55" s="810"/>
      <c r="L55" s="810"/>
      <c r="M55" s="810"/>
      <c r="N55" s="811"/>
      <c r="O55" s="783"/>
    </row>
    <row r="56" spans="1:15" s="782" customFormat="1" ht="20.100000000000001" hidden="1" customHeight="1">
      <c r="A56" s="1121"/>
      <c r="B56" s="1126"/>
      <c r="C56" s="812"/>
      <c r="D56" s="813"/>
      <c r="E56" s="799"/>
      <c r="F56" s="799"/>
      <c r="G56" s="814"/>
      <c r="H56" s="823"/>
      <c r="I56" s="815"/>
      <c r="J56" s="817"/>
      <c r="K56" s="824"/>
      <c r="L56" s="817"/>
      <c r="M56" s="821"/>
      <c r="N56" s="818"/>
      <c r="O56" s="784"/>
    </row>
    <row r="57" spans="1:15" s="782" customFormat="1" ht="20.100000000000001" hidden="1" customHeight="1">
      <c r="A57" s="1121"/>
      <c r="B57" s="1126"/>
      <c r="C57" s="825"/>
      <c r="D57" s="822"/>
      <c r="E57" s="807"/>
      <c r="F57" s="807"/>
      <c r="G57" s="807"/>
      <c r="H57" s="808"/>
      <c r="I57" s="809"/>
      <c r="J57" s="810"/>
      <c r="K57" s="826"/>
      <c r="L57" s="810"/>
      <c r="M57" s="810"/>
      <c r="N57" s="811"/>
      <c r="O57" s="783"/>
    </row>
    <row r="58" spans="1:15" s="782" customFormat="1" ht="20.100000000000001" hidden="1" customHeight="1">
      <c r="A58" s="1121"/>
      <c r="B58" s="1126"/>
      <c r="C58" s="812"/>
      <c r="D58" s="813"/>
      <c r="E58" s="813"/>
      <c r="F58" s="799"/>
      <c r="G58" s="815"/>
      <c r="H58" s="823"/>
      <c r="I58" s="827"/>
      <c r="J58" s="817"/>
      <c r="K58" s="821"/>
      <c r="L58" s="817"/>
      <c r="M58" s="821"/>
      <c r="N58" s="828"/>
      <c r="O58" s="784"/>
    </row>
    <row r="59" spans="1:15" s="782" customFormat="1" ht="20.100000000000001" hidden="1" customHeight="1">
      <c r="A59" s="1121"/>
      <c r="B59" s="1126"/>
      <c r="C59" s="825"/>
      <c r="D59" s="807"/>
      <c r="E59" s="829"/>
      <c r="F59" s="807"/>
      <c r="G59" s="809"/>
      <c r="H59" s="808"/>
      <c r="I59" s="830"/>
      <c r="J59" s="810"/>
      <c r="K59" s="810"/>
      <c r="L59" s="810"/>
      <c r="M59" s="810"/>
      <c r="N59" s="811"/>
      <c r="O59" s="783"/>
    </row>
    <row r="60" spans="1:15" s="782" customFormat="1" ht="20.100000000000001" hidden="1" customHeight="1">
      <c r="A60" s="1121"/>
      <c r="B60" s="1126"/>
      <c r="C60" s="831"/>
      <c r="D60" s="832"/>
      <c r="E60" s="833"/>
      <c r="F60" s="799"/>
      <c r="G60" s="814"/>
      <c r="H60" s="823"/>
      <c r="I60" s="834"/>
      <c r="J60" s="816"/>
      <c r="K60" s="835"/>
      <c r="L60" s="817"/>
      <c r="M60" s="835"/>
      <c r="N60" s="828"/>
      <c r="O60" s="784"/>
    </row>
    <row r="61" spans="1:15" s="782" customFormat="1" ht="20.100000000000001" hidden="1" customHeight="1">
      <c r="A61" s="1121"/>
      <c r="B61" s="1126"/>
      <c r="C61" s="825"/>
      <c r="D61" s="807"/>
      <c r="E61" s="822"/>
      <c r="F61" s="807"/>
      <c r="G61" s="807"/>
      <c r="H61" s="808"/>
      <c r="I61" s="830"/>
      <c r="J61" s="810"/>
      <c r="K61" s="810"/>
      <c r="L61" s="810"/>
      <c r="M61" s="810"/>
      <c r="N61" s="811"/>
      <c r="O61" s="783"/>
    </row>
    <row r="62" spans="1:15" s="782" customFormat="1" ht="20.100000000000001" hidden="1" customHeight="1">
      <c r="A62" s="1121"/>
      <c r="B62" s="1126"/>
      <c r="C62" s="836"/>
      <c r="D62" s="837"/>
      <c r="E62" s="838"/>
      <c r="F62" s="799"/>
      <c r="G62" s="814"/>
      <c r="H62" s="839"/>
      <c r="I62" s="840"/>
      <c r="J62" s="841"/>
      <c r="K62" s="842"/>
      <c r="L62" s="821"/>
      <c r="M62" s="841"/>
      <c r="N62" s="828"/>
      <c r="O62" s="784"/>
    </row>
    <row r="63" spans="1:15" s="782" customFormat="1" ht="20.100000000000001" hidden="1" customHeight="1">
      <c r="A63" s="1121"/>
      <c r="B63" s="1126"/>
      <c r="C63" s="825"/>
      <c r="D63" s="807"/>
      <c r="E63" s="822"/>
      <c r="F63" s="822"/>
      <c r="G63" s="807"/>
      <c r="H63" s="843"/>
      <c r="I63" s="830"/>
      <c r="J63" s="810"/>
      <c r="K63" s="810"/>
      <c r="L63" s="810"/>
      <c r="M63" s="810"/>
      <c r="N63" s="811"/>
      <c r="O63" s="783"/>
    </row>
    <row r="64" spans="1:15" s="782" customFormat="1" ht="20.100000000000001" hidden="1" customHeight="1">
      <c r="A64" s="1121"/>
      <c r="B64" s="1126"/>
      <c r="C64" s="812"/>
      <c r="D64" s="813"/>
      <c r="E64" s="813"/>
      <c r="F64" s="799"/>
      <c r="G64" s="814"/>
      <c r="H64" s="800"/>
      <c r="I64" s="815"/>
      <c r="J64" s="816"/>
      <c r="K64" s="817"/>
      <c r="L64" s="757"/>
      <c r="M64" s="821"/>
      <c r="N64" s="819"/>
      <c r="O64" s="784"/>
    </row>
    <row r="65" spans="1:15" s="782" customFormat="1" ht="20.100000000000001" hidden="1" customHeight="1">
      <c r="A65" s="1121"/>
      <c r="B65" s="1126"/>
      <c r="C65" s="806"/>
      <c r="D65" s="807"/>
      <c r="E65" s="807"/>
      <c r="F65" s="807"/>
      <c r="G65" s="807"/>
      <c r="H65" s="808"/>
      <c r="I65" s="809"/>
      <c r="J65" s="810"/>
      <c r="K65" s="810"/>
      <c r="L65" s="764"/>
      <c r="M65" s="810"/>
      <c r="N65" s="811"/>
      <c r="O65" s="783"/>
    </row>
    <row r="66" spans="1:15" s="782" customFormat="1" ht="20.100000000000001" hidden="1" customHeight="1">
      <c r="A66" s="1121"/>
      <c r="B66" s="1126"/>
      <c r="C66" s="812"/>
      <c r="D66" s="813"/>
      <c r="E66" s="813"/>
      <c r="F66" s="799"/>
      <c r="G66" s="814"/>
      <c r="H66" s="815"/>
      <c r="I66" s="815"/>
      <c r="J66" s="816"/>
      <c r="K66" s="820"/>
      <c r="L66" s="817"/>
      <c r="M66" s="821"/>
      <c r="N66" s="819"/>
      <c r="O66" s="784"/>
    </row>
    <row r="67" spans="1:15" s="782" customFormat="1" ht="20.100000000000001" hidden="1" customHeight="1">
      <c r="A67" s="1121"/>
      <c r="B67" s="1126"/>
      <c r="C67" s="806"/>
      <c r="D67" s="822"/>
      <c r="E67" s="807"/>
      <c r="F67" s="807"/>
      <c r="G67" s="807"/>
      <c r="H67" s="809"/>
      <c r="I67" s="809"/>
      <c r="J67" s="810"/>
      <c r="K67" s="810"/>
      <c r="L67" s="810"/>
      <c r="M67" s="810"/>
      <c r="N67" s="811"/>
      <c r="O67" s="783"/>
    </row>
    <row r="68" spans="1:15" s="782" customFormat="1" ht="20.100000000000001" hidden="1" customHeight="1">
      <c r="A68" s="1121"/>
      <c r="B68" s="1126"/>
      <c r="C68" s="812"/>
      <c r="D68" s="813"/>
      <c r="E68" s="813"/>
      <c r="F68" s="799"/>
      <c r="G68" s="814"/>
      <c r="H68" s="823"/>
      <c r="I68" s="815"/>
      <c r="J68" s="817"/>
      <c r="K68" s="816"/>
      <c r="L68" s="817"/>
      <c r="M68" s="821"/>
      <c r="N68" s="818"/>
      <c r="O68" s="784"/>
    </row>
    <row r="69" spans="1:15" s="782" customFormat="1" ht="20.100000000000001" hidden="1" customHeight="1">
      <c r="A69" s="1121"/>
      <c r="B69" s="1126"/>
      <c r="C69" s="825"/>
      <c r="D69" s="822"/>
      <c r="E69" s="822"/>
      <c r="F69" s="807"/>
      <c r="G69" s="807"/>
      <c r="H69" s="808"/>
      <c r="I69" s="809"/>
      <c r="J69" s="810"/>
      <c r="K69" s="810"/>
      <c r="L69" s="810"/>
      <c r="M69" s="810"/>
      <c r="N69" s="811"/>
      <c r="O69" s="783"/>
    </row>
    <row r="70" spans="1:15" s="782" customFormat="1" ht="20.100000000000001" hidden="1" customHeight="1">
      <c r="A70" s="1121"/>
      <c r="B70" s="1126"/>
      <c r="C70" s="813"/>
      <c r="D70" s="813"/>
      <c r="E70" s="813"/>
      <c r="F70" s="799"/>
      <c r="G70" s="814"/>
      <c r="H70" s="823"/>
      <c r="I70" s="827"/>
      <c r="J70" s="817"/>
      <c r="K70" s="821"/>
      <c r="L70" s="817"/>
      <c r="M70" s="821"/>
      <c r="N70" s="818"/>
      <c r="O70" s="784"/>
    </row>
    <row r="71" spans="1:15" s="782" customFormat="1" ht="20.100000000000001" hidden="1" customHeight="1">
      <c r="A71" s="1121"/>
      <c r="B71" s="1126"/>
      <c r="C71" s="822"/>
      <c r="D71" s="807"/>
      <c r="E71" s="829"/>
      <c r="F71" s="807"/>
      <c r="G71" s="807"/>
      <c r="H71" s="808"/>
      <c r="I71" s="830"/>
      <c r="J71" s="810"/>
      <c r="K71" s="810"/>
      <c r="L71" s="810"/>
      <c r="M71" s="810"/>
      <c r="N71" s="811"/>
      <c r="O71" s="783"/>
    </row>
    <row r="72" spans="1:15" s="782" customFormat="1" ht="20.100000000000001" hidden="1" customHeight="1">
      <c r="A72" s="1121"/>
      <c r="B72" s="1126"/>
      <c r="C72" s="831"/>
      <c r="D72" s="832"/>
      <c r="E72" s="833"/>
      <c r="F72" s="800"/>
      <c r="G72" s="814"/>
      <c r="H72" s="823"/>
      <c r="I72" s="834"/>
      <c r="J72" s="817"/>
      <c r="K72" s="835"/>
      <c r="L72" s="817"/>
      <c r="M72" s="835"/>
      <c r="N72" s="828"/>
      <c r="O72" s="784"/>
    </row>
    <row r="73" spans="1:15" s="782" customFormat="1" ht="20.100000000000001" hidden="1" customHeight="1">
      <c r="A73" s="1121"/>
      <c r="B73" s="1126"/>
      <c r="C73" s="825"/>
      <c r="D73" s="807"/>
      <c r="E73" s="822"/>
      <c r="F73" s="808"/>
      <c r="G73" s="807"/>
      <c r="H73" s="808"/>
      <c r="I73" s="830"/>
      <c r="J73" s="810"/>
      <c r="K73" s="810"/>
      <c r="L73" s="810"/>
      <c r="M73" s="810"/>
      <c r="N73" s="811"/>
      <c r="O73" s="783"/>
    </row>
    <row r="74" spans="1:15" s="782" customFormat="1" ht="20.100000000000001" hidden="1" customHeight="1">
      <c r="A74" s="1121"/>
      <c r="B74" s="1126"/>
      <c r="C74" s="844"/>
      <c r="D74" s="837"/>
      <c r="E74" s="845"/>
      <c r="F74" s="799"/>
      <c r="G74" s="814"/>
      <c r="H74" s="839"/>
      <c r="I74" s="840"/>
      <c r="J74" s="841"/>
      <c r="K74" s="842"/>
      <c r="L74" s="824"/>
      <c r="M74" s="841"/>
      <c r="N74" s="828"/>
      <c r="O74" s="784"/>
    </row>
    <row r="75" spans="1:15" s="782" customFormat="1" ht="20.100000000000001" hidden="1" customHeight="1">
      <c r="A75" s="1121"/>
      <c r="B75" s="1126"/>
      <c r="C75" s="846"/>
      <c r="D75" s="807"/>
      <c r="E75" s="847"/>
      <c r="F75" s="822"/>
      <c r="G75" s="807"/>
      <c r="H75" s="843"/>
      <c r="I75" s="830"/>
      <c r="J75" s="810"/>
      <c r="K75" s="810"/>
      <c r="L75" s="826"/>
      <c r="M75" s="810"/>
      <c r="N75" s="811"/>
      <c r="O75" s="783"/>
    </row>
    <row r="76" spans="1:15" s="782" customFormat="1" ht="20.100000000000001" hidden="1" customHeight="1">
      <c r="A76" s="1121"/>
      <c r="B76" s="1126"/>
      <c r="C76" s="844"/>
      <c r="D76" s="837"/>
      <c r="E76" s="848"/>
      <c r="F76" s="849"/>
      <c r="G76" s="838"/>
      <c r="H76" s="850"/>
      <c r="I76" s="851"/>
      <c r="J76" s="841"/>
      <c r="K76" s="842"/>
      <c r="L76" s="841"/>
      <c r="M76" s="841"/>
      <c r="N76" s="852"/>
      <c r="O76" s="784"/>
    </row>
    <row r="77" spans="1:15" s="782" customFormat="1" ht="20.100000000000001" hidden="1" customHeight="1">
      <c r="A77" s="1121"/>
      <c r="B77" s="1126"/>
      <c r="C77" s="853"/>
      <c r="D77" s="807"/>
      <c r="E77" s="847"/>
      <c r="F77" s="822"/>
      <c r="G77" s="807"/>
      <c r="H77" s="843"/>
      <c r="I77" s="830"/>
      <c r="J77" s="810"/>
      <c r="K77" s="810"/>
      <c r="L77" s="810"/>
      <c r="M77" s="810"/>
      <c r="N77" s="811"/>
      <c r="O77" s="783"/>
    </row>
    <row r="78" spans="1:15" s="780" customFormat="1" ht="20.100000000000001" hidden="1" customHeight="1">
      <c r="A78" s="1121"/>
      <c r="B78" s="1126"/>
      <c r="C78" s="854"/>
      <c r="D78" s="855"/>
      <c r="E78" s="845"/>
      <c r="F78" s="855"/>
      <c r="G78" s="855"/>
      <c r="H78" s="856"/>
      <c r="I78" s="857"/>
      <c r="J78" s="855"/>
      <c r="K78" s="855"/>
      <c r="L78" s="855"/>
      <c r="M78" s="855"/>
      <c r="N78" s="858"/>
      <c r="O78" s="787"/>
    </row>
    <row r="79" spans="1:15" s="780" customFormat="1" ht="20.100000000000001" hidden="1" customHeight="1">
      <c r="A79" s="1121"/>
      <c r="B79" s="1126"/>
      <c r="C79" s="859"/>
      <c r="D79" s="860"/>
      <c r="E79" s="860"/>
      <c r="F79" s="860"/>
      <c r="G79" s="860"/>
      <c r="H79" s="861"/>
      <c r="I79" s="862"/>
      <c r="J79" s="860"/>
      <c r="K79" s="860"/>
      <c r="L79" s="860"/>
      <c r="M79" s="860"/>
      <c r="N79" s="863"/>
      <c r="O79" s="788"/>
    </row>
    <row r="80" spans="1:15" s="780" customFormat="1" ht="20.100000000000001" hidden="1" customHeight="1">
      <c r="A80" s="1121"/>
      <c r="B80" s="1127"/>
      <c r="C80" s="854"/>
      <c r="D80" s="855"/>
      <c r="E80" s="855"/>
      <c r="F80" s="855"/>
      <c r="G80" s="855"/>
      <c r="H80" s="856"/>
      <c r="I80" s="857"/>
      <c r="J80" s="855"/>
      <c r="K80" s="855"/>
      <c r="L80" s="855"/>
      <c r="M80" s="855"/>
      <c r="N80" s="858"/>
      <c r="O80" s="787"/>
    </row>
    <row r="81" spans="1:17" s="780" customFormat="1" ht="21" hidden="1" customHeight="1">
      <c r="A81" s="1121"/>
      <c r="B81" s="864" t="s">
        <v>353</v>
      </c>
      <c r="C81" s="865">
        <f t="shared" ref="C81:N81" si="2">SUM(C50:C80)</f>
        <v>0</v>
      </c>
      <c r="D81" s="866">
        <f t="shared" si="2"/>
        <v>0</v>
      </c>
      <c r="E81" s="866">
        <f t="shared" si="2"/>
        <v>0</v>
      </c>
      <c r="F81" s="866">
        <f t="shared" si="2"/>
        <v>0</v>
      </c>
      <c r="G81" s="866">
        <f t="shared" si="2"/>
        <v>0</v>
      </c>
      <c r="H81" s="867">
        <f t="shared" si="2"/>
        <v>0</v>
      </c>
      <c r="I81" s="868">
        <f t="shared" si="2"/>
        <v>0</v>
      </c>
      <c r="J81" s="866">
        <f t="shared" si="2"/>
        <v>0</v>
      </c>
      <c r="K81" s="866">
        <f t="shared" si="2"/>
        <v>0</v>
      </c>
      <c r="L81" s="866">
        <f t="shared" si="2"/>
        <v>0</v>
      </c>
      <c r="M81" s="866">
        <f t="shared" si="2"/>
        <v>0</v>
      </c>
      <c r="N81" s="869">
        <f t="shared" si="2"/>
        <v>0</v>
      </c>
      <c r="O81" s="870">
        <f>SUM(C81:N81)</f>
        <v>0</v>
      </c>
      <c r="Q81" s="871"/>
    </row>
    <row r="82" spans="1:17" s="782" customFormat="1" ht="20.100000000000001" hidden="1" customHeight="1">
      <c r="A82" s="1121"/>
      <c r="B82" s="1125" t="s">
        <v>355</v>
      </c>
      <c r="C82" s="796"/>
      <c r="D82" s="797"/>
      <c r="E82" s="797"/>
      <c r="F82" s="798"/>
      <c r="G82" s="799"/>
      <c r="H82" s="800"/>
      <c r="I82" s="801"/>
      <c r="J82" s="802"/>
      <c r="K82" s="802"/>
      <c r="L82" s="803"/>
      <c r="M82" s="804"/>
      <c r="N82" s="805"/>
      <c r="O82" s="781"/>
    </row>
    <row r="83" spans="1:17" s="782" customFormat="1" ht="20.100000000000001" hidden="1" customHeight="1">
      <c r="A83" s="1121"/>
      <c r="B83" s="1126"/>
      <c r="C83" s="806"/>
      <c r="D83" s="807"/>
      <c r="E83" s="807"/>
      <c r="F83" s="807"/>
      <c r="G83" s="807"/>
      <c r="H83" s="808"/>
      <c r="I83" s="809"/>
      <c r="J83" s="810"/>
      <c r="K83" s="810"/>
      <c r="L83" s="810"/>
      <c r="M83" s="810"/>
      <c r="N83" s="811"/>
      <c r="O83" s="783"/>
    </row>
    <row r="84" spans="1:17" s="782" customFormat="1" ht="20.100000000000001" hidden="1" customHeight="1">
      <c r="A84" s="1121"/>
      <c r="B84" s="1126"/>
      <c r="C84" s="812"/>
      <c r="D84" s="813"/>
      <c r="E84" s="813"/>
      <c r="F84" s="799"/>
      <c r="G84" s="814"/>
      <c r="H84" s="800"/>
      <c r="I84" s="815"/>
      <c r="J84" s="816"/>
      <c r="K84" s="817"/>
      <c r="L84" s="757"/>
      <c r="M84" s="824"/>
      <c r="N84" s="819"/>
      <c r="O84" s="784"/>
    </row>
    <row r="85" spans="1:17" s="782" customFormat="1" ht="20.100000000000001" hidden="1" customHeight="1">
      <c r="A85" s="1121"/>
      <c r="B85" s="1126"/>
      <c r="C85" s="806"/>
      <c r="D85" s="807"/>
      <c r="E85" s="807"/>
      <c r="F85" s="807"/>
      <c r="G85" s="807"/>
      <c r="H85" s="808"/>
      <c r="I85" s="809"/>
      <c r="J85" s="810"/>
      <c r="K85" s="810"/>
      <c r="L85" s="764"/>
      <c r="M85" s="826"/>
      <c r="N85" s="811"/>
      <c r="O85" s="783"/>
    </row>
    <row r="86" spans="1:17" s="782" customFormat="1" ht="20.100000000000001" hidden="1" customHeight="1">
      <c r="A86" s="1121"/>
      <c r="B86" s="1126"/>
      <c r="C86" s="812"/>
      <c r="D86" s="813"/>
      <c r="E86" s="813"/>
      <c r="F86" s="799"/>
      <c r="G86" s="814"/>
      <c r="H86" s="800"/>
      <c r="I86" s="800"/>
      <c r="J86" s="816"/>
      <c r="K86" s="820"/>
      <c r="L86" s="817"/>
      <c r="M86" s="821"/>
      <c r="N86" s="819"/>
      <c r="O86" s="784"/>
    </row>
    <row r="87" spans="1:17" s="782" customFormat="1" ht="20.100000000000001" hidden="1" customHeight="1">
      <c r="A87" s="1121"/>
      <c r="B87" s="1126"/>
      <c r="C87" s="806"/>
      <c r="D87" s="822"/>
      <c r="E87" s="807"/>
      <c r="F87" s="807"/>
      <c r="G87" s="807"/>
      <c r="H87" s="808"/>
      <c r="I87" s="808"/>
      <c r="J87" s="810"/>
      <c r="K87" s="810"/>
      <c r="L87" s="810"/>
      <c r="M87" s="810"/>
      <c r="N87" s="811"/>
      <c r="O87" s="783"/>
    </row>
    <row r="88" spans="1:17" s="782" customFormat="1" ht="20.100000000000001" hidden="1" customHeight="1">
      <c r="A88" s="1121"/>
      <c r="B88" s="1126"/>
      <c r="C88" s="812"/>
      <c r="D88" s="813"/>
      <c r="E88" s="813"/>
      <c r="F88" s="799"/>
      <c r="G88" s="814"/>
      <c r="H88" s="823"/>
      <c r="I88" s="815"/>
      <c r="J88" s="817"/>
      <c r="K88" s="817"/>
      <c r="L88" s="817"/>
      <c r="M88" s="821"/>
      <c r="N88" s="818"/>
      <c r="O88" s="784"/>
    </row>
    <row r="89" spans="1:17" s="782" customFormat="1" ht="20.100000000000001" hidden="1" customHeight="1">
      <c r="A89" s="1121"/>
      <c r="B89" s="1126"/>
      <c r="C89" s="825"/>
      <c r="D89" s="822"/>
      <c r="E89" s="822"/>
      <c r="F89" s="807"/>
      <c r="G89" s="807"/>
      <c r="H89" s="808"/>
      <c r="I89" s="809"/>
      <c r="J89" s="810"/>
      <c r="K89" s="810"/>
      <c r="L89" s="810"/>
      <c r="M89" s="810"/>
      <c r="N89" s="811"/>
      <c r="O89" s="783"/>
    </row>
    <row r="90" spans="1:17" s="782" customFormat="1" ht="20.100000000000001" hidden="1" customHeight="1">
      <c r="A90" s="1121"/>
      <c r="B90" s="1126"/>
      <c r="C90" s="812"/>
      <c r="D90" s="813"/>
      <c r="E90" s="813"/>
      <c r="F90" s="799"/>
      <c r="G90" s="799"/>
      <c r="H90" s="823"/>
      <c r="I90" s="827"/>
      <c r="J90" s="817"/>
      <c r="K90" s="821"/>
      <c r="L90" s="817"/>
      <c r="M90" s="821"/>
      <c r="N90" s="818"/>
      <c r="O90" s="784"/>
    </row>
    <row r="91" spans="1:17" s="782" customFormat="1" ht="20.100000000000001" hidden="1" customHeight="1">
      <c r="A91" s="1121"/>
      <c r="B91" s="1126"/>
      <c r="C91" s="825"/>
      <c r="D91" s="807"/>
      <c r="E91" s="829"/>
      <c r="F91" s="807"/>
      <c r="G91" s="807"/>
      <c r="H91" s="808"/>
      <c r="I91" s="830"/>
      <c r="J91" s="810"/>
      <c r="K91" s="810"/>
      <c r="L91" s="810"/>
      <c r="M91" s="810"/>
      <c r="N91" s="811"/>
      <c r="O91" s="783"/>
    </row>
    <row r="92" spans="1:17" s="782" customFormat="1" ht="20.100000000000001" hidden="1" customHeight="1">
      <c r="A92" s="1121"/>
      <c r="B92" s="1126"/>
      <c r="C92" s="831"/>
      <c r="D92" s="832"/>
      <c r="E92" s="833"/>
      <c r="F92" s="799"/>
      <c r="G92" s="814"/>
      <c r="H92" s="823"/>
      <c r="I92" s="834"/>
      <c r="J92" s="815"/>
      <c r="K92" s="835"/>
      <c r="L92" s="817"/>
      <c r="M92" s="835"/>
      <c r="N92" s="828"/>
      <c r="O92" s="784"/>
    </row>
    <row r="93" spans="1:17" s="782" customFormat="1" ht="20.100000000000001" hidden="1" customHeight="1">
      <c r="A93" s="1121"/>
      <c r="B93" s="1126"/>
      <c r="C93" s="825"/>
      <c r="D93" s="807"/>
      <c r="E93" s="822"/>
      <c r="F93" s="807"/>
      <c r="G93" s="807"/>
      <c r="H93" s="808"/>
      <c r="I93" s="830"/>
      <c r="J93" s="809"/>
      <c r="K93" s="810"/>
      <c r="L93" s="810"/>
      <c r="M93" s="810"/>
      <c r="N93" s="811"/>
      <c r="O93" s="783"/>
    </row>
    <row r="94" spans="1:17" s="782" customFormat="1" ht="20.100000000000001" hidden="1" customHeight="1">
      <c r="A94" s="1121"/>
      <c r="B94" s="1126"/>
      <c r="C94" s="813"/>
      <c r="D94" s="837"/>
      <c r="E94" s="838"/>
      <c r="F94" s="799"/>
      <c r="G94" s="814"/>
      <c r="H94" s="839"/>
      <c r="I94" s="840"/>
      <c r="J94" s="841"/>
      <c r="K94" s="842"/>
      <c r="L94" s="816"/>
      <c r="M94" s="841"/>
      <c r="N94" s="828"/>
      <c r="O94" s="784"/>
    </row>
    <row r="95" spans="1:17" s="782" customFormat="1" ht="20.100000000000001" hidden="1" customHeight="1">
      <c r="A95" s="1121"/>
      <c r="B95" s="1126"/>
      <c r="C95" s="822"/>
      <c r="D95" s="807"/>
      <c r="E95" s="822"/>
      <c r="F95" s="822"/>
      <c r="G95" s="807"/>
      <c r="H95" s="843"/>
      <c r="I95" s="830"/>
      <c r="J95" s="810"/>
      <c r="K95" s="810"/>
      <c r="L95" s="810"/>
      <c r="M95" s="810"/>
      <c r="N95" s="811"/>
      <c r="O95" s="783"/>
    </row>
    <row r="96" spans="1:17" s="782" customFormat="1" ht="20.100000000000001" hidden="1" customHeight="1">
      <c r="A96" s="1121"/>
      <c r="B96" s="1126"/>
      <c r="C96" s="812"/>
      <c r="D96" s="813"/>
      <c r="E96" s="813"/>
      <c r="F96" s="799"/>
      <c r="G96" s="814"/>
      <c r="H96" s="800"/>
      <c r="I96" s="815"/>
      <c r="J96" s="816"/>
      <c r="K96" s="817"/>
      <c r="L96" s="757"/>
      <c r="M96" s="821"/>
      <c r="N96" s="819"/>
      <c r="O96" s="784"/>
    </row>
    <row r="97" spans="1:15" s="782" customFormat="1" ht="20.100000000000001" hidden="1" customHeight="1">
      <c r="A97" s="1121"/>
      <c r="B97" s="1126"/>
      <c r="C97" s="806"/>
      <c r="D97" s="807"/>
      <c r="E97" s="807"/>
      <c r="F97" s="807"/>
      <c r="G97" s="807"/>
      <c r="H97" s="808"/>
      <c r="I97" s="809"/>
      <c r="J97" s="810"/>
      <c r="K97" s="810"/>
      <c r="L97" s="764"/>
      <c r="M97" s="810"/>
      <c r="N97" s="811"/>
      <c r="O97" s="783"/>
    </row>
    <row r="98" spans="1:15" s="782" customFormat="1" ht="20.100000000000001" hidden="1" customHeight="1">
      <c r="A98" s="1121"/>
      <c r="B98" s="1126"/>
      <c r="C98" s="812"/>
      <c r="D98" s="813"/>
      <c r="E98" s="813"/>
      <c r="F98" s="799"/>
      <c r="G98" s="814"/>
      <c r="H98" s="814"/>
      <c r="I98" s="815"/>
      <c r="J98" s="816"/>
      <c r="K98" s="820"/>
      <c r="L98" s="817"/>
      <c r="M98" s="821"/>
      <c r="N98" s="819"/>
      <c r="O98" s="784"/>
    </row>
    <row r="99" spans="1:15" s="782" customFormat="1" ht="20.100000000000001" hidden="1" customHeight="1">
      <c r="A99" s="1121"/>
      <c r="B99" s="1126"/>
      <c r="C99" s="806"/>
      <c r="D99" s="822"/>
      <c r="E99" s="807"/>
      <c r="F99" s="807"/>
      <c r="G99" s="807"/>
      <c r="H99" s="807"/>
      <c r="I99" s="809"/>
      <c r="J99" s="810"/>
      <c r="K99" s="810"/>
      <c r="L99" s="810"/>
      <c r="M99" s="810"/>
      <c r="N99" s="811"/>
      <c r="O99" s="783"/>
    </row>
    <row r="100" spans="1:15" s="782" customFormat="1" ht="20.100000000000001" hidden="1" customHeight="1">
      <c r="A100" s="1121"/>
      <c r="B100" s="1126"/>
      <c r="C100" s="872"/>
      <c r="D100" s="873"/>
      <c r="E100" s="873"/>
      <c r="F100" s="799"/>
      <c r="G100" s="874"/>
      <c r="H100" s="823"/>
      <c r="I100" s="815"/>
      <c r="J100" s="875"/>
      <c r="K100" s="816"/>
      <c r="L100" s="817"/>
      <c r="M100" s="821"/>
      <c r="N100" s="818"/>
      <c r="O100" s="784"/>
    </row>
    <row r="101" spans="1:15" s="782" customFormat="1" ht="20.100000000000001" hidden="1" customHeight="1">
      <c r="A101" s="1121"/>
      <c r="B101" s="1126"/>
      <c r="C101" s="846"/>
      <c r="D101" s="847"/>
      <c r="E101" s="847"/>
      <c r="F101" s="807"/>
      <c r="G101" s="876"/>
      <c r="H101" s="808"/>
      <c r="I101" s="809"/>
      <c r="J101" s="810"/>
      <c r="K101" s="810"/>
      <c r="L101" s="810"/>
      <c r="M101" s="810"/>
      <c r="N101" s="811"/>
      <c r="O101" s="783"/>
    </row>
    <row r="102" spans="1:15" s="782" customFormat="1" ht="20.100000000000001" hidden="1" customHeight="1">
      <c r="A102" s="1121"/>
      <c r="B102" s="1126"/>
      <c r="C102" s="872"/>
      <c r="D102" s="873"/>
      <c r="E102" s="873"/>
      <c r="F102" s="799"/>
      <c r="G102" s="814"/>
      <c r="H102" s="823"/>
      <c r="I102" s="827"/>
      <c r="J102" s="817"/>
      <c r="K102" s="821"/>
      <c r="L102" s="817"/>
      <c r="M102" s="821"/>
      <c r="N102" s="818"/>
      <c r="O102" s="784"/>
    </row>
    <row r="103" spans="1:15" s="782" customFormat="1" ht="20.100000000000001" hidden="1" customHeight="1">
      <c r="A103" s="1121"/>
      <c r="B103" s="1126"/>
      <c r="C103" s="846"/>
      <c r="D103" s="807"/>
      <c r="E103" s="877"/>
      <c r="F103" s="807"/>
      <c r="G103" s="807"/>
      <c r="H103" s="808"/>
      <c r="I103" s="830"/>
      <c r="J103" s="810"/>
      <c r="K103" s="810"/>
      <c r="L103" s="810"/>
      <c r="M103" s="810"/>
      <c r="N103" s="811"/>
      <c r="O103" s="783"/>
    </row>
    <row r="104" spans="1:15" s="782" customFormat="1" ht="20.100000000000001" hidden="1" customHeight="1">
      <c r="A104" s="1121"/>
      <c r="B104" s="1126"/>
      <c r="C104" s="878"/>
      <c r="D104" s="832"/>
      <c r="E104" s="879"/>
      <c r="F104" s="813"/>
      <c r="G104" s="814"/>
      <c r="H104" s="880"/>
      <c r="I104" s="834"/>
      <c r="J104" s="817"/>
      <c r="K104" s="835"/>
      <c r="L104" s="817"/>
      <c r="M104" s="835"/>
      <c r="N104" s="828"/>
      <c r="O104" s="784"/>
    </row>
    <row r="105" spans="1:15" s="782" customFormat="1" ht="20.100000000000001" hidden="1" customHeight="1">
      <c r="A105" s="1121"/>
      <c r="B105" s="1126"/>
      <c r="C105" s="846"/>
      <c r="D105" s="807"/>
      <c r="E105" s="847"/>
      <c r="F105" s="822"/>
      <c r="G105" s="807"/>
      <c r="H105" s="808"/>
      <c r="I105" s="830"/>
      <c r="J105" s="810"/>
      <c r="K105" s="810"/>
      <c r="L105" s="810"/>
      <c r="M105" s="810"/>
      <c r="N105" s="811"/>
      <c r="O105" s="783"/>
    </row>
    <row r="106" spans="1:15" s="782" customFormat="1" ht="20.100000000000001" hidden="1" customHeight="1">
      <c r="A106" s="1121"/>
      <c r="B106" s="1126"/>
      <c r="C106" s="844"/>
      <c r="D106" s="837"/>
      <c r="E106" s="845"/>
      <c r="F106" s="799"/>
      <c r="G106" s="814"/>
      <c r="H106" s="839"/>
      <c r="I106" s="840"/>
      <c r="J106" s="841"/>
      <c r="K106" s="842"/>
      <c r="L106" s="824"/>
      <c r="M106" s="841"/>
      <c r="N106" s="828"/>
      <c r="O106" s="784"/>
    </row>
    <row r="107" spans="1:15" s="782" customFormat="1" ht="20.100000000000001" hidden="1" customHeight="1">
      <c r="A107" s="1121"/>
      <c r="B107" s="1126"/>
      <c r="C107" s="846"/>
      <c r="D107" s="807"/>
      <c r="E107" s="847"/>
      <c r="F107" s="822"/>
      <c r="G107" s="807"/>
      <c r="H107" s="843"/>
      <c r="I107" s="830"/>
      <c r="J107" s="810"/>
      <c r="K107" s="810"/>
      <c r="L107" s="826"/>
      <c r="M107" s="810"/>
      <c r="N107" s="811"/>
      <c r="O107" s="783"/>
    </row>
    <row r="108" spans="1:15" s="782" customFormat="1" ht="20.100000000000001" hidden="1" customHeight="1">
      <c r="A108" s="1121"/>
      <c r="B108" s="1126"/>
      <c r="C108" s="844"/>
      <c r="D108" s="837"/>
      <c r="E108" s="848"/>
      <c r="F108" s="849"/>
      <c r="G108" s="838"/>
      <c r="H108" s="850"/>
      <c r="I108" s="851"/>
      <c r="J108" s="841"/>
      <c r="K108" s="842"/>
      <c r="L108" s="841"/>
      <c r="M108" s="841"/>
      <c r="N108" s="852"/>
      <c r="O108" s="784"/>
    </row>
    <row r="109" spans="1:15" s="782" customFormat="1" ht="20.100000000000001" hidden="1" customHeight="1">
      <c r="A109" s="1121"/>
      <c r="B109" s="1126"/>
      <c r="C109" s="853"/>
      <c r="D109" s="807"/>
      <c r="E109" s="847"/>
      <c r="F109" s="822"/>
      <c r="G109" s="807"/>
      <c r="H109" s="843"/>
      <c r="I109" s="830"/>
      <c r="J109" s="810"/>
      <c r="K109" s="810"/>
      <c r="L109" s="810"/>
      <c r="M109" s="810"/>
      <c r="N109" s="811"/>
      <c r="O109" s="783"/>
    </row>
    <row r="110" spans="1:15" s="780" customFormat="1" ht="20.100000000000001" hidden="1" customHeight="1">
      <c r="A110" s="1121"/>
      <c r="B110" s="1126"/>
      <c r="C110" s="854"/>
      <c r="D110" s="855"/>
      <c r="E110" s="845"/>
      <c r="F110" s="855"/>
      <c r="G110" s="855"/>
      <c r="H110" s="856"/>
      <c r="I110" s="857"/>
      <c r="J110" s="855"/>
      <c r="K110" s="855"/>
      <c r="L110" s="855"/>
      <c r="M110" s="855"/>
      <c r="N110" s="858"/>
      <c r="O110" s="787"/>
    </row>
    <row r="111" spans="1:15" s="780" customFormat="1" ht="20.100000000000001" hidden="1" customHeight="1">
      <c r="A111" s="1121"/>
      <c r="B111" s="1126"/>
      <c r="C111" s="859"/>
      <c r="D111" s="860"/>
      <c r="E111" s="860"/>
      <c r="F111" s="860"/>
      <c r="G111" s="860"/>
      <c r="H111" s="861"/>
      <c r="I111" s="862"/>
      <c r="J111" s="860"/>
      <c r="K111" s="860"/>
      <c r="L111" s="860"/>
      <c r="M111" s="860"/>
      <c r="N111" s="863"/>
      <c r="O111" s="788"/>
    </row>
    <row r="112" spans="1:15" s="780" customFormat="1" ht="20.100000000000001" hidden="1" customHeight="1">
      <c r="A112" s="1121"/>
      <c r="B112" s="1127"/>
      <c r="C112" s="854"/>
      <c r="D112" s="855"/>
      <c r="E112" s="855"/>
      <c r="F112" s="855"/>
      <c r="G112" s="855"/>
      <c r="H112" s="856"/>
      <c r="I112" s="857"/>
      <c r="J112" s="855"/>
      <c r="K112" s="855"/>
      <c r="L112" s="855"/>
      <c r="M112" s="855"/>
      <c r="N112" s="858"/>
      <c r="O112" s="787"/>
    </row>
    <row r="113" spans="1:15" s="780" customFormat="1" ht="21" hidden="1" customHeight="1">
      <c r="A113" s="1122"/>
      <c r="B113" s="864" t="s">
        <v>353</v>
      </c>
      <c r="C113" s="865">
        <f t="shared" ref="C113:N113" si="3">SUM(C82:C112)</f>
        <v>0</v>
      </c>
      <c r="D113" s="866">
        <f t="shared" si="3"/>
        <v>0</v>
      </c>
      <c r="E113" s="866">
        <f t="shared" si="3"/>
        <v>0</v>
      </c>
      <c r="F113" s="866">
        <f t="shared" si="3"/>
        <v>0</v>
      </c>
      <c r="G113" s="866">
        <f t="shared" si="3"/>
        <v>0</v>
      </c>
      <c r="H113" s="867">
        <f t="shared" si="3"/>
        <v>0</v>
      </c>
      <c r="I113" s="868">
        <f t="shared" si="3"/>
        <v>0</v>
      </c>
      <c r="J113" s="866">
        <f t="shared" si="3"/>
        <v>0</v>
      </c>
      <c r="K113" s="866">
        <f t="shared" si="3"/>
        <v>0</v>
      </c>
      <c r="L113" s="866">
        <f t="shared" si="3"/>
        <v>0</v>
      </c>
      <c r="M113" s="866">
        <f t="shared" si="3"/>
        <v>0</v>
      </c>
      <c r="N113" s="869">
        <f t="shared" si="3"/>
        <v>0</v>
      </c>
      <c r="O113" s="870">
        <f>SUM(C113:N113)</f>
        <v>0</v>
      </c>
    </row>
    <row r="114" spans="1:15" s="884" customFormat="1" ht="18.75" customHeight="1">
      <c r="A114" s="881"/>
      <c r="B114" s="881"/>
      <c r="C114" s="882"/>
      <c r="D114" s="883"/>
      <c r="E114" s="883"/>
      <c r="F114" s="883"/>
      <c r="G114" s="883"/>
      <c r="H114" s="883"/>
      <c r="I114" s="883"/>
      <c r="J114" s="883"/>
      <c r="K114" s="883"/>
      <c r="L114" s="883"/>
      <c r="M114" s="883"/>
      <c r="N114" s="883"/>
      <c r="O114" s="883"/>
    </row>
    <row r="115" spans="1:15" s="889" customFormat="1" ht="15.95" customHeight="1">
      <c r="A115" s="885"/>
      <c r="B115" s="886"/>
      <c r="C115" s="887"/>
      <c r="D115" s="888"/>
      <c r="E115" s="888"/>
      <c r="F115" s="888"/>
      <c r="G115" s="888"/>
      <c r="H115" s="888"/>
      <c r="I115" s="888"/>
      <c r="J115" s="888"/>
      <c r="K115" s="888"/>
      <c r="L115" s="888"/>
      <c r="M115" s="888"/>
      <c r="N115" s="888"/>
      <c r="O115" s="888"/>
    </row>
    <row r="116" spans="1:15" s="894" customFormat="1" ht="26.25" customHeight="1" thickBot="1">
      <c r="A116" s="890" t="s">
        <v>356</v>
      </c>
      <c r="B116" s="891"/>
      <c r="C116" s="892"/>
      <c r="D116" s="893"/>
      <c r="E116" s="893"/>
      <c r="F116" s="893"/>
      <c r="G116" s="893"/>
      <c r="H116" s="893"/>
      <c r="I116" s="893"/>
      <c r="J116" s="893"/>
      <c r="K116" s="893"/>
      <c r="L116" s="893"/>
      <c r="M116" s="893"/>
      <c r="N116" s="893"/>
      <c r="O116" s="893"/>
    </row>
    <row r="117" spans="1:15" ht="20.100000000000001" customHeight="1" thickBot="1">
      <c r="A117" s="895" t="s">
        <v>357</v>
      </c>
      <c r="B117" s="896" t="s">
        <v>358</v>
      </c>
      <c r="C117" s="896" t="s">
        <v>359</v>
      </c>
      <c r="D117" s="896" t="s">
        <v>360</v>
      </c>
      <c r="E117" s="896" t="s">
        <v>70</v>
      </c>
      <c r="F117" s="896" t="s">
        <v>72</v>
      </c>
      <c r="G117" s="896" t="s">
        <v>73</v>
      </c>
      <c r="H117" s="896" t="s">
        <v>74</v>
      </c>
      <c r="I117" s="896" t="s">
        <v>75</v>
      </c>
      <c r="J117" s="896" t="s">
        <v>76</v>
      </c>
      <c r="K117" s="896" t="s">
        <v>77</v>
      </c>
      <c r="L117" s="896" t="s">
        <v>78</v>
      </c>
      <c r="M117" s="896" t="s">
        <v>79</v>
      </c>
      <c r="N117" s="896" t="s">
        <v>80</v>
      </c>
      <c r="O117" s="897" t="s">
        <v>81</v>
      </c>
    </row>
    <row r="118" spans="1:15" s="903" customFormat="1" ht="20.100000000000001" customHeight="1">
      <c r="A118" s="898" t="s">
        <v>361</v>
      </c>
      <c r="B118" s="899"/>
      <c r="C118" s="900"/>
      <c r="D118" s="901"/>
      <c r="E118" s="901"/>
      <c r="F118" s="901"/>
      <c r="G118" s="901"/>
      <c r="H118" s="901"/>
      <c r="I118" s="901">
        <v>4</v>
      </c>
      <c r="J118" s="901">
        <v>97</v>
      </c>
      <c r="K118" s="901">
        <v>53</v>
      </c>
      <c r="L118" s="901">
        <v>203</v>
      </c>
      <c r="M118" s="901">
        <v>103</v>
      </c>
      <c r="N118" s="901">
        <v>58</v>
      </c>
      <c r="O118" s="902">
        <v>35</v>
      </c>
    </row>
    <row r="119" spans="1:15" ht="20.100000000000001" customHeight="1" thickBot="1">
      <c r="A119" s="904"/>
      <c r="B119" s="905"/>
      <c r="C119" s="906"/>
      <c r="D119" s="907"/>
      <c r="E119" s="908"/>
      <c r="F119" s="908"/>
      <c r="G119" s="908"/>
      <c r="H119" s="908"/>
      <c r="I119" s="908"/>
      <c r="J119" s="908"/>
      <c r="K119" s="908"/>
      <c r="L119" s="908"/>
      <c r="M119" s="909"/>
      <c r="N119" s="909"/>
      <c r="O119" s="910"/>
    </row>
    <row r="120" spans="1:15" ht="20.100000000000001" customHeight="1" thickBot="1">
      <c r="A120" s="911" t="s">
        <v>362</v>
      </c>
      <c r="B120" s="912"/>
      <c r="C120" s="913">
        <f t="shared" ref="C120:O120" si="4">SUM(C118:C119)</f>
        <v>0</v>
      </c>
      <c r="D120" s="913">
        <f t="shared" si="4"/>
        <v>0</v>
      </c>
      <c r="E120" s="913">
        <f t="shared" si="4"/>
        <v>0</v>
      </c>
      <c r="F120" s="913">
        <f t="shared" si="4"/>
        <v>0</v>
      </c>
      <c r="G120" s="913">
        <f t="shared" si="4"/>
        <v>0</v>
      </c>
      <c r="H120" s="913">
        <f t="shared" si="4"/>
        <v>0</v>
      </c>
      <c r="I120" s="913">
        <f t="shared" si="4"/>
        <v>4</v>
      </c>
      <c r="J120" s="913">
        <f t="shared" si="4"/>
        <v>97</v>
      </c>
      <c r="K120" s="913">
        <f t="shared" si="4"/>
        <v>53</v>
      </c>
      <c r="L120" s="913">
        <f t="shared" si="4"/>
        <v>203</v>
      </c>
      <c r="M120" s="913">
        <f t="shared" si="4"/>
        <v>103</v>
      </c>
      <c r="N120" s="913">
        <f t="shared" si="4"/>
        <v>58</v>
      </c>
      <c r="O120" s="913">
        <f t="shared" si="4"/>
        <v>35</v>
      </c>
    </row>
    <row r="121" spans="1:15">
      <c r="A121" s="914"/>
      <c r="B121" s="24"/>
      <c r="C121" s="915"/>
      <c r="D121" s="24"/>
      <c r="E121" s="914"/>
      <c r="F121" s="914"/>
      <c r="G121" s="914"/>
      <c r="H121" s="914"/>
      <c r="I121" s="914"/>
      <c r="J121" s="914"/>
      <c r="K121" s="914"/>
      <c r="L121" s="914"/>
      <c r="M121" s="914"/>
      <c r="N121" s="914"/>
      <c r="O121" s="914"/>
    </row>
    <row r="123" spans="1:15" s="731" customFormat="1" ht="31.5" customHeight="1">
      <c r="A123" s="730" t="s">
        <v>363</v>
      </c>
      <c r="B123" s="730"/>
      <c r="C123" s="730"/>
      <c r="D123" s="730"/>
      <c r="E123" s="730"/>
      <c r="F123" s="730"/>
      <c r="G123" s="730"/>
      <c r="H123" s="730"/>
      <c r="I123" s="730"/>
      <c r="J123" s="730"/>
      <c r="K123" s="730"/>
      <c r="L123" s="730"/>
      <c r="M123" s="730"/>
      <c r="N123" s="730"/>
      <c r="O123" s="730"/>
    </row>
    <row r="124" spans="1:15" s="731" customFormat="1" ht="31.5" customHeight="1">
      <c r="A124" s="732"/>
      <c r="B124" s="733"/>
      <c r="C124" s="733"/>
      <c r="D124" s="733"/>
      <c r="E124" s="733"/>
      <c r="F124" s="733"/>
      <c r="G124" s="733"/>
      <c r="H124" s="733"/>
      <c r="I124" s="733"/>
      <c r="J124" s="733"/>
      <c r="K124" s="733"/>
      <c r="L124" s="733"/>
      <c r="M124" s="733"/>
      <c r="N124" s="733"/>
      <c r="O124" s="733"/>
    </row>
    <row r="125" spans="1:15" s="731" customFormat="1" ht="26.25" thickBot="1">
      <c r="A125" s="734" t="s">
        <v>343</v>
      </c>
      <c r="B125" s="735"/>
      <c r="C125" s="736"/>
      <c r="D125" s="735"/>
      <c r="E125" s="735"/>
      <c r="F125" s="735"/>
      <c r="G125" s="735"/>
      <c r="H125" s="735"/>
      <c r="I125" s="735"/>
      <c r="J125" s="735"/>
      <c r="K125" s="735"/>
      <c r="L125" s="735"/>
      <c r="M125" s="735"/>
      <c r="N125" s="735"/>
      <c r="O125" s="735"/>
    </row>
    <row r="126" spans="1:15" s="737" customFormat="1" ht="16.5" customHeight="1">
      <c r="A126" s="1103" t="s">
        <v>344</v>
      </c>
      <c r="B126" s="1104"/>
      <c r="C126" s="1107" t="s">
        <v>345</v>
      </c>
      <c r="D126" s="1108"/>
      <c r="E126" s="1108"/>
      <c r="F126" s="1108"/>
      <c r="G126" s="1108"/>
      <c r="H126" s="1109"/>
      <c r="I126" s="1110" t="s">
        <v>346</v>
      </c>
      <c r="J126" s="1108"/>
      <c r="K126" s="1108"/>
      <c r="L126" s="1108"/>
      <c r="M126" s="1108"/>
      <c r="N126" s="1111"/>
      <c r="O126" s="1112" t="s">
        <v>347</v>
      </c>
    </row>
    <row r="127" spans="1:15" s="737" customFormat="1" ht="12.75" thickBot="1">
      <c r="A127" s="1105"/>
      <c r="B127" s="1106"/>
      <c r="C127" s="738">
        <v>1</v>
      </c>
      <c r="D127" s="739">
        <f>C127+1</f>
        <v>2</v>
      </c>
      <c r="E127" s="739">
        <f t="shared" ref="E127:N127" si="5">D127+1</f>
        <v>3</v>
      </c>
      <c r="F127" s="739">
        <f t="shared" si="5"/>
        <v>4</v>
      </c>
      <c r="G127" s="739">
        <f t="shared" si="5"/>
        <v>5</v>
      </c>
      <c r="H127" s="740">
        <f t="shared" si="5"/>
        <v>6</v>
      </c>
      <c r="I127" s="741">
        <f t="shared" si="5"/>
        <v>7</v>
      </c>
      <c r="J127" s="739">
        <f t="shared" si="5"/>
        <v>8</v>
      </c>
      <c r="K127" s="739">
        <f t="shared" si="5"/>
        <v>9</v>
      </c>
      <c r="L127" s="739">
        <f t="shared" si="5"/>
        <v>10</v>
      </c>
      <c r="M127" s="739">
        <f t="shared" si="5"/>
        <v>11</v>
      </c>
      <c r="N127" s="742">
        <f t="shared" si="5"/>
        <v>12</v>
      </c>
      <c r="O127" s="1113"/>
    </row>
    <row r="128" spans="1:15" s="737" customFormat="1" ht="20.100000000000001" customHeight="1">
      <c r="A128" s="1114" t="s">
        <v>348</v>
      </c>
      <c r="B128" s="1117" t="s">
        <v>349</v>
      </c>
      <c r="C128" s="743" t="s">
        <v>364</v>
      </c>
      <c r="D128" s="744" t="s">
        <v>365</v>
      </c>
      <c r="E128" s="744" t="s">
        <v>366</v>
      </c>
      <c r="F128" s="744" t="s">
        <v>367</v>
      </c>
      <c r="G128" s="744" t="s">
        <v>368</v>
      </c>
      <c r="H128" s="745" t="s">
        <v>369</v>
      </c>
      <c r="I128" s="746" t="s">
        <v>370</v>
      </c>
      <c r="J128" s="744" t="s">
        <v>371</v>
      </c>
      <c r="K128" s="744" t="s">
        <v>372</v>
      </c>
      <c r="L128" s="744" t="s">
        <v>373</v>
      </c>
      <c r="M128" s="744" t="s">
        <v>374</v>
      </c>
      <c r="N128" s="747" t="s">
        <v>375</v>
      </c>
      <c r="O128" s="748"/>
    </row>
    <row r="129" spans="1:15" s="737" customFormat="1" ht="20.100000000000001" customHeight="1">
      <c r="A129" s="1115"/>
      <c r="B129" s="1118"/>
      <c r="C129" s="749">
        <v>50</v>
      </c>
      <c r="D129" s="750">
        <v>520</v>
      </c>
      <c r="E129" s="750">
        <v>44</v>
      </c>
      <c r="F129" s="750">
        <v>505</v>
      </c>
      <c r="G129" s="750">
        <v>351</v>
      </c>
      <c r="H129" s="751">
        <v>608</v>
      </c>
      <c r="I129" s="752">
        <v>566</v>
      </c>
      <c r="J129" s="750">
        <v>1005</v>
      </c>
      <c r="K129" s="750">
        <v>152</v>
      </c>
      <c r="L129" s="750">
        <v>450</v>
      </c>
      <c r="M129" s="750">
        <v>831</v>
      </c>
      <c r="N129" s="753">
        <v>529</v>
      </c>
      <c r="O129" s="754"/>
    </row>
    <row r="130" spans="1:15" s="737" customFormat="1" ht="20.100000000000001" customHeight="1">
      <c r="A130" s="1115"/>
      <c r="B130" s="1118"/>
      <c r="C130" s="755" t="s">
        <v>376</v>
      </c>
      <c r="D130" s="756" t="s">
        <v>377</v>
      </c>
      <c r="E130" s="757" t="s">
        <v>378</v>
      </c>
      <c r="F130" s="757" t="s">
        <v>379</v>
      </c>
      <c r="G130" s="757" t="s">
        <v>380</v>
      </c>
      <c r="H130" s="917" t="s">
        <v>377</v>
      </c>
      <c r="I130" s="759" t="s">
        <v>381</v>
      </c>
      <c r="J130" s="757" t="s">
        <v>382</v>
      </c>
      <c r="K130" s="757" t="s">
        <v>383</v>
      </c>
      <c r="L130" s="757" t="s">
        <v>384</v>
      </c>
      <c r="M130" s="757" t="s">
        <v>385</v>
      </c>
      <c r="N130" s="760" t="s">
        <v>386</v>
      </c>
      <c r="O130" s="761"/>
    </row>
    <row r="131" spans="1:15" s="737" customFormat="1" ht="20.100000000000001" customHeight="1">
      <c r="A131" s="1115"/>
      <c r="B131" s="1118"/>
      <c r="C131" s="762">
        <v>124</v>
      </c>
      <c r="D131" s="763" t="s">
        <v>377</v>
      </c>
      <c r="E131" s="750">
        <v>117</v>
      </c>
      <c r="F131" s="750">
        <v>216</v>
      </c>
      <c r="G131" s="750">
        <v>1009</v>
      </c>
      <c r="H131" s="918" t="s">
        <v>377</v>
      </c>
      <c r="I131" s="752">
        <v>837</v>
      </c>
      <c r="J131" s="750">
        <v>1386</v>
      </c>
      <c r="K131" s="750">
        <v>392</v>
      </c>
      <c r="L131" s="764">
        <v>332</v>
      </c>
      <c r="M131" s="750">
        <v>147</v>
      </c>
      <c r="N131" s="753">
        <v>745</v>
      </c>
      <c r="O131" s="754"/>
    </row>
    <row r="132" spans="1:15" s="737" customFormat="1" ht="20.100000000000001" customHeight="1">
      <c r="A132" s="1115"/>
      <c r="B132" s="1118"/>
      <c r="C132" s="755" t="s">
        <v>387</v>
      </c>
      <c r="D132" s="756" t="s">
        <v>377</v>
      </c>
      <c r="E132" s="757" t="s">
        <v>377</v>
      </c>
      <c r="F132" s="757" t="s">
        <v>388</v>
      </c>
      <c r="G132" s="757" t="s">
        <v>389</v>
      </c>
      <c r="H132" s="758" t="s">
        <v>377</v>
      </c>
      <c r="I132" s="759" t="s">
        <v>377</v>
      </c>
      <c r="J132" s="757" t="s">
        <v>377</v>
      </c>
      <c r="K132" s="757" t="s">
        <v>377</v>
      </c>
      <c r="L132" s="757" t="s">
        <v>390</v>
      </c>
      <c r="M132" s="757" t="s">
        <v>377</v>
      </c>
      <c r="N132" s="760" t="s">
        <v>377</v>
      </c>
      <c r="O132" s="761"/>
    </row>
    <row r="133" spans="1:15" s="737" customFormat="1" ht="20.100000000000001" customHeight="1">
      <c r="A133" s="1115"/>
      <c r="B133" s="1118"/>
      <c r="C133" s="762">
        <v>755</v>
      </c>
      <c r="D133" s="763" t="s">
        <v>377</v>
      </c>
      <c r="E133" s="750" t="s">
        <v>377</v>
      </c>
      <c r="F133" s="750">
        <v>174</v>
      </c>
      <c r="G133" s="750">
        <v>598</v>
      </c>
      <c r="H133" s="751" t="s">
        <v>377</v>
      </c>
      <c r="I133" s="752" t="s">
        <v>377</v>
      </c>
      <c r="J133" s="750" t="s">
        <v>377</v>
      </c>
      <c r="K133" s="750" t="s">
        <v>377</v>
      </c>
      <c r="L133" s="764">
        <v>158</v>
      </c>
      <c r="M133" s="750" t="s">
        <v>377</v>
      </c>
      <c r="N133" s="753" t="s">
        <v>377</v>
      </c>
      <c r="O133" s="754"/>
    </row>
    <row r="134" spans="1:15" s="737" customFormat="1" ht="20.100000000000001" customHeight="1">
      <c r="A134" s="1115"/>
      <c r="B134" s="1118"/>
      <c r="C134" s="755" t="s">
        <v>391</v>
      </c>
      <c r="D134" s="756" t="s">
        <v>377</v>
      </c>
      <c r="E134" s="757" t="s">
        <v>377</v>
      </c>
      <c r="F134" s="757" t="s">
        <v>377</v>
      </c>
      <c r="G134" s="757" t="s">
        <v>377</v>
      </c>
      <c r="H134" s="758" t="s">
        <v>377</v>
      </c>
      <c r="I134" s="759" t="s">
        <v>377</v>
      </c>
      <c r="J134" s="757" t="s">
        <v>377</v>
      </c>
      <c r="K134" s="757" t="s">
        <v>377</v>
      </c>
      <c r="L134" s="757" t="s">
        <v>392</v>
      </c>
      <c r="M134" s="757" t="s">
        <v>377</v>
      </c>
      <c r="N134" s="760" t="s">
        <v>377</v>
      </c>
      <c r="O134" s="761"/>
    </row>
    <row r="135" spans="1:15" s="737" customFormat="1" ht="20.100000000000001" customHeight="1">
      <c r="A135" s="1115"/>
      <c r="B135" s="1118"/>
      <c r="C135" s="762">
        <v>576</v>
      </c>
      <c r="D135" s="763" t="s">
        <v>377</v>
      </c>
      <c r="E135" s="750" t="s">
        <v>377</v>
      </c>
      <c r="F135" s="750" t="s">
        <v>377</v>
      </c>
      <c r="G135" s="750" t="s">
        <v>377</v>
      </c>
      <c r="H135" s="751" t="s">
        <v>377</v>
      </c>
      <c r="I135" s="752" t="s">
        <v>377</v>
      </c>
      <c r="J135" s="750" t="s">
        <v>377</v>
      </c>
      <c r="K135" s="750" t="s">
        <v>377</v>
      </c>
      <c r="L135" s="764">
        <v>322</v>
      </c>
      <c r="M135" s="750" t="s">
        <v>377</v>
      </c>
      <c r="N135" s="753" t="s">
        <v>377</v>
      </c>
      <c r="O135" s="754"/>
    </row>
    <row r="136" spans="1:15" s="737" customFormat="1" ht="20.100000000000001" customHeight="1">
      <c r="A136" s="1115"/>
      <c r="B136" s="1118"/>
      <c r="C136" s="765" t="s">
        <v>377</v>
      </c>
      <c r="D136" s="766" t="s">
        <v>377</v>
      </c>
      <c r="E136" s="767" t="s">
        <v>377</v>
      </c>
      <c r="F136" s="767" t="s">
        <v>377</v>
      </c>
      <c r="G136" s="767" t="s">
        <v>377</v>
      </c>
      <c r="H136" s="768" t="s">
        <v>377</v>
      </c>
      <c r="I136" s="769" t="s">
        <v>377</v>
      </c>
      <c r="J136" s="767" t="s">
        <v>377</v>
      </c>
      <c r="K136" s="767" t="s">
        <v>377</v>
      </c>
      <c r="L136" s="770" t="s">
        <v>377</v>
      </c>
      <c r="M136" s="767" t="s">
        <v>377</v>
      </c>
      <c r="N136" s="771" t="s">
        <v>377</v>
      </c>
      <c r="O136" s="772"/>
    </row>
    <row r="137" spans="1:15" s="737" customFormat="1" ht="20.100000000000001" customHeight="1">
      <c r="A137" s="1115"/>
      <c r="B137" s="1119"/>
      <c r="C137" s="765" t="s">
        <v>377</v>
      </c>
      <c r="D137" s="766" t="s">
        <v>377</v>
      </c>
      <c r="E137" s="767" t="s">
        <v>377</v>
      </c>
      <c r="F137" s="767" t="s">
        <v>377</v>
      </c>
      <c r="G137" s="767" t="s">
        <v>377</v>
      </c>
      <c r="H137" s="768" t="s">
        <v>377</v>
      </c>
      <c r="I137" s="769" t="s">
        <v>377</v>
      </c>
      <c r="J137" s="767" t="s">
        <v>377</v>
      </c>
      <c r="K137" s="767" t="s">
        <v>377</v>
      </c>
      <c r="L137" s="770" t="s">
        <v>377</v>
      </c>
      <c r="M137" s="767" t="s">
        <v>377</v>
      </c>
      <c r="N137" s="771" t="s">
        <v>377</v>
      </c>
      <c r="O137" s="772"/>
    </row>
    <row r="138" spans="1:15" s="780" customFormat="1" ht="21.75" customHeight="1" thickBot="1">
      <c r="A138" s="1116"/>
      <c r="B138" s="773" t="s">
        <v>350</v>
      </c>
      <c r="C138" s="778">
        <v>2514</v>
      </c>
      <c r="D138" s="778">
        <v>1896</v>
      </c>
      <c r="E138" s="778">
        <v>1311</v>
      </c>
      <c r="F138" s="778">
        <v>913</v>
      </c>
      <c r="G138" s="778">
        <v>1180</v>
      </c>
      <c r="H138" s="778">
        <v>1298</v>
      </c>
      <c r="I138" s="778">
        <v>1130</v>
      </c>
      <c r="J138" s="778">
        <v>1397</v>
      </c>
      <c r="K138" s="919">
        <v>1576</v>
      </c>
      <c r="L138" s="919">
        <v>1185</v>
      </c>
      <c r="M138" s="919">
        <v>1125</v>
      </c>
      <c r="N138" s="919">
        <v>1197</v>
      </c>
      <c r="O138" s="779">
        <f>SUM(C138:N138)</f>
        <v>16722</v>
      </c>
    </row>
    <row r="139" spans="1:15" s="782" customFormat="1" ht="20.100000000000001" customHeight="1">
      <c r="A139" s="1120" t="s">
        <v>351</v>
      </c>
      <c r="B139" s="1123" t="s">
        <v>352</v>
      </c>
      <c r="C139" s="743" t="s">
        <v>377</v>
      </c>
      <c r="D139" s="744" t="s">
        <v>368</v>
      </c>
      <c r="E139" s="744" t="s">
        <v>370</v>
      </c>
      <c r="F139" s="744" t="s">
        <v>377</v>
      </c>
      <c r="G139" s="744" t="s">
        <v>377</v>
      </c>
      <c r="H139" s="745" t="s">
        <v>377</v>
      </c>
      <c r="I139" s="746" t="s">
        <v>372</v>
      </c>
      <c r="J139" s="744" t="s">
        <v>373</v>
      </c>
      <c r="K139" s="744" t="s">
        <v>375</v>
      </c>
      <c r="L139" s="744" t="s">
        <v>393</v>
      </c>
      <c r="M139" s="744" t="s">
        <v>394</v>
      </c>
      <c r="N139" s="747" t="s">
        <v>395</v>
      </c>
      <c r="O139" s="781"/>
    </row>
    <row r="140" spans="1:15" s="782" customFormat="1" ht="20.100000000000001" customHeight="1">
      <c r="A140" s="1121"/>
      <c r="B140" s="1124"/>
      <c r="C140" s="749" t="s">
        <v>377</v>
      </c>
      <c r="D140" s="750">
        <v>351</v>
      </c>
      <c r="E140" s="750">
        <v>566</v>
      </c>
      <c r="F140" s="750" t="s">
        <v>377</v>
      </c>
      <c r="G140" s="750" t="s">
        <v>377</v>
      </c>
      <c r="H140" s="751" t="s">
        <v>377</v>
      </c>
      <c r="I140" s="752">
        <v>152</v>
      </c>
      <c r="J140" s="750">
        <v>450</v>
      </c>
      <c r="K140" s="750">
        <v>529</v>
      </c>
      <c r="L140" s="750">
        <v>1243</v>
      </c>
      <c r="M140" s="750">
        <v>695</v>
      </c>
      <c r="N140" s="753">
        <v>463</v>
      </c>
      <c r="O140" s="783"/>
    </row>
    <row r="141" spans="1:15" s="782" customFormat="1" ht="20.100000000000001" customHeight="1">
      <c r="A141" s="1121"/>
      <c r="B141" s="1124"/>
      <c r="C141" s="755" t="s">
        <v>377</v>
      </c>
      <c r="D141" s="756" t="s">
        <v>369</v>
      </c>
      <c r="E141" s="757" t="s">
        <v>371</v>
      </c>
      <c r="F141" s="757" t="s">
        <v>377</v>
      </c>
      <c r="G141" s="757" t="s">
        <v>377</v>
      </c>
      <c r="H141" s="758" t="s">
        <v>377</v>
      </c>
      <c r="I141" s="759" t="s">
        <v>383</v>
      </c>
      <c r="J141" s="757" t="s">
        <v>374</v>
      </c>
      <c r="K141" s="757" t="s">
        <v>386</v>
      </c>
      <c r="L141" s="757" t="s">
        <v>396</v>
      </c>
      <c r="M141" s="757" t="s">
        <v>377</v>
      </c>
      <c r="N141" s="760" t="s">
        <v>397</v>
      </c>
      <c r="O141" s="784"/>
    </row>
    <row r="142" spans="1:15" s="782" customFormat="1" ht="20.100000000000001" customHeight="1">
      <c r="A142" s="1121"/>
      <c r="B142" s="1124"/>
      <c r="C142" s="762" t="s">
        <v>377</v>
      </c>
      <c r="D142" s="763">
        <v>608</v>
      </c>
      <c r="E142" s="750">
        <v>1005</v>
      </c>
      <c r="F142" s="750" t="s">
        <v>377</v>
      </c>
      <c r="G142" s="750" t="s">
        <v>377</v>
      </c>
      <c r="H142" s="751" t="s">
        <v>377</v>
      </c>
      <c r="I142" s="752">
        <v>392</v>
      </c>
      <c r="J142" s="750">
        <v>831</v>
      </c>
      <c r="K142" s="750">
        <v>745</v>
      </c>
      <c r="L142" s="764">
        <v>691</v>
      </c>
      <c r="M142" s="750" t="s">
        <v>377</v>
      </c>
      <c r="N142" s="753">
        <v>289</v>
      </c>
      <c r="O142" s="783"/>
    </row>
    <row r="143" spans="1:15" s="782" customFormat="1" ht="20.100000000000001" customHeight="1">
      <c r="A143" s="1121"/>
      <c r="B143" s="1124"/>
      <c r="C143" s="755" t="s">
        <v>377</v>
      </c>
      <c r="D143" s="756" t="s">
        <v>377</v>
      </c>
      <c r="E143" s="757" t="s">
        <v>377</v>
      </c>
      <c r="F143" s="757" t="s">
        <v>377</v>
      </c>
      <c r="G143" s="757" t="s">
        <v>377</v>
      </c>
      <c r="H143" s="758" t="s">
        <v>377</v>
      </c>
      <c r="I143" s="759" t="s">
        <v>384</v>
      </c>
      <c r="J143" s="757" t="s">
        <v>398</v>
      </c>
      <c r="K143" s="757" t="s">
        <v>399</v>
      </c>
      <c r="L143" s="757" t="s">
        <v>400</v>
      </c>
      <c r="M143" s="757" t="s">
        <v>377</v>
      </c>
      <c r="N143" s="760" t="s">
        <v>401</v>
      </c>
      <c r="O143" s="784"/>
    </row>
    <row r="144" spans="1:15" s="782" customFormat="1" ht="20.100000000000001" customHeight="1">
      <c r="A144" s="1121"/>
      <c r="B144" s="1124"/>
      <c r="C144" s="762" t="s">
        <v>377</v>
      </c>
      <c r="D144" s="763" t="s">
        <v>377</v>
      </c>
      <c r="E144" s="750" t="s">
        <v>377</v>
      </c>
      <c r="F144" s="750" t="s">
        <v>377</v>
      </c>
      <c r="G144" s="750" t="s">
        <v>377</v>
      </c>
      <c r="H144" s="751" t="s">
        <v>377</v>
      </c>
      <c r="I144" s="752">
        <v>332</v>
      </c>
      <c r="J144" s="750">
        <v>1758</v>
      </c>
      <c r="K144" s="750">
        <v>492</v>
      </c>
      <c r="L144" s="764">
        <v>2023</v>
      </c>
      <c r="M144" s="750" t="s">
        <v>377</v>
      </c>
      <c r="N144" s="753">
        <v>543</v>
      </c>
      <c r="O144" s="783"/>
    </row>
    <row r="145" spans="1:15" s="782" customFormat="1" ht="20.100000000000001" customHeight="1">
      <c r="A145" s="1121"/>
      <c r="B145" s="1124"/>
      <c r="C145" s="755" t="s">
        <v>377</v>
      </c>
      <c r="D145" s="756" t="s">
        <v>377</v>
      </c>
      <c r="E145" s="757" t="s">
        <v>377</v>
      </c>
      <c r="F145" s="757" t="s">
        <v>377</v>
      </c>
      <c r="G145" s="757" t="s">
        <v>377</v>
      </c>
      <c r="H145" s="758" t="s">
        <v>377</v>
      </c>
      <c r="I145" s="759" t="s">
        <v>390</v>
      </c>
      <c r="J145" s="757" t="s">
        <v>402</v>
      </c>
      <c r="K145" s="757" t="s">
        <v>403</v>
      </c>
      <c r="L145" s="757" t="s">
        <v>377</v>
      </c>
      <c r="M145" s="757" t="s">
        <v>377</v>
      </c>
      <c r="N145" s="785" t="s">
        <v>377</v>
      </c>
      <c r="O145" s="784"/>
    </row>
    <row r="146" spans="1:15" s="782" customFormat="1" ht="20.100000000000001" customHeight="1">
      <c r="A146" s="1121"/>
      <c r="B146" s="1124"/>
      <c r="C146" s="762" t="s">
        <v>377</v>
      </c>
      <c r="D146" s="763" t="s">
        <v>377</v>
      </c>
      <c r="E146" s="750" t="s">
        <v>377</v>
      </c>
      <c r="F146" s="750" t="s">
        <v>377</v>
      </c>
      <c r="G146" s="750" t="s">
        <v>377</v>
      </c>
      <c r="H146" s="751" t="s">
        <v>377</v>
      </c>
      <c r="I146" s="752">
        <v>158</v>
      </c>
      <c r="J146" s="750">
        <v>1157</v>
      </c>
      <c r="K146" s="750">
        <v>200</v>
      </c>
      <c r="L146" s="764" t="s">
        <v>377</v>
      </c>
      <c r="M146" s="750" t="s">
        <v>377</v>
      </c>
      <c r="N146" s="786" t="s">
        <v>377</v>
      </c>
      <c r="O146" s="783"/>
    </row>
    <row r="147" spans="1:15" s="782" customFormat="1" ht="20.100000000000001" customHeight="1">
      <c r="A147" s="1121"/>
      <c r="B147" s="1124"/>
      <c r="C147" s="755" t="s">
        <v>377</v>
      </c>
      <c r="D147" s="756" t="s">
        <v>377</v>
      </c>
      <c r="E147" s="757" t="s">
        <v>377</v>
      </c>
      <c r="F147" s="757" t="s">
        <v>377</v>
      </c>
      <c r="G147" s="757" t="s">
        <v>377</v>
      </c>
      <c r="H147" s="758" t="s">
        <v>377</v>
      </c>
      <c r="I147" s="759" t="s">
        <v>392</v>
      </c>
      <c r="J147" s="757" t="s">
        <v>377</v>
      </c>
      <c r="K147" s="757" t="s">
        <v>404</v>
      </c>
      <c r="L147" s="757" t="s">
        <v>377</v>
      </c>
      <c r="M147" s="757" t="s">
        <v>377</v>
      </c>
      <c r="N147" s="760" t="s">
        <v>377</v>
      </c>
      <c r="O147" s="784"/>
    </row>
    <row r="148" spans="1:15" s="782" customFormat="1" ht="20.100000000000001" customHeight="1">
      <c r="A148" s="1121"/>
      <c r="B148" s="1124"/>
      <c r="C148" s="762" t="s">
        <v>377</v>
      </c>
      <c r="D148" s="763" t="s">
        <v>377</v>
      </c>
      <c r="E148" s="750" t="s">
        <v>377</v>
      </c>
      <c r="F148" s="750" t="s">
        <v>377</v>
      </c>
      <c r="G148" s="750" t="s">
        <v>377</v>
      </c>
      <c r="H148" s="751" t="s">
        <v>377</v>
      </c>
      <c r="I148" s="752">
        <v>322</v>
      </c>
      <c r="J148" s="750" t="s">
        <v>377</v>
      </c>
      <c r="K148" s="750">
        <v>451</v>
      </c>
      <c r="L148" s="764" t="s">
        <v>377</v>
      </c>
      <c r="M148" s="750" t="s">
        <v>377</v>
      </c>
      <c r="N148" s="753" t="s">
        <v>377</v>
      </c>
      <c r="O148" s="783"/>
    </row>
    <row r="149" spans="1:15" s="782" customFormat="1" ht="20.100000000000001" customHeight="1">
      <c r="A149" s="1121"/>
      <c r="B149" s="1124"/>
      <c r="C149" s="755" t="s">
        <v>377</v>
      </c>
      <c r="D149" s="756" t="s">
        <v>377</v>
      </c>
      <c r="E149" s="757" t="s">
        <v>377</v>
      </c>
      <c r="F149" s="757" t="s">
        <v>377</v>
      </c>
      <c r="G149" s="757" t="s">
        <v>377</v>
      </c>
      <c r="H149" s="758" t="s">
        <v>377</v>
      </c>
      <c r="I149" s="759" t="s">
        <v>385</v>
      </c>
      <c r="J149" s="757" t="s">
        <v>377</v>
      </c>
      <c r="K149" s="757" t="s">
        <v>405</v>
      </c>
      <c r="L149" s="757" t="s">
        <v>377</v>
      </c>
      <c r="M149" s="757" t="s">
        <v>377</v>
      </c>
      <c r="N149" s="760" t="s">
        <v>377</v>
      </c>
      <c r="O149" s="784"/>
    </row>
    <row r="150" spans="1:15" s="782" customFormat="1" ht="20.100000000000001" customHeight="1">
      <c r="A150" s="1121"/>
      <c r="B150" s="1124"/>
      <c r="C150" s="762" t="s">
        <v>377</v>
      </c>
      <c r="D150" s="763" t="s">
        <v>377</v>
      </c>
      <c r="E150" s="750" t="s">
        <v>377</v>
      </c>
      <c r="F150" s="750" t="s">
        <v>377</v>
      </c>
      <c r="G150" s="750" t="s">
        <v>377</v>
      </c>
      <c r="H150" s="751" t="s">
        <v>377</v>
      </c>
      <c r="I150" s="752">
        <v>147</v>
      </c>
      <c r="J150" s="750" t="s">
        <v>377</v>
      </c>
      <c r="K150" s="750">
        <v>596</v>
      </c>
      <c r="L150" s="764" t="s">
        <v>377</v>
      </c>
      <c r="M150" s="750" t="s">
        <v>377</v>
      </c>
      <c r="N150" s="753" t="s">
        <v>377</v>
      </c>
      <c r="O150" s="783"/>
    </row>
    <row r="151" spans="1:15" s="782" customFormat="1" ht="20.100000000000001" customHeight="1">
      <c r="A151" s="1121"/>
      <c r="B151" s="1124"/>
      <c r="C151" s="755" t="s">
        <v>377</v>
      </c>
      <c r="D151" s="756" t="s">
        <v>377</v>
      </c>
      <c r="E151" s="757" t="s">
        <v>377</v>
      </c>
      <c r="F151" s="757" t="s">
        <v>377</v>
      </c>
      <c r="G151" s="757" t="s">
        <v>377</v>
      </c>
      <c r="H151" s="758" t="s">
        <v>377</v>
      </c>
      <c r="I151" s="759" t="s">
        <v>406</v>
      </c>
      <c r="J151" s="757" t="s">
        <v>377</v>
      </c>
      <c r="K151" s="757" t="s">
        <v>377</v>
      </c>
      <c r="L151" s="757" t="s">
        <v>377</v>
      </c>
      <c r="M151" s="757" t="s">
        <v>377</v>
      </c>
      <c r="N151" s="760" t="s">
        <v>377</v>
      </c>
      <c r="O151" s="784"/>
    </row>
    <row r="152" spans="1:15" s="782" customFormat="1" ht="20.100000000000001" customHeight="1">
      <c r="A152" s="1121"/>
      <c r="B152" s="1124"/>
      <c r="C152" s="762" t="s">
        <v>377</v>
      </c>
      <c r="D152" s="763" t="s">
        <v>377</v>
      </c>
      <c r="E152" s="750" t="s">
        <v>377</v>
      </c>
      <c r="F152" s="750" t="s">
        <v>377</v>
      </c>
      <c r="G152" s="750" t="s">
        <v>377</v>
      </c>
      <c r="H152" s="751" t="s">
        <v>377</v>
      </c>
      <c r="I152" s="752">
        <v>762</v>
      </c>
      <c r="J152" s="750" t="s">
        <v>377</v>
      </c>
      <c r="K152" s="750" t="s">
        <v>377</v>
      </c>
      <c r="L152" s="764" t="s">
        <v>377</v>
      </c>
      <c r="M152" s="750" t="s">
        <v>377</v>
      </c>
      <c r="N152" s="753" t="s">
        <v>377</v>
      </c>
      <c r="O152" s="783"/>
    </row>
    <row r="153" spans="1:15" s="780" customFormat="1" ht="20.100000000000001" customHeight="1">
      <c r="A153" s="1121"/>
      <c r="B153" s="1124"/>
      <c r="C153" s="755" t="s">
        <v>377</v>
      </c>
      <c r="D153" s="756" t="s">
        <v>377</v>
      </c>
      <c r="E153" s="757" t="s">
        <v>377</v>
      </c>
      <c r="F153" s="757" t="s">
        <v>377</v>
      </c>
      <c r="G153" s="757" t="s">
        <v>377</v>
      </c>
      <c r="H153" s="758" t="s">
        <v>377</v>
      </c>
      <c r="I153" s="759" t="s">
        <v>377</v>
      </c>
      <c r="J153" s="757" t="s">
        <v>377</v>
      </c>
      <c r="K153" s="757" t="s">
        <v>377</v>
      </c>
      <c r="L153" s="757" t="s">
        <v>377</v>
      </c>
      <c r="M153" s="757" t="s">
        <v>377</v>
      </c>
      <c r="N153" s="760" t="s">
        <v>377</v>
      </c>
      <c r="O153" s="787"/>
    </row>
    <row r="154" spans="1:15" s="780" customFormat="1" ht="20.100000000000001" customHeight="1">
      <c r="A154" s="1121"/>
      <c r="B154" s="1124"/>
      <c r="C154" s="762" t="s">
        <v>377</v>
      </c>
      <c r="D154" s="763" t="s">
        <v>377</v>
      </c>
      <c r="E154" s="750" t="s">
        <v>377</v>
      </c>
      <c r="F154" s="750" t="s">
        <v>377</v>
      </c>
      <c r="G154" s="750" t="s">
        <v>377</v>
      </c>
      <c r="H154" s="751" t="s">
        <v>377</v>
      </c>
      <c r="I154" s="752" t="s">
        <v>377</v>
      </c>
      <c r="J154" s="750" t="s">
        <v>377</v>
      </c>
      <c r="K154" s="750" t="s">
        <v>377</v>
      </c>
      <c r="L154" s="764" t="s">
        <v>377</v>
      </c>
      <c r="M154" s="750" t="s">
        <v>377</v>
      </c>
      <c r="N154" s="753" t="s">
        <v>377</v>
      </c>
      <c r="O154" s="788"/>
    </row>
    <row r="155" spans="1:15" s="780" customFormat="1" ht="21" customHeight="1" thickBot="1">
      <c r="A155" s="1121"/>
      <c r="B155" s="789" t="s">
        <v>353</v>
      </c>
      <c r="C155" s="790">
        <f t="shared" ref="C155:N155" si="6">SUM(C139:C154)</f>
        <v>0</v>
      </c>
      <c r="D155" s="791">
        <f t="shared" si="6"/>
        <v>959</v>
      </c>
      <c r="E155" s="791">
        <f t="shared" si="6"/>
        <v>1571</v>
      </c>
      <c r="F155" s="791">
        <f t="shared" si="6"/>
        <v>0</v>
      </c>
      <c r="G155" s="791">
        <f t="shared" si="6"/>
        <v>0</v>
      </c>
      <c r="H155" s="792">
        <f t="shared" si="6"/>
        <v>0</v>
      </c>
      <c r="I155" s="793">
        <f t="shared" si="6"/>
        <v>2265</v>
      </c>
      <c r="J155" s="791">
        <f t="shared" si="6"/>
        <v>4196</v>
      </c>
      <c r="K155" s="791">
        <f t="shared" si="6"/>
        <v>3013</v>
      </c>
      <c r="L155" s="791">
        <f t="shared" si="6"/>
        <v>3957</v>
      </c>
      <c r="M155" s="791">
        <f t="shared" si="6"/>
        <v>695</v>
      </c>
      <c r="N155" s="794">
        <f t="shared" si="6"/>
        <v>1295</v>
      </c>
      <c r="O155" s="795">
        <f>SUM(C155:N155)</f>
        <v>17951</v>
      </c>
    </row>
    <row r="156" spans="1:15" s="782" customFormat="1" ht="20.100000000000001" hidden="1" customHeight="1">
      <c r="A156" s="1121"/>
      <c r="B156" s="1125" t="s">
        <v>354</v>
      </c>
      <c r="C156" s="796"/>
      <c r="D156" s="797"/>
      <c r="E156" s="797"/>
      <c r="F156" s="798"/>
      <c r="G156" s="799"/>
      <c r="H156" s="800"/>
      <c r="I156" s="801"/>
      <c r="J156" s="802"/>
      <c r="K156" s="802"/>
      <c r="L156" s="803"/>
      <c r="M156" s="804"/>
      <c r="N156" s="805"/>
      <c r="O156" s="781"/>
    </row>
    <row r="157" spans="1:15" s="782" customFormat="1" ht="20.100000000000001" hidden="1" customHeight="1">
      <c r="A157" s="1121"/>
      <c r="B157" s="1126"/>
      <c r="C157" s="806"/>
      <c r="D157" s="807"/>
      <c r="E157" s="807"/>
      <c r="F157" s="807"/>
      <c r="G157" s="807"/>
      <c r="H157" s="808"/>
      <c r="I157" s="809"/>
      <c r="J157" s="810"/>
      <c r="K157" s="810"/>
      <c r="L157" s="810"/>
      <c r="M157" s="810"/>
      <c r="N157" s="811"/>
      <c r="O157" s="783"/>
    </row>
    <row r="158" spans="1:15" s="782" customFormat="1" ht="20.100000000000001" hidden="1" customHeight="1">
      <c r="A158" s="1121"/>
      <c r="B158" s="1126"/>
      <c r="C158" s="812"/>
      <c r="D158" s="813"/>
      <c r="E158" s="813"/>
      <c r="F158" s="799"/>
      <c r="G158" s="814"/>
      <c r="H158" s="800"/>
      <c r="I158" s="815"/>
      <c r="J158" s="816"/>
      <c r="K158" s="817"/>
      <c r="L158" s="757"/>
      <c r="M158" s="818"/>
      <c r="N158" s="819"/>
      <c r="O158" s="784"/>
    </row>
    <row r="159" spans="1:15" s="782" customFormat="1" ht="20.100000000000001" hidden="1" customHeight="1">
      <c r="A159" s="1121"/>
      <c r="B159" s="1126"/>
      <c r="C159" s="806"/>
      <c r="D159" s="807"/>
      <c r="E159" s="807"/>
      <c r="F159" s="807"/>
      <c r="G159" s="807"/>
      <c r="H159" s="808"/>
      <c r="I159" s="809"/>
      <c r="J159" s="810"/>
      <c r="K159" s="810"/>
      <c r="L159" s="764"/>
      <c r="M159" s="811"/>
      <c r="N159" s="811"/>
      <c r="O159" s="783"/>
    </row>
    <row r="160" spans="1:15" s="782" customFormat="1" ht="20.100000000000001" hidden="1" customHeight="1">
      <c r="A160" s="1121"/>
      <c r="B160" s="1126"/>
      <c r="C160" s="812"/>
      <c r="D160" s="813"/>
      <c r="E160" s="813"/>
      <c r="F160" s="799"/>
      <c r="G160" s="814"/>
      <c r="H160" s="800"/>
      <c r="I160" s="817"/>
      <c r="J160" s="816"/>
      <c r="K160" s="820"/>
      <c r="L160" s="817"/>
      <c r="M160" s="821"/>
      <c r="N160" s="819"/>
      <c r="O160" s="784"/>
    </row>
    <row r="161" spans="1:15" s="782" customFormat="1" ht="20.100000000000001" hidden="1" customHeight="1">
      <c r="A161" s="1121"/>
      <c r="B161" s="1126"/>
      <c r="C161" s="806"/>
      <c r="D161" s="822"/>
      <c r="E161" s="807"/>
      <c r="F161" s="807"/>
      <c r="G161" s="807"/>
      <c r="H161" s="808"/>
      <c r="I161" s="810"/>
      <c r="J161" s="810"/>
      <c r="K161" s="810"/>
      <c r="L161" s="810"/>
      <c r="M161" s="810"/>
      <c r="N161" s="811"/>
      <c r="O161" s="783"/>
    </row>
    <row r="162" spans="1:15" s="782" customFormat="1" ht="20.100000000000001" hidden="1" customHeight="1">
      <c r="A162" s="1121"/>
      <c r="B162" s="1126"/>
      <c r="C162" s="812"/>
      <c r="D162" s="813"/>
      <c r="E162" s="799"/>
      <c r="F162" s="799"/>
      <c r="G162" s="814"/>
      <c r="H162" s="823"/>
      <c r="I162" s="815"/>
      <c r="J162" s="817"/>
      <c r="K162" s="824"/>
      <c r="L162" s="817"/>
      <c r="M162" s="821"/>
      <c r="N162" s="818"/>
      <c r="O162" s="784"/>
    </row>
    <row r="163" spans="1:15" s="782" customFormat="1" ht="20.100000000000001" hidden="1" customHeight="1">
      <c r="A163" s="1121"/>
      <c r="B163" s="1126"/>
      <c r="C163" s="825"/>
      <c r="D163" s="822"/>
      <c r="E163" s="807"/>
      <c r="F163" s="807"/>
      <c r="G163" s="807"/>
      <c r="H163" s="808"/>
      <c r="I163" s="809"/>
      <c r="J163" s="810"/>
      <c r="K163" s="826"/>
      <c r="L163" s="810"/>
      <c r="M163" s="810"/>
      <c r="N163" s="811"/>
      <c r="O163" s="783"/>
    </row>
    <row r="164" spans="1:15" s="782" customFormat="1" ht="20.100000000000001" hidden="1" customHeight="1">
      <c r="A164" s="1121"/>
      <c r="B164" s="1126"/>
      <c r="C164" s="812"/>
      <c r="D164" s="813"/>
      <c r="E164" s="813"/>
      <c r="F164" s="799"/>
      <c r="G164" s="815"/>
      <c r="H164" s="823"/>
      <c r="I164" s="827"/>
      <c r="J164" s="817"/>
      <c r="K164" s="821"/>
      <c r="L164" s="817"/>
      <c r="M164" s="821"/>
      <c r="N164" s="828"/>
      <c r="O164" s="784"/>
    </row>
    <row r="165" spans="1:15" s="782" customFormat="1" ht="20.100000000000001" hidden="1" customHeight="1">
      <c r="A165" s="1121"/>
      <c r="B165" s="1126"/>
      <c r="C165" s="825"/>
      <c r="D165" s="807"/>
      <c r="E165" s="829"/>
      <c r="F165" s="807"/>
      <c r="G165" s="809"/>
      <c r="H165" s="808"/>
      <c r="I165" s="830"/>
      <c r="J165" s="810"/>
      <c r="K165" s="810"/>
      <c r="L165" s="810"/>
      <c r="M165" s="810"/>
      <c r="N165" s="811"/>
      <c r="O165" s="783"/>
    </row>
    <row r="166" spans="1:15" s="782" customFormat="1" ht="20.100000000000001" hidden="1" customHeight="1">
      <c r="A166" s="1121"/>
      <c r="B166" s="1126"/>
      <c r="C166" s="831"/>
      <c r="D166" s="832"/>
      <c r="E166" s="833"/>
      <c r="F166" s="799"/>
      <c r="G166" s="814"/>
      <c r="H166" s="823"/>
      <c r="I166" s="834"/>
      <c r="J166" s="816"/>
      <c r="K166" s="835"/>
      <c r="L166" s="817"/>
      <c r="M166" s="835"/>
      <c r="N166" s="828"/>
      <c r="O166" s="784"/>
    </row>
    <row r="167" spans="1:15" s="782" customFormat="1" ht="20.100000000000001" hidden="1" customHeight="1">
      <c r="A167" s="1121"/>
      <c r="B167" s="1126"/>
      <c r="C167" s="825"/>
      <c r="D167" s="807"/>
      <c r="E167" s="822"/>
      <c r="F167" s="807"/>
      <c r="G167" s="807"/>
      <c r="H167" s="808"/>
      <c r="I167" s="830"/>
      <c r="J167" s="810"/>
      <c r="K167" s="810"/>
      <c r="L167" s="810"/>
      <c r="M167" s="810"/>
      <c r="N167" s="811"/>
      <c r="O167" s="783"/>
    </row>
    <row r="168" spans="1:15" s="782" customFormat="1" ht="20.100000000000001" hidden="1" customHeight="1">
      <c r="A168" s="1121"/>
      <c r="B168" s="1126"/>
      <c r="C168" s="836"/>
      <c r="D168" s="837"/>
      <c r="E168" s="838"/>
      <c r="F168" s="799"/>
      <c r="G168" s="814"/>
      <c r="H168" s="839"/>
      <c r="I168" s="840"/>
      <c r="J168" s="841"/>
      <c r="K168" s="842"/>
      <c r="L168" s="821"/>
      <c r="M168" s="841"/>
      <c r="N168" s="828"/>
      <c r="O168" s="784"/>
    </row>
    <row r="169" spans="1:15" s="782" customFormat="1" ht="20.100000000000001" hidden="1" customHeight="1">
      <c r="A169" s="1121"/>
      <c r="B169" s="1126"/>
      <c r="C169" s="825"/>
      <c r="D169" s="807"/>
      <c r="E169" s="822"/>
      <c r="F169" s="822"/>
      <c r="G169" s="807"/>
      <c r="H169" s="843"/>
      <c r="I169" s="830"/>
      <c r="J169" s="810"/>
      <c r="K169" s="810"/>
      <c r="L169" s="810"/>
      <c r="M169" s="810"/>
      <c r="N169" s="811"/>
      <c r="O169" s="783"/>
    </row>
    <row r="170" spans="1:15" s="782" customFormat="1" ht="20.100000000000001" hidden="1" customHeight="1">
      <c r="A170" s="1121"/>
      <c r="B170" s="1126"/>
      <c r="C170" s="812"/>
      <c r="D170" s="813"/>
      <c r="E170" s="813"/>
      <c r="F170" s="799"/>
      <c r="G170" s="814"/>
      <c r="H170" s="800"/>
      <c r="I170" s="815"/>
      <c r="J170" s="816"/>
      <c r="K170" s="817"/>
      <c r="L170" s="757"/>
      <c r="M170" s="821"/>
      <c r="N170" s="819"/>
      <c r="O170" s="784"/>
    </row>
    <row r="171" spans="1:15" s="782" customFormat="1" ht="20.100000000000001" hidden="1" customHeight="1">
      <c r="A171" s="1121"/>
      <c r="B171" s="1126"/>
      <c r="C171" s="806"/>
      <c r="D171" s="807"/>
      <c r="E171" s="807"/>
      <c r="F171" s="807"/>
      <c r="G171" s="807"/>
      <c r="H171" s="808"/>
      <c r="I171" s="809"/>
      <c r="J171" s="810"/>
      <c r="K171" s="810"/>
      <c r="L171" s="764"/>
      <c r="M171" s="810"/>
      <c r="N171" s="811"/>
      <c r="O171" s="783"/>
    </row>
    <row r="172" spans="1:15" s="782" customFormat="1" ht="20.100000000000001" hidden="1" customHeight="1">
      <c r="A172" s="1121"/>
      <c r="B172" s="1126"/>
      <c r="C172" s="812"/>
      <c r="D172" s="813"/>
      <c r="E172" s="813"/>
      <c r="F172" s="799"/>
      <c r="G172" s="814"/>
      <c r="H172" s="815"/>
      <c r="I172" s="815"/>
      <c r="J172" s="816"/>
      <c r="K172" s="820"/>
      <c r="L172" s="817"/>
      <c r="M172" s="821"/>
      <c r="N172" s="819"/>
      <c r="O172" s="784"/>
    </row>
    <row r="173" spans="1:15" s="782" customFormat="1" ht="20.100000000000001" hidden="1" customHeight="1">
      <c r="A173" s="1121"/>
      <c r="B173" s="1126"/>
      <c r="C173" s="806"/>
      <c r="D173" s="822"/>
      <c r="E173" s="807"/>
      <c r="F173" s="807"/>
      <c r="G173" s="807"/>
      <c r="H173" s="809"/>
      <c r="I173" s="809"/>
      <c r="J173" s="810"/>
      <c r="K173" s="810"/>
      <c r="L173" s="810"/>
      <c r="M173" s="810"/>
      <c r="N173" s="811"/>
      <c r="O173" s="783"/>
    </row>
    <row r="174" spans="1:15" s="782" customFormat="1" ht="20.100000000000001" hidden="1" customHeight="1">
      <c r="A174" s="1121"/>
      <c r="B174" s="1126"/>
      <c r="C174" s="812"/>
      <c r="D174" s="813"/>
      <c r="E174" s="813"/>
      <c r="F174" s="799"/>
      <c r="G174" s="814"/>
      <c r="H174" s="823"/>
      <c r="I174" s="815"/>
      <c r="J174" s="817"/>
      <c r="K174" s="816"/>
      <c r="L174" s="817"/>
      <c r="M174" s="821"/>
      <c r="N174" s="818"/>
      <c r="O174" s="784"/>
    </row>
    <row r="175" spans="1:15" s="782" customFormat="1" ht="20.100000000000001" hidden="1" customHeight="1">
      <c r="A175" s="1121"/>
      <c r="B175" s="1126"/>
      <c r="C175" s="825"/>
      <c r="D175" s="822"/>
      <c r="E175" s="822"/>
      <c r="F175" s="807"/>
      <c r="G175" s="807"/>
      <c r="H175" s="808"/>
      <c r="I175" s="809"/>
      <c r="J175" s="810"/>
      <c r="K175" s="810"/>
      <c r="L175" s="810"/>
      <c r="M175" s="810"/>
      <c r="N175" s="811"/>
      <c r="O175" s="783"/>
    </row>
    <row r="176" spans="1:15" s="782" customFormat="1" ht="20.100000000000001" hidden="1" customHeight="1">
      <c r="A176" s="1121"/>
      <c r="B176" s="1126"/>
      <c r="C176" s="813"/>
      <c r="D176" s="813"/>
      <c r="E176" s="813"/>
      <c r="F176" s="799"/>
      <c r="G176" s="814"/>
      <c r="H176" s="823"/>
      <c r="I176" s="827"/>
      <c r="J176" s="817"/>
      <c r="K176" s="821"/>
      <c r="L176" s="817"/>
      <c r="M176" s="821"/>
      <c r="N176" s="818"/>
      <c r="O176" s="784"/>
    </row>
    <row r="177" spans="1:17" s="782" customFormat="1" ht="20.100000000000001" hidden="1" customHeight="1">
      <c r="A177" s="1121"/>
      <c r="B177" s="1126"/>
      <c r="C177" s="822"/>
      <c r="D177" s="807"/>
      <c r="E177" s="829"/>
      <c r="F177" s="807"/>
      <c r="G177" s="807"/>
      <c r="H177" s="808"/>
      <c r="I177" s="830"/>
      <c r="J177" s="810"/>
      <c r="K177" s="810"/>
      <c r="L177" s="810"/>
      <c r="M177" s="810"/>
      <c r="N177" s="811"/>
      <c r="O177" s="783"/>
    </row>
    <row r="178" spans="1:17" s="782" customFormat="1" ht="20.100000000000001" hidden="1" customHeight="1">
      <c r="A178" s="1121"/>
      <c r="B178" s="1126"/>
      <c r="C178" s="831"/>
      <c r="D178" s="832"/>
      <c r="E178" s="833"/>
      <c r="F178" s="800"/>
      <c r="G178" s="814"/>
      <c r="H178" s="823"/>
      <c r="I178" s="834"/>
      <c r="J178" s="817"/>
      <c r="K178" s="835"/>
      <c r="L178" s="817"/>
      <c r="M178" s="835"/>
      <c r="N178" s="828"/>
      <c r="O178" s="784"/>
    </row>
    <row r="179" spans="1:17" s="782" customFormat="1" ht="20.100000000000001" hidden="1" customHeight="1">
      <c r="A179" s="1121"/>
      <c r="B179" s="1126"/>
      <c r="C179" s="825"/>
      <c r="D179" s="807"/>
      <c r="E179" s="822"/>
      <c r="F179" s="808"/>
      <c r="G179" s="807"/>
      <c r="H179" s="808"/>
      <c r="I179" s="830"/>
      <c r="J179" s="810"/>
      <c r="K179" s="810"/>
      <c r="L179" s="810"/>
      <c r="M179" s="810"/>
      <c r="N179" s="811"/>
      <c r="O179" s="783"/>
    </row>
    <row r="180" spans="1:17" s="782" customFormat="1" ht="20.100000000000001" hidden="1" customHeight="1">
      <c r="A180" s="1121"/>
      <c r="B180" s="1126"/>
      <c r="C180" s="844"/>
      <c r="D180" s="837"/>
      <c r="E180" s="845"/>
      <c r="F180" s="799"/>
      <c r="G180" s="814"/>
      <c r="H180" s="839"/>
      <c r="I180" s="840"/>
      <c r="J180" s="841"/>
      <c r="K180" s="842"/>
      <c r="L180" s="824"/>
      <c r="M180" s="841"/>
      <c r="N180" s="828"/>
      <c r="O180" s="784"/>
    </row>
    <row r="181" spans="1:17" s="782" customFormat="1" ht="20.100000000000001" hidden="1" customHeight="1">
      <c r="A181" s="1121"/>
      <c r="B181" s="1126"/>
      <c r="C181" s="846"/>
      <c r="D181" s="807"/>
      <c r="E181" s="847"/>
      <c r="F181" s="822"/>
      <c r="G181" s="807"/>
      <c r="H181" s="843"/>
      <c r="I181" s="830"/>
      <c r="J181" s="810"/>
      <c r="K181" s="810"/>
      <c r="L181" s="826"/>
      <c r="M181" s="810"/>
      <c r="N181" s="811"/>
      <c r="O181" s="783"/>
    </row>
    <row r="182" spans="1:17" s="782" customFormat="1" ht="20.100000000000001" hidden="1" customHeight="1">
      <c r="A182" s="1121"/>
      <c r="B182" s="1126"/>
      <c r="C182" s="844"/>
      <c r="D182" s="837"/>
      <c r="E182" s="848"/>
      <c r="F182" s="849"/>
      <c r="G182" s="838"/>
      <c r="H182" s="850"/>
      <c r="I182" s="851"/>
      <c r="J182" s="841"/>
      <c r="K182" s="842"/>
      <c r="L182" s="841"/>
      <c r="M182" s="841"/>
      <c r="N182" s="852"/>
      <c r="O182" s="784"/>
    </row>
    <row r="183" spans="1:17" s="782" customFormat="1" ht="20.100000000000001" hidden="1" customHeight="1">
      <c r="A183" s="1121"/>
      <c r="B183" s="1126"/>
      <c r="C183" s="853"/>
      <c r="D183" s="807"/>
      <c r="E183" s="847"/>
      <c r="F183" s="822"/>
      <c r="G183" s="807"/>
      <c r="H183" s="843"/>
      <c r="I183" s="830"/>
      <c r="J183" s="810"/>
      <c r="K183" s="810"/>
      <c r="L183" s="810"/>
      <c r="M183" s="810"/>
      <c r="N183" s="811"/>
      <c r="O183" s="783"/>
    </row>
    <row r="184" spans="1:17" s="780" customFormat="1" ht="20.100000000000001" hidden="1" customHeight="1">
      <c r="A184" s="1121"/>
      <c r="B184" s="1126"/>
      <c r="C184" s="854"/>
      <c r="D184" s="855"/>
      <c r="E184" s="845"/>
      <c r="F184" s="855"/>
      <c r="G184" s="855"/>
      <c r="H184" s="856"/>
      <c r="I184" s="857"/>
      <c r="J184" s="855"/>
      <c r="K184" s="855"/>
      <c r="L184" s="855"/>
      <c r="M184" s="855"/>
      <c r="N184" s="858"/>
      <c r="O184" s="787"/>
    </row>
    <row r="185" spans="1:17" s="780" customFormat="1" ht="20.100000000000001" hidden="1" customHeight="1">
      <c r="A185" s="1121"/>
      <c r="B185" s="1126"/>
      <c r="C185" s="859"/>
      <c r="D185" s="860"/>
      <c r="E185" s="860"/>
      <c r="F185" s="860"/>
      <c r="G185" s="860"/>
      <c r="H185" s="861"/>
      <c r="I185" s="862"/>
      <c r="J185" s="860"/>
      <c r="K185" s="860"/>
      <c r="L185" s="860"/>
      <c r="M185" s="860"/>
      <c r="N185" s="863"/>
      <c r="O185" s="788"/>
    </row>
    <row r="186" spans="1:17" s="780" customFormat="1" ht="20.100000000000001" hidden="1" customHeight="1">
      <c r="A186" s="1121"/>
      <c r="B186" s="1127"/>
      <c r="C186" s="854"/>
      <c r="D186" s="855"/>
      <c r="E186" s="855"/>
      <c r="F186" s="855"/>
      <c r="G186" s="855"/>
      <c r="H186" s="856"/>
      <c r="I186" s="857"/>
      <c r="J186" s="855"/>
      <c r="K186" s="855"/>
      <c r="L186" s="855"/>
      <c r="M186" s="855"/>
      <c r="N186" s="858"/>
      <c r="O186" s="787"/>
    </row>
    <row r="187" spans="1:17" s="780" customFormat="1" ht="21" hidden="1" customHeight="1">
      <c r="A187" s="1121"/>
      <c r="B187" s="864" t="s">
        <v>353</v>
      </c>
      <c r="C187" s="865">
        <f t="shared" ref="C187:N187" si="7">SUM(C156:C186)</f>
        <v>0</v>
      </c>
      <c r="D187" s="866">
        <f t="shared" si="7"/>
        <v>0</v>
      </c>
      <c r="E187" s="866">
        <f t="shared" si="7"/>
        <v>0</v>
      </c>
      <c r="F187" s="866">
        <f t="shared" si="7"/>
        <v>0</v>
      </c>
      <c r="G187" s="866">
        <f t="shared" si="7"/>
        <v>0</v>
      </c>
      <c r="H187" s="867">
        <f t="shared" si="7"/>
        <v>0</v>
      </c>
      <c r="I187" s="868">
        <f t="shared" si="7"/>
        <v>0</v>
      </c>
      <c r="J187" s="866">
        <f t="shared" si="7"/>
        <v>0</v>
      </c>
      <c r="K187" s="866">
        <f t="shared" si="7"/>
        <v>0</v>
      </c>
      <c r="L187" s="866">
        <f t="shared" si="7"/>
        <v>0</v>
      </c>
      <c r="M187" s="866">
        <f t="shared" si="7"/>
        <v>0</v>
      </c>
      <c r="N187" s="869">
        <f t="shared" si="7"/>
        <v>0</v>
      </c>
      <c r="O187" s="870">
        <f>SUM(C187:N187)</f>
        <v>0</v>
      </c>
      <c r="Q187" s="871"/>
    </row>
    <row r="188" spans="1:17" s="782" customFormat="1" ht="20.100000000000001" hidden="1" customHeight="1">
      <c r="A188" s="1121"/>
      <c r="B188" s="1125" t="s">
        <v>355</v>
      </c>
      <c r="C188" s="796"/>
      <c r="D188" s="797"/>
      <c r="E188" s="797"/>
      <c r="F188" s="798"/>
      <c r="G188" s="799"/>
      <c r="H188" s="800"/>
      <c r="I188" s="801"/>
      <c r="J188" s="802"/>
      <c r="K188" s="802"/>
      <c r="L188" s="803"/>
      <c r="M188" s="804"/>
      <c r="N188" s="805"/>
      <c r="O188" s="781"/>
    </row>
    <row r="189" spans="1:17" s="782" customFormat="1" ht="20.100000000000001" hidden="1" customHeight="1">
      <c r="A189" s="1121"/>
      <c r="B189" s="1126"/>
      <c r="C189" s="806"/>
      <c r="D189" s="807"/>
      <c r="E189" s="807"/>
      <c r="F189" s="807"/>
      <c r="G189" s="807"/>
      <c r="H189" s="808"/>
      <c r="I189" s="809"/>
      <c r="J189" s="810"/>
      <c r="K189" s="810"/>
      <c r="L189" s="810"/>
      <c r="M189" s="810"/>
      <c r="N189" s="811"/>
      <c r="O189" s="783"/>
    </row>
    <row r="190" spans="1:17" s="782" customFormat="1" ht="20.100000000000001" hidden="1" customHeight="1">
      <c r="A190" s="1121"/>
      <c r="B190" s="1126"/>
      <c r="C190" s="812"/>
      <c r="D190" s="813"/>
      <c r="E190" s="813"/>
      <c r="F190" s="799"/>
      <c r="G190" s="814"/>
      <c r="H190" s="800"/>
      <c r="I190" s="815"/>
      <c r="J190" s="816"/>
      <c r="K190" s="817"/>
      <c r="L190" s="757"/>
      <c r="M190" s="824"/>
      <c r="N190" s="819"/>
      <c r="O190" s="784"/>
    </row>
    <row r="191" spans="1:17" s="782" customFormat="1" ht="20.100000000000001" hidden="1" customHeight="1">
      <c r="A191" s="1121"/>
      <c r="B191" s="1126"/>
      <c r="C191" s="806"/>
      <c r="D191" s="807"/>
      <c r="E191" s="807"/>
      <c r="F191" s="807"/>
      <c r="G191" s="807"/>
      <c r="H191" s="808"/>
      <c r="I191" s="809"/>
      <c r="J191" s="810"/>
      <c r="K191" s="810"/>
      <c r="L191" s="764"/>
      <c r="M191" s="826"/>
      <c r="N191" s="811"/>
      <c r="O191" s="783"/>
    </row>
    <row r="192" spans="1:17" s="782" customFormat="1" ht="20.100000000000001" hidden="1" customHeight="1">
      <c r="A192" s="1121"/>
      <c r="B192" s="1126"/>
      <c r="C192" s="812"/>
      <c r="D192" s="813"/>
      <c r="E192" s="813"/>
      <c r="F192" s="799"/>
      <c r="G192" s="814"/>
      <c r="H192" s="800"/>
      <c r="I192" s="800"/>
      <c r="J192" s="816"/>
      <c r="K192" s="820"/>
      <c r="L192" s="817"/>
      <c r="M192" s="821"/>
      <c r="N192" s="819"/>
      <c r="O192" s="784"/>
    </row>
    <row r="193" spans="1:15" s="782" customFormat="1" ht="20.100000000000001" hidden="1" customHeight="1">
      <c r="A193" s="1121"/>
      <c r="B193" s="1126"/>
      <c r="C193" s="806"/>
      <c r="D193" s="822"/>
      <c r="E193" s="807"/>
      <c r="F193" s="807"/>
      <c r="G193" s="807"/>
      <c r="H193" s="808"/>
      <c r="I193" s="808"/>
      <c r="J193" s="810"/>
      <c r="K193" s="810"/>
      <c r="L193" s="810"/>
      <c r="M193" s="810"/>
      <c r="N193" s="811"/>
      <c r="O193" s="783"/>
    </row>
    <row r="194" spans="1:15" s="782" customFormat="1" ht="20.100000000000001" hidden="1" customHeight="1">
      <c r="A194" s="1121"/>
      <c r="B194" s="1126"/>
      <c r="C194" s="812"/>
      <c r="D194" s="813"/>
      <c r="E194" s="813"/>
      <c r="F194" s="799"/>
      <c r="G194" s="814"/>
      <c r="H194" s="823"/>
      <c r="I194" s="815"/>
      <c r="J194" s="817"/>
      <c r="K194" s="817"/>
      <c r="L194" s="817"/>
      <c r="M194" s="821"/>
      <c r="N194" s="818"/>
      <c r="O194" s="784"/>
    </row>
    <row r="195" spans="1:15" s="782" customFormat="1" ht="20.100000000000001" hidden="1" customHeight="1">
      <c r="A195" s="1121"/>
      <c r="B195" s="1126"/>
      <c r="C195" s="825"/>
      <c r="D195" s="822"/>
      <c r="E195" s="822"/>
      <c r="F195" s="807"/>
      <c r="G195" s="807"/>
      <c r="H195" s="808"/>
      <c r="I195" s="809"/>
      <c r="J195" s="810"/>
      <c r="K195" s="810"/>
      <c r="L195" s="810"/>
      <c r="M195" s="810"/>
      <c r="N195" s="811"/>
      <c r="O195" s="783"/>
    </row>
    <row r="196" spans="1:15" s="782" customFormat="1" ht="20.100000000000001" hidden="1" customHeight="1">
      <c r="A196" s="1121"/>
      <c r="B196" s="1126"/>
      <c r="C196" s="812"/>
      <c r="D196" s="813"/>
      <c r="E196" s="813"/>
      <c r="F196" s="799"/>
      <c r="G196" s="799"/>
      <c r="H196" s="823"/>
      <c r="I196" s="827"/>
      <c r="J196" s="817"/>
      <c r="K196" s="821"/>
      <c r="L196" s="817"/>
      <c r="M196" s="821"/>
      <c r="N196" s="818"/>
      <c r="O196" s="784"/>
    </row>
    <row r="197" spans="1:15" s="782" customFormat="1" ht="20.100000000000001" hidden="1" customHeight="1">
      <c r="A197" s="1121"/>
      <c r="B197" s="1126"/>
      <c r="C197" s="825"/>
      <c r="D197" s="807"/>
      <c r="E197" s="829"/>
      <c r="F197" s="807"/>
      <c r="G197" s="807"/>
      <c r="H197" s="808"/>
      <c r="I197" s="830"/>
      <c r="J197" s="810"/>
      <c r="K197" s="810"/>
      <c r="L197" s="810"/>
      <c r="M197" s="810"/>
      <c r="N197" s="811"/>
      <c r="O197" s="783"/>
    </row>
    <row r="198" spans="1:15" s="782" customFormat="1" ht="20.100000000000001" hidden="1" customHeight="1">
      <c r="A198" s="1121"/>
      <c r="B198" s="1126"/>
      <c r="C198" s="831"/>
      <c r="D198" s="832"/>
      <c r="E198" s="833"/>
      <c r="F198" s="799"/>
      <c r="G198" s="814"/>
      <c r="H198" s="823"/>
      <c r="I198" s="834"/>
      <c r="J198" s="815"/>
      <c r="K198" s="835"/>
      <c r="L198" s="817"/>
      <c r="M198" s="835"/>
      <c r="N198" s="828"/>
      <c r="O198" s="784"/>
    </row>
    <row r="199" spans="1:15" s="782" customFormat="1" ht="20.100000000000001" hidden="1" customHeight="1">
      <c r="A199" s="1121"/>
      <c r="B199" s="1126"/>
      <c r="C199" s="825"/>
      <c r="D199" s="807"/>
      <c r="E199" s="822"/>
      <c r="F199" s="807"/>
      <c r="G199" s="807"/>
      <c r="H199" s="808"/>
      <c r="I199" s="830"/>
      <c r="J199" s="809"/>
      <c r="K199" s="810"/>
      <c r="L199" s="810"/>
      <c r="M199" s="810"/>
      <c r="N199" s="811"/>
      <c r="O199" s="783"/>
    </row>
    <row r="200" spans="1:15" s="782" customFormat="1" ht="20.100000000000001" hidden="1" customHeight="1">
      <c r="A200" s="1121"/>
      <c r="B200" s="1126"/>
      <c r="C200" s="813"/>
      <c r="D200" s="837"/>
      <c r="E200" s="838"/>
      <c r="F200" s="799"/>
      <c r="G200" s="814"/>
      <c r="H200" s="839"/>
      <c r="I200" s="840"/>
      <c r="J200" s="841"/>
      <c r="K200" s="842"/>
      <c r="L200" s="816"/>
      <c r="M200" s="841"/>
      <c r="N200" s="828"/>
      <c r="O200" s="784"/>
    </row>
    <row r="201" spans="1:15" s="782" customFormat="1" ht="20.100000000000001" hidden="1" customHeight="1">
      <c r="A201" s="1121"/>
      <c r="B201" s="1126"/>
      <c r="C201" s="822"/>
      <c r="D201" s="807"/>
      <c r="E201" s="822"/>
      <c r="F201" s="822"/>
      <c r="G201" s="807"/>
      <c r="H201" s="843"/>
      <c r="I201" s="830"/>
      <c r="J201" s="810"/>
      <c r="K201" s="810"/>
      <c r="L201" s="810"/>
      <c r="M201" s="810"/>
      <c r="N201" s="811"/>
      <c r="O201" s="783"/>
    </row>
    <row r="202" spans="1:15" s="782" customFormat="1" ht="20.100000000000001" hidden="1" customHeight="1">
      <c r="A202" s="1121"/>
      <c r="B202" s="1126"/>
      <c r="C202" s="812"/>
      <c r="D202" s="813"/>
      <c r="E202" s="813"/>
      <c r="F202" s="799"/>
      <c r="G202" s="814"/>
      <c r="H202" s="800"/>
      <c r="I202" s="815"/>
      <c r="J202" s="816"/>
      <c r="K202" s="817"/>
      <c r="L202" s="757"/>
      <c r="M202" s="821"/>
      <c r="N202" s="819"/>
      <c r="O202" s="784"/>
    </row>
    <row r="203" spans="1:15" s="782" customFormat="1" ht="20.100000000000001" hidden="1" customHeight="1">
      <c r="A203" s="1121"/>
      <c r="B203" s="1126"/>
      <c r="C203" s="806"/>
      <c r="D203" s="807"/>
      <c r="E203" s="807"/>
      <c r="F203" s="807"/>
      <c r="G203" s="807"/>
      <c r="H203" s="808"/>
      <c r="I203" s="809"/>
      <c r="J203" s="810"/>
      <c r="K203" s="810"/>
      <c r="L203" s="764"/>
      <c r="M203" s="810"/>
      <c r="N203" s="811"/>
      <c r="O203" s="783"/>
    </row>
    <row r="204" spans="1:15" s="782" customFormat="1" ht="20.100000000000001" hidden="1" customHeight="1">
      <c r="A204" s="1121"/>
      <c r="B204" s="1126"/>
      <c r="C204" s="812"/>
      <c r="D204" s="813"/>
      <c r="E204" s="813"/>
      <c r="F204" s="799"/>
      <c r="G204" s="814"/>
      <c r="H204" s="814"/>
      <c r="I204" s="815"/>
      <c r="J204" s="816"/>
      <c r="K204" s="820"/>
      <c r="L204" s="817"/>
      <c r="M204" s="821"/>
      <c r="N204" s="819"/>
      <c r="O204" s="784"/>
    </row>
    <row r="205" spans="1:15" s="782" customFormat="1" ht="20.100000000000001" hidden="1" customHeight="1">
      <c r="A205" s="1121"/>
      <c r="B205" s="1126"/>
      <c r="C205" s="806"/>
      <c r="D205" s="822"/>
      <c r="E205" s="807"/>
      <c r="F205" s="807"/>
      <c r="G205" s="807"/>
      <c r="H205" s="807"/>
      <c r="I205" s="809"/>
      <c r="J205" s="810"/>
      <c r="K205" s="810"/>
      <c r="L205" s="810"/>
      <c r="M205" s="810"/>
      <c r="N205" s="811"/>
      <c r="O205" s="783"/>
    </row>
    <row r="206" spans="1:15" s="782" customFormat="1" ht="20.100000000000001" hidden="1" customHeight="1">
      <c r="A206" s="1121"/>
      <c r="B206" s="1126"/>
      <c r="C206" s="872"/>
      <c r="D206" s="873"/>
      <c r="E206" s="873"/>
      <c r="F206" s="799"/>
      <c r="G206" s="874"/>
      <c r="H206" s="823"/>
      <c r="I206" s="815"/>
      <c r="J206" s="875"/>
      <c r="K206" s="816"/>
      <c r="L206" s="817"/>
      <c r="M206" s="821"/>
      <c r="N206" s="818"/>
      <c r="O206" s="784"/>
    </row>
    <row r="207" spans="1:15" s="782" customFormat="1" ht="20.100000000000001" hidden="1" customHeight="1">
      <c r="A207" s="1121"/>
      <c r="B207" s="1126"/>
      <c r="C207" s="846"/>
      <c r="D207" s="847"/>
      <c r="E207" s="847"/>
      <c r="F207" s="807"/>
      <c r="G207" s="876"/>
      <c r="H207" s="808"/>
      <c r="I207" s="809"/>
      <c r="J207" s="810"/>
      <c r="K207" s="810"/>
      <c r="L207" s="810"/>
      <c r="M207" s="810"/>
      <c r="N207" s="811"/>
      <c r="O207" s="783"/>
    </row>
    <row r="208" spans="1:15" s="782" customFormat="1" ht="20.100000000000001" hidden="1" customHeight="1">
      <c r="A208" s="1121"/>
      <c r="B208" s="1126"/>
      <c r="C208" s="872"/>
      <c r="D208" s="873"/>
      <c r="E208" s="873"/>
      <c r="F208" s="799"/>
      <c r="G208" s="814"/>
      <c r="H208" s="823"/>
      <c r="I208" s="827"/>
      <c r="J208" s="817"/>
      <c r="K208" s="821"/>
      <c r="L208" s="817"/>
      <c r="M208" s="821"/>
      <c r="N208" s="818"/>
      <c r="O208" s="784"/>
    </row>
    <row r="209" spans="1:15" s="782" customFormat="1" ht="20.100000000000001" hidden="1" customHeight="1">
      <c r="A209" s="1121"/>
      <c r="B209" s="1126"/>
      <c r="C209" s="846"/>
      <c r="D209" s="807"/>
      <c r="E209" s="877"/>
      <c r="F209" s="807"/>
      <c r="G209" s="807"/>
      <c r="H209" s="808"/>
      <c r="I209" s="830"/>
      <c r="J209" s="810"/>
      <c r="K209" s="810"/>
      <c r="L209" s="810"/>
      <c r="M209" s="810"/>
      <c r="N209" s="811"/>
      <c r="O209" s="783"/>
    </row>
    <row r="210" spans="1:15" s="782" customFormat="1" ht="20.100000000000001" hidden="1" customHeight="1">
      <c r="A210" s="1121"/>
      <c r="B210" s="1126"/>
      <c r="C210" s="878"/>
      <c r="D210" s="832"/>
      <c r="E210" s="879"/>
      <c r="F210" s="813"/>
      <c r="G210" s="814"/>
      <c r="H210" s="880"/>
      <c r="I210" s="834"/>
      <c r="J210" s="817"/>
      <c r="K210" s="835"/>
      <c r="L210" s="817"/>
      <c r="M210" s="835"/>
      <c r="N210" s="828"/>
      <c r="O210" s="784"/>
    </row>
    <row r="211" spans="1:15" s="782" customFormat="1" ht="20.100000000000001" hidden="1" customHeight="1">
      <c r="A211" s="1121"/>
      <c r="B211" s="1126"/>
      <c r="C211" s="846"/>
      <c r="D211" s="807"/>
      <c r="E211" s="847"/>
      <c r="F211" s="822"/>
      <c r="G211" s="807"/>
      <c r="H211" s="808"/>
      <c r="I211" s="830"/>
      <c r="J211" s="810"/>
      <c r="K211" s="810"/>
      <c r="L211" s="810"/>
      <c r="M211" s="810"/>
      <c r="N211" s="811"/>
      <c r="O211" s="783"/>
    </row>
    <row r="212" spans="1:15" s="782" customFormat="1" ht="20.100000000000001" hidden="1" customHeight="1">
      <c r="A212" s="1121"/>
      <c r="B212" s="1126"/>
      <c r="C212" s="844"/>
      <c r="D212" s="837"/>
      <c r="E212" s="845"/>
      <c r="F212" s="799"/>
      <c r="G212" s="814"/>
      <c r="H212" s="839"/>
      <c r="I212" s="840"/>
      <c r="J212" s="841"/>
      <c r="K212" s="842"/>
      <c r="L212" s="824"/>
      <c r="M212" s="841"/>
      <c r="N212" s="828"/>
      <c r="O212" s="784"/>
    </row>
    <row r="213" spans="1:15" s="782" customFormat="1" ht="20.100000000000001" hidden="1" customHeight="1">
      <c r="A213" s="1121"/>
      <c r="B213" s="1126"/>
      <c r="C213" s="846"/>
      <c r="D213" s="807"/>
      <c r="E213" s="847"/>
      <c r="F213" s="822"/>
      <c r="G213" s="807"/>
      <c r="H213" s="843"/>
      <c r="I213" s="830"/>
      <c r="J213" s="810"/>
      <c r="K213" s="810"/>
      <c r="L213" s="826"/>
      <c r="M213" s="810"/>
      <c r="N213" s="811"/>
      <c r="O213" s="783"/>
    </row>
    <row r="214" spans="1:15" s="782" customFormat="1" ht="20.100000000000001" hidden="1" customHeight="1">
      <c r="A214" s="1121"/>
      <c r="B214" s="1126"/>
      <c r="C214" s="844"/>
      <c r="D214" s="837"/>
      <c r="E214" s="848"/>
      <c r="F214" s="849"/>
      <c r="G214" s="838"/>
      <c r="H214" s="850"/>
      <c r="I214" s="851"/>
      <c r="J214" s="841"/>
      <c r="K214" s="842"/>
      <c r="L214" s="841"/>
      <c r="M214" s="841"/>
      <c r="N214" s="852"/>
      <c r="O214" s="784"/>
    </row>
    <row r="215" spans="1:15" s="782" customFormat="1" ht="20.100000000000001" hidden="1" customHeight="1">
      <c r="A215" s="1121"/>
      <c r="B215" s="1126"/>
      <c r="C215" s="853"/>
      <c r="D215" s="807"/>
      <c r="E215" s="847"/>
      <c r="F215" s="822"/>
      <c r="G215" s="807"/>
      <c r="H215" s="843"/>
      <c r="I215" s="830"/>
      <c r="J215" s="810"/>
      <c r="K215" s="810"/>
      <c r="L215" s="810"/>
      <c r="M215" s="810"/>
      <c r="N215" s="811"/>
      <c r="O215" s="783"/>
    </row>
    <row r="216" spans="1:15" s="780" customFormat="1" ht="20.100000000000001" hidden="1" customHeight="1">
      <c r="A216" s="1121"/>
      <c r="B216" s="1126"/>
      <c r="C216" s="854"/>
      <c r="D216" s="855"/>
      <c r="E216" s="845"/>
      <c r="F216" s="855"/>
      <c r="G216" s="855"/>
      <c r="H216" s="856"/>
      <c r="I216" s="857"/>
      <c r="J216" s="855"/>
      <c r="K216" s="855"/>
      <c r="L216" s="855"/>
      <c r="M216" s="855"/>
      <c r="N216" s="858"/>
      <c r="O216" s="787"/>
    </row>
    <row r="217" spans="1:15" s="780" customFormat="1" ht="20.100000000000001" hidden="1" customHeight="1">
      <c r="A217" s="1121"/>
      <c r="B217" s="1126"/>
      <c r="C217" s="859"/>
      <c r="D217" s="860"/>
      <c r="E217" s="860"/>
      <c r="F217" s="860"/>
      <c r="G217" s="860"/>
      <c r="H217" s="861"/>
      <c r="I217" s="862"/>
      <c r="J217" s="860"/>
      <c r="K217" s="860"/>
      <c r="L217" s="860"/>
      <c r="M217" s="860"/>
      <c r="N217" s="863"/>
      <c r="O217" s="788"/>
    </row>
    <row r="218" spans="1:15" s="780" customFormat="1" ht="20.100000000000001" hidden="1" customHeight="1">
      <c r="A218" s="1121"/>
      <c r="B218" s="1127"/>
      <c r="C218" s="854"/>
      <c r="D218" s="855"/>
      <c r="E218" s="855"/>
      <c r="F218" s="855"/>
      <c r="G218" s="855"/>
      <c r="H218" s="856"/>
      <c r="I218" s="857"/>
      <c r="J218" s="855"/>
      <c r="K218" s="855"/>
      <c r="L218" s="855"/>
      <c r="M218" s="855"/>
      <c r="N218" s="858"/>
      <c r="O218" s="787"/>
    </row>
    <row r="219" spans="1:15" s="780" customFormat="1" ht="21" hidden="1" customHeight="1">
      <c r="A219" s="1122"/>
      <c r="B219" s="864" t="s">
        <v>353</v>
      </c>
      <c r="C219" s="865">
        <f t="shared" ref="C219:N219" si="8">SUM(C188:C218)</f>
        <v>0</v>
      </c>
      <c r="D219" s="866">
        <f t="shared" si="8"/>
        <v>0</v>
      </c>
      <c r="E219" s="866">
        <f t="shared" si="8"/>
        <v>0</v>
      </c>
      <c r="F219" s="866">
        <f t="shared" si="8"/>
        <v>0</v>
      </c>
      <c r="G219" s="866">
        <f t="shared" si="8"/>
        <v>0</v>
      </c>
      <c r="H219" s="867">
        <f t="shared" si="8"/>
        <v>0</v>
      </c>
      <c r="I219" s="868">
        <f t="shared" si="8"/>
        <v>0</v>
      </c>
      <c r="J219" s="866">
        <f t="shared" si="8"/>
        <v>0</v>
      </c>
      <c r="K219" s="866">
        <f t="shared" si="8"/>
        <v>0</v>
      </c>
      <c r="L219" s="866">
        <f t="shared" si="8"/>
        <v>0</v>
      </c>
      <c r="M219" s="866">
        <f t="shared" si="8"/>
        <v>0</v>
      </c>
      <c r="N219" s="869">
        <f t="shared" si="8"/>
        <v>0</v>
      </c>
      <c r="O219" s="870">
        <f>SUM(C219:N219)</f>
        <v>0</v>
      </c>
    </row>
    <row r="220" spans="1:15" s="884" customFormat="1" ht="18.75" customHeight="1">
      <c r="A220" s="881"/>
      <c r="B220" s="881"/>
      <c r="C220" s="882"/>
      <c r="D220" s="883"/>
      <c r="E220" s="883"/>
      <c r="F220" s="883"/>
      <c r="G220" s="883"/>
      <c r="H220" s="883"/>
      <c r="I220" s="883"/>
      <c r="J220" s="883"/>
      <c r="K220" s="883"/>
      <c r="L220" s="883"/>
      <c r="M220" s="883"/>
      <c r="N220" s="883"/>
      <c r="O220" s="883"/>
    </row>
    <row r="221" spans="1:15" s="889" customFormat="1" ht="15.95" customHeight="1">
      <c r="A221" s="885"/>
      <c r="B221" s="886"/>
      <c r="C221" s="887"/>
      <c r="D221" s="888"/>
      <c r="E221" s="888"/>
      <c r="F221" s="888"/>
      <c r="G221" s="888"/>
      <c r="H221" s="888"/>
      <c r="I221" s="888"/>
      <c r="J221" s="888"/>
      <c r="K221" s="888"/>
      <c r="L221" s="888"/>
      <c r="M221" s="888"/>
      <c r="N221" s="888"/>
      <c r="O221" s="888"/>
    </row>
    <row r="222" spans="1:15" s="894" customFormat="1" ht="26.25" customHeight="1" thickBot="1">
      <c r="A222" s="890" t="s">
        <v>356</v>
      </c>
      <c r="B222" s="891"/>
      <c r="C222" s="892"/>
      <c r="D222" s="893"/>
      <c r="E222" s="893"/>
      <c r="F222" s="893"/>
      <c r="G222" s="893"/>
      <c r="H222" s="893"/>
      <c r="I222" s="893"/>
      <c r="J222" s="893"/>
      <c r="K222" s="893"/>
      <c r="L222" s="893"/>
      <c r="M222" s="893"/>
      <c r="N222" s="893"/>
      <c r="O222" s="893"/>
    </row>
    <row r="223" spans="1:15" ht="20.100000000000001" customHeight="1" thickBot="1">
      <c r="A223" s="895" t="s">
        <v>357</v>
      </c>
      <c r="B223" s="896" t="s">
        <v>358</v>
      </c>
      <c r="C223" s="896" t="s">
        <v>359</v>
      </c>
      <c r="D223" s="896" t="s">
        <v>360</v>
      </c>
      <c r="E223" s="896" t="s">
        <v>70</v>
      </c>
      <c r="F223" s="896" t="s">
        <v>72</v>
      </c>
      <c r="G223" s="896" t="s">
        <v>73</v>
      </c>
      <c r="H223" s="896" t="s">
        <v>74</v>
      </c>
      <c r="I223" s="896" t="s">
        <v>75</v>
      </c>
      <c r="J223" s="896" t="s">
        <v>76</v>
      </c>
      <c r="K223" s="896" t="s">
        <v>77</v>
      </c>
      <c r="L223" s="896" t="s">
        <v>78</v>
      </c>
      <c r="M223" s="896" t="s">
        <v>79</v>
      </c>
      <c r="N223" s="896" t="s">
        <v>80</v>
      </c>
      <c r="O223" s="897" t="s">
        <v>81</v>
      </c>
    </row>
    <row r="224" spans="1:15" s="903" customFormat="1" ht="20.100000000000001" customHeight="1">
      <c r="A224" s="920"/>
      <c r="B224" s="921"/>
      <c r="C224" s="900"/>
      <c r="D224" s="901"/>
      <c r="E224" s="901"/>
      <c r="F224" s="901"/>
      <c r="G224" s="901"/>
      <c r="H224" s="901"/>
      <c r="I224" s="901"/>
      <c r="J224" s="901"/>
      <c r="K224" s="901"/>
      <c r="L224" s="901"/>
      <c r="M224" s="901"/>
      <c r="N224" s="901"/>
      <c r="O224" s="902"/>
    </row>
    <row r="225" spans="1:15" ht="20.100000000000001" customHeight="1" thickBot="1">
      <c r="A225" s="904"/>
      <c r="B225" s="905"/>
      <c r="C225" s="906"/>
      <c r="D225" s="907"/>
      <c r="E225" s="908"/>
      <c r="F225" s="908"/>
      <c r="G225" s="908"/>
      <c r="H225" s="908"/>
      <c r="I225" s="908"/>
      <c r="J225" s="908"/>
      <c r="K225" s="908"/>
      <c r="L225" s="908"/>
      <c r="M225" s="909"/>
      <c r="N225" s="909"/>
      <c r="O225" s="910"/>
    </row>
    <row r="226" spans="1:15" ht="20.100000000000001" customHeight="1" thickBot="1">
      <c r="A226" s="911" t="s">
        <v>362</v>
      </c>
      <c r="B226" s="912"/>
      <c r="C226" s="913">
        <f t="shared" ref="C226:O226" si="9">SUM(C224:C225)</f>
        <v>0</v>
      </c>
      <c r="D226" s="913">
        <f t="shared" si="9"/>
        <v>0</v>
      </c>
      <c r="E226" s="913">
        <f t="shared" si="9"/>
        <v>0</v>
      </c>
      <c r="F226" s="913">
        <f t="shared" si="9"/>
        <v>0</v>
      </c>
      <c r="G226" s="913">
        <f t="shared" si="9"/>
        <v>0</v>
      </c>
      <c r="H226" s="913">
        <f t="shared" si="9"/>
        <v>0</v>
      </c>
      <c r="I226" s="913">
        <f t="shared" si="9"/>
        <v>0</v>
      </c>
      <c r="J226" s="913">
        <f t="shared" si="9"/>
        <v>0</v>
      </c>
      <c r="K226" s="913">
        <f t="shared" si="9"/>
        <v>0</v>
      </c>
      <c r="L226" s="913">
        <f t="shared" si="9"/>
        <v>0</v>
      </c>
      <c r="M226" s="913">
        <f t="shared" si="9"/>
        <v>0</v>
      </c>
      <c r="N226" s="913">
        <f t="shared" si="9"/>
        <v>0</v>
      </c>
      <c r="O226" s="913">
        <f t="shared" si="9"/>
        <v>0</v>
      </c>
    </row>
    <row r="229" spans="1:15" ht="27">
      <c r="A229" s="730" t="s">
        <v>407</v>
      </c>
      <c r="B229" s="730"/>
      <c r="C229" s="730"/>
      <c r="D229" s="730"/>
      <c r="E229" s="730"/>
      <c r="F229" s="730"/>
      <c r="G229" s="730"/>
      <c r="H229" s="730"/>
      <c r="I229" s="730"/>
      <c r="J229" s="730"/>
      <c r="K229" s="730"/>
      <c r="L229" s="730"/>
      <c r="M229" s="730"/>
      <c r="N229" s="730"/>
      <c r="O229" s="730"/>
    </row>
    <row r="230" spans="1:15" ht="27">
      <c r="A230" s="732"/>
      <c r="B230" s="733"/>
      <c r="C230" s="733"/>
      <c r="D230" s="733"/>
      <c r="E230" s="733"/>
      <c r="F230" s="733"/>
      <c r="G230" s="733"/>
      <c r="H230" s="733"/>
      <c r="I230" s="733"/>
      <c r="J230" s="733"/>
      <c r="K230" s="733"/>
      <c r="L230" s="733"/>
      <c r="M230" s="733"/>
      <c r="N230" s="733"/>
      <c r="O230" s="733"/>
    </row>
    <row r="231" spans="1:15" ht="26.25" thickBot="1">
      <c r="A231" s="734" t="s">
        <v>343</v>
      </c>
      <c r="B231" s="735"/>
      <c r="C231" s="736"/>
      <c r="D231" s="735"/>
      <c r="E231" s="735"/>
      <c r="F231" s="735"/>
      <c r="G231" s="735"/>
      <c r="H231" s="735"/>
      <c r="I231" s="735"/>
      <c r="J231" s="735"/>
      <c r="K231" s="735"/>
      <c r="L231" s="735"/>
      <c r="M231" s="735"/>
      <c r="N231" s="735"/>
      <c r="O231" s="735"/>
    </row>
    <row r="232" spans="1:15">
      <c r="A232" s="1103" t="s">
        <v>344</v>
      </c>
      <c r="B232" s="1104"/>
      <c r="C232" s="1107" t="s">
        <v>345</v>
      </c>
      <c r="D232" s="1108"/>
      <c r="E232" s="1108"/>
      <c r="F232" s="1108"/>
      <c r="G232" s="1108"/>
      <c r="H232" s="1109"/>
      <c r="I232" s="1110" t="s">
        <v>346</v>
      </c>
      <c r="J232" s="1108"/>
      <c r="K232" s="1108"/>
      <c r="L232" s="1108"/>
      <c r="M232" s="1108"/>
      <c r="N232" s="1111"/>
      <c r="O232" s="1112" t="s">
        <v>347</v>
      </c>
    </row>
    <row r="233" spans="1:15" ht="17.25" thickBot="1">
      <c r="A233" s="1105"/>
      <c r="B233" s="1106"/>
      <c r="C233" s="738">
        <v>1</v>
      </c>
      <c r="D233" s="739">
        <f>C233+1</f>
        <v>2</v>
      </c>
      <c r="E233" s="739">
        <f t="shared" ref="E233:N233" si="10">D233+1</f>
        <v>3</v>
      </c>
      <c r="F233" s="739">
        <f t="shared" si="10"/>
        <v>4</v>
      </c>
      <c r="G233" s="739">
        <f t="shared" si="10"/>
        <v>5</v>
      </c>
      <c r="H233" s="740">
        <f t="shared" si="10"/>
        <v>6</v>
      </c>
      <c r="I233" s="741">
        <f t="shared" si="10"/>
        <v>7</v>
      </c>
      <c r="J233" s="739">
        <f t="shared" si="10"/>
        <v>8</v>
      </c>
      <c r="K233" s="739">
        <f t="shared" si="10"/>
        <v>9</v>
      </c>
      <c r="L233" s="739">
        <f t="shared" si="10"/>
        <v>10</v>
      </c>
      <c r="M233" s="739">
        <f t="shared" si="10"/>
        <v>11</v>
      </c>
      <c r="N233" s="742">
        <f t="shared" si="10"/>
        <v>12</v>
      </c>
      <c r="O233" s="1113"/>
    </row>
    <row r="234" spans="1:15">
      <c r="A234" s="1114" t="s">
        <v>348</v>
      </c>
      <c r="B234" s="1117" t="s">
        <v>349</v>
      </c>
      <c r="C234" s="743" t="s">
        <v>399</v>
      </c>
      <c r="D234" s="744" t="s">
        <v>406</v>
      </c>
      <c r="E234" s="744" t="s">
        <v>402</v>
      </c>
      <c r="F234" s="744" t="s">
        <v>400</v>
      </c>
      <c r="G234" s="744" t="s">
        <v>377</v>
      </c>
      <c r="H234" s="745" t="s">
        <v>408</v>
      </c>
      <c r="I234" s="746" t="s">
        <v>405</v>
      </c>
      <c r="J234" s="744" t="s">
        <v>409</v>
      </c>
      <c r="K234" s="744" t="s">
        <v>410</v>
      </c>
      <c r="L234" s="744" t="s">
        <v>411</v>
      </c>
      <c r="M234" s="744" t="s">
        <v>377</v>
      </c>
      <c r="N234" s="747" t="s">
        <v>377</v>
      </c>
      <c r="O234" s="748"/>
    </row>
    <row r="235" spans="1:15">
      <c r="A235" s="1115"/>
      <c r="B235" s="1118"/>
      <c r="C235" s="749">
        <v>492</v>
      </c>
      <c r="D235" s="750">
        <v>762</v>
      </c>
      <c r="E235" s="750">
        <v>1157</v>
      </c>
      <c r="F235" s="750">
        <v>2023</v>
      </c>
      <c r="G235" s="750" t="s">
        <v>377</v>
      </c>
      <c r="H235" s="751">
        <v>272</v>
      </c>
      <c r="I235" s="752">
        <v>596</v>
      </c>
      <c r="J235" s="750">
        <v>534</v>
      </c>
      <c r="K235" s="750">
        <v>360</v>
      </c>
      <c r="L235" s="750">
        <v>310</v>
      </c>
      <c r="M235" s="750" t="s">
        <v>377</v>
      </c>
      <c r="N235" s="753" t="s">
        <v>377</v>
      </c>
      <c r="O235" s="754"/>
    </row>
    <row r="236" spans="1:15">
      <c r="A236" s="1115"/>
      <c r="B236" s="1118"/>
      <c r="C236" s="755" t="s">
        <v>398</v>
      </c>
      <c r="D236" s="756" t="s">
        <v>403</v>
      </c>
      <c r="E236" s="757" t="s">
        <v>394</v>
      </c>
      <c r="F236" s="757" t="s">
        <v>395</v>
      </c>
      <c r="G236" s="757" t="s">
        <v>377</v>
      </c>
      <c r="H236" s="758" t="s">
        <v>377</v>
      </c>
      <c r="I236" s="759" t="s">
        <v>377</v>
      </c>
      <c r="J236" s="757" t="s">
        <v>377</v>
      </c>
      <c r="K236" s="757" t="s">
        <v>377</v>
      </c>
      <c r="L236" s="757" t="s">
        <v>377</v>
      </c>
      <c r="M236" s="757" t="s">
        <v>377</v>
      </c>
      <c r="N236" s="760" t="s">
        <v>377</v>
      </c>
      <c r="O236" s="761"/>
    </row>
    <row r="237" spans="1:15">
      <c r="A237" s="1115"/>
      <c r="B237" s="1118"/>
      <c r="C237" s="762">
        <v>1758</v>
      </c>
      <c r="D237" s="763">
        <v>200</v>
      </c>
      <c r="E237" s="750">
        <v>695</v>
      </c>
      <c r="F237" s="750">
        <v>463</v>
      </c>
      <c r="G237" s="750" t="s">
        <v>377</v>
      </c>
      <c r="H237" s="751" t="s">
        <v>377</v>
      </c>
      <c r="I237" s="752" t="s">
        <v>377</v>
      </c>
      <c r="J237" s="750" t="s">
        <v>377</v>
      </c>
      <c r="K237" s="750" t="s">
        <v>377</v>
      </c>
      <c r="L237" s="764" t="s">
        <v>377</v>
      </c>
      <c r="M237" s="750" t="s">
        <v>377</v>
      </c>
      <c r="N237" s="753" t="s">
        <v>377</v>
      </c>
      <c r="O237" s="754"/>
    </row>
    <row r="238" spans="1:15">
      <c r="A238" s="1115"/>
      <c r="B238" s="1118"/>
      <c r="C238" s="755" t="s">
        <v>377</v>
      </c>
      <c r="D238" s="756" t="s">
        <v>404</v>
      </c>
      <c r="E238" s="757" t="s">
        <v>377</v>
      </c>
      <c r="F238" s="757" t="s">
        <v>397</v>
      </c>
      <c r="G238" s="757" t="s">
        <v>377</v>
      </c>
      <c r="H238" s="758" t="s">
        <v>377</v>
      </c>
      <c r="I238" s="759" t="s">
        <v>377</v>
      </c>
      <c r="J238" s="757" t="s">
        <v>377</v>
      </c>
      <c r="K238" s="757" t="s">
        <v>377</v>
      </c>
      <c r="L238" s="757" t="s">
        <v>377</v>
      </c>
      <c r="M238" s="757" t="s">
        <v>377</v>
      </c>
      <c r="N238" s="760" t="s">
        <v>377</v>
      </c>
      <c r="O238" s="761"/>
    </row>
    <row r="239" spans="1:15">
      <c r="A239" s="1115"/>
      <c r="B239" s="1118"/>
      <c r="C239" s="762" t="s">
        <v>377</v>
      </c>
      <c r="D239" s="763">
        <v>451</v>
      </c>
      <c r="E239" s="750" t="s">
        <v>377</v>
      </c>
      <c r="F239" s="750">
        <v>289</v>
      </c>
      <c r="G239" s="750" t="s">
        <v>377</v>
      </c>
      <c r="H239" s="751" t="s">
        <v>377</v>
      </c>
      <c r="I239" s="752" t="s">
        <v>377</v>
      </c>
      <c r="J239" s="750" t="s">
        <v>377</v>
      </c>
      <c r="K239" s="750" t="s">
        <v>377</v>
      </c>
      <c r="L239" s="764" t="s">
        <v>377</v>
      </c>
      <c r="M239" s="750" t="s">
        <v>377</v>
      </c>
      <c r="N239" s="753" t="s">
        <v>377</v>
      </c>
      <c r="O239" s="754"/>
    </row>
    <row r="240" spans="1:15">
      <c r="A240" s="1115"/>
      <c r="B240" s="1118"/>
      <c r="C240" s="755" t="s">
        <v>377</v>
      </c>
      <c r="D240" s="756" t="s">
        <v>393</v>
      </c>
      <c r="E240" s="757" t="s">
        <v>377</v>
      </c>
      <c r="F240" s="757" t="s">
        <v>412</v>
      </c>
      <c r="G240" s="757" t="s">
        <v>377</v>
      </c>
      <c r="H240" s="758" t="s">
        <v>377</v>
      </c>
      <c r="I240" s="759" t="s">
        <v>377</v>
      </c>
      <c r="J240" s="757" t="s">
        <v>377</v>
      </c>
      <c r="K240" s="757" t="s">
        <v>377</v>
      </c>
      <c r="L240" s="757" t="s">
        <v>377</v>
      </c>
      <c r="M240" s="757" t="s">
        <v>377</v>
      </c>
      <c r="N240" s="760" t="s">
        <v>377</v>
      </c>
      <c r="O240" s="761"/>
    </row>
    <row r="241" spans="1:15">
      <c r="A241" s="1115"/>
      <c r="B241" s="1118"/>
      <c r="C241" s="762" t="s">
        <v>377</v>
      </c>
      <c r="D241" s="763">
        <v>1243</v>
      </c>
      <c r="E241" s="750" t="s">
        <v>377</v>
      </c>
      <c r="F241" s="750">
        <v>543</v>
      </c>
      <c r="G241" s="750" t="s">
        <v>377</v>
      </c>
      <c r="H241" s="751" t="s">
        <v>377</v>
      </c>
      <c r="I241" s="752" t="s">
        <v>377</v>
      </c>
      <c r="J241" s="750" t="s">
        <v>377</v>
      </c>
      <c r="K241" s="750" t="s">
        <v>377</v>
      </c>
      <c r="L241" s="764" t="s">
        <v>377</v>
      </c>
      <c r="M241" s="750" t="s">
        <v>377</v>
      </c>
      <c r="N241" s="753" t="s">
        <v>377</v>
      </c>
      <c r="O241" s="754"/>
    </row>
    <row r="242" spans="1:15">
      <c r="A242" s="1115"/>
      <c r="B242" s="1118"/>
      <c r="C242" s="755" t="s">
        <v>377</v>
      </c>
      <c r="D242" s="756" t="s">
        <v>396</v>
      </c>
      <c r="E242" s="757" t="s">
        <v>377</v>
      </c>
      <c r="F242" s="757" t="s">
        <v>377</v>
      </c>
      <c r="G242" s="757" t="s">
        <v>377</v>
      </c>
      <c r="H242" s="758" t="s">
        <v>377</v>
      </c>
      <c r="I242" s="759" t="s">
        <v>377</v>
      </c>
      <c r="J242" s="757" t="s">
        <v>377</v>
      </c>
      <c r="K242" s="757" t="s">
        <v>377</v>
      </c>
      <c r="L242" s="757" t="s">
        <v>377</v>
      </c>
      <c r="M242" s="757" t="s">
        <v>377</v>
      </c>
      <c r="N242" s="760" t="s">
        <v>377</v>
      </c>
      <c r="O242" s="761"/>
    </row>
    <row r="243" spans="1:15">
      <c r="A243" s="1115"/>
      <c r="B243" s="1118"/>
      <c r="C243" s="762" t="s">
        <v>377</v>
      </c>
      <c r="D243" s="763">
        <v>691</v>
      </c>
      <c r="E243" s="750" t="s">
        <v>377</v>
      </c>
      <c r="F243" s="750" t="s">
        <v>377</v>
      </c>
      <c r="G243" s="750" t="s">
        <v>377</v>
      </c>
      <c r="H243" s="751" t="s">
        <v>377</v>
      </c>
      <c r="I243" s="752" t="s">
        <v>377</v>
      </c>
      <c r="J243" s="750" t="s">
        <v>377</v>
      </c>
      <c r="K243" s="750" t="s">
        <v>377</v>
      </c>
      <c r="L243" s="764" t="s">
        <v>377</v>
      </c>
      <c r="M243" s="750" t="s">
        <v>377</v>
      </c>
      <c r="N243" s="753" t="s">
        <v>377</v>
      </c>
      <c r="O243" s="754"/>
    </row>
    <row r="244" spans="1:15">
      <c r="A244" s="1115"/>
      <c r="B244" s="1118"/>
      <c r="C244" s="755" t="s">
        <v>377</v>
      </c>
      <c r="D244" s="756" t="s">
        <v>413</v>
      </c>
      <c r="E244" s="757" t="s">
        <v>377</v>
      </c>
      <c r="F244" s="757" t="s">
        <v>377</v>
      </c>
      <c r="G244" s="757" t="s">
        <v>377</v>
      </c>
      <c r="H244" s="758" t="s">
        <v>377</v>
      </c>
      <c r="I244" s="759" t="s">
        <v>377</v>
      </c>
      <c r="J244" s="757" t="s">
        <v>377</v>
      </c>
      <c r="K244" s="757" t="s">
        <v>377</v>
      </c>
      <c r="L244" s="757" t="s">
        <v>377</v>
      </c>
      <c r="M244" s="757" t="s">
        <v>377</v>
      </c>
      <c r="N244" s="760" t="s">
        <v>377</v>
      </c>
      <c r="O244" s="761"/>
    </row>
    <row r="245" spans="1:15">
      <c r="A245" s="1115"/>
      <c r="B245" s="1118"/>
      <c r="C245" s="762" t="s">
        <v>377</v>
      </c>
      <c r="D245" s="763">
        <v>355</v>
      </c>
      <c r="E245" s="750" t="s">
        <v>377</v>
      </c>
      <c r="F245" s="750" t="s">
        <v>377</v>
      </c>
      <c r="G245" s="750" t="s">
        <v>377</v>
      </c>
      <c r="H245" s="751" t="s">
        <v>377</v>
      </c>
      <c r="I245" s="752" t="s">
        <v>377</v>
      </c>
      <c r="J245" s="750" t="s">
        <v>377</v>
      </c>
      <c r="K245" s="750" t="s">
        <v>377</v>
      </c>
      <c r="L245" s="764" t="s">
        <v>377</v>
      </c>
      <c r="M245" s="750" t="s">
        <v>377</v>
      </c>
      <c r="N245" s="753" t="s">
        <v>377</v>
      </c>
      <c r="O245" s="754"/>
    </row>
    <row r="246" spans="1:15">
      <c r="A246" s="1115"/>
      <c r="B246" s="1118"/>
      <c r="C246" s="765" t="e">
        <f ca="1">IF((ROW()-ROW($C$6))/2&gt;=_2025년공급월별건수,"",OFFSET([1]!_2025년공급[#Data],_2025년공급첫열순번+(ROW()-ROW($C$6))/2,0,1,1))</f>
        <v>#REF!</v>
      </c>
      <c r="D246" s="766" t="e">
        <f ca="1">IF((ROW()-ROW($C$6))/2&gt;=_2025년공급월별건수,"",OFFSET([1]!_2025년공급[#Data],_2025년공급첫열순번+(ROW()-ROW($C$6))/2,0,1,1))</f>
        <v>#REF!</v>
      </c>
      <c r="E246" s="767" t="e">
        <f ca="1">IF((ROW()-ROW($C$6))/2&gt;=_2025년공급월별건수,"",OFFSET([1]!_2025년공급[#Data],_2025년공급첫열순번+(ROW()-ROW($C$6))/2,0,1,1))</f>
        <v>#REF!</v>
      </c>
      <c r="F246" s="767" t="e">
        <f ca="1">IF((ROW()-ROW($C$6))/2&gt;=_2025년공급월별건수,"",OFFSET([1]!_2025년공급[#Data],_2025년공급첫열순번+(ROW()-ROW($C$6))/2,0,1,1))</f>
        <v>#REF!</v>
      </c>
      <c r="G246" s="767" t="e">
        <f ca="1">IF((ROW()-ROW($C$6))/2&gt;=_2025년공급월별건수,"",OFFSET([1]!_2025년공급[#Data],_2025년공급첫열순번+(ROW()-ROW($C$6))/2,0,1,1))</f>
        <v>#REF!</v>
      </c>
      <c r="H246" s="768" t="e">
        <f ca="1">IF((ROW()-ROW($C$6))/2&gt;=_2025년공급월별건수,"",OFFSET([1]!_2025년공급[#Data],_2025년공급첫열순번+(ROW()-ROW($C$6))/2,0,1,1))</f>
        <v>#REF!</v>
      </c>
      <c r="I246" s="769" t="e">
        <f ca="1">IF((ROW()-ROW($C$6))/2&gt;=_2025년공급월별건수,"",OFFSET([1]!_2025년공급[#Data],_2025년공급첫열순번+(ROW()-ROW($C$6))/2,0,1,1))</f>
        <v>#REF!</v>
      </c>
      <c r="J246" s="767" t="e">
        <f ca="1">IF((ROW()-ROW($C$6))/2&gt;=_2025년공급월별건수,"",OFFSET([1]!_2025년공급[#Data],_2025년공급첫열순번+(ROW()-ROW($C$6))/2,0,1,1))</f>
        <v>#REF!</v>
      </c>
      <c r="K246" s="767" t="e">
        <f ca="1">IF((ROW()-ROW($C$6))/2&gt;=_2025년공급월별건수,"",OFFSET([1]!_2025년공급[#Data],_2025년공급첫열순번+(ROW()-ROW($C$6))/2,0,1,1))</f>
        <v>#REF!</v>
      </c>
      <c r="L246" s="770" t="e">
        <f ca="1">IF((ROW()-ROW($C$6))/2&gt;=_2025년공급월별건수,"",OFFSET([1]!_2025년공급[#Data],_2025년공급첫열순번+(ROW()-ROW($C$6))/2,0,1,1))</f>
        <v>#REF!</v>
      </c>
      <c r="M246" s="767" t="e">
        <f ca="1">IF((ROW()-ROW($C$6))/2&gt;=_2025년공급월별건수,"",OFFSET([1]!_2025년공급[#Data],_2025년공급첫열순번+(ROW()-ROW($C$6))/2,0,1,1))</f>
        <v>#REF!</v>
      </c>
      <c r="N246" s="771" t="e">
        <f ca="1">IF((ROW()-ROW($C$6))/2&gt;=_2025년공급월별건수,"",OFFSET([1]!_2025년공급[#Data],_2025년공급첫열순번+(ROW()-ROW($C$6))/2,0,1,1))</f>
        <v>#REF!</v>
      </c>
      <c r="O246" s="772"/>
    </row>
    <row r="247" spans="1:15">
      <c r="A247" s="1115"/>
      <c r="B247" s="1119"/>
      <c r="C247" s="765" t="e">
        <f ca="1">IF((ROW()-ROW($C$6))/2&gt;=_2025년공급월별건수,"",OFFSET([1]!_2025년공급[#Data],_2025년공급첫열순번+(ROW()-ROW($C$6))/2,1,1,1))</f>
        <v>#REF!</v>
      </c>
      <c r="D247" s="766" t="e">
        <f ca="1">IF((ROW()-ROW($C$6))/2&gt;=_2025년공급월별건수,"",OFFSET([1]!_2025년공급[#Data],_2025년공급첫열순번+(ROW()-ROW($C$6))/2,1,1,1))</f>
        <v>#REF!</v>
      </c>
      <c r="E247" s="767" t="e">
        <f ca="1">IF((ROW()-ROW($C$6))/2&gt;=_2025년공급월별건수,"",OFFSET([1]!_2025년공급[#Data],_2025년공급첫열순번+(ROW()-ROW($C$6))/2,1,1,1))</f>
        <v>#REF!</v>
      </c>
      <c r="F247" s="767" t="e">
        <f ca="1">IF((ROW()-ROW($C$6))/2&gt;=_2025년공급월별건수,"",OFFSET([1]!_2025년공급[#Data],_2025년공급첫열순번+(ROW()-ROW($C$6))/2,1,1,1))</f>
        <v>#REF!</v>
      </c>
      <c r="G247" s="767" t="e">
        <f ca="1">IF((ROW()-ROW($C$6))/2&gt;=_2025년공급월별건수,"",OFFSET([1]!_2025년공급[#Data],_2025년공급첫열순번+(ROW()-ROW($C$6))/2,1,1,1))</f>
        <v>#REF!</v>
      </c>
      <c r="H247" s="768" t="e">
        <f ca="1">IF((ROW()-ROW($C$6))/2&gt;=_2025년공급월별건수,"",OFFSET([1]!_2025년공급[#Data],_2025년공급첫열순번+(ROW()-ROW($C$6))/2,1,1,1))</f>
        <v>#REF!</v>
      </c>
      <c r="I247" s="769" t="e">
        <f ca="1">IF((ROW()-ROW($C$6))/2&gt;=_2025년공급월별건수,"",OFFSET([1]!_2025년공급[#Data],_2025년공급첫열순번+(ROW()-ROW($C$6))/2,1,1,1))</f>
        <v>#REF!</v>
      </c>
      <c r="J247" s="767" t="e">
        <f ca="1">IF((ROW()-ROW($C$6))/2&gt;=_2025년공급월별건수,"",OFFSET([1]!_2025년공급[#Data],_2025년공급첫열순번+(ROW()-ROW($C$6))/2,1,1,1))</f>
        <v>#REF!</v>
      </c>
      <c r="K247" s="767" t="e">
        <f ca="1">IF((ROW()-ROW($C$6))/2&gt;=_2025년공급월별건수,"",OFFSET([1]!_2025년공급[#Data],_2025년공급첫열순번+(ROW()-ROW($C$6))/2,1,1,1))</f>
        <v>#REF!</v>
      </c>
      <c r="L247" s="770" t="e">
        <f ca="1">IF((ROW()-ROW($C$6))/2&gt;=_2025년공급월별건수,"",OFFSET([1]!_2025년공급[#Data],_2025년공급첫열순번+(ROW()-ROW($C$6))/2,1,1,1))</f>
        <v>#REF!</v>
      </c>
      <c r="M247" s="767" t="e">
        <f ca="1">IF((ROW()-ROW($C$6))/2&gt;=_2025년공급월별건수,"",OFFSET([1]!_2025년공급[#Data],_2025년공급첫열순번+(ROW()-ROW($C$6))/2,1,1,1))</f>
        <v>#REF!</v>
      </c>
      <c r="N247" s="771" t="e">
        <f ca="1">IF((ROW()-ROW($C$6))/2&gt;=_2025년공급월별건수,"",OFFSET([1]!_2025년공급[#Data],_2025년공급첫열순번+(ROW()-ROW($C$6))/2,1,1,1))</f>
        <v>#REF!</v>
      </c>
      <c r="O247" s="772"/>
    </row>
    <row r="248" spans="1:15" ht="17.25" thickBot="1">
      <c r="A248" s="1116"/>
      <c r="B248" s="773" t="s">
        <v>350</v>
      </c>
      <c r="C248" s="922">
        <v>1172</v>
      </c>
      <c r="D248" s="923">
        <v>1798</v>
      </c>
      <c r="E248" s="923">
        <v>2530</v>
      </c>
      <c r="F248" s="923">
        <v>2008</v>
      </c>
      <c r="G248" s="923">
        <v>2246</v>
      </c>
      <c r="H248" s="924">
        <v>1365</v>
      </c>
      <c r="I248" s="925">
        <v>946</v>
      </c>
      <c r="J248" s="923">
        <v>951</v>
      </c>
      <c r="K248" s="923">
        <v>595</v>
      </c>
      <c r="L248" s="923">
        <v>412</v>
      </c>
      <c r="M248" s="923">
        <v>291</v>
      </c>
      <c r="N248" s="926">
        <v>286</v>
      </c>
      <c r="O248" s="779">
        <f>SUM(C248:N248)</f>
        <v>14600</v>
      </c>
    </row>
    <row r="249" spans="1:15">
      <c r="A249" s="1120" t="s">
        <v>351</v>
      </c>
      <c r="B249" s="1123" t="s">
        <v>352</v>
      </c>
      <c r="C249" s="743" t="s">
        <v>413</v>
      </c>
      <c r="D249" s="744" t="s">
        <v>377</v>
      </c>
      <c r="E249" s="744" t="s">
        <v>408</v>
      </c>
      <c r="F249" s="744" t="s">
        <v>410</v>
      </c>
      <c r="G249" s="744" t="s">
        <v>411</v>
      </c>
      <c r="H249" s="745" t="s">
        <v>377</v>
      </c>
      <c r="I249" s="746" t="s">
        <v>377</v>
      </c>
      <c r="J249" s="744" t="s">
        <v>377</v>
      </c>
      <c r="K249" s="744" t="s">
        <v>377</v>
      </c>
      <c r="L249" s="744" t="s">
        <v>414</v>
      </c>
      <c r="M249" s="744" t="s">
        <v>377</v>
      </c>
      <c r="N249" s="747" t="s">
        <v>377</v>
      </c>
      <c r="O249" s="781"/>
    </row>
    <row r="250" spans="1:15">
      <c r="A250" s="1121"/>
      <c r="B250" s="1124"/>
      <c r="C250" s="749">
        <v>355</v>
      </c>
      <c r="D250" s="750" t="s">
        <v>377</v>
      </c>
      <c r="E250" s="750">
        <v>272</v>
      </c>
      <c r="F250" s="750">
        <v>360</v>
      </c>
      <c r="G250" s="750">
        <v>310</v>
      </c>
      <c r="H250" s="751" t="s">
        <v>377</v>
      </c>
      <c r="I250" s="752" t="s">
        <v>377</v>
      </c>
      <c r="J250" s="750" t="s">
        <v>377</v>
      </c>
      <c r="K250" s="750" t="s">
        <v>377</v>
      </c>
      <c r="L250" s="750">
        <v>278</v>
      </c>
      <c r="M250" s="750" t="s">
        <v>377</v>
      </c>
      <c r="N250" s="753" t="s">
        <v>377</v>
      </c>
      <c r="O250" s="783"/>
    </row>
    <row r="251" spans="1:15">
      <c r="A251" s="1121"/>
      <c r="B251" s="1124"/>
      <c r="C251" s="755" t="s">
        <v>377</v>
      </c>
      <c r="D251" s="756" t="s">
        <v>377</v>
      </c>
      <c r="E251" s="757" t="s">
        <v>377</v>
      </c>
      <c r="F251" s="757" t="s">
        <v>377</v>
      </c>
      <c r="G251" s="757" t="s">
        <v>409</v>
      </c>
      <c r="H251" s="758" t="s">
        <v>377</v>
      </c>
      <c r="I251" s="759" t="s">
        <v>377</v>
      </c>
      <c r="J251" s="757" t="s">
        <v>377</v>
      </c>
      <c r="K251" s="757" t="s">
        <v>377</v>
      </c>
      <c r="L251" s="757" t="s">
        <v>377</v>
      </c>
      <c r="M251" s="757" t="s">
        <v>377</v>
      </c>
      <c r="N251" s="760" t="s">
        <v>377</v>
      </c>
      <c r="O251" s="784"/>
    </row>
    <row r="252" spans="1:15">
      <c r="A252" s="1121"/>
      <c r="B252" s="1124"/>
      <c r="C252" s="762" t="s">
        <v>377</v>
      </c>
      <c r="D252" s="763" t="s">
        <v>377</v>
      </c>
      <c r="E252" s="750" t="s">
        <v>377</v>
      </c>
      <c r="F252" s="750" t="s">
        <v>377</v>
      </c>
      <c r="G252" s="750">
        <v>534</v>
      </c>
      <c r="H252" s="751" t="s">
        <v>377</v>
      </c>
      <c r="I252" s="752" t="s">
        <v>377</v>
      </c>
      <c r="J252" s="750" t="s">
        <v>377</v>
      </c>
      <c r="K252" s="750" t="s">
        <v>377</v>
      </c>
      <c r="L252" s="764" t="s">
        <v>377</v>
      </c>
      <c r="M252" s="750" t="s">
        <v>377</v>
      </c>
      <c r="N252" s="753" t="s">
        <v>377</v>
      </c>
      <c r="O252" s="783"/>
    </row>
    <row r="253" spans="1:15">
      <c r="A253" s="1121"/>
      <c r="B253" s="1124"/>
      <c r="C253" s="755" t="e">
        <f ca="1">IF((ROW()-ROW($C$31))/2&gt;=_2025년계약월별건수,"",OFFSET([1]!_2025년계약[#Data],_2025년계약첫열순번+(ROW()-ROW($C$31))/2,0,1,1))</f>
        <v>#REF!</v>
      </c>
      <c r="D253" s="756" t="e">
        <f ca="1">IF((ROW()-ROW($C$31))/2&gt;=_2025년계약월별건수,"",OFFSET([1]!_2025년계약[#Data],_2025년계약첫열순번+(ROW()-ROW($C$31))/2,0,1,1))</f>
        <v>#REF!</v>
      </c>
      <c r="E253" s="757" t="e">
        <f ca="1">IF((ROW()-ROW($C$31))/2&gt;=_2025년계약월별건수,"",OFFSET([1]!_2025년계약[#Data],_2025년계약첫열순번+(ROW()-ROW($C$31))/2,0,1,1))</f>
        <v>#REF!</v>
      </c>
      <c r="F253" s="757" t="e">
        <f ca="1">IF((ROW()-ROW($C$31))/2&gt;=_2025년계약월별건수,"",OFFSET([1]!_2025년계약[#Data],_2025년계약첫열순번+(ROW()-ROW($C$31))/2,0,1,1))</f>
        <v>#REF!</v>
      </c>
      <c r="G253" s="757" t="e">
        <f ca="1">IF((ROW()-ROW($C$31))/2&gt;=_2025년계약월별건수,"",OFFSET([1]!_2025년계약[#Data],_2025년계약첫열순번+(ROW()-ROW($C$31))/2,0,1,1))</f>
        <v>#REF!</v>
      </c>
      <c r="H253" s="758" t="e">
        <f ca="1">IF((ROW()-ROW($C$31))/2&gt;=_2025년계약월별건수,"",OFFSET([1]!_2025년계약[#Data],_2025년계약첫열순번+(ROW()-ROW($C$31))/2,0,1,1))</f>
        <v>#REF!</v>
      </c>
      <c r="I253" s="759" t="e">
        <f ca="1">IF((ROW()-ROW($C$31))/2&gt;=_2025년계약월별건수,"",OFFSET([1]!_2025년계약[#Data],_2025년계약첫열순번+(ROW()-ROW($C$31))/2,0,1,1))</f>
        <v>#REF!</v>
      </c>
      <c r="J253" s="757" t="e">
        <f ca="1">IF((ROW()-ROW($C$31))/2&gt;=_2025년계약월별건수,"",OFFSET([1]!_2025년계약[#Data],_2025년계약첫열순번+(ROW()-ROW($C$31))/2,0,1,1))</f>
        <v>#REF!</v>
      </c>
      <c r="K253" s="757" t="e">
        <f ca="1">IF((ROW()-ROW($C$31))/2&gt;=_2025년계약월별건수,"",OFFSET([1]!_2025년계약[#Data],_2025년계약첫열순번+(ROW()-ROW($C$31))/2,0,1,1))</f>
        <v>#REF!</v>
      </c>
      <c r="L253" s="757" t="e">
        <f ca="1">IF((ROW()-ROW($C$31))/2&gt;=_2025년계약월별건수,"",OFFSET([1]!_2025년계약[#Data],_2025년계약첫열순번+(ROW()-ROW($C$31))/2,0,1,1))</f>
        <v>#REF!</v>
      </c>
      <c r="M253" s="757" t="e">
        <f ca="1">IF((ROW()-ROW($C$31))/2&gt;=_2025년계약월별건수,"",OFFSET([1]!_2025년계약[#Data],_2025년계약첫열순번+(ROW()-ROW($C$31))/2,0,1,1))</f>
        <v>#REF!</v>
      </c>
      <c r="N253" s="760" t="e">
        <f ca="1">IF((ROW()-ROW($C$31))/2&gt;=_2025년계약월별건수,"",OFFSET([1]!_2025년계약[#Data],_2025년계약첫열순번+(ROW()-ROW($C$31))/2,0,1,1))</f>
        <v>#REF!</v>
      </c>
      <c r="O253" s="787"/>
    </row>
    <row r="254" spans="1:15">
      <c r="A254" s="1121"/>
      <c r="B254" s="1124"/>
      <c r="C254" s="762" t="e">
        <f ca="1">IF((ROW()-ROW($C$31))/2&gt;=_2025년계약월별건수,"",OFFSET([1]!_2025년계약[#Data],_2025년계약첫열순번+(ROW()-ROW($C$31))/2,1,1,1))</f>
        <v>#REF!</v>
      </c>
      <c r="D254" s="763" t="e">
        <f ca="1">IF((ROW()-ROW($C$31))/2&gt;=_2025년계약월별건수,"",OFFSET([1]!_2025년계약[#Data],_2025년계약첫열순번+(ROW()-ROW($C$31))/2,1,1,1))</f>
        <v>#REF!</v>
      </c>
      <c r="E254" s="750" t="e">
        <f ca="1">IF((ROW()-ROW($C$31))/2&gt;=_2025년계약월별건수,"",OFFSET([1]!_2025년계약[#Data],_2025년계약첫열순번+(ROW()-ROW($C$31))/2,1,1,1))</f>
        <v>#REF!</v>
      </c>
      <c r="F254" s="750" t="e">
        <f ca="1">IF((ROW()-ROW($C$31))/2&gt;=_2025년계약월별건수,"",OFFSET([1]!_2025년계약[#Data],_2025년계약첫열순번+(ROW()-ROW($C$31))/2,1,1,1))</f>
        <v>#REF!</v>
      </c>
      <c r="G254" s="750" t="e">
        <f ca="1">IF((ROW()-ROW($C$31))/2&gt;=_2025년계약월별건수,"",OFFSET([1]!_2025년계약[#Data],_2025년계약첫열순번+(ROW()-ROW($C$31))/2,1,1,1))</f>
        <v>#REF!</v>
      </c>
      <c r="H254" s="751" t="e">
        <f ca="1">IF((ROW()-ROW($C$31))/2&gt;=_2025년계약월별건수,"",OFFSET([1]!_2025년계약[#Data],_2025년계약첫열순번+(ROW()-ROW($C$31))/2,1,1,1))</f>
        <v>#REF!</v>
      </c>
      <c r="I254" s="752" t="e">
        <f ca="1">IF((ROW()-ROW($C$31))/2&gt;=_2025년계약월별건수,"",OFFSET([1]!_2025년계약[#Data],_2025년계약첫열순번+(ROW()-ROW($C$31))/2,1,1,1))</f>
        <v>#REF!</v>
      </c>
      <c r="J254" s="750" t="e">
        <f ca="1">IF((ROW()-ROW($C$31))/2&gt;=_2025년계약월별건수,"",OFFSET([1]!_2025년계약[#Data],_2025년계약첫열순번+(ROW()-ROW($C$31))/2,1,1,1))</f>
        <v>#REF!</v>
      </c>
      <c r="K254" s="750" t="e">
        <f ca="1">IF((ROW()-ROW($C$31))/2&gt;=_2025년계약월별건수,"",OFFSET([1]!_2025년계약[#Data],_2025년계약첫열순번+(ROW()-ROW($C$31))/2,1,1,1))</f>
        <v>#REF!</v>
      </c>
      <c r="L254" s="764" t="e">
        <f ca="1">IF((ROW()-ROW($C$31))/2&gt;=_2025년계약월별건수,"",OFFSET([1]!_2025년계약[#Data],_2025년계약첫열순번+(ROW()-ROW($C$31))/2,1,1,1))</f>
        <v>#REF!</v>
      </c>
      <c r="M254" s="750" t="e">
        <f ca="1">IF((ROW()-ROW($C$31))/2&gt;=_2025년계약월별건수,"",OFFSET([1]!_2025년계약[#Data],_2025년계약첫열순번+(ROW()-ROW($C$31))/2,1,1,1))</f>
        <v>#REF!</v>
      </c>
      <c r="N254" s="753" t="e">
        <f ca="1">IF((ROW()-ROW($C$31))/2&gt;=_2025년계약월별건수,"",OFFSET([1]!_2025년계약[#Data],_2025년계약첫열순번+(ROW()-ROW($C$31))/2,1,1,1))</f>
        <v>#REF!</v>
      </c>
      <c r="O254" s="788"/>
    </row>
    <row r="255" spans="1:15" ht="17.25" thickBot="1">
      <c r="A255" s="1121"/>
      <c r="B255" s="789" t="s">
        <v>353</v>
      </c>
      <c r="C255" s="790">
        <v>355</v>
      </c>
      <c r="D255" s="791">
        <v>0</v>
      </c>
      <c r="E255" s="791">
        <v>272</v>
      </c>
      <c r="F255" s="791">
        <v>360</v>
      </c>
      <c r="G255" s="791">
        <v>844</v>
      </c>
      <c r="H255" s="792">
        <v>0</v>
      </c>
      <c r="I255" s="793">
        <v>0</v>
      </c>
      <c r="J255" s="791">
        <v>0</v>
      </c>
      <c r="K255" s="791">
        <v>0</v>
      </c>
      <c r="L255" s="791">
        <v>278</v>
      </c>
      <c r="M255" s="791">
        <v>0</v>
      </c>
      <c r="N255" s="794">
        <v>0</v>
      </c>
      <c r="O255" s="795">
        <f>SUM(C255:N255)</f>
        <v>2109</v>
      </c>
    </row>
    <row r="256" spans="1:15">
      <c r="A256" s="881"/>
      <c r="B256" s="881"/>
      <c r="C256" s="882"/>
      <c r="D256" s="883"/>
      <c r="E256" s="883"/>
      <c r="F256" s="883"/>
      <c r="G256" s="883"/>
      <c r="H256" s="883"/>
      <c r="I256" s="883"/>
      <c r="J256" s="883"/>
      <c r="K256" s="883"/>
      <c r="L256" s="883"/>
      <c r="M256" s="883"/>
      <c r="N256" s="883"/>
      <c r="O256" s="883"/>
    </row>
    <row r="257" spans="1:15">
      <c r="A257" s="885"/>
      <c r="B257" s="886"/>
      <c r="C257" s="887"/>
      <c r="D257" s="888"/>
      <c r="E257" s="888"/>
      <c r="F257" s="888"/>
      <c r="G257" s="888"/>
      <c r="H257" s="888"/>
      <c r="I257" s="888"/>
      <c r="J257" s="888"/>
      <c r="K257" s="888"/>
      <c r="L257" s="888"/>
      <c r="M257" s="888"/>
      <c r="N257" s="888"/>
      <c r="O257" s="888"/>
    </row>
    <row r="258" spans="1:15" ht="19.5" thickBot="1">
      <c r="A258" s="890" t="s">
        <v>356</v>
      </c>
      <c r="B258" s="891"/>
      <c r="C258" s="892"/>
      <c r="D258" s="893"/>
      <c r="E258" s="893"/>
      <c r="F258" s="893"/>
      <c r="G258" s="893"/>
      <c r="H258" s="893"/>
      <c r="I258" s="893"/>
      <c r="J258" s="893"/>
      <c r="K258" s="893"/>
      <c r="L258" s="893"/>
      <c r="M258" s="893"/>
      <c r="N258" s="893"/>
      <c r="O258" s="893"/>
    </row>
    <row r="259" spans="1:15" ht="17.25" thickBot="1">
      <c r="A259" s="895" t="s">
        <v>357</v>
      </c>
      <c r="B259" s="896" t="s">
        <v>358</v>
      </c>
      <c r="C259" s="896" t="s">
        <v>359</v>
      </c>
      <c r="D259" s="896" t="s">
        <v>360</v>
      </c>
      <c r="E259" s="896" t="s">
        <v>70</v>
      </c>
      <c r="F259" s="896" t="s">
        <v>72</v>
      </c>
      <c r="G259" s="896" t="s">
        <v>73</v>
      </c>
      <c r="H259" s="896" t="s">
        <v>74</v>
      </c>
      <c r="I259" s="896" t="s">
        <v>75</v>
      </c>
      <c r="J259" s="896" t="s">
        <v>76</v>
      </c>
      <c r="K259" s="896" t="s">
        <v>77</v>
      </c>
      <c r="L259" s="896" t="s">
        <v>78</v>
      </c>
      <c r="M259" s="896" t="s">
        <v>79</v>
      </c>
      <c r="N259" s="896" t="s">
        <v>80</v>
      </c>
      <c r="O259" s="897" t="s">
        <v>81</v>
      </c>
    </row>
    <row r="260" spans="1:15">
      <c r="A260" s="920"/>
      <c r="B260" s="921"/>
      <c r="C260" s="900"/>
      <c r="D260" s="901"/>
      <c r="E260" s="901"/>
      <c r="F260" s="901"/>
      <c r="G260" s="901"/>
      <c r="H260" s="901"/>
      <c r="I260" s="901"/>
      <c r="J260" s="901"/>
      <c r="K260" s="901"/>
      <c r="L260" s="901"/>
      <c r="M260" s="901"/>
      <c r="N260" s="901"/>
      <c r="O260" s="902"/>
    </row>
    <row r="261" spans="1:15" ht="17.25" thickBot="1">
      <c r="A261" s="904"/>
      <c r="B261" s="905"/>
      <c r="C261" s="906"/>
      <c r="D261" s="907"/>
      <c r="E261" s="908"/>
      <c r="F261" s="908"/>
      <c r="G261" s="908"/>
      <c r="H261" s="908"/>
      <c r="I261" s="908"/>
      <c r="J261" s="908"/>
      <c r="K261" s="908"/>
      <c r="L261" s="908"/>
      <c r="M261" s="909"/>
      <c r="N261" s="909"/>
      <c r="O261" s="910"/>
    </row>
    <row r="262" spans="1:15" ht="17.25" thickBot="1">
      <c r="A262" s="911" t="s">
        <v>362</v>
      </c>
      <c r="B262" s="912"/>
      <c r="C262" s="913">
        <f t="shared" ref="C262:O262" si="11">SUM(C260:C261)</f>
        <v>0</v>
      </c>
      <c r="D262" s="913">
        <f t="shared" si="11"/>
        <v>0</v>
      </c>
      <c r="E262" s="913">
        <f t="shared" si="11"/>
        <v>0</v>
      </c>
      <c r="F262" s="913">
        <f t="shared" si="11"/>
        <v>0</v>
      </c>
      <c r="G262" s="913">
        <f t="shared" si="11"/>
        <v>0</v>
      </c>
      <c r="H262" s="913">
        <f t="shared" si="11"/>
        <v>0</v>
      </c>
      <c r="I262" s="913">
        <f t="shared" si="11"/>
        <v>0</v>
      </c>
      <c r="J262" s="913">
        <f t="shared" si="11"/>
        <v>0</v>
      </c>
      <c r="K262" s="913">
        <f t="shared" si="11"/>
        <v>0</v>
      </c>
      <c r="L262" s="913">
        <f t="shared" si="11"/>
        <v>0</v>
      </c>
      <c r="M262" s="913">
        <f t="shared" si="11"/>
        <v>0</v>
      </c>
      <c r="N262" s="913">
        <f t="shared" si="11"/>
        <v>0</v>
      </c>
      <c r="O262" s="913">
        <f t="shared" si="11"/>
        <v>0</v>
      </c>
    </row>
    <row r="265" spans="1:15" ht="27">
      <c r="A265" s="730" t="s">
        <v>415</v>
      </c>
      <c r="B265" s="730"/>
      <c r="C265" s="730"/>
      <c r="D265" s="730"/>
      <c r="E265" s="730"/>
      <c r="F265" s="730"/>
      <c r="G265" s="730"/>
      <c r="H265" s="730"/>
      <c r="I265" s="730"/>
      <c r="J265" s="730"/>
      <c r="K265" s="730"/>
      <c r="L265" s="730"/>
      <c r="M265" s="730"/>
      <c r="N265" s="730"/>
      <c r="O265" s="730"/>
    </row>
    <row r="266" spans="1:15" ht="27">
      <c r="A266" s="732"/>
      <c r="B266" s="733"/>
      <c r="C266" s="733"/>
      <c r="D266" s="733"/>
      <c r="E266" s="733"/>
      <c r="F266" s="733"/>
      <c r="G266" s="733"/>
      <c r="H266" s="733"/>
      <c r="I266" s="733"/>
      <c r="J266" s="733"/>
      <c r="K266" s="733"/>
      <c r="L266" s="733"/>
      <c r="M266" s="733"/>
      <c r="N266" s="733"/>
      <c r="O266" s="733"/>
    </row>
    <row r="267" spans="1:15" ht="26.25" thickBot="1">
      <c r="A267" s="734" t="s">
        <v>416</v>
      </c>
      <c r="B267" s="735"/>
      <c r="C267" s="736"/>
      <c r="D267" s="735"/>
      <c r="E267" s="735"/>
      <c r="F267" s="735"/>
      <c r="G267" s="735"/>
      <c r="H267" s="735"/>
      <c r="I267" s="735"/>
      <c r="J267" s="735"/>
      <c r="K267" s="735"/>
      <c r="L267" s="735"/>
      <c r="M267" s="735"/>
      <c r="N267" s="735"/>
      <c r="O267" s="735"/>
    </row>
    <row r="268" spans="1:15">
      <c r="A268" s="1103" t="s">
        <v>344</v>
      </c>
      <c r="B268" s="1104"/>
      <c r="C268" s="1107" t="s">
        <v>345</v>
      </c>
      <c r="D268" s="1108"/>
      <c r="E268" s="1108"/>
      <c r="F268" s="1108"/>
      <c r="G268" s="1108"/>
      <c r="H268" s="1109"/>
      <c r="I268" s="1110" t="s">
        <v>346</v>
      </c>
      <c r="J268" s="1108"/>
      <c r="K268" s="1108"/>
      <c r="L268" s="1108"/>
      <c r="M268" s="1108"/>
      <c r="N268" s="1111"/>
      <c r="O268" s="1112" t="s">
        <v>347</v>
      </c>
    </row>
    <row r="269" spans="1:15" ht="17.25" thickBot="1">
      <c r="A269" s="1105"/>
      <c r="B269" s="1106"/>
      <c r="C269" s="738">
        <v>1</v>
      </c>
      <c r="D269" s="739">
        <f>C269+1</f>
        <v>2</v>
      </c>
      <c r="E269" s="739">
        <f t="shared" ref="E269:N269" si="12">D269+1</f>
        <v>3</v>
      </c>
      <c r="F269" s="739">
        <f t="shared" si="12"/>
        <v>4</v>
      </c>
      <c r="G269" s="739">
        <f t="shared" si="12"/>
        <v>5</v>
      </c>
      <c r="H269" s="740">
        <f t="shared" si="12"/>
        <v>6</v>
      </c>
      <c r="I269" s="741">
        <f t="shared" si="12"/>
        <v>7</v>
      </c>
      <c r="J269" s="739">
        <f t="shared" si="12"/>
        <v>8</v>
      </c>
      <c r="K269" s="739">
        <f t="shared" si="12"/>
        <v>9</v>
      </c>
      <c r="L269" s="739">
        <f t="shared" si="12"/>
        <v>10</v>
      </c>
      <c r="M269" s="739">
        <f t="shared" si="12"/>
        <v>11</v>
      </c>
      <c r="N269" s="742">
        <f t="shared" si="12"/>
        <v>12</v>
      </c>
      <c r="O269" s="1113"/>
    </row>
    <row r="270" spans="1:15">
      <c r="A270" s="1114" t="s">
        <v>348</v>
      </c>
      <c r="B270" s="1117" t="s">
        <v>349</v>
      </c>
      <c r="C270" s="743" t="s">
        <v>377</v>
      </c>
      <c r="D270" s="744" t="s">
        <v>414</v>
      </c>
      <c r="E270" s="744" t="s">
        <v>377</v>
      </c>
      <c r="F270" s="744" t="s">
        <v>377</v>
      </c>
      <c r="G270" s="744" t="s">
        <v>418</v>
      </c>
      <c r="H270" s="745" t="s">
        <v>377</v>
      </c>
      <c r="I270" s="746" t="s">
        <v>419</v>
      </c>
      <c r="J270" s="744" t="s">
        <v>377</v>
      </c>
      <c r="K270" s="744" t="s">
        <v>377</v>
      </c>
      <c r="L270" s="744" t="s">
        <v>377</v>
      </c>
      <c r="M270" s="744" t="s">
        <v>377</v>
      </c>
      <c r="N270" s="747" t="s">
        <v>420</v>
      </c>
      <c r="O270" s="748"/>
    </row>
    <row r="271" spans="1:15">
      <c r="A271" s="1115"/>
      <c r="B271" s="1118"/>
      <c r="C271" s="749" t="s">
        <v>377</v>
      </c>
      <c r="D271" s="750">
        <v>278</v>
      </c>
      <c r="E271" s="750" t="s">
        <v>377</v>
      </c>
      <c r="F271" s="750" t="s">
        <v>377</v>
      </c>
      <c r="G271" s="750">
        <v>67</v>
      </c>
      <c r="H271" s="751" t="s">
        <v>377</v>
      </c>
      <c r="I271" s="752">
        <v>380</v>
      </c>
      <c r="J271" s="750" t="s">
        <v>377</v>
      </c>
      <c r="K271" s="750" t="s">
        <v>377</v>
      </c>
      <c r="L271" s="750" t="s">
        <v>377</v>
      </c>
      <c r="M271" s="750" t="s">
        <v>377</v>
      </c>
      <c r="N271" s="753">
        <v>1098</v>
      </c>
      <c r="O271" s="754"/>
    </row>
    <row r="272" spans="1:15">
      <c r="A272" s="1115"/>
      <c r="B272" s="1118"/>
      <c r="C272" s="755" t="s">
        <v>377</v>
      </c>
      <c r="D272" s="756" t="s">
        <v>377</v>
      </c>
      <c r="E272" s="757" t="s">
        <v>377</v>
      </c>
      <c r="F272" s="757" t="s">
        <v>377</v>
      </c>
      <c r="G272" s="757" t="s">
        <v>421</v>
      </c>
      <c r="H272" s="758" t="s">
        <v>377</v>
      </c>
      <c r="I272" s="759" t="s">
        <v>377</v>
      </c>
      <c r="J272" s="757" t="s">
        <v>377</v>
      </c>
      <c r="K272" s="757" t="s">
        <v>377</v>
      </c>
      <c r="L272" s="757" t="s">
        <v>377</v>
      </c>
      <c r="M272" s="757" t="s">
        <v>377</v>
      </c>
      <c r="N272" s="760" t="s">
        <v>422</v>
      </c>
      <c r="O272" s="761"/>
    </row>
    <row r="273" spans="1:15">
      <c r="A273" s="1115"/>
      <c r="B273" s="1118"/>
      <c r="C273" s="762" t="s">
        <v>377</v>
      </c>
      <c r="D273" s="763" t="s">
        <v>377</v>
      </c>
      <c r="E273" s="750" t="s">
        <v>377</v>
      </c>
      <c r="F273" s="750" t="s">
        <v>377</v>
      </c>
      <c r="G273" s="750">
        <v>624</v>
      </c>
      <c r="H273" s="751" t="s">
        <v>377</v>
      </c>
      <c r="I273" s="752" t="s">
        <v>377</v>
      </c>
      <c r="J273" s="750" t="s">
        <v>377</v>
      </c>
      <c r="K273" s="750" t="s">
        <v>377</v>
      </c>
      <c r="L273" s="764" t="s">
        <v>377</v>
      </c>
      <c r="M273" s="750" t="s">
        <v>377</v>
      </c>
      <c r="N273" s="753">
        <v>510</v>
      </c>
      <c r="O273" s="754"/>
    </row>
    <row r="274" spans="1:15">
      <c r="A274" s="1115"/>
      <c r="B274" s="1118"/>
      <c r="C274" s="755" t="s">
        <v>377</v>
      </c>
      <c r="D274" s="756" t="s">
        <v>377</v>
      </c>
      <c r="E274" s="757" t="s">
        <v>377</v>
      </c>
      <c r="F274" s="757" t="s">
        <v>377</v>
      </c>
      <c r="G274" s="757" t="s">
        <v>423</v>
      </c>
      <c r="H274" s="758" t="s">
        <v>377</v>
      </c>
      <c r="I274" s="759" t="s">
        <v>377</v>
      </c>
      <c r="J274" s="757" t="s">
        <v>377</v>
      </c>
      <c r="K274" s="757" t="s">
        <v>377</v>
      </c>
      <c r="L274" s="757" t="s">
        <v>377</v>
      </c>
      <c r="M274" s="757" t="s">
        <v>377</v>
      </c>
      <c r="N274" s="760" t="s">
        <v>424</v>
      </c>
      <c r="O274" s="761"/>
    </row>
    <row r="275" spans="1:15">
      <c r="A275" s="1115"/>
      <c r="B275" s="1118"/>
      <c r="C275" s="762" t="s">
        <v>377</v>
      </c>
      <c r="D275" s="763" t="s">
        <v>377</v>
      </c>
      <c r="E275" s="750" t="s">
        <v>377</v>
      </c>
      <c r="F275" s="750" t="s">
        <v>377</v>
      </c>
      <c r="G275" s="750">
        <v>823</v>
      </c>
      <c r="H275" s="751" t="s">
        <v>377</v>
      </c>
      <c r="I275" s="752" t="s">
        <v>377</v>
      </c>
      <c r="J275" s="750" t="s">
        <v>377</v>
      </c>
      <c r="K275" s="750" t="s">
        <v>377</v>
      </c>
      <c r="L275" s="764" t="s">
        <v>377</v>
      </c>
      <c r="M275" s="750" t="s">
        <v>377</v>
      </c>
      <c r="N275" s="753">
        <v>90</v>
      </c>
      <c r="O275" s="754"/>
    </row>
    <row r="276" spans="1:15">
      <c r="A276" s="1115"/>
      <c r="B276" s="1118"/>
      <c r="C276" s="755" t="s">
        <v>377</v>
      </c>
      <c r="D276" s="756" t="s">
        <v>377</v>
      </c>
      <c r="E276" s="757" t="s">
        <v>377</v>
      </c>
      <c r="F276" s="757" t="s">
        <v>377</v>
      </c>
      <c r="G276" s="757" t="s">
        <v>377</v>
      </c>
      <c r="H276" s="758" t="s">
        <v>377</v>
      </c>
      <c r="I276" s="759" t="s">
        <v>377</v>
      </c>
      <c r="J276" s="757" t="s">
        <v>377</v>
      </c>
      <c r="K276" s="757" t="s">
        <v>377</v>
      </c>
      <c r="L276" s="757" t="s">
        <v>377</v>
      </c>
      <c r="M276" s="757" t="s">
        <v>377</v>
      </c>
      <c r="N276" s="760" t="s">
        <v>425</v>
      </c>
      <c r="O276" s="761"/>
    </row>
    <row r="277" spans="1:15">
      <c r="A277" s="1115"/>
      <c r="B277" s="1118"/>
      <c r="C277" s="762" t="s">
        <v>377</v>
      </c>
      <c r="D277" s="763" t="s">
        <v>377</v>
      </c>
      <c r="E277" s="750" t="s">
        <v>377</v>
      </c>
      <c r="F277" s="750" t="s">
        <v>377</v>
      </c>
      <c r="G277" s="750" t="s">
        <v>377</v>
      </c>
      <c r="H277" s="751" t="s">
        <v>377</v>
      </c>
      <c r="I277" s="752" t="s">
        <v>377</v>
      </c>
      <c r="J277" s="750" t="s">
        <v>377</v>
      </c>
      <c r="K277" s="750" t="s">
        <v>377</v>
      </c>
      <c r="L277" s="764" t="s">
        <v>377</v>
      </c>
      <c r="M277" s="750" t="s">
        <v>377</v>
      </c>
      <c r="N277" s="753">
        <v>173</v>
      </c>
      <c r="O277" s="754"/>
    </row>
    <row r="278" spans="1:15">
      <c r="A278" s="1115"/>
      <c r="B278" s="1118"/>
      <c r="C278" s="755" t="s">
        <v>377</v>
      </c>
      <c r="D278" s="756" t="s">
        <v>377</v>
      </c>
      <c r="E278" s="757" t="s">
        <v>377</v>
      </c>
      <c r="F278" s="757" t="s">
        <v>377</v>
      </c>
      <c r="G278" s="757" t="s">
        <v>377</v>
      </c>
      <c r="H278" s="758" t="s">
        <v>377</v>
      </c>
      <c r="I278" s="759" t="s">
        <v>377</v>
      </c>
      <c r="J278" s="757" t="s">
        <v>377</v>
      </c>
      <c r="K278" s="757" t="s">
        <v>377</v>
      </c>
      <c r="L278" s="757" t="s">
        <v>377</v>
      </c>
      <c r="M278" s="757" t="s">
        <v>377</v>
      </c>
      <c r="N278" s="760" t="s">
        <v>426</v>
      </c>
      <c r="O278" s="761"/>
    </row>
    <row r="279" spans="1:15">
      <c r="A279" s="1115"/>
      <c r="B279" s="1118"/>
      <c r="C279" s="762" t="s">
        <v>377</v>
      </c>
      <c r="D279" s="763" t="s">
        <v>377</v>
      </c>
      <c r="E279" s="750" t="s">
        <v>377</v>
      </c>
      <c r="F279" s="750" t="s">
        <v>377</v>
      </c>
      <c r="G279" s="750" t="s">
        <v>377</v>
      </c>
      <c r="H279" s="751" t="s">
        <v>377</v>
      </c>
      <c r="I279" s="752" t="s">
        <v>377</v>
      </c>
      <c r="J279" s="750" t="s">
        <v>377</v>
      </c>
      <c r="K279" s="750" t="s">
        <v>377</v>
      </c>
      <c r="L279" s="764" t="s">
        <v>377</v>
      </c>
      <c r="M279" s="750" t="s">
        <v>377</v>
      </c>
      <c r="N279" s="753">
        <v>1612</v>
      </c>
      <c r="O279" s="754"/>
    </row>
    <row r="280" spans="1:15">
      <c r="A280" s="1115"/>
      <c r="B280" s="1118"/>
      <c r="C280" s="755" t="s">
        <v>377</v>
      </c>
      <c r="D280" s="756" t="s">
        <v>377</v>
      </c>
      <c r="E280" s="757" t="s">
        <v>377</v>
      </c>
      <c r="F280" s="757" t="s">
        <v>377</v>
      </c>
      <c r="G280" s="757" t="s">
        <v>377</v>
      </c>
      <c r="H280" s="758" t="s">
        <v>377</v>
      </c>
      <c r="I280" s="759" t="s">
        <v>377</v>
      </c>
      <c r="J280" s="757" t="s">
        <v>377</v>
      </c>
      <c r="K280" s="757" t="s">
        <v>377</v>
      </c>
      <c r="L280" s="757" t="s">
        <v>377</v>
      </c>
      <c r="M280" s="757" t="s">
        <v>377</v>
      </c>
      <c r="N280" s="760" t="s">
        <v>427</v>
      </c>
      <c r="O280" s="761"/>
    </row>
    <row r="281" spans="1:15">
      <c r="A281" s="1115"/>
      <c r="B281" s="1118"/>
      <c r="C281" s="762" t="s">
        <v>377</v>
      </c>
      <c r="D281" s="763" t="s">
        <v>377</v>
      </c>
      <c r="E281" s="750" t="s">
        <v>377</v>
      </c>
      <c r="F281" s="750" t="s">
        <v>377</v>
      </c>
      <c r="G281" s="750" t="s">
        <v>377</v>
      </c>
      <c r="H281" s="751" t="s">
        <v>377</v>
      </c>
      <c r="I281" s="752" t="s">
        <v>377</v>
      </c>
      <c r="J281" s="750" t="s">
        <v>377</v>
      </c>
      <c r="K281" s="750" t="s">
        <v>377</v>
      </c>
      <c r="L281" s="764" t="s">
        <v>377</v>
      </c>
      <c r="M281" s="750" t="s">
        <v>377</v>
      </c>
      <c r="N281" s="753">
        <v>248</v>
      </c>
      <c r="O281" s="754"/>
    </row>
    <row r="282" spans="1:15">
      <c r="A282" s="1115"/>
      <c r="B282" s="1118"/>
      <c r="C282" s="755" t="s">
        <v>377</v>
      </c>
      <c r="D282" s="756" t="s">
        <v>377</v>
      </c>
      <c r="E282" s="757" t="s">
        <v>377</v>
      </c>
      <c r="F282" s="757" t="s">
        <v>377</v>
      </c>
      <c r="G282" s="757" t="s">
        <v>377</v>
      </c>
      <c r="H282" s="758" t="s">
        <v>377</v>
      </c>
      <c r="I282" s="759" t="s">
        <v>377</v>
      </c>
      <c r="J282" s="757" t="s">
        <v>377</v>
      </c>
      <c r="K282" s="757" t="s">
        <v>377</v>
      </c>
      <c r="L282" s="757" t="s">
        <v>377</v>
      </c>
      <c r="M282" s="757" t="s">
        <v>377</v>
      </c>
      <c r="N282" s="760" t="s">
        <v>428</v>
      </c>
      <c r="O282" s="761"/>
    </row>
    <row r="283" spans="1:15">
      <c r="A283" s="1115"/>
      <c r="B283" s="1118"/>
      <c r="C283" s="762" t="s">
        <v>377</v>
      </c>
      <c r="D283" s="763" t="s">
        <v>377</v>
      </c>
      <c r="E283" s="750" t="s">
        <v>377</v>
      </c>
      <c r="F283" s="750" t="s">
        <v>377</v>
      </c>
      <c r="G283" s="750" t="s">
        <v>377</v>
      </c>
      <c r="H283" s="751" t="s">
        <v>377</v>
      </c>
      <c r="I283" s="752" t="s">
        <v>377</v>
      </c>
      <c r="J283" s="750" t="s">
        <v>377</v>
      </c>
      <c r="K283" s="750" t="s">
        <v>377</v>
      </c>
      <c r="L283" s="764" t="s">
        <v>377</v>
      </c>
      <c r="M283" s="750" t="s">
        <v>377</v>
      </c>
      <c r="N283" s="753">
        <v>477</v>
      </c>
      <c r="O283" s="754"/>
    </row>
    <row r="284" spans="1:15">
      <c r="A284" s="1115"/>
      <c r="B284" s="1118"/>
      <c r="C284" s="755" t="s">
        <v>377</v>
      </c>
      <c r="D284" s="756" t="s">
        <v>377</v>
      </c>
      <c r="E284" s="757" t="s">
        <v>377</v>
      </c>
      <c r="F284" s="757" t="s">
        <v>377</v>
      </c>
      <c r="G284" s="757" t="s">
        <v>377</v>
      </c>
      <c r="H284" s="758" t="s">
        <v>377</v>
      </c>
      <c r="I284" s="759" t="s">
        <v>377</v>
      </c>
      <c r="J284" s="757" t="s">
        <v>377</v>
      </c>
      <c r="K284" s="757" t="s">
        <v>377</v>
      </c>
      <c r="L284" s="757" t="s">
        <v>377</v>
      </c>
      <c r="M284" s="757" t="s">
        <v>377</v>
      </c>
      <c r="N284" s="760" t="s">
        <v>429</v>
      </c>
      <c r="O284" s="761"/>
    </row>
    <row r="285" spans="1:15">
      <c r="A285" s="1115"/>
      <c r="B285" s="1118"/>
      <c r="C285" s="762" t="s">
        <v>377</v>
      </c>
      <c r="D285" s="763" t="s">
        <v>377</v>
      </c>
      <c r="E285" s="750" t="s">
        <v>377</v>
      </c>
      <c r="F285" s="750" t="s">
        <v>377</v>
      </c>
      <c r="G285" s="750" t="s">
        <v>377</v>
      </c>
      <c r="H285" s="751" t="s">
        <v>377</v>
      </c>
      <c r="I285" s="752" t="s">
        <v>377</v>
      </c>
      <c r="J285" s="750" t="s">
        <v>377</v>
      </c>
      <c r="K285" s="750" t="s">
        <v>377</v>
      </c>
      <c r="L285" s="764" t="s">
        <v>377</v>
      </c>
      <c r="M285" s="750" t="s">
        <v>377</v>
      </c>
      <c r="N285" s="753">
        <v>506</v>
      </c>
      <c r="O285" s="754"/>
    </row>
    <row r="286" spans="1:15">
      <c r="A286" s="1115"/>
      <c r="B286" s="1118"/>
      <c r="C286" s="755" t="s">
        <v>377</v>
      </c>
      <c r="D286" s="756" t="s">
        <v>377</v>
      </c>
      <c r="E286" s="757" t="s">
        <v>377</v>
      </c>
      <c r="F286" s="757" t="s">
        <v>377</v>
      </c>
      <c r="G286" s="757" t="s">
        <v>377</v>
      </c>
      <c r="H286" s="758" t="s">
        <v>377</v>
      </c>
      <c r="I286" s="759" t="s">
        <v>377</v>
      </c>
      <c r="J286" s="757" t="s">
        <v>377</v>
      </c>
      <c r="K286" s="757" t="s">
        <v>377</v>
      </c>
      <c r="L286" s="757" t="s">
        <v>377</v>
      </c>
      <c r="M286" s="757" t="s">
        <v>377</v>
      </c>
      <c r="N286" s="760" t="s">
        <v>430</v>
      </c>
      <c r="O286" s="761"/>
    </row>
    <row r="287" spans="1:15">
      <c r="A287" s="1115"/>
      <c r="B287" s="1118"/>
      <c r="C287" s="762" t="s">
        <v>377</v>
      </c>
      <c r="D287" s="763" t="s">
        <v>377</v>
      </c>
      <c r="E287" s="750" t="s">
        <v>377</v>
      </c>
      <c r="F287" s="750" t="s">
        <v>377</v>
      </c>
      <c r="G287" s="750" t="s">
        <v>377</v>
      </c>
      <c r="H287" s="751" t="s">
        <v>377</v>
      </c>
      <c r="I287" s="752" t="s">
        <v>377</v>
      </c>
      <c r="J287" s="750" t="s">
        <v>377</v>
      </c>
      <c r="K287" s="750" t="s">
        <v>377</v>
      </c>
      <c r="L287" s="764" t="s">
        <v>377</v>
      </c>
      <c r="M287" s="750" t="s">
        <v>377</v>
      </c>
      <c r="N287" s="753">
        <v>773</v>
      </c>
      <c r="O287" s="754"/>
    </row>
    <row r="288" spans="1:15">
      <c r="A288" s="1115"/>
      <c r="B288" s="1118"/>
      <c r="C288" s="755" t="s">
        <v>377</v>
      </c>
      <c r="D288" s="756" t="s">
        <v>377</v>
      </c>
      <c r="E288" s="757" t="s">
        <v>377</v>
      </c>
      <c r="F288" s="757" t="s">
        <v>377</v>
      </c>
      <c r="G288" s="757" t="s">
        <v>377</v>
      </c>
      <c r="H288" s="758" t="s">
        <v>377</v>
      </c>
      <c r="I288" s="759" t="s">
        <v>377</v>
      </c>
      <c r="J288" s="757" t="s">
        <v>377</v>
      </c>
      <c r="K288" s="757" t="s">
        <v>377</v>
      </c>
      <c r="L288" s="757" t="s">
        <v>377</v>
      </c>
      <c r="M288" s="757" t="s">
        <v>377</v>
      </c>
      <c r="N288" s="760" t="s">
        <v>431</v>
      </c>
      <c r="O288" s="761"/>
    </row>
    <row r="289" spans="1:15">
      <c r="A289" s="1115"/>
      <c r="B289" s="1118"/>
      <c r="C289" s="762" t="s">
        <v>377</v>
      </c>
      <c r="D289" s="763" t="s">
        <v>377</v>
      </c>
      <c r="E289" s="750" t="s">
        <v>377</v>
      </c>
      <c r="F289" s="750" t="s">
        <v>377</v>
      </c>
      <c r="G289" s="750" t="s">
        <v>377</v>
      </c>
      <c r="H289" s="751" t="s">
        <v>377</v>
      </c>
      <c r="I289" s="752" t="s">
        <v>377</v>
      </c>
      <c r="J289" s="750" t="s">
        <v>377</v>
      </c>
      <c r="K289" s="750" t="s">
        <v>377</v>
      </c>
      <c r="L289" s="764" t="s">
        <v>377</v>
      </c>
      <c r="M289" s="750" t="s">
        <v>377</v>
      </c>
      <c r="N289" s="753">
        <v>652</v>
      </c>
      <c r="O289" s="754"/>
    </row>
    <row r="290" spans="1:15">
      <c r="A290" s="1115"/>
      <c r="B290" s="1118"/>
      <c r="C290" s="755" t="s">
        <v>377</v>
      </c>
      <c r="D290" s="756" t="s">
        <v>377</v>
      </c>
      <c r="E290" s="757" t="s">
        <v>377</v>
      </c>
      <c r="F290" s="757" t="s">
        <v>377</v>
      </c>
      <c r="G290" s="757" t="s">
        <v>377</v>
      </c>
      <c r="H290" s="758" t="s">
        <v>377</v>
      </c>
      <c r="I290" s="759" t="s">
        <v>377</v>
      </c>
      <c r="J290" s="757" t="s">
        <v>377</v>
      </c>
      <c r="K290" s="757" t="s">
        <v>377</v>
      </c>
      <c r="L290" s="757" t="s">
        <v>377</v>
      </c>
      <c r="M290" s="757" t="s">
        <v>377</v>
      </c>
      <c r="N290" s="760" t="s">
        <v>432</v>
      </c>
      <c r="O290" s="761"/>
    </row>
    <row r="291" spans="1:15">
      <c r="A291" s="1115"/>
      <c r="B291" s="1118"/>
      <c r="C291" s="762" t="s">
        <v>377</v>
      </c>
      <c r="D291" s="763" t="s">
        <v>377</v>
      </c>
      <c r="E291" s="750" t="s">
        <v>377</v>
      </c>
      <c r="F291" s="750" t="s">
        <v>377</v>
      </c>
      <c r="G291" s="750" t="s">
        <v>377</v>
      </c>
      <c r="H291" s="751" t="s">
        <v>377</v>
      </c>
      <c r="I291" s="752" t="s">
        <v>377</v>
      </c>
      <c r="J291" s="750" t="s">
        <v>377</v>
      </c>
      <c r="K291" s="750" t="s">
        <v>377</v>
      </c>
      <c r="L291" s="764" t="s">
        <v>377</v>
      </c>
      <c r="M291" s="750" t="s">
        <v>377</v>
      </c>
      <c r="N291" s="753">
        <v>641</v>
      </c>
      <c r="O291" s="754"/>
    </row>
    <row r="292" spans="1:15">
      <c r="A292" s="1115"/>
      <c r="B292" s="1118"/>
      <c r="C292" s="755" t="s">
        <v>377</v>
      </c>
      <c r="D292" s="756" t="s">
        <v>377</v>
      </c>
      <c r="E292" s="757" t="s">
        <v>377</v>
      </c>
      <c r="F292" s="757" t="s">
        <v>377</v>
      </c>
      <c r="G292" s="757" t="s">
        <v>377</v>
      </c>
      <c r="H292" s="758" t="s">
        <v>377</v>
      </c>
      <c r="I292" s="759" t="s">
        <v>377</v>
      </c>
      <c r="J292" s="757" t="s">
        <v>377</v>
      </c>
      <c r="K292" s="757" t="s">
        <v>377</v>
      </c>
      <c r="L292" s="757" t="s">
        <v>377</v>
      </c>
      <c r="M292" s="757" t="s">
        <v>377</v>
      </c>
      <c r="N292" s="760" t="s">
        <v>433</v>
      </c>
      <c r="O292" s="761"/>
    </row>
    <row r="293" spans="1:15">
      <c r="A293" s="1115"/>
      <c r="B293" s="1118"/>
      <c r="C293" s="762" t="s">
        <v>377</v>
      </c>
      <c r="D293" s="763" t="s">
        <v>377</v>
      </c>
      <c r="E293" s="750" t="s">
        <v>377</v>
      </c>
      <c r="F293" s="750" t="s">
        <v>377</v>
      </c>
      <c r="G293" s="750" t="s">
        <v>377</v>
      </c>
      <c r="H293" s="751" t="s">
        <v>377</v>
      </c>
      <c r="I293" s="752" t="s">
        <v>377</v>
      </c>
      <c r="J293" s="750" t="s">
        <v>377</v>
      </c>
      <c r="K293" s="750" t="s">
        <v>377</v>
      </c>
      <c r="L293" s="764" t="s">
        <v>377</v>
      </c>
      <c r="M293" s="750" t="s">
        <v>377</v>
      </c>
      <c r="N293" s="753">
        <v>746</v>
      </c>
      <c r="O293" s="754"/>
    </row>
    <row r="294" spans="1:15">
      <c r="A294" s="1115"/>
      <c r="B294" s="1118"/>
      <c r="C294" s="765" t="s">
        <v>377</v>
      </c>
      <c r="D294" s="766" t="s">
        <v>377</v>
      </c>
      <c r="E294" s="767" t="s">
        <v>377</v>
      </c>
      <c r="F294" s="767" t="s">
        <v>377</v>
      </c>
      <c r="G294" s="767" t="s">
        <v>377</v>
      </c>
      <c r="H294" s="768" t="s">
        <v>377</v>
      </c>
      <c r="I294" s="769" t="s">
        <v>377</v>
      </c>
      <c r="J294" s="767" t="s">
        <v>377</v>
      </c>
      <c r="K294" s="767" t="s">
        <v>377</v>
      </c>
      <c r="L294" s="770" t="s">
        <v>377</v>
      </c>
      <c r="M294" s="767" t="s">
        <v>377</v>
      </c>
      <c r="N294" s="771" t="s">
        <v>377</v>
      </c>
      <c r="O294" s="772"/>
    </row>
    <row r="295" spans="1:15">
      <c r="A295" s="1115"/>
      <c r="B295" s="1119"/>
      <c r="C295" s="765" t="s">
        <v>377</v>
      </c>
      <c r="D295" s="766" t="s">
        <v>377</v>
      </c>
      <c r="E295" s="767" t="s">
        <v>377</v>
      </c>
      <c r="F295" s="767" t="s">
        <v>377</v>
      </c>
      <c r="G295" s="767" t="s">
        <v>377</v>
      </c>
      <c r="H295" s="768" t="s">
        <v>377</v>
      </c>
      <c r="I295" s="769" t="s">
        <v>377</v>
      </c>
      <c r="J295" s="767" t="s">
        <v>377</v>
      </c>
      <c r="K295" s="767" t="s">
        <v>377</v>
      </c>
      <c r="L295" s="770" t="s">
        <v>377</v>
      </c>
      <c r="M295" s="767" t="s">
        <v>377</v>
      </c>
      <c r="N295" s="771" t="s">
        <v>377</v>
      </c>
      <c r="O295" s="772"/>
    </row>
    <row r="296" spans="1:15" ht="17.25" thickBot="1">
      <c r="A296" s="1116"/>
      <c r="B296" s="773" t="s">
        <v>350</v>
      </c>
      <c r="C296" s="922">
        <v>483</v>
      </c>
      <c r="D296" s="922">
        <v>506</v>
      </c>
      <c r="E296" s="922">
        <v>487</v>
      </c>
      <c r="F296" s="922">
        <v>412</v>
      </c>
      <c r="G296" s="922">
        <v>538</v>
      </c>
      <c r="H296" s="922">
        <v>875</v>
      </c>
      <c r="I296" s="922">
        <v>674</v>
      </c>
      <c r="J296" s="922">
        <v>622</v>
      </c>
      <c r="K296" s="922">
        <v>499</v>
      </c>
      <c r="L296" s="922">
        <v>428</v>
      </c>
      <c r="M296" s="922">
        <v>529</v>
      </c>
      <c r="N296" s="922">
        <v>1424</v>
      </c>
      <c r="O296" s="779">
        <f>SUM(C296:N296)</f>
        <v>7477</v>
      </c>
    </row>
    <row r="297" spans="1:15">
      <c r="A297" s="1120" t="s">
        <v>351</v>
      </c>
      <c r="B297" s="1123" t="s">
        <v>352</v>
      </c>
      <c r="C297" s="743" t="s">
        <v>418</v>
      </c>
      <c r="D297" s="744" t="s">
        <v>421</v>
      </c>
      <c r="E297" s="744" t="s">
        <v>419</v>
      </c>
      <c r="F297" s="744" t="s">
        <v>377</v>
      </c>
      <c r="G297" s="744" t="s">
        <v>377</v>
      </c>
      <c r="H297" s="745" t="s">
        <v>377</v>
      </c>
      <c r="I297" s="746" t="s">
        <v>377</v>
      </c>
      <c r="J297" s="744" t="s">
        <v>420</v>
      </c>
      <c r="K297" s="744" t="s">
        <v>422</v>
      </c>
      <c r="L297" s="744" t="s">
        <v>377</v>
      </c>
      <c r="M297" s="744" t="s">
        <v>377</v>
      </c>
      <c r="N297" s="747" t="s">
        <v>429</v>
      </c>
      <c r="O297" s="781"/>
    </row>
    <row r="298" spans="1:15">
      <c r="A298" s="1121"/>
      <c r="B298" s="1124"/>
      <c r="C298" s="749">
        <v>67</v>
      </c>
      <c r="D298" s="750">
        <v>624</v>
      </c>
      <c r="E298" s="750">
        <v>380</v>
      </c>
      <c r="F298" s="750" t="s">
        <v>377</v>
      </c>
      <c r="G298" s="750" t="s">
        <v>377</v>
      </c>
      <c r="H298" s="751" t="s">
        <v>377</v>
      </c>
      <c r="I298" s="752" t="s">
        <v>377</v>
      </c>
      <c r="J298" s="750">
        <v>1098</v>
      </c>
      <c r="K298" s="750">
        <v>510</v>
      </c>
      <c r="L298" s="750" t="s">
        <v>377</v>
      </c>
      <c r="M298" s="750" t="s">
        <v>377</v>
      </c>
      <c r="N298" s="753">
        <v>506</v>
      </c>
      <c r="O298" s="783"/>
    </row>
    <row r="299" spans="1:15">
      <c r="A299" s="1121"/>
      <c r="B299" s="1124"/>
      <c r="C299" s="755" t="s">
        <v>377</v>
      </c>
      <c r="D299" s="756" t="s">
        <v>423</v>
      </c>
      <c r="E299" s="757" t="s">
        <v>377</v>
      </c>
      <c r="F299" s="757" t="s">
        <v>377</v>
      </c>
      <c r="G299" s="757" t="s">
        <v>377</v>
      </c>
      <c r="H299" s="758" t="s">
        <v>377</v>
      </c>
      <c r="I299" s="759" t="s">
        <v>377</v>
      </c>
      <c r="J299" s="757" t="s">
        <v>377</v>
      </c>
      <c r="K299" s="757" t="s">
        <v>424</v>
      </c>
      <c r="L299" s="757" t="s">
        <v>377</v>
      </c>
      <c r="M299" s="757" t="s">
        <v>377</v>
      </c>
      <c r="N299" s="760" t="s">
        <v>430</v>
      </c>
      <c r="O299" s="784"/>
    </row>
    <row r="300" spans="1:15">
      <c r="A300" s="1121"/>
      <c r="B300" s="1124"/>
      <c r="C300" s="762" t="s">
        <v>377</v>
      </c>
      <c r="D300" s="763">
        <v>823</v>
      </c>
      <c r="E300" s="750" t="s">
        <v>377</v>
      </c>
      <c r="F300" s="750" t="s">
        <v>377</v>
      </c>
      <c r="G300" s="750" t="s">
        <v>377</v>
      </c>
      <c r="H300" s="751" t="s">
        <v>377</v>
      </c>
      <c r="I300" s="752" t="s">
        <v>377</v>
      </c>
      <c r="J300" s="750" t="s">
        <v>377</v>
      </c>
      <c r="K300" s="750">
        <v>90</v>
      </c>
      <c r="L300" s="764" t="s">
        <v>377</v>
      </c>
      <c r="M300" s="750" t="s">
        <v>377</v>
      </c>
      <c r="N300" s="753">
        <v>773</v>
      </c>
      <c r="O300" s="783"/>
    </row>
    <row r="301" spans="1:15">
      <c r="A301" s="1121"/>
      <c r="B301" s="1124"/>
      <c r="C301" s="755" t="s">
        <v>377</v>
      </c>
      <c r="D301" s="756" t="s">
        <v>377</v>
      </c>
      <c r="E301" s="757" t="s">
        <v>377</v>
      </c>
      <c r="F301" s="757" t="s">
        <v>377</v>
      </c>
      <c r="G301" s="757" t="s">
        <v>377</v>
      </c>
      <c r="H301" s="758" t="s">
        <v>377</v>
      </c>
      <c r="I301" s="759" t="s">
        <v>377</v>
      </c>
      <c r="J301" s="757" t="s">
        <v>377</v>
      </c>
      <c r="K301" s="757" t="s">
        <v>425</v>
      </c>
      <c r="L301" s="757" t="s">
        <v>377</v>
      </c>
      <c r="M301" s="757" t="s">
        <v>377</v>
      </c>
      <c r="N301" s="760" t="s">
        <v>431</v>
      </c>
      <c r="O301" s="784"/>
    </row>
    <row r="302" spans="1:15">
      <c r="A302" s="1121"/>
      <c r="B302" s="1124"/>
      <c r="C302" s="762" t="s">
        <v>377</v>
      </c>
      <c r="D302" s="763" t="s">
        <v>377</v>
      </c>
      <c r="E302" s="750" t="s">
        <v>377</v>
      </c>
      <c r="F302" s="750" t="s">
        <v>377</v>
      </c>
      <c r="G302" s="750" t="s">
        <v>377</v>
      </c>
      <c r="H302" s="751" t="s">
        <v>377</v>
      </c>
      <c r="I302" s="752" t="s">
        <v>377</v>
      </c>
      <c r="J302" s="750" t="s">
        <v>377</v>
      </c>
      <c r="K302" s="750">
        <v>173</v>
      </c>
      <c r="L302" s="764" t="s">
        <v>377</v>
      </c>
      <c r="M302" s="750" t="s">
        <v>377</v>
      </c>
      <c r="N302" s="753">
        <v>652</v>
      </c>
      <c r="O302" s="783"/>
    </row>
    <row r="303" spans="1:15">
      <c r="A303" s="1121"/>
      <c r="B303" s="1124"/>
      <c r="C303" s="755" t="s">
        <v>377</v>
      </c>
      <c r="D303" s="756" t="s">
        <v>377</v>
      </c>
      <c r="E303" s="757" t="s">
        <v>377</v>
      </c>
      <c r="F303" s="757" t="s">
        <v>377</v>
      </c>
      <c r="G303" s="757" t="s">
        <v>377</v>
      </c>
      <c r="H303" s="758" t="s">
        <v>377</v>
      </c>
      <c r="I303" s="759" t="s">
        <v>377</v>
      </c>
      <c r="J303" s="757" t="s">
        <v>377</v>
      </c>
      <c r="K303" s="757" t="s">
        <v>426</v>
      </c>
      <c r="L303" s="757" t="s">
        <v>377</v>
      </c>
      <c r="M303" s="757" t="s">
        <v>377</v>
      </c>
      <c r="N303" s="785" t="s">
        <v>434</v>
      </c>
      <c r="O303" s="784"/>
    </row>
    <row r="304" spans="1:15">
      <c r="A304" s="1121"/>
      <c r="B304" s="1124"/>
      <c r="C304" s="762" t="s">
        <v>377</v>
      </c>
      <c r="D304" s="763" t="s">
        <v>377</v>
      </c>
      <c r="E304" s="750" t="s">
        <v>377</v>
      </c>
      <c r="F304" s="750" t="s">
        <v>377</v>
      </c>
      <c r="G304" s="750" t="s">
        <v>377</v>
      </c>
      <c r="H304" s="751" t="s">
        <v>377</v>
      </c>
      <c r="I304" s="752" t="s">
        <v>377</v>
      </c>
      <c r="J304" s="750" t="s">
        <v>377</v>
      </c>
      <c r="K304" s="750">
        <v>1612</v>
      </c>
      <c r="L304" s="764" t="s">
        <v>377</v>
      </c>
      <c r="M304" s="750" t="s">
        <v>377</v>
      </c>
      <c r="N304" s="786">
        <v>1498</v>
      </c>
      <c r="O304" s="783"/>
    </row>
    <row r="305" spans="1:15">
      <c r="A305" s="1121"/>
      <c r="B305" s="1124"/>
      <c r="C305" s="755" t="s">
        <v>377</v>
      </c>
      <c r="D305" s="756" t="s">
        <v>377</v>
      </c>
      <c r="E305" s="757" t="s">
        <v>377</v>
      </c>
      <c r="F305" s="757" t="s">
        <v>377</v>
      </c>
      <c r="G305" s="757" t="s">
        <v>377</v>
      </c>
      <c r="H305" s="758" t="s">
        <v>377</v>
      </c>
      <c r="I305" s="759" t="s">
        <v>377</v>
      </c>
      <c r="J305" s="757" t="s">
        <v>377</v>
      </c>
      <c r="K305" s="757" t="s">
        <v>427</v>
      </c>
      <c r="L305" s="757" t="s">
        <v>377</v>
      </c>
      <c r="M305" s="757" t="s">
        <v>377</v>
      </c>
      <c r="N305" s="760" t="s">
        <v>377</v>
      </c>
      <c r="O305" s="784"/>
    </row>
    <row r="306" spans="1:15">
      <c r="A306" s="1121"/>
      <c r="B306" s="1124"/>
      <c r="C306" s="762" t="s">
        <v>377</v>
      </c>
      <c r="D306" s="763" t="s">
        <v>377</v>
      </c>
      <c r="E306" s="750" t="s">
        <v>377</v>
      </c>
      <c r="F306" s="750" t="s">
        <v>377</v>
      </c>
      <c r="G306" s="750" t="s">
        <v>377</v>
      </c>
      <c r="H306" s="751" t="s">
        <v>377</v>
      </c>
      <c r="I306" s="752" t="s">
        <v>377</v>
      </c>
      <c r="J306" s="750" t="s">
        <v>377</v>
      </c>
      <c r="K306" s="750">
        <v>248</v>
      </c>
      <c r="L306" s="764" t="s">
        <v>377</v>
      </c>
      <c r="M306" s="750" t="s">
        <v>377</v>
      </c>
      <c r="N306" s="753" t="s">
        <v>377</v>
      </c>
      <c r="O306" s="783"/>
    </row>
    <row r="307" spans="1:15">
      <c r="A307" s="1121"/>
      <c r="B307" s="1124"/>
      <c r="C307" s="755" t="s">
        <v>377</v>
      </c>
      <c r="D307" s="756" t="s">
        <v>377</v>
      </c>
      <c r="E307" s="757" t="s">
        <v>377</v>
      </c>
      <c r="F307" s="757" t="s">
        <v>377</v>
      </c>
      <c r="G307" s="757" t="s">
        <v>377</v>
      </c>
      <c r="H307" s="758" t="s">
        <v>377</v>
      </c>
      <c r="I307" s="759" t="s">
        <v>377</v>
      </c>
      <c r="J307" s="757" t="s">
        <v>377</v>
      </c>
      <c r="K307" s="757" t="s">
        <v>428</v>
      </c>
      <c r="L307" s="757" t="s">
        <v>377</v>
      </c>
      <c r="M307" s="757" t="s">
        <v>377</v>
      </c>
      <c r="N307" s="760" t="s">
        <v>377</v>
      </c>
      <c r="O307" s="784"/>
    </row>
    <row r="308" spans="1:15">
      <c r="A308" s="1121"/>
      <c r="B308" s="1124"/>
      <c r="C308" s="762" t="s">
        <v>377</v>
      </c>
      <c r="D308" s="763" t="s">
        <v>377</v>
      </c>
      <c r="E308" s="750" t="s">
        <v>377</v>
      </c>
      <c r="F308" s="750" t="s">
        <v>377</v>
      </c>
      <c r="G308" s="750" t="s">
        <v>377</v>
      </c>
      <c r="H308" s="751" t="s">
        <v>377</v>
      </c>
      <c r="I308" s="752" t="s">
        <v>377</v>
      </c>
      <c r="J308" s="750" t="s">
        <v>377</v>
      </c>
      <c r="K308" s="750">
        <v>477</v>
      </c>
      <c r="L308" s="764" t="s">
        <v>377</v>
      </c>
      <c r="M308" s="750" t="s">
        <v>377</v>
      </c>
      <c r="N308" s="753" t="s">
        <v>377</v>
      </c>
      <c r="O308" s="783"/>
    </row>
    <row r="309" spans="1:15">
      <c r="A309" s="1121"/>
      <c r="B309" s="1124"/>
      <c r="C309" s="755" t="s">
        <v>377</v>
      </c>
      <c r="D309" s="756" t="s">
        <v>377</v>
      </c>
      <c r="E309" s="757" t="s">
        <v>377</v>
      </c>
      <c r="F309" s="757" t="s">
        <v>377</v>
      </c>
      <c r="G309" s="757" t="s">
        <v>377</v>
      </c>
      <c r="H309" s="758" t="s">
        <v>377</v>
      </c>
      <c r="I309" s="759" t="s">
        <v>377</v>
      </c>
      <c r="J309" s="757" t="s">
        <v>377</v>
      </c>
      <c r="K309" s="757" t="s">
        <v>432</v>
      </c>
      <c r="L309" s="757" t="s">
        <v>377</v>
      </c>
      <c r="M309" s="757" t="s">
        <v>377</v>
      </c>
      <c r="N309" s="760" t="s">
        <v>377</v>
      </c>
      <c r="O309" s="784"/>
    </row>
    <row r="310" spans="1:15">
      <c r="A310" s="1121"/>
      <c r="B310" s="1124"/>
      <c r="C310" s="762" t="s">
        <v>377</v>
      </c>
      <c r="D310" s="763" t="s">
        <v>377</v>
      </c>
      <c r="E310" s="750" t="s">
        <v>377</v>
      </c>
      <c r="F310" s="750" t="s">
        <v>377</v>
      </c>
      <c r="G310" s="750" t="s">
        <v>377</v>
      </c>
      <c r="H310" s="751" t="s">
        <v>377</v>
      </c>
      <c r="I310" s="752" t="s">
        <v>377</v>
      </c>
      <c r="J310" s="750" t="s">
        <v>377</v>
      </c>
      <c r="K310" s="750">
        <v>641</v>
      </c>
      <c r="L310" s="764" t="s">
        <v>377</v>
      </c>
      <c r="M310" s="750" t="s">
        <v>377</v>
      </c>
      <c r="N310" s="753" t="s">
        <v>377</v>
      </c>
      <c r="O310" s="783"/>
    </row>
    <row r="311" spans="1:15">
      <c r="A311" s="1121"/>
      <c r="B311" s="1124"/>
      <c r="C311" s="755" t="s">
        <v>377</v>
      </c>
      <c r="D311" s="756" t="s">
        <v>377</v>
      </c>
      <c r="E311" s="757" t="s">
        <v>377</v>
      </c>
      <c r="F311" s="757" t="s">
        <v>377</v>
      </c>
      <c r="G311" s="757" t="s">
        <v>377</v>
      </c>
      <c r="H311" s="758" t="s">
        <v>377</v>
      </c>
      <c r="I311" s="759" t="s">
        <v>377</v>
      </c>
      <c r="J311" s="757" t="s">
        <v>377</v>
      </c>
      <c r="K311" s="757" t="s">
        <v>433</v>
      </c>
      <c r="L311" s="757" t="s">
        <v>377</v>
      </c>
      <c r="M311" s="757" t="s">
        <v>377</v>
      </c>
      <c r="N311" s="760" t="s">
        <v>377</v>
      </c>
      <c r="O311" s="784"/>
    </row>
    <row r="312" spans="1:15">
      <c r="A312" s="1121"/>
      <c r="B312" s="1124"/>
      <c r="C312" s="762" t="s">
        <v>377</v>
      </c>
      <c r="D312" s="763" t="s">
        <v>377</v>
      </c>
      <c r="E312" s="750" t="s">
        <v>377</v>
      </c>
      <c r="F312" s="750" t="s">
        <v>377</v>
      </c>
      <c r="G312" s="750" t="s">
        <v>377</v>
      </c>
      <c r="H312" s="751" t="s">
        <v>377</v>
      </c>
      <c r="I312" s="752" t="s">
        <v>377</v>
      </c>
      <c r="J312" s="750" t="s">
        <v>377</v>
      </c>
      <c r="K312" s="750">
        <v>746</v>
      </c>
      <c r="L312" s="764" t="s">
        <v>377</v>
      </c>
      <c r="M312" s="750" t="s">
        <v>377</v>
      </c>
      <c r="N312" s="753" t="s">
        <v>377</v>
      </c>
      <c r="O312" s="783"/>
    </row>
    <row r="313" spans="1:15">
      <c r="A313" s="1121"/>
      <c r="B313" s="1124"/>
      <c r="C313" s="755" t="s">
        <v>377</v>
      </c>
      <c r="D313" s="756" t="s">
        <v>377</v>
      </c>
      <c r="E313" s="757" t="s">
        <v>377</v>
      </c>
      <c r="F313" s="757" t="s">
        <v>377</v>
      </c>
      <c r="G313" s="757" t="s">
        <v>377</v>
      </c>
      <c r="H313" s="758" t="s">
        <v>377</v>
      </c>
      <c r="I313" s="759" t="s">
        <v>377</v>
      </c>
      <c r="J313" s="757" t="s">
        <v>377</v>
      </c>
      <c r="K313" s="757" t="s">
        <v>377</v>
      </c>
      <c r="L313" s="757" t="s">
        <v>377</v>
      </c>
      <c r="M313" s="757" t="s">
        <v>377</v>
      </c>
      <c r="N313" s="760" t="s">
        <v>377</v>
      </c>
      <c r="O313" s="787"/>
    </row>
    <row r="314" spans="1:15">
      <c r="A314" s="1121"/>
      <c r="B314" s="1124"/>
      <c r="C314" s="762" t="e">
        <f ca="1">IF((ROW()-ROW($C$95))/2&gt;=_2026년계약월별건수,"",OFFSET([1]!_2026년계약[#Data],_2026년계약첫열순번+(ROW()-ROW($C$95))/2,1,1,1))</f>
        <v>#REF!</v>
      </c>
      <c r="D314" s="763" t="e">
        <f ca="1">IF((ROW()-ROW($C$95))/2&gt;=_2026년계약월별건수,"",OFFSET([1]!_2026년계약[#Data],_2026년계약첫열순번+(ROW()-ROW($C$95))/2,1,1,1))</f>
        <v>#REF!</v>
      </c>
      <c r="E314" s="750" t="e">
        <f ca="1">IF((ROW()-ROW($C$95))/2&gt;=_2026년계약월별건수,"",OFFSET([1]!_2026년계약[#Data],_2026년계약첫열순번+(ROW()-ROW($C$95))/2,1,1,1))</f>
        <v>#REF!</v>
      </c>
      <c r="F314" s="750" t="e">
        <f ca="1">IF((ROW()-ROW($C$95))/2&gt;=_2026년계약월별건수,"",OFFSET([1]!_2026년계약[#Data],_2026년계약첫열순번+(ROW()-ROW($C$95))/2,1,1,1))</f>
        <v>#REF!</v>
      </c>
      <c r="G314" s="750" t="e">
        <f ca="1">IF((ROW()-ROW($C$95))/2&gt;=_2026년계약월별건수,"",OFFSET([1]!_2026년계약[#Data],_2026년계약첫열순번+(ROW()-ROW($C$95))/2,1,1,1))</f>
        <v>#REF!</v>
      </c>
      <c r="H314" s="751" t="e">
        <f ca="1">IF((ROW()-ROW($C$95))/2&gt;=_2026년계약월별건수,"",OFFSET([1]!_2026년계약[#Data],_2026년계약첫열순번+(ROW()-ROW($C$95))/2,1,1,1))</f>
        <v>#REF!</v>
      </c>
      <c r="I314" s="752" t="e">
        <f ca="1">IF((ROW()-ROW($C$95))/2&gt;=_2026년계약월별건수,"",OFFSET([1]!_2026년계약[#Data],_2026년계약첫열순번+(ROW()-ROW($C$95))/2,1,1,1))</f>
        <v>#REF!</v>
      </c>
      <c r="J314" s="750" t="e">
        <f ca="1">IF((ROW()-ROW($C$95))/2&gt;=_2026년계약월별건수,"",OFFSET([1]!_2026년계약[#Data],_2026년계약첫열순번+(ROW()-ROW($C$95))/2,1,1,1))</f>
        <v>#REF!</v>
      </c>
      <c r="K314" s="750" t="e">
        <f ca="1">IF((ROW()-ROW($C$95))/2&gt;=_2026년계약월별건수,"",OFFSET([1]!_2026년계약[#Data],_2026년계약첫열순번+(ROW()-ROW($C$95))/2,1,1,1))</f>
        <v>#REF!</v>
      </c>
      <c r="L314" s="764" t="e">
        <f ca="1">IF((ROW()-ROW($C$95))/2&gt;=_2026년계약월별건수,"",OFFSET([1]!_2026년계약[#Data],_2026년계약첫열순번+(ROW()-ROW($C$95))/2,1,1,1))</f>
        <v>#REF!</v>
      </c>
      <c r="M314" s="750" t="e">
        <f ca="1">IF((ROW()-ROW($C$95))/2&gt;=_2026년계약월별건수,"",OFFSET([1]!_2026년계약[#Data],_2026년계약첫열순번+(ROW()-ROW($C$95))/2,1,1,1))</f>
        <v>#REF!</v>
      </c>
      <c r="N314" s="753" t="e">
        <f ca="1">IF((ROW()-ROW($C$95))/2&gt;=_2026년계약월별건수,"",OFFSET([1]!_2026년계약[#Data],_2026년계약첫열순번+(ROW()-ROW($C$95))/2,1,1,1))</f>
        <v>#REF!</v>
      </c>
      <c r="O314" s="788"/>
    </row>
    <row r="315" spans="1:15" ht="17.25" thickBot="1">
      <c r="A315" s="1121"/>
      <c r="B315" s="789" t="s">
        <v>353</v>
      </c>
      <c r="C315" s="790">
        <v>67</v>
      </c>
      <c r="D315" s="791">
        <v>1447</v>
      </c>
      <c r="E315" s="791">
        <v>380</v>
      </c>
      <c r="F315" s="791">
        <v>0</v>
      </c>
      <c r="G315" s="791">
        <v>0</v>
      </c>
      <c r="H315" s="792">
        <v>0</v>
      </c>
      <c r="I315" s="793">
        <v>0</v>
      </c>
      <c r="J315" s="791">
        <v>1098</v>
      </c>
      <c r="K315" s="791">
        <v>4497</v>
      </c>
      <c r="L315" s="791">
        <v>0</v>
      </c>
      <c r="M315" s="791">
        <v>0</v>
      </c>
      <c r="N315" s="794">
        <v>3429</v>
      </c>
      <c r="O315" s="795">
        <f>SUM(C315:N315)</f>
        <v>10918</v>
      </c>
    </row>
    <row r="316" spans="1:15">
      <c r="A316" s="881"/>
      <c r="B316" s="881"/>
      <c r="C316" s="882"/>
      <c r="D316" s="883"/>
      <c r="E316" s="883"/>
      <c r="F316" s="883"/>
      <c r="G316" s="883"/>
      <c r="H316" s="883"/>
      <c r="I316" s="883"/>
      <c r="J316" s="883"/>
      <c r="K316" s="883"/>
      <c r="L316" s="883"/>
      <c r="M316" s="883"/>
      <c r="N316" s="883"/>
      <c r="O316" s="883"/>
    </row>
    <row r="317" spans="1:15">
      <c r="A317" s="885"/>
      <c r="B317" s="886"/>
      <c r="C317" s="887"/>
      <c r="D317" s="888"/>
      <c r="E317" s="888"/>
      <c r="F317" s="888"/>
      <c r="G317" s="888"/>
      <c r="H317" s="888"/>
      <c r="I317" s="888"/>
      <c r="J317" s="888"/>
      <c r="K317" s="888"/>
      <c r="L317" s="888"/>
      <c r="M317" s="888"/>
      <c r="N317" s="888"/>
      <c r="O317" s="888"/>
    </row>
    <row r="318" spans="1:15" ht="19.5" thickBot="1">
      <c r="A318" s="890" t="s">
        <v>417</v>
      </c>
      <c r="B318" s="891"/>
      <c r="C318" s="892"/>
      <c r="D318" s="893"/>
      <c r="E318" s="893"/>
      <c r="F318" s="893"/>
      <c r="G318" s="893"/>
      <c r="H318" s="893"/>
      <c r="I318" s="893"/>
      <c r="J318" s="893"/>
      <c r="K318" s="893"/>
      <c r="L318" s="893"/>
      <c r="M318" s="893"/>
      <c r="N318" s="893"/>
      <c r="O318" s="893"/>
    </row>
    <row r="319" spans="1:15" ht="17.25" thickBot="1">
      <c r="A319" s="895" t="s">
        <v>357</v>
      </c>
      <c r="B319" s="896" t="s">
        <v>358</v>
      </c>
      <c r="C319" s="896" t="s">
        <v>359</v>
      </c>
      <c r="D319" s="896" t="s">
        <v>360</v>
      </c>
      <c r="E319" s="896" t="s">
        <v>70</v>
      </c>
      <c r="F319" s="896" t="s">
        <v>72</v>
      </c>
      <c r="G319" s="896" t="s">
        <v>73</v>
      </c>
      <c r="H319" s="896" t="s">
        <v>74</v>
      </c>
      <c r="I319" s="896" t="s">
        <v>75</v>
      </c>
      <c r="J319" s="896" t="s">
        <v>76</v>
      </c>
      <c r="K319" s="896" t="s">
        <v>77</v>
      </c>
      <c r="L319" s="896" t="s">
        <v>78</v>
      </c>
      <c r="M319" s="896" t="s">
        <v>79</v>
      </c>
      <c r="N319" s="896" t="s">
        <v>80</v>
      </c>
      <c r="O319" s="897" t="s">
        <v>81</v>
      </c>
    </row>
    <row r="320" spans="1:15">
      <c r="A320" s="920"/>
      <c r="B320" s="921"/>
      <c r="C320" s="900"/>
      <c r="D320" s="901"/>
      <c r="E320" s="901"/>
      <c r="F320" s="901"/>
      <c r="G320" s="901"/>
      <c r="H320" s="901"/>
      <c r="I320" s="901"/>
      <c r="J320" s="901"/>
      <c r="K320" s="901"/>
      <c r="L320" s="901"/>
      <c r="M320" s="901"/>
      <c r="N320" s="901"/>
      <c r="O320" s="902"/>
    </row>
    <row r="321" spans="1:15" ht="17.25" thickBot="1">
      <c r="A321" s="904"/>
      <c r="B321" s="905"/>
      <c r="C321" s="906"/>
      <c r="D321" s="907"/>
      <c r="E321" s="908"/>
      <c r="F321" s="908"/>
      <c r="G321" s="908"/>
      <c r="H321" s="908"/>
      <c r="I321" s="908"/>
      <c r="J321" s="908"/>
      <c r="K321" s="908"/>
      <c r="L321" s="908"/>
      <c r="M321" s="909"/>
      <c r="N321" s="909"/>
      <c r="O321" s="910"/>
    </row>
    <row r="322" spans="1:15" ht="17.25" thickBot="1">
      <c r="A322" s="911" t="s">
        <v>362</v>
      </c>
      <c r="B322" s="912"/>
      <c r="C322" s="913">
        <f t="shared" ref="C322:O322" si="13">SUM(C320:C321)</f>
        <v>0</v>
      </c>
      <c r="D322" s="913">
        <f t="shared" si="13"/>
        <v>0</v>
      </c>
      <c r="E322" s="913">
        <f t="shared" si="13"/>
        <v>0</v>
      </c>
      <c r="F322" s="913">
        <f t="shared" si="13"/>
        <v>0</v>
      </c>
      <c r="G322" s="913">
        <f t="shared" si="13"/>
        <v>0</v>
      </c>
      <c r="H322" s="913">
        <f t="shared" si="13"/>
        <v>0</v>
      </c>
      <c r="I322" s="913">
        <f t="shared" si="13"/>
        <v>0</v>
      </c>
      <c r="J322" s="913">
        <f t="shared" si="13"/>
        <v>0</v>
      </c>
      <c r="K322" s="913">
        <f t="shared" si="13"/>
        <v>0</v>
      </c>
      <c r="L322" s="913">
        <f t="shared" si="13"/>
        <v>0</v>
      </c>
      <c r="M322" s="913">
        <f t="shared" si="13"/>
        <v>0</v>
      </c>
      <c r="N322" s="913">
        <f t="shared" si="13"/>
        <v>0</v>
      </c>
      <c r="O322" s="913">
        <f t="shared" si="13"/>
        <v>0</v>
      </c>
    </row>
  </sheetData>
  <mergeCells count="36">
    <mergeCell ref="A270:A296"/>
    <mergeCell ref="B270:B295"/>
    <mergeCell ref="A297:A315"/>
    <mergeCell ref="B297:B314"/>
    <mergeCell ref="A249:A255"/>
    <mergeCell ref="B249:B254"/>
    <mergeCell ref="A268:B269"/>
    <mergeCell ref="C268:H268"/>
    <mergeCell ref="I268:N268"/>
    <mergeCell ref="O268:O269"/>
    <mergeCell ref="A232:B233"/>
    <mergeCell ref="C232:H232"/>
    <mergeCell ref="I232:N232"/>
    <mergeCell ref="O232:O233"/>
    <mergeCell ref="A234:A248"/>
    <mergeCell ref="B234:B247"/>
    <mergeCell ref="I126:N126"/>
    <mergeCell ref="O126:O127"/>
    <mergeCell ref="A128:A138"/>
    <mergeCell ref="B128:B137"/>
    <mergeCell ref="A139:A219"/>
    <mergeCell ref="B139:B154"/>
    <mergeCell ref="B156:B186"/>
    <mergeCell ref="B188:B218"/>
    <mergeCell ref="C126:H126"/>
    <mergeCell ref="A31:A113"/>
    <mergeCell ref="B31:B48"/>
    <mergeCell ref="B50:B80"/>
    <mergeCell ref="B82:B112"/>
    <mergeCell ref="A126:B127"/>
    <mergeCell ref="A4:B5"/>
    <mergeCell ref="C4:H4"/>
    <mergeCell ref="I4:N4"/>
    <mergeCell ref="O4:O5"/>
    <mergeCell ref="A6:A30"/>
    <mergeCell ref="B6:B29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56"/>
  <sheetViews>
    <sheetView view="pageBreakPreview" zoomScaleNormal="100" zoomScaleSheetLayoutView="100" workbookViewId="0">
      <selection activeCell="F7" sqref="F7"/>
    </sheetView>
  </sheetViews>
  <sheetFormatPr defaultRowHeight="16.5"/>
  <cols>
    <col min="1" max="1" width="1.875" customWidth="1"/>
    <col min="2" max="2" width="12.375" bestFit="1" customWidth="1"/>
    <col min="3" max="3" width="22.75" bestFit="1" customWidth="1"/>
    <col min="4" max="6" width="13.375" customWidth="1"/>
    <col min="7" max="7" width="17.625" bestFit="1" customWidth="1"/>
    <col min="8" max="9" width="13.375" customWidth="1"/>
    <col min="10" max="10" width="14.25" customWidth="1"/>
    <col min="11" max="11" width="13.375" customWidth="1"/>
    <col min="12" max="12" width="19.375" customWidth="1"/>
  </cols>
  <sheetData>
    <row r="1" spans="2:12" ht="26.25">
      <c r="B1" s="535" t="s">
        <v>215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2:12" ht="18" customHeight="1" thickBot="1">
      <c r="L2" s="98" t="s">
        <v>499</v>
      </c>
    </row>
    <row r="3" spans="2:12">
      <c r="B3" s="333"/>
      <c r="C3" s="334"/>
      <c r="D3" s="335" t="s">
        <v>0</v>
      </c>
      <c r="E3" s="336"/>
      <c r="F3" s="336"/>
      <c r="G3" s="337"/>
      <c r="H3" s="337"/>
      <c r="I3" s="337"/>
      <c r="J3" s="337"/>
      <c r="K3" s="337"/>
      <c r="L3" s="337"/>
    </row>
    <row r="4" spans="2:12">
      <c r="B4" s="338" t="s">
        <v>1</v>
      </c>
      <c r="C4" s="339" t="s">
        <v>2</v>
      </c>
      <c r="D4" s="340" t="s">
        <v>3</v>
      </c>
      <c r="E4" s="341"/>
      <c r="F4" s="342" t="s">
        <v>4</v>
      </c>
      <c r="G4" s="343"/>
      <c r="H4" s="344"/>
      <c r="I4" s="345" t="s">
        <v>5</v>
      </c>
      <c r="J4" s="346"/>
      <c r="K4" s="345" t="s">
        <v>40</v>
      </c>
      <c r="L4" s="344"/>
    </row>
    <row r="5" spans="2:12" ht="17.25" thickBot="1">
      <c r="B5" s="347"/>
      <c r="C5" s="348"/>
      <c r="D5" s="127" t="s">
        <v>6</v>
      </c>
      <c r="E5" s="349" t="s">
        <v>7</v>
      </c>
      <c r="F5" s="127" t="s">
        <v>6</v>
      </c>
      <c r="G5" s="350" t="s">
        <v>216</v>
      </c>
      <c r="H5" s="129" t="s">
        <v>8</v>
      </c>
      <c r="I5" s="349" t="s">
        <v>6</v>
      </c>
      <c r="J5" s="351" t="s">
        <v>217</v>
      </c>
      <c r="K5" s="349" t="s">
        <v>9</v>
      </c>
      <c r="L5" s="352" t="s">
        <v>218</v>
      </c>
    </row>
    <row r="6" spans="2:12">
      <c r="B6" s="353"/>
      <c r="C6" s="354" t="s">
        <v>334</v>
      </c>
      <c r="D6" s="1">
        <f>'2-1 공급전(총괄)'!K12</f>
        <v>31665</v>
      </c>
      <c r="E6" s="930">
        <f>'2-1 공급전(총괄)'!K13</f>
        <v>32420</v>
      </c>
      <c r="F6" s="1">
        <f>'2-1 공급전(총괄)'!K14</f>
        <v>18310</v>
      </c>
      <c r="G6" s="355">
        <f>IFERROR(F6/E6*100,"")</f>
        <v>56.47748303516348</v>
      </c>
      <c r="H6" s="356"/>
      <c r="I6" s="930">
        <f>'2-1 공급전(총괄)'!K15</f>
        <v>16145</v>
      </c>
      <c r="J6" s="357">
        <f>IFERROR(I6/F6*100,"")</f>
        <v>88.17586018569088</v>
      </c>
      <c r="K6" s="930">
        <f>'2-1 공급전(총괄)'!K16</f>
        <v>9141</v>
      </c>
      <c r="L6" s="358">
        <f>IFERROR(K6/I6*100,"")</f>
        <v>56.618148033446893</v>
      </c>
    </row>
    <row r="7" spans="2:12">
      <c r="B7" s="201" t="s">
        <v>333</v>
      </c>
      <c r="C7" s="359" t="s">
        <v>341</v>
      </c>
      <c r="D7" s="397">
        <f>'3-1 공급량(총괄)'!D23</f>
        <v>47722728</v>
      </c>
      <c r="E7" s="398">
        <f>'3-1 공급량(총괄)'!E23</f>
        <v>45311546</v>
      </c>
      <c r="F7" s="1020">
        <f>'3-1 공급량(총괄)'!F23</f>
        <v>45384427</v>
      </c>
      <c r="G7" s="363">
        <f t="shared" ref="G7:G8" si="0">IFERROR(F7/E7*100,"")</f>
        <v>100.16084421396701</v>
      </c>
      <c r="H7" s="162"/>
      <c r="I7" s="398">
        <f>'3-1 공급량(총괄)'!I23</f>
        <v>45579429</v>
      </c>
      <c r="J7" s="364">
        <f t="shared" ref="J7:J8" si="1">IFERROR(I7/F7*100,"")</f>
        <v>100.42966720721185</v>
      </c>
      <c r="K7" s="398">
        <f>'3-1 공급량(총괄)'!J23</f>
        <v>46970996</v>
      </c>
      <c r="L7" s="365">
        <f t="shared" ref="L7:L8" si="2">IFERROR(K7/I7*100,"")</f>
        <v>103.05305930883864</v>
      </c>
    </row>
    <row r="8" spans="2:12">
      <c r="B8" s="353"/>
      <c r="C8" s="366"/>
      <c r="D8" s="367"/>
      <c r="E8" s="212"/>
      <c r="F8" s="367"/>
      <c r="G8" s="368" t="str">
        <f t="shared" si="0"/>
        <v/>
      </c>
      <c r="H8" s="143"/>
      <c r="I8" s="212"/>
      <c r="J8" s="369" t="str">
        <f t="shared" si="1"/>
        <v/>
      </c>
      <c r="K8" s="212"/>
      <c r="L8" s="370" t="str">
        <f t="shared" si="2"/>
        <v/>
      </c>
    </row>
    <row r="9" spans="2:12">
      <c r="B9" s="371"/>
      <c r="C9" s="372" t="s">
        <v>11</v>
      </c>
      <c r="D9" s="373"/>
      <c r="E9" s="374"/>
      <c r="F9" s="373"/>
      <c r="G9" s="375"/>
      <c r="H9" s="376"/>
      <c r="I9" s="374"/>
      <c r="J9" s="377"/>
      <c r="K9" s="374"/>
      <c r="L9" s="378"/>
    </row>
    <row r="10" spans="2:12">
      <c r="B10" s="353"/>
      <c r="C10" s="354"/>
      <c r="D10" s="1"/>
      <c r="E10" s="226"/>
      <c r="F10" s="1"/>
      <c r="G10" s="355" t="str">
        <f>IFERROR(F10/E10*100,"")</f>
        <v/>
      </c>
      <c r="H10" s="356"/>
      <c r="I10" s="226"/>
      <c r="J10" s="357" t="str">
        <f>IFERROR(I10/F10*100,"")</f>
        <v/>
      </c>
      <c r="K10" s="226"/>
      <c r="L10" s="358" t="str">
        <f>IFERROR(K10/I10*100,"")</f>
        <v/>
      </c>
    </row>
    <row r="11" spans="2:12">
      <c r="B11" s="201" t="s">
        <v>10</v>
      </c>
      <c r="C11" s="359"/>
      <c r="D11" s="360"/>
      <c r="E11" s="361"/>
      <c r="F11" s="362"/>
      <c r="G11" s="363" t="str">
        <f t="shared" ref="G11:G44" si="3">IFERROR(F11/E11*100,"")</f>
        <v/>
      </c>
      <c r="H11" s="162"/>
      <c r="I11" s="361"/>
      <c r="J11" s="364" t="str">
        <f t="shared" ref="J11:J44" si="4">IFERROR(I11/F11*100,"")</f>
        <v/>
      </c>
      <c r="K11" s="361"/>
      <c r="L11" s="365" t="str">
        <f t="shared" ref="L11:L44" si="5">IFERROR(K11/I11*100,"")</f>
        <v/>
      </c>
    </row>
    <row r="12" spans="2:12">
      <c r="B12" s="353"/>
      <c r="C12" s="366"/>
      <c r="D12" s="367"/>
      <c r="E12" s="212"/>
      <c r="F12" s="367"/>
      <c r="G12" s="368" t="str">
        <f t="shared" si="3"/>
        <v/>
      </c>
      <c r="H12" s="143"/>
      <c r="I12" s="212"/>
      <c r="J12" s="369" t="str">
        <f t="shared" si="4"/>
        <v/>
      </c>
      <c r="K12" s="212"/>
      <c r="L12" s="370" t="str">
        <f t="shared" si="5"/>
        <v/>
      </c>
    </row>
    <row r="13" spans="2:12">
      <c r="B13" s="371"/>
      <c r="C13" s="372" t="s">
        <v>11</v>
      </c>
      <c r="D13" s="373">
        <f>SUM(D10:D12)</f>
        <v>0</v>
      </c>
      <c r="E13" s="374">
        <f>SUM(E10:E12)</f>
        <v>0</v>
      </c>
      <c r="F13" s="373">
        <f>SUM(F10:F12)</f>
        <v>0</v>
      </c>
      <c r="G13" s="375" t="str">
        <f t="shared" si="3"/>
        <v/>
      </c>
      <c r="H13" s="376"/>
      <c r="I13" s="374">
        <f>SUM(I10:I12)</f>
        <v>0</v>
      </c>
      <c r="J13" s="377" t="str">
        <f t="shared" si="4"/>
        <v/>
      </c>
      <c r="K13" s="374">
        <f>SUM(K10:K12)</f>
        <v>0</v>
      </c>
      <c r="L13" s="378" t="str">
        <f t="shared" si="5"/>
        <v/>
      </c>
    </row>
    <row r="14" spans="2:12">
      <c r="B14" s="379"/>
      <c r="C14" s="380" t="s">
        <v>12</v>
      </c>
      <c r="D14" s="381">
        <f>VLOOKUP(C14,'4-1. 24년 기타경비 실적'!$A$5:$E$77,3,0)</f>
        <v>10970</v>
      </c>
      <c r="E14" s="382">
        <f>VLOOKUP(C14,'4-1. 24년 기타경비 실적'!A5:E77,4,0)</f>
        <v>12647</v>
      </c>
      <c r="F14" s="381">
        <f>VLOOKUP('1. 25년 사업계획 총현황'!C14,'4-2. 25년 기타경비 계획'!$A$5:$E$69,5,0)</f>
        <v>13020</v>
      </c>
      <c r="G14" s="355">
        <f t="shared" si="3"/>
        <v>102.94931604333044</v>
      </c>
      <c r="H14" s="356"/>
      <c r="I14" s="382">
        <f>VLOOKUP(C14,'4-3. 기타경비(중장기)'!$A$5:$D$75,4,0)</f>
        <v>13404</v>
      </c>
      <c r="J14" s="357">
        <f t="shared" si="4"/>
        <v>102.94930875576036</v>
      </c>
      <c r="K14" s="382">
        <f>VLOOKUP(C14,'4-3. 기타경비(중장기)'!$A$81:$D$151,4,0)</f>
        <v>13800</v>
      </c>
      <c r="L14" s="358">
        <f t="shared" si="5"/>
        <v>102.95434198746642</v>
      </c>
    </row>
    <row r="15" spans="2:12">
      <c r="B15" s="353"/>
      <c r="C15" s="383" t="s">
        <v>13</v>
      </c>
      <c r="D15" s="163">
        <f>VLOOKUP(C15,'4-1. 24년 기타경비 실적'!$A$5:$E$77,3,0)</f>
        <v>0</v>
      </c>
      <c r="E15" s="384">
        <f>VLOOKUP(C15,'4-1. 24년 기타경비 실적'!A6:E78,4,0)</f>
        <v>0</v>
      </c>
      <c r="F15" s="163">
        <f>VLOOKUP('1. 25년 사업계획 총현황'!C15,'4-2. 25년 기타경비 계획'!$A$5:$E$69,5,0)</f>
        <v>0</v>
      </c>
      <c r="G15" s="363" t="str">
        <f t="shared" si="3"/>
        <v/>
      </c>
      <c r="H15" s="162"/>
      <c r="I15" s="384">
        <f>VLOOKUP(C15,'4-3. 기타경비(중장기)'!$A$5:$D$75,4,0)</f>
        <v>0</v>
      </c>
      <c r="J15" s="364" t="str">
        <f t="shared" si="4"/>
        <v/>
      </c>
      <c r="K15" s="384">
        <f>VLOOKUP(C15,'4-3. 기타경비(중장기)'!$A$81:$D$151,4,0)</f>
        <v>0</v>
      </c>
      <c r="L15" s="365" t="str">
        <f t="shared" si="5"/>
        <v/>
      </c>
    </row>
    <row r="16" spans="2:12">
      <c r="B16" s="353"/>
      <c r="C16" s="383" t="s">
        <v>14</v>
      </c>
      <c r="D16" s="163">
        <f>VLOOKUP(C16,'4-1. 24년 기타경비 실적'!$A$5:$E$77,3,0)</f>
        <v>8312</v>
      </c>
      <c r="E16" s="384">
        <f>VLOOKUP(C16,'4-1. 24년 기타경비 실적'!A7:E79,4,0)</f>
        <v>7172</v>
      </c>
      <c r="F16" s="163">
        <f>VLOOKUP('1. 25년 사업계획 총현황'!C16,'4-2. 25년 기타경비 계획'!$A$5:$E$69,5,0)</f>
        <v>8084</v>
      </c>
      <c r="G16" s="363">
        <f t="shared" si="3"/>
        <v>112.71611823759062</v>
      </c>
      <c r="H16" s="162"/>
      <c r="I16" s="384">
        <f>VLOOKUP(C16,'4-3. 기타경비(중장기)'!$A$5:$D$75,4,0)</f>
        <v>8084</v>
      </c>
      <c r="J16" s="364">
        <f t="shared" si="4"/>
        <v>100</v>
      </c>
      <c r="K16" s="384">
        <f>VLOOKUP(C16,'4-3. 기타경비(중장기)'!$A$81:$D$151,4,0)</f>
        <v>8084</v>
      </c>
      <c r="L16" s="365">
        <f t="shared" si="5"/>
        <v>100</v>
      </c>
    </row>
    <row r="17" spans="2:12">
      <c r="B17" s="385" t="s">
        <v>15</v>
      </c>
      <c r="C17" s="383" t="s">
        <v>16</v>
      </c>
      <c r="D17" s="163">
        <f>VLOOKUP(C17,'4-1. 24년 기타경비 실적'!$A$5:$E$77,3,0)</f>
        <v>435</v>
      </c>
      <c r="E17" s="384">
        <f>VLOOKUP(C17,'4-1. 24년 기타경비 실적'!A8:E80,4,0)</f>
        <v>400</v>
      </c>
      <c r="F17" s="163">
        <f>VLOOKUP('1. 25년 사업계획 총현황'!C17,'4-2. 25년 기타경비 계획'!$A$5:$E$69,5,0)</f>
        <v>480</v>
      </c>
      <c r="G17" s="363">
        <f t="shared" si="3"/>
        <v>120</v>
      </c>
      <c r="H17" s="162"/>
      <c r="I17" s="384">
        <f>VLOOKUP(C17,'4-3. 기타경비(중장기)'!$A$5:$D$75,4,0)</f>
        <v>540</v>
      </c>
      <c r="J17" s="364">
        <f t="shared" si="4"/>
        <v>112.5</v>
      </c>
      <c r="K17" s="384">
        <f>VLOOKUP(C17,'4-3. 기타경비(중장기)'!$A$81:$D$151,4,0)</f>
        <v>540</v>
      </c>
      <c r="L17" s="365">
        <f t="shared" si="5"/>
        <v>100</v>
      </c>
    </row>
    <row r="18" spans="2:12">
      <c r="B18" s="353"/>
      <c r="C18" s="383" t="s">
        <v>17</v>
      </c>
      <c r="D18" s="163">
        <f>VLOOKUP(C18,'4-1. 24년 기타경비 실적'!$A$5:$E$77,3,0)</f>
        <v>5940</v>
      </c>
      <c r="E18" s="384">
        <f>VLOOKUP(C18,'4-1. 24년 기타경비 실적'!A9:E81,4,0)</f>
        <v>1845</v>
      </c>
      <c r="F18" s="163">
        <f>VLOOKUP('1. 25년 사업계획 총현황'!C18,'4-2. 25년 기타경비 계획'!$A$5:$E$69,5,0)</f>
        <v>2500</v>
      </c>
      <c r="G18" s="363">
        <f t="shared" si="3"/>
        <v>135.50135501355015</v>
      </c>
      <c r="H18" s="162"/>
      <c r="I18" s="384">
        <f>VLOOKUP(C18,'4-3. 기타경비(중장기)'!$A$5:$D$75,4,0)</f>
        <v>2500</v>
      </c>
      <c r="J18" s="364">
        <f t="shared" si="4"/>
        <v>100</v>
      </c>
      <c r="K18" s="384">
        <f>VLOOKUP(C18,'4-3. 기타경비(중장기)'!$A$81:$D$151,4,0)</f>
        <v>2500</v>
      </c>
      <c r="L18" s="365">
        <f t="shared" si="5"/>
        <v>100</v>
      </c>
    </row>
    <row r="19" spans="2:12">
      <c r="B19" s="353"/>
      <c r="C19" s="383" t="s">
        <v>18</v>
      </c>
      <c r="D19" s="163">
        <f>VLOOKUP(C19,'4-1. 24년 기타경비 실적'!$A$5:$E$77,3,0)</f>
        <v>0</v>
      </c>
      <c r="E19" s="384">
        <f>VLOOKUP(C19,'4-1. 24년 기타경비 실적'!A10:E82,4,0)</f>
        <v>0</v>
      </c>
      <c r="F19" s="163">
        <f>VLOOKUP('1. 25년 사업계획 총현황'!C19,'4-2. 25년 기타경비 계획'!$A$5:$E$69,5,0)</f>
        <v>0</v>
      </c>
      <c r="G19" s="363" t="str">
        <f t="shared" si="3"/>
        <v/>
      </c>
      <c r="H19" s="162"/>
      <c r="I19" s="384">
        <f>VLOOKUP(C19,'4-3. 기타경비(중장기)'!$A$5:$D$75,4,0)</f>
        <v>0</v>
      </c>
      <c r="J19" s="364" t="str">
        <f t="shared" si="4"/>
        <v/>
      </c>
      <c r="K19" s="384">
        <f>VLOOKUP(C19,'4-3. 기타경비(중장기)'!$A$81:$D$151,4,0)</f>
        <v>0</v>
      </c>
      <c r="L19" s="365" t="str">
        <f t="shared" si="5"/>
        <v/>
      </c>
    </row>
    <row r="20" spans="2:12">
      <c r="B20" s="353"/>
      <c r="C20" s="383" t="s">
        <v>19</v>
      </c>
      <c r="D20" s="163">
        <f>VLOOKUP(C20,'4-1. 24년 기타경비 실적'!$A$5:$E$77,3,0)</f>
        <v>1950</v>
      </c>
      <c r="E20" s="384">
        <f>VLOOKUP(C20,'4-1. 24년 기타경비 실적'!A11:E83,4,0)</f>
        <v>1880</v>
      </c>
      <c r="F20" s="163">
        <f>VLOOKUP('1. 25년 사업계획 총현황'!C20,'4-2. 25년 기타경비 계획'!$A$5:$E$69,5,0)</f>
        <v>1950</v>
      </c>
      <c r="G20" s="363">
        <f t="shared" si="3"/>
        <v>103.72340425531914</v>
      </c>
      <c r="H20" s="162"/>
      <c r="I20" s="384">
        <f>VLOOKUP(C20,'4-3. 기타경비(중장기)'!$A$5:$D$75,4,0)</f>
        <v>1950</v>
      </c>
      <c r="J20" s="364">
        <f t="shared" si="4"/>
        <v>100</v>
      </c>
      <c r="K20" s="384">
        <f>VLOOKUP(C20,'4-3. 기타경비(중장기)'!$A$81:$D$151,4,0)</f>
        <v>1950</v>
      </c>
      <c r="L20" s="365">
        <f t="shared" si="5"/>
        <v>100</v>
      </c>
    </row>
    <row r="21" spans="2:12">
      <c r="B21" s="353"/>
      <c r="C21" s="383" t="s">
        <v>20</v>
      </c>
      <c r="D21" s="163">
        <f>VLOOKUP(C21,'4-1. 24년 기타경비 실적'!$A$5:$E$77,3,0)</f>
        <v>0</v>
      </c>
      <c r="E21" s="384">
        <f>VLOOKUP(C21,'4-1. 24년 기타경비 실적'!A12:E84,4,0)</f>
        <v>171</v>
      </c>
      <c r="F21" s="163">
        <f>VLOOKUP('1. 25년 사업계획 총현황'!C21,'4-2. 25년 기타경비 계획'!$A$5:$E$69,5,0)</f>
        <v>0</v>
      </c>
      <c r="G21" s="363">
        <f t="shared" si="3"/>
        <v>0</v>
      </c>
      <c r="H21" s="162"/>
      <c r="I21" s="384">
        <f>VLOOKUP(C21,'4-3. 기타경비(중장기)'!$A$5:$D$75,4,0)</f>
        <v>0</v>
      </c>
      <c r="J21" s="364" t="str">
        <f t="shared" si="4"/>
        <v/>
      </c>
      <c r="K21" s="384">
        <f>VLOOKUP(C21,'4-3. 기타경비(중장기)'!$A$81:$D$151,4,0)</f>
        <v>0</v>
      </c>
      <c r="L21" s="365" t="str">
        <f t="shared" si="5"/>
        <v/>
      </c>
    </row>
    <row r="22" spans="2:12">
      <c r="B22" s="353"/>
      <c r="C22" s="383" t="s">
        <v>21</v>
      </c>
      <c r="D22" s="163">
        <f>VLOOKUP(C22,'4-1. 24년 기타경비 실적'!$A$5:$E$77,3,0)</f>
        <v>2000</v>
      </c>
      <c r="E22" s="384">
        <f>VLOOKUP(C22,'4-1. 24년 기타경비 실적'!A13:E85,4,0)</f>
        <v>2000</v>
      </c>
      <c r="F22" s="163">
        <f>VLOOKUP('1. 25년 사업계획 총현황'!C22,'4-2. 25년 기타경비 계획'!$A$5:$E$69,5,0)</f>
        <v>1500</v>
      </c>
      <c r="G22" s="363">
        <f t="shared" si="3"/>
        <v>75</v>
      </c>
      <c r="H22" s="162"/>
      <c r="I22" s="384">
        <f>VLOOKUP(C22,'4-3. 기타경비(중장기)'!$A$5:$D$75,4,0)</f>
        <v>1000</v>
      </c>
      <c r="J22" s="364">
        <f t="shared" si="4"/>
        <v>66.666666666666657</v>
      </c>
      <c r="K22" s="384">
        <f>VLOOKUP(C22,'4-3. 기타경비(중장기)'!$A$81:$D$151,4,0)</f>
        <v>1000</v>
      </c>
      <c r="L22" s="365">
        <f t="shared" si="5"/>
        <v>100</v>
      </c>
    </row>
    <row r="23" spans="2:12">
      <c r="B23" s="353"/>
      <c r="C23" s="383" t="s">
        <v>22</v>
      </c>
      <c r="D23" s="163">
        <f>VLOOKUP(C23,'4-1. 24년 기타경비 실적'!$A$5:$E$77,3,0)</f>
        <v>22500</v>
      </c>
      <c r="E23" s="384">
        <f>VLOOKUP(C23,'4-1. 24년 기타경비 실적'!A14:E86,4,0)</f>
        <v>21989</v>
      </c>
      <c r="F23" s="163">
        <f>VLOOKUP('1. 25년 사업계획 총현황'!C23,'4-2. 25년 기타경비 계획'!$A$5:$E$69,5,0)</f>
        <v>22500</v>
      </c>
      <c r="G23" s="363">
        <f t="shared" si="3"/>
        <v>102.32388921733595</v>
      </c>
      <c r="H23" s="162"/>
      <c r="I23" s="384">
        <f>VLOOKUP(C23,'4-3. 기타경비(중장기)'!$A$5:$D$75,4,0)</f>
        <v>22500</v>
      </c>
      <c r="J23" s="364">
        <f t="shared" si="4"/>
        <v>100</v>
      </c>
      <c r="K23" s="384">
        <f>VLOOKUP(C23,'4-3. 기타경비(중장기)'!$A$81:$D$151,4,0)</f>
        <v>22500</v>
      </c>
      <c r="L23" s="365">
        <f t="shared" si="5"/>
        <v>100</v>
      </c>
    </row>
    <row r="24" spans="2:12">
      <c r="B24" s="353"/>
      <c r="C24" s="383" t="s">
        <v>23</v>
      </c>
      <c r="D24" s="163">
        <f>VLOOKUP(C24,'4-1. 24년 기타경비 실적'!$A$5:$E$77,3,0)</f>
        <v>4240</v>
      </c>
      <c r="E24" s="384">
        <f>VLOOKUP(C24,'4-1. 24년 기타경비 실적'!A15:E87,4,0)</f>
        <v>2237</v>
      </c>
      <c r="F24" s="163">
        <f>VLOOKUP('1. 25년 사업계획 총현황'!C24,'4-2. 25년 기타경비 계획'!$A$5:$E$69,5,0)</f>
        <v>2740</v>
      </c>
      <c r="G24" s="363">
        <f t="shared" si="3"/>
        <v>122.48547161376844</v>
      </c>
      <c r="H24" s="162"/>
      <c r="I24" s="384">
        <f>VLOOKUP(C24,'4-3. 기타경비(중장기)'!$A$5:$D$75,4,0)</f>
        <v>3300</v>
      </c>
      <c r="J24" s="364">
        <f t="shared" si="4"/>
        <v>120.43795620437956</v>
      </c>
      <c r="K24" s="384">
        <f>VLOOKUP(C24,'4-3. 기타경비(중장기)'!$A$81:$D$151,4,0)</f>
        <v>3300</v>
      </c>
      <c r="L24" s="365">
        <f t="shared" si="5"/>
        <v>100</v>
      </c>
    </row>
    <row r="25" spans="2:12">
      <c r="B25" s="353"/>
      <c r="C25" s="383" t="s">
        <v>24</v>
      </c>
      <c r="D25" s="163">
        <f>VLOOKUP(C25,'4-1. 24년 기타경비 실적'!$A$5:$E$77,3,0)</f>
        <v>0</v>
      </c>
      <c r="E25" s="384">
        <f>VLOOKUP(C25,'4-1. 24년 기타경비 실적'!A16:E88,4,0)</f>
        <v>0</v>
      </c>
      <c r="F25" s="163">
        <f>VLOOKUP('1. 25년 사업계획 총현황'!C25,'4-2. 25년 기타경비 계획'!$A$5:$E$69,5,0)</f>
        <v>0</v>
      </c>
      <c r="G25" s="363" t="str">
        <f t="shared" si="3"/>
        <v/>
      </c>
      <c r="H25" s="162"/>
      <c r="I25" s="384">
        <f>VLOOKUP(C25,'4-3. 기타경비(중장기)'!$A$5:$D$75,4,0)</f>
        <v>0</v>
      </c>
      <c r="J25" s="364" t="str">
        <f t="shared" si="4"/>
        <v/>
      </c>
      <c r="K25" s="384">
        <f>VLOOKUP(C25,'4-3. 기타경비(중장기)'!$A$81:$D$151,4,0)</f>
        <v>0</v>
      </c>
      <c r="L25" s="365" t="str">
        <f t="shared" si="5"/>
        <v/>
      </c>
    </row>
    <row r="26" spans="2:12">
      <c r="B26" s="353"/>
      <c r="C26" s="383" t="s">
        <v>25</v>
      </c>
      <c r="D26" s="163">
        <f>VLOOKUP(C26,'4-1. 24년 기타경비 실적'!$A$5:$E$77,3,0)</f>
        <v>0</v>
      </c>
      <c r="E26" s="384">
        <f>VLOOKUP(C26,'4-1. 24년 기타경비 실적'!A17:E89,4,0)</f>
        <v>0</v>
      </c>
      <c r="F26" s="163">
        <f>VLOOKUP('1. 25년 사업계획 총현황'!C26,'4-2. 25년 기타경비 계획'!$A$5:$E$69,5,0)</f>
        <v>0</v>
      </c>
      <c r="G26" s="363" t="str">
        <f t="shared" si="3"/>
        <v/>
      </c>
      <c r="H26" s="162"/>
      <c r="I26" s="384">
        <f>VLOOKUP(C26,'4-3. 기타경비(중장기)'!$A$5:$D$75,4,0)</f>
        <v>0</v>
      </c>
      <c r="J26" s="364" t="str">
        <f t="shared" si="4"/>
        <v/>
      </c>
      <c r="K26" s="384">
        <f>VLOOKUP(C26,'4-3. 기타경비(중장기)'!$A$81:$D$151,4,0)</f>
        <v>0</v>
      </c>
      <c r="L26" s="365" t="str">
        <f t="shared" si="5"/>
        <v/>
      </c>
    </row>
    <row r="27" spans="2:12">
      <c r="B27" s="353"/>
      <c r="C27" s="383" t="s">
        <v>26</v>
      </c>
      <c r="D27" s="163">
        <f>VLOOKUP(C27,'4-1. 24년 기타경비 실적'!$A$5:$E$77,3,0)</f>
        <v>6630</v>
      </c>
      <c r="E27" s="384">
        <f>VLOOKUP(C27,'4-1. 24년 기타경비 실적'!A18:E90,4,0)</f>
        <v>6574</v>
      </c>
      <c r="F27" s="163">
        <f>VLOOKUP('1. 25년 사업계획 총현황'!C27,'4-2. 25년 기타경비 계획'!$A$5:$E$69,5,0)</f>
        <v>7381</v>
      </c>
      <c r="G27" s="363">
        <f t="shared" si="3"/>
        <v>112.27563127471858</v>
      </c>
      <c r="H27" s="162"/>
      <c r="I27" s="384">
        <f>VLOOKUP(C27,'4-3. 기타경비(중장기)'!$A$5:$D$75,4,0)</f>
        <v>7681</v>
      </c>
      <c r="J27" s="364">
        <f t="shared" si="4"/>
        <v>104.06448990651673</v>
      </c>
      <c r="K27" s="384">
        <f>VLOOKUP(C27,'4-3. 기타경비(중장기)'!$A$81:$D$151,4,0)</f>
        <v>7681</v>
      </c>
      <c r="L27" s="365">
        <f t="shared" si="5"/>
        <v>100</v>
      </c>
    </row>
    <row r="28" spans="2:12">
      <c r="B28" s="353"/>
      <c r="C28" s="383" t="s">
        <v>27</v>
      </c>
      <c r="D28" s="163">
        <f>VLOOKUP(C28,'4-1. 24년 기타경비 실적'!$A$5:$E$77,3,0)</f>
        <v>0</v>
      </c>
      <c r="E28" s="384">
        <f>VLOOKUP(C28,'4-1. 24년 기타경비 실적'!A19:E91,4,0)</f>
        <v>0</v>
      </c>
      <c r="F28" s="163">
        <f>VLOOKUP('1. 25년 사업계획 총현황'!C28,'4-2. 25년 기타경비 계획'!$A$5:$E$69,5,0)</f>
        <v>0</v>
      </c>
      <c r="G28" s="363" t="str">
        <f t="shared" si="3"/>
        <v/>
      </c>
      <c r="H28" s="162"/>
      <c r="I28" s="384">
        <f>VLOOKUP(C28,'4-3. 기타경비(중장기)'!$A$5:$D$75,4,0)</f>
        <v>0</v>
      </c>
      <c r="J28" s="364" t="str">
        <f t="shared" si="4"/>
        <v/>
      </c>
      <c r="K28" s="384">
        <f>VLOOKUP(C28,'4-3. 기타경비(중장기)'!$A$81:$D$151,4,0)</f>
        <v>0</v>
      </c>
      <c r="L28" s="365" t="str">
        <f t="shared" si="5"/>
        <v/>
      </c>
    </row>
    <row r="29" spans="2:12">
      <c r="B29" s="353"/>
      <c r="C29" s="383" t="s">
        <v>28</v>
      </c>
      <c r="D29" s="163">
        <f>VLOOKUP(C29,'4-1. 24년 기타경비 실적'!$A$5:$E$77,3,0)</f>
        <v>20000</v>
      </c>
      <c r="E29" s="384">
        <f>VLOOKUP(C29,'4-1. 24년 기타경비 실적'!A20:E92,4,0)</f>
        <v>4193</v>
      </c>
      <c r="F29" s="163">
        <f>VLOOKUP('1. 25년 사업계획 총현황'!C29,'4-2. 25년 기타경비 계획'!$A$5:$E$69,5,0)</f>
        <v>10000</v>
      </c>
      <c r="G29" s="363">
        <f t="shared" si="3"/>
        <v>238.49272597185785</v>
      </c>
      <c r="H29" s="162"/>
      <c r="I29" s="384">
        <f>VLOOKUP(C29,'4-3. 기타경비(중장기)'!$A$5:$D$75,4,0)</f>
        <v>10000</v>
      </c>
      <c r="J29" s="364">
        <f t="shared" si="4"/>
        <v>100</v>
      </c>
      <c r="K29" s="384">
        <f>VLOOKUP(C29,'4-3. 기타경비(중장기)'!$A$81:$D$151,4,0)</f>
        <v>10000</v>
      </c>
      <c r="L29" s="365">
        <f t="shared" si="5"/>
        <v>100</v>
      </c>
    </row>
    <row r="30" spans="2:12">
      <c r="B30" s="353"/>
      <c r="C30" s="383" t="s">
        <v>29</v>
      </c>
      <c r="D30" s="163">
        <f>VLOOKUP(C30,'4-1. 24년 기타경비 실적'!$A$5:$E$77,3,0)</f>
        <v>69</v>
      </c>
      <c r="E30" s="384">
        <f>VLOOKUP(C30,'4-1. 24년 기타경비 실적'!A21:E93,4,0)</f>
        <v>0</v>
      </c>
      <c r="F30" s="163">
        <f>VLOOKUP('1. 25년 사업계획 총현황'!C30,'4-2. 25년 기타경비 계획'!$A$5:$E$69,5,0)</f>
        <v>0</v>
      </c>
      <c r="G30" s="363" t="str">
        <f t="shared" si="3"/>
        <v/>
      </c>
      <c r="H30" s="162"/>
      <c r="I30" s="384">
        <f>VLOOKUP(C30,'4-3. 기타경비(중장기)'!$A$5:$D$75,4,0)</f>
        <v>0</v>
      </c>
      <c r="J30" s="364" t="str">
        <f t="shared" si="4"/>
        <v/>
      </c>
      <c r="K30" s="384">
        <f>VLOOKUP(C30,'4-3. 기타경비(중장기)'!$A$81:$D$151,4,0)</f>
        <v>0</v>
      </c>
      <c r="L30" s="365" t="str">
        <f t="shared" si="5"/>
        <v/>
      </c>
    </row>
    <row r="31" spans="2:12">
      <c r="B31" s="353"/>
      <c r="C31" s="383" t="s">
        <v>30</v>
      </c>
      <c r="D31" s="163">
        <f>VLOOKUP(C31,'4-1. 24년 기타경비 실적'!$A$5:$E$77,3,0)</f>
        <v>0</v>
      </c>
      <c r="E31" s="384">
        <f>VLOOKUP(C31,'4-1. 24년 기타경비 실적'!A22:E94,4,0)</f>
        <v>0</v>
      </c>
      <c r="F31" s="163">
        <f>VLOOKUP('1. 25년 사업계획 총현황'!C31,'4-2. 25년 기타경비 계획'!$A$5:$E$69,5,0)</f>
        <v>0</v>
      </c>
      <c r="G31" s="363" t="str">
        <f t="shared" si="3"/>
        <v/>
      </c>
      <c r="H31" s="162"/>
      <c r="I31" s="384">
        <f>VLOOKUP(C31,'4-3. 기타경비(중장기)'!$A$5:$D$75,4,0)</f>
        <v>0</v>
      </c>
      <c r="J31" s="364" t="str">
        <f t="shared" si="4"/>
        <v/>
      </c>
      <c r="K31" s="384">
        <f>VLOOKUP(C31,'4-3. 기타경비(중장기)'!$A$81:$D$151,4,0)</f>
        <v>0</v>
      </c>
      <c r="L31" s="365" t="str">
        <f t="shared" si="5"/>
        <v/>
      </c>
    </row>
    <row r="32" spans="2:12">
      <c r="B32" s="353"/>
      <c r="C32" s="383" t="s">
        <v>31</v>
      </c>
      <c r="D32" s="163">
        <f>VLOOKUP(C32,'4-1. 24년 기타경비 실적'!$A$5:$E$77,3,0)</f>
        <v>0</v>
      </c>
      <c r="E32" s="384">
        <f>VLOOKUP(C32,'4-1. 24년 기타경비 실적'!A23:E95,4,0)</f>
        <v>0</v>
      </c>
      <c r="F32" s="163">
        <f>VLOOKUP('1. 25년 사업계획 총현황'!C32,'4-2. 25년 기타경비 계획'!$A$5:$E$69,5,0)</f>
        <v>0</v>
      </c>
      <c r="G32" s="363" t="str">
        <f t="shared" si="3"/>
        <v/>
      </c>
      <c r="H32" s="162"/>
      <c r="I32" s="384">
        <f>VLOOKUP(C32,'4-3. 기타경비(중장기)'!$A$5:$D$75,4,0)</f>
        <v>0</v>
      </c>
      <c r="J32" s="364" t="str">
        <f t="shared" si="4"/>
        <v/>
      </c>
      <c r="K32" s="384">
        <f>VLOOKUP(C32,'4-3. 기타경비(중장기)'!$A$81:$D$151,4,0)</f>
        <v>0</v>
      </c>
      <c r="L32" s="365" t="str">
        <f t="shared" si="5"/>
        <v/>
      </c>
    </row>
    <row r="33" spans="2:12">
      <c r="B33" s="353"/>
      <c r="C33" s="383" t="s">
        <v>32</v>
      </c>
      <c r="D33" s="163">
        <f>VLOOKUP(C33,'4-1. 24년 기타경비 실적'!$A$5:$E$77,3,0)</f>
        <v>0</v>
      </c>
      <c r="E33" s="384">
        <f>VLOOKUP(C33,'4-1. 24년 기타경비 실적'!A25:E96,4,0)</f>
        <v>0</v>
      </c>
      <c r="F33" s="163">
        <f>VLOOKUP('1. 25년 사업계획 총현황'!C33,'4-2. 25년 기타경비 계획'!$A$5:$E$69,5,0)</f>
        <v>0</v>
      </c>
      <c r="G33" s="363" t="str">
        <f t="shared" si="3"/>
        <v/>
      </c>
      <c r="H33" s="162"/>
      <c r="I33" s="384">
        <f>VLOOKUP(C33,'4-3. 기타경비(중장기)'!$A$5:$D$75,4,0)</f>
        <v>0</v>
      </c>
      <c r="J33" s="364" t="str">
        <f t="shared" si="4"/>
        <v/>
      </c>
      <c r="K33" s="384">
        <f>VLOOKUP(C33,'4-3. 기타경비(중장기)'!$A$81:$D$151,4,0)</f>
        <v>0</v>
      </c>
      <c r="L33" s="365" t="str">
        <f t="shared" si="5"/>
        <v/>
      </c>
    </row>
    <row r="34" spans="2:12">
      <c r="B34" s="353"/>
      <c r="C34" s="386" t="s">
        <v>33</v>
      </c>
      <c r="D34" s="144">
        <f>VLOOKUP(C34,'4-1. 24년 기타경비 실적'!$A$5:$E$77,3,0)</f>
        <v>0</v>
      </c>
      <c r="E34" s="387">
        <f>VLOOKUP(C34,'4-1. 24년 기타경비 실적'!A26:E97,4,0)</f>
        <v>0</v>
      </c>
      <c r="F34" s="144">
        <f>VLOOKUP('1. 25년 사업계획 총현황'!C34,'4-2. 25년 기타경비 계획'!$A$5:$E$69,5,0)</f>
        <v>0</v>
      </c>
      <c r="G34" s="368" t="str">
        <f t="shared" si="3"/>
        <v/>
      </c>
      <c r="H34" s="143"/>
      <c r="I34" s="387">
        <f>VLOOKUP(C34,'4-3. 기타경비(중장기)'!$A$5:$D$75,4,0)</f>
        <v>0</v>
      </c>
      <c r="J34" s="369" t="str">
        <f t="shared" si="4"/>
        <v/>
      </c>
      <c r="K34" s="387">
        <f>VLOOKUP(C34,'4-3. 기타경비(중장기)'!$A$81:$D$151,4,0)</f>
        <v>0</v>
      </c>
      <c r="L34" s="370" t="str">
        <f t="shared" si="5"/>
        <v/>
      </c>
    </row>
    <row r="35" spans="2:12" ht="17.25" thickBot="1">
      <c r="B35" s="388"/>
      <c r="C35" s="389" t="s">
        <v>11</v>
      </c>
      <c r="D35" s="390">
        <f>SUM(D14:D34)</f>
        <v>83046</v>
      </c>
      <c r="E35" s="391">
        <f>SUM(E14:E34)</f>
        <v>61108</v>
      </c>
      <c r="F35" s="390">
        <f>SUM(F14:F34)</f>
        <v>70155</v>
      </c>
      <c r="G35" s="392">
        <f t="shared" si="3"/>
        <v>114.80493552399031</v>
      </c>
      <c r="H35" s="393"/>
      <c r="I35" s="391">
        <f>SUM(I14:I34)</f>
        <v>70959</v>
      </c>
      <c r="J35" s="394">
        <f t="shared" si="4"/>
        <v>101.1460337823391</v>
      </c>
      <c r="K35" s="391">
        <f>SUM(K14:K34)</f>
        <v>71355</v>
      </c>
      <c r="L35" s="395">
        <f t="shared" si="5"/>
        <v>100.55806874392255</v>
      </c>
    </row>
    <row r="36" spans="2:12" ht="17.25" thickTop="1">
      <c r="B36" s="353"/>
      <c r="C36" s="396" t="s">
        <v>34</v>
      </c>
      <c r="D36" s="397">
        <f>'4-1. 24년 기타경비 실적'!C70</f>
        <v>18000</v>
      </c>
      <c r="E36" s="398">
        <f>'4-1. 24년 기타경비 실적'!D70</f>
        <v>10560</v>
      </c>
      <c r="F36" s="397">
        <f>'4-2. 25년 기타경비 계획'!E70</f>
        <v>9600</v>
      </c>
      <c r="G36" s="363">
        <f t="shared" si="3"/>
        <v>90.909090909090907</v>
      </c>
      <c r="H36" s="162"/>
      <c r="I36" s="398">
        <f>'4-3. 기타경비(중장기)'!D70</f>
        <v>9000</v>
      </c>
      <c r="J36" s="364">
        <f t="shared" si="4"/>
        <v>93.75</v>
      </c>
      <c r="K36" s="398">
        <f>'4-3. 기타경비(중장기)'!D146</f>
        <v>8400</v>
      </c>
      <c r="L36" s="365">
        <f t="shared" si="5"/>
        <v>93.333333333333329</v>
      </c>
    </row>
    <row r="37" spans="2:12">
      <c r="B37" s="201" t="s">
        <v>35</v>
      </c>
      <c r="C37" s="396" t="s">
        <v>36</v>
      </c>
      <c r="D37" s="397">
        <f>'4-1. 24년 기타경비 실적'!C71</f>
        <v>0</v>
      </c>
      <c r="E37" s="398">
        <f>'4-1. 24년 기타경비 실적'!D71</f>
        <v>1061</v>
      </c>
      <c r="F37" s="397">
        <f>'4-2. 25년 기타경비 계획'!E71</f>
        <v>960</v>
      </c>
      <c r="G37" s="363">
        <f t="shared" si="3"/>
        <v>90.480678605089537</v>
      </c>
      <c r="H37" s="162"/>
      <c r="I37" s="398">
        <f>'4-3. 기타경비(중장기)'!D71</f>
        <v>920</v>
      </c>
      <c r="J37" s="364">
        <f t="shared" si="4"/>
        <v>95.833333333333343</v>
      </c>
      <c r="K37" s="398">
        <f>'4-3. 기타경비(중장기)'!D147</f>
        <v>880</v>
      </c>
      <c r="L37" s="365">
        <f t="shared" si="5"/>
        <v>95.652173913043484</v>
      </c>
    </row>
    <row r="38" spans="2:12">
      <c r="B38" s="353"/>
      <c r="C38" s="396"/>
      <c r="D38" s="399"/>
      <c r="E38" s="400"/>
      <c r="F38" s="399"/>
      <c r="G38" s="368" t="str">
        <f t="shared" si="3"/>
        <v/>
      </c>
      <c r="H38" s="143"/>
      <c r="I38" s="400"/>
      <c r="J38" s="369" t="str">
        <f t="shared" si="4"/>
        <v/>
      </c>
      <c r="K38" s="400"/>
      <c r="L38" s="370" t="str">
        <f t="shared" si="5"/>
        <v/>
      </c>
    </row>
    <row r="39" spans="2:12" ht="17.25" thickBot="1">
      <c r="B39" s="388"/>
      <c r="C39" s="401" t="s">
        <v>11</v>
      </c>
      <c r="D39" s="390">
        <f>SUM(D36:D38)</f>
        <v>18000</v>
      </c>
      <c r="E39" s="391">
        <f>SUM(E36:E38)</f>
        <v>11621</v>
      </c>
      <c r="F39" s="390">
        <f>SUM(F36:F38)</f>
        <v>10560</v>
      </c>
      <c r="G39" s="392">
        <f t="shared" si="3"/>
        <v>90.86997676619913</v>
      </c>
      <c r="H39" s="393"/>
      <c r="I39" s="391">
        <f>SUM(I36:I38)</f>
        <v>9920</v>
      </c>
      <c r="J39" s="394">
        <f t="shared" si="4"/>
        <v>93.939393939393938</v>
      </c>
      <c r="K39" s="391">
        <f>SUM(K36:K38)</f>
        <v>9280</v>
      </c>
      <c r="L39" s="395">
        <f t="shared" si="5"/>
        <v>93.548387096774192</v>
      </c>
    </row>
    <row r="40" spans="2:12" ht="17.25" thickTop="1">
      <c r="B40" s="353"/>
      <c r="C40" s="383"/>
      <c r="D40" s="360"/>
      <c r="E40" s="361"/>
      <c r="F40" s="360"/>
      <c r="G40" s="363" t="str">
        <f t="shared" si="3"/>
        <v/>
      </c>
      <c r="H40" s="162"/>
      <c r="I40" s="361"/>
      <c r="J40" s="364" t="str">
        <f t="shared" si="4"/>
        <v/>
      </c>
      <c r="K40" s="361"/>
      <c r="L40" s="365" t="str">
        <f t="shared" si="5"/>
        <v/>
      </c>
    </row>
    <row r="41" spans="2:12">
      <c r="B41" s="201" t="s">
        <v>38</v>
      </c>
      <c r="C41" s="383"/>
      <c r="D41" s="360"/>
      <c r="E41" s="361"/>
      <c r="F41" s="360"/>
      <c r="G41" s="363" t="str">
        <f t="shared" si="3"/>
        <v/>
      </c>
      <c r="H41" s="162"/>
      <c r="I41" s="361"/>
      <c r="J41" s="364" t="str">
        <f t="shared" si="4"/>
        <v/>
      </c>
      <c r="K41" s="361"/>
      <c r="L41" s="365" t="str">
        <f t="shared" si="5"/>
        <v/>
      </c>
    </row>
    <row r="42" spans="2:12">
      <c r="B42" s="353"/>
      <c r="C42" s="383"/>
      <c r="D42" s="367"/>
      <c r="E42" s="212"/>
      <c r="F42" s="367"/>
      <c r="G42" s="368" t="str">
        <f t="shared" si="3"/>
        <v/>
      </c>
      <c r="H42" s="143"/>
      <c r="I42" s="212"/>
      <c r="J42" s="369" t="str">
        <f t="shared" si="4"/>
        <v/>
      </c>
      <c r="K42" s="212"/>
      <c r="L42" s="370" t="str">
        <f t="shared" si="5"/>
        <v/>
      </c>
    </row>
    <row r="43" spans="2:12" ht="17.25" thickBot="1">
      <c r="B43" s="388"/>
      <c r="C43" s="401" t="s">
        <v>11</v>
      </c>
      <c r="D43" s="390">
        <f>SUM(D40:D42)</f>
        <v>0</v>
      </c>
      <c r="E43" s="391">
        <f>SUM(E40:E42)</f>
        <v>0</v>
      </c>
      <c r="F43" s="390">
        <f>SUM(F40:F42)</f>
        <v>0</v>
      </c>
      <c r="G43" s="392" t="str">
        <f t="shared" si="3"/>
        <v/>
      </c>
      <c r="H43" s="393"/>
      <c r="I43" s="391">
        <f>SUM(I40:I42)</f>
        <v>0</v>
      </c>
      <c r="J43" s="394" t="str">
        <f t="shared" si="4"/>
        <v/>
      </c>
      <c r="K43" s="391">
        <f>SUM(K40:K42)</f>
        <v>0</v>
      </c>
      <c r="L43" s="395" t="str">
        <f t="shared" si="5"/>
        <v/>
      </c>
    </row>
    <row r="44" spans="2:12" ht="18" thickTop="1" thickBot="1">
      <c r="B44" s="1030" t="s">
        <v>39</v>
      </c>
      <c r="C44" s="1031"/>
      <c r="D44" s="402">
        <f>D13+D35-D39+D43</f>
        <v>65046</v>
      </c>
      <c r="E44" s="403">
        <f>E13+E35-E39+E43</f>
        <v>49487</v>
      </c>
      <c r="F44" s="402">
        <f>F13+F35-F39+F43</f>
        <v>59595</v>
      </c>
      <c r="G44" s="404">
        <f t="shared" si="3"/>
        <v>120.42556631034414</v>
      </c>
      <c r="H44" s="405"/>
      <c r="I44" s="403">
        <f>I13+I35-I39+I43</f>
        <v>61039</v>
      </c>
      <c r="J44" s="406">
        <f t="shared" si="4"/>
        <v>102.42302206560953</v>
      </c>
      <c r="K44" s="403">
        <f>K13+K35-K39+K43</f>
        <v>62075</v>
      </c>
      <c r="L44" s="407">
        <f t="shared" si="5"/>
        <v>101.69727551237733</v>
      </c>
    </row>
    <row r="45" spans="2:12">
      <c r="D45" s="249">
        <f>D44+D39</f>
        <v>83046</v>
      </c>
      <c r="E45" s="249">
        <f>E44+E39</f>
        <v>61108</v>
      </c>
      <c r="F45" s="249">
        <f>F44+F39</f>
        <v>70155</v>
      </c>
      <c r="I45" s="249">
        <f>I44+I39</f>
        <v>70959</v>
      </c>
      <c r="K45" s="249">
        <f>K44+K39</f>
        <v>71355</v>
      </c>
    </row>
    <row r="48" spans="2:12">
      <c r="C48" s="408"/>
      <c r="D48" s="408" t="s">
        <v>115</v>
      </c>
      <c r="E48" s="408" t="s">
        <v>52</v>
      </c>
      <c r="F48" s="408" t="s">
        <v>219</v>
      </c>
      <c r="G48" s="408"/>
      <c r="H48" s="408"/>
      <c r="I48" s="408" t="s">
        <v>53</v>
      </c>
      <c r="J48" s="408"/>
      <c r="K48" s="408" t="s">
        <v>54</v>
      </c>
      <c r="L48" s="408"/>
    </row>
    <row r="49" spans="3:12">
      <c r="C49" s="408" t="s">
        <v>206</v>
      </c>
      <c r="D49" s="276">
        <f>'4-1. 24년 기타경비 실적'!C81</f>
        <v>49646</v>
      </c>
      <c r="E49" s="276">
        <f>'4-1. 24년 기타경비 실적'!U81</f>
        <v>27698</v>
      </c>
      <c r="F49" s="276">
        <f>'4-2. 25년 기타경비 계획'!V80</f>
        <v>36553</v>
      </c>
      <c r="G49" s="408"/>
      <c r="H49" s="408"/>
      <c r="I49" s="276">
        <f>'4-3. 기타경비(중장기)'!X55</f>
        <v>36865</v>
      </c>
      <c r="J49" s="408"/>
      <c r="K49" s="276">
        <f>'4-3. 기타경비(중장기)'!X131</f>
        <v>37057</v>
      </c>
      <c r="L49" s="408"/>
    </row>
    <row r="50" spans="3:12">
      <c r="C50" s="408" t="s">
        <v>220</v>
      </c>
      <c r="D50" s="276">
        <f>'4-1. 24년 기타경비 실적'!C82</f>
        <v>23400</v>
      </c>
      <c r="E50" s="276">
        <f>'4-1. 24년 기타경비 실적'!U82</f>
        <v>23410</v>
      </c>
      <c r="F50" s="276">
        <f>'4-2. 25년 기타경비 계획'!V81</f>
        <v>23602</v>
      </c>
      <c r="G50" s="408"/>
      <c r="H50" s="408"/>
      <c r="I50" s="276">
        <f>'4-3. 기타경비(중장기)'!X56</f>
        <v>24094</v>
      </c>
      <c r="J50" s="408"/>
      <c r="K50" s="276">
        <f>'4-3. 기타경비(중장기)'!X132</f>
        <v>24298</v>
      </c>
      <c r="L50" s="408"/>
    </row>
    <row r="51" spans="3:12">
      <c r="C51" s="408" t="s">
        <v>51</v>
      </c>
      <c r="D51" s="276">
        <f>SUM(D49:D50)</f>
        <v>73046</v>
      </c>
      <c r="E51" s="276">
        <f>SUM(E49:E50)</f>
        <v>51108</v>
      </c>
      <c r="F51" s="276">
        <f>SUM(F49:F50)</f>
        <v>60155</v>
      </c>
      <c r="G51" s="408"/>
      <c r="H51" s="408"/>
      <c r="I51" s="276">
        <f>SUM(I49:I50)</f>
        <v>60959</v>
      </c>
      <c r="J51" s="408"/>
      <c r="K51" s="276">
        <f>SUM(K49:K50)</f>
        <v>61355</v>
      </c>
      <c r="L51" s="408"/>
    </row>
    <row r="52" spans="3:12">
      <c r="C52" s="408"/>
      <c r="D52" s="408" t="b">
        <f>D51=D45</f>
        <v>0</v>
      </c>
      <c r="E52" s="408" t="b">
        <f>E51=E45</f>
        <v>0</v>
      </c>
      <c r="F52" s="408" t="b">
        <f>F51=F45</f>
        <v>0</v>
      </c>
      <c r="G52" s="408"/>
      <c r="H52" s="408"/>
      <c r="I52" s="408" t="b">
        <f>I51=I45</f>
        <v>0</v>
      </c>
      <c r="J52" s="408"/>
      <c r="K52" s="408" t="b">
        <f>K51=K45</f>
        <v>0</v>
      </c>
      <c r="L52" s="408"/>
    </row>
    <row r="53" spans="3:12">
      <c r="C53" s="408"/>
      <c r="D53" s="408"/>
      <c r="E53" s="408"/>
      <c r="F53" s="408"/>
      <c r="G53" s="408"/>
      <c r="H53" s="408"/>
      <c r="I53" s="408"/>
      <c r="J53" s="408"/>
      <c r="K53" s="408"/>
      <c r="L53" s="408"/>
    </row>
    <row r="54" spans="3:12">
      <c r="C54" s="408"/>
      <c r="D54" s="408"/>
      <c r="E54" s="409">
        <f t="shared" ref="E54:F56" si="6">E49/D49</f>
        <v>0.55791000281996539</v>
      </c>
      <c r="F54" s="409">
        <f t="shared" si="6"/>
        <v>1.3196981731532962</v>
      </c>
      <c r="G54" s="408"/>
      <c r="H54" s="408"/>
      <c r="I54" s="409">
        <f>I49/F49</f>
        <v>1.0085355511175553</v>
      </c>
      <c r="J54" s="408"/>
      <c r="K54" s="409">
        <f>K49/I49</f>
        <v>1.0052081920520819</v>
      </c>
      <c r="L54" s="408"/>
    </row>
    <row r="55" spans="3:12">
      <c r="C55" s="408"/>
      <c r="D55" s="408"/>
      <c r="E55" s="409">
        <f t="shared" si="6"/>
        <v>1.0004273504273504</v>
      </c>
      <c r="F55" s="409">
        <f t="shared" si="6"/>
        <v>1.0082016232379325</v>
      </c>
      <c r="G55" s="408"/>
      <c r="H55" s="408"/>
      <c r="I55" s="409">
        <f>I50/F50</f>
        <v>1.0208456910431318</v>
      </c>
      <c r="J55" s="408"/>
      <c r="K55" s="409">
        <f>K50/I50</f>
        <v>1.0084668382169835</v>
      </c>
      <c r="L55" s="408"/>
    </row>
    <row r="56" spans="3:12">
      <c r="C56" s="408"/>
      <c r="D56" s="408"/>
      <c r="E56" s="409">
        <f t="shared" si="6"/>
        <v>0.69966870191386255</v>
      </c>
      <c r="F56" s="409">
        <f t="shared" si="6"/>
        <v>1.1770172967050168</v>
      </c>
      <c r="G56" s="408"/>
      <c r="H56" s="408"/>
      <c r="I56" s="409">
        <f>I51/F51</f>
        <v>1.0133654725292993</v>
      </c>
      <c r="J56" s="408"/>
      <c r="K56" s="409">
        <f>K51/I51</f>
        <v>1.0064961695565873</v>
      </c>
      <c r="L56" s="408"/>
    </row>
  </sheetData>
  <sheetProtection formatCells="0" formatColumns="0" formatRows="0" insertColumns="0" insertRows="0" deleteColumns="0" deleteRows="0" sort="0" autoFilter="0" pivotTables="0"/>
  <mergeCells count="1">
    <mergeCell ref="B44:C44"/>
  </mergeCells>
  <phoneticPr fontId="4" type="noConversion"/>
  <pageMargins left="0.7" right="0.7" top="0.75" bottom="0.75" header="0.3" footer="0.3"/>
  <pageSetup paperSize="12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8"/>
  <sheetViews>
    <sheetView topLeftCell="A16" workbookViewId="0">
      <selection activeCell="O7" sqref="O7"/>
    </sheetView>
  </sheetViews>
  <sheetFormatPr defaultRowHeight="16.5"/>
  <cols>
    <col min="1" max="1" width="2.375" customWidth="1"/>
    <col min="2" max="2" width="10" customWidth="1"/>
    <col min="3" max="3" width="17.625" bestFit="1" customWidth="1"/>
    <col min="4" max="11" width="11.875" customWidth="1"/>
    <col min="12" max="13" width="11" customWidth="1"/>
    <col min="14" max="14" width="9.875" bestFit="1" customWidth="1"/>
  </cols>
  <sheetData>
    <row r="1" spans="2:13" ht="26.25">
      <c r="B1" s="612" t="s">
        <v>63</v>
      </c>
      <c r="C1" s="2"/>
    </row>
    <row r="3" spans="2:13" ht="19.5" customHeight="1">
      <c r="B3" s="1035" t="s">
        <v>1</v>
      </c>
      <c r="C3" s="1035"/>
      <c r="D3" s="1042" t="s">
        <v>41</v>
      </c>
      <c r="E3" s="1042"/>
      <c r="F3" s="1042"/>
      <c r="G3" s="1035" t="s">
        <v>102</v>
      </c>
      <c r="H3" s="1035" t="s">
        <v>47</v>
      </c>
      <c r="I3" s="1035" t="s">
        <v>48</v>
      </c>
      <c r="J3" s="1035" t="s">
        <v>50</v>
      </c>
      <c r="K3" s="1040" t="s">
        <v>51</v>
      </c>
      <c r="L3" s="1041" t="s">
        <v>227</v>
      </c>
      <c r="M3" s="1035"/>
    </row>
    <row r="4" spans="2:13" ht="19.5" customHeight="1">
      <c r="B4" s="1035"/>
      <c r="C4" s="1035"/>
      <c r="D4" s="40" t="s">
        <v>42</v>
      </c>
      <c r="E4" s="41" t="s">
        <v>43</v>
      </c>
      <c r="F4" s="42" t="s">
        <v>46</v>
      </c>
      <c r="G4" s="1035"/>
      <c r="H4" s="1035"/>
      <c r="I4" s="1035"/>
      <c r="J4" s="1035"/>
      <c r="K4" s="1040"/>
      <c r="L4" s="1041"/>
      <c r="M4" s="1035"/>
    </row>
    <row r="5" spans="2:13" ht="21" customHeight="1">
      <c r="B5" s="1036" t="s">
        <v>55</v>
      </c>
      <c r="C5" s="9" t="s">
        <v>89</v>
      </c>
      <c r="D5" s="12">
        <v>30282</v>
      </c>
      <c r="E5" s="13">
        <v>3197</v>
      </c>
      <c r="F5" s="14">
        <f t="shared" ref="F5:F26" si="0">SUM(D5:E5)</f>
        <v>33479</v>
      </c>
      <c r="G5" s="15">
        <v>1179</v>
      </c>
      <c r="H5" s="15">
        <v>187</v>
      </c>
      <c r="I5" s="15">
        <v>9</v>
      </c>
      <c r="J5" s="15">
        <v>4</v>
      </c>
      <c r="K5" s="452">
        <f>SUM(F5:J5)</f>
        <v>34858</v>
      </c>
      <c r="L5" s="462"/>
      <c r="M5" s="421"/>
    </row>
    <row r="6" spans="2:13" ht="21" customHeight="1" thickBot="1">
      <c r="B6" s="1036"/>
      <c r="C6" s="431" t="s">
        <v>91</v>
      </c>
      <c r="D6" s="432">
        <f>'2-2 공급전 상세'!O5</f>
        <v>30605</v>
      </c>
      <c r="E6" s="433">
        <f>'2-2 공급전 상세'!O6</f>
        <v>2697</v>
      </c>
      <c r="F6" s="434">
        <f t="shared" si="0"/>
        <v>33302</v>
      </c>
      <c r="G6" s="435">
        <f>'2-2 공급전 상세'!O8</f>
        <v>959</v>
      </c>
      <c r="H6" s="435">
        <f>'2-2 공급전 상세'!O9</f>
        <v>324</v>
      </c>
      <c r="I6" s="435">
        <f>'2-2 공급전 상세'!O10</f>
        <v>17</v>
      </c>
      <c r="J6" s="435">
        <f>'2-2 공급전 상세'!O11</f>
        <v>3</v>
      </c>
      <c r="K6" s="453">
        <f>SUM(F6:J6)</f>
        <v>34605</v>
      </c>
      <c r="L6" s="463">
        <f>K6/K5</f>
        <v>0.99274198175454698</v>
      </c>
      <c r="M6" s="436" t="s">
        <v>228</v>
      </c>
    </row>
    <row r="7" spans="2:13" ht="21" customHeight="1">
      <c r="B7" s="1037"/>
      <c r="C7" s="438" t="s">
        <v>93</v>
      </c>
      <c r="D7" s="439">
        <f>'2-2 공급전 상세'!O13</f>
        <v>16722</v>
      </c>
      <c r="E7" s="440">
        <f>'2-2 공급전 상세'!O14</f>
        <v>2372</v>
      </c>
      <c r="F7" s="441">
        <f t="shared" si="0"/>
        <v>19094</v>
      </c>
      <c r="G7" s="442">
        <f>'2-2 공급전 상세'!O16</f>
        <v>868</v>
      </c>
      <c r="H7" s="442">
        <f>'2-2 공급전 상세'!O17</f>
        <v>313</v>
      </c>
      <c r="I7" s="442">
        <f>'2-2 공급전 상세'!O18</f>
        <v>12</v>
      </c>
      <c r="J7" s="442">
        <f>'2-2 공급전 상세'!O19</f>
        <v>7</v>
      </c>
      <c r="K7" s="454">
        <f t="shared" ref="K7:K18" si="1">SUM(F7:J7)</f>
        <v>20294</v>
      </c>
      <c r="L7" s="464">
        <f>K7/K6</f>
        <v>0.5864470452246785</v>
      </c>
      <c r="M7" s="443" t="s">
        <v>229</v>
      </c>
    </row>
    <row r="8" spans="2:13" ht="21" customHeight="1">
      <c r="B8" s="1037"/>
      <c r="C8" s="444" t="s">
        <v>94</v>
      </c>
      <c r="D8" s="16">
        <f>'2-2 공급전 상세'!O21</f>
        <v>17136</v>
      </c>
      <c r="E8" s="17">
        <f>'2-2 공급전 상세'!O22</f>
        <v>2586</v>
      </c>
      <c r="F8" s="18">
        <f t="shared" si="0"/>
        <v>19722</v>
      </c>
      <c r="G8" s="19">
        <f>'2-2 공급전 상세'!O24</f>
        <v>925</v>
      </c>
      <c r="H8" s="19">
        <f>'2-2 공급전 상세'!O25</f>
        <v>328</v>
      </c>
      <c r="I8" s="19">
        <f>'2-2 공급전 상세'!O26</f>
        <v>13</v>
      </c>
      <c r="J8" s="19">
        <f>'2-2 공급전 상세'!O27</f>
        <v>7</v>
      </c>
      <c r="K8" s="398">
        <f t="shared" si="1"/>
        <v>20995</v>
      </c>
      <c r="L8" s="465">
        <f>K8/K7</f>
        <v>1.0345422292303144</v>
      </c>
      <c r="M8" s="445" t="s">
        <v>230</v>
      </c>
    </row>
    <row r="9" spans="2:13" ht="21" customHeight="1" thickBot="1">
      <c r="B9" s="1037"/>
      <c r="C9" s="446" t="s">
        <v>104</v>
      </c>
      <c r="D9" s="447">
        <f>'2-2 공급전 상세'!O29</f>
        <v>16255</v>
      </c>
      <c r="E9" s="448">
        <f>'2-2 공급전 상세'!O30</f>
        <v>2254</v>
      </c>
      <c r="F9" s="449">
        <f t="shared" si="0"/>
        <v>18509</v>
      </c>
      <c r="G9" s="450">
        <f>'2-2 공급전 상세'!O32</f>
        <v>807</v>
      </c>
      <c r="H9" s="450">
        <f>'2-2 공급전 상세'!O33</f>
        <v>298</v>
      </c>
      <c r="I9" s="450">
        <f>'2-2 공급전 상세'!O34</f>
        <v>8</v>
      </c>
      <c r="J9" s="450">
        <f>'2-2 공급전 상세'!O35</f>
        <v>7</v>
      </c>
      <c r="K9" s="455">
        <f t="shared" si="1"/>
        <v>19629</v>
      </c>
      <c r="L9" s="466">
        <f>K9/K7</f>
        <v>0.96723169409677734</v>
      </c>
      <c r="M9" s="451" t="s">
        <v>231</v>
      </c>
    </row>
    <row r="10" spans="2:13" ht="21" customHeight="1">
      <c r="B10" s="1037"/>
      <c r="C10" s="31" t="s">
        <v>95</v>
      </c>
      <c r="D10" s="32">
        <f>'2-2 공급전 상세'!O38</f>
        <v>14600</v>
      </c>
      <c r="E10" s="33">
        <f>'2-2 공급전 상세'!O39</f>
        <v>2135</v>
      </c>
      <c r="F10" s="34">
        <f t="shared" si="0"/>
        <v>16735</v>
      </c>
      <c r="G10" s="35">
        <f>'2-2 공급전 상세'!O41</f>
        <v>880</v>
      </c>
      <c r="H10" s="35">
        <f>'2-2 공급전 상세'!O42</f>
        <v>307</v>
      </c>
      <c r="I10" s="35">
        <f>'2-2 공급전 상세'!O43</f>
        <v>10</v>
      </c>
      <c r="J10" s="35">
        <f>'2-2 공급전 상세'!O44</f>
        <v>7</v>
      </c>
      <c r="K10" s="456">
        <f t="shared" si="1"/>
        <v>17939</v>
      </c>
      <c r="L10" s="467">
        <f>K10/K7</f>
        <v>0.8839558490194146</v>
      </c>
      <c r="M10" s="437" t="s">
        <v>232</v>
      </c>
    </row>
    <row r="11" spans="2:13" ht="21" customHeight="1">
      <c r="B11" s="1037"/>
      <c r="C11" s="10" t="s">
        <v>96</v>
      </c>
      <c r="D11" s="20">
        <f>'2-2 공급전 상세'!O46</f>
        <v>7477</v>
      </c>
      <c r="E11" s="21">
        <f>'2-2 공급전 상세'!O47</f>
        <v>2074</v>
      </c>
      <c r="F11" s="22">
        <f t="shared" si="0"/>
        <v>9551</v>
      </c>
      <c r="G11" s="23">
        <f>'2-2 공급전 상세'!O49</f>
        <v>895</v>
      </c>
      <c r="H11" s="23">
        <f>'2-2 공급전 상세'!O50</f>
        <v>301</v>
      </c>
      <c r="I11" s="23">
        <f>'2-2 공급전 상세'!O51</f>
        <v>9</v>
      </c>
      <c r="J11" s="23">
        <f>'2-2 공급전 상세'!O52</f>
        <v>3</v>
      </c>
      <c r="K11" s="400">
        <f t="shared" si="1"/>
        <v>10759</v>
      </c>
      <c r="L11" s="468">
        <f t="shared" ref="L11:L18" si="2">K11/K10</f>
        <v>0.59975472434360888</v>
      </c>
      <c r="M11" s="423" t="s">
        <v>233</v>
      </c>
    </row>
    <row r="12" spans="2:13" ht="21" customHeight="1">
      <c r="B12" s="1032" t="s">
        <v>56</v>
      </c>
      <c r="C12" s="9" t="s">
        <v>88</v>
      </c>
      <c r="D12" s="12">
        <f>D5-1548</f>
        <v>28734</v>
      </c>
      <c r="E12" s="13">
        <f>E5-1273</f>
        <v>1924</v>
      </c>
      <c r="F12" s="14">
        <f t="shared" si="0"/>
        <v>30658</v>
      </c>
      <c r="G12" s="15">
        <f>G5-207-44</f>
        <v>928</v>
      </c>
      <c r="H12" s="15">
        <f>H5-78</f>
        <v>109</v>
      </c>
      <c r="I12" s="15">
        <f>9-40</f>
        <v>-31</v>
      </c>
      <c r="J12" s="15">
        <f>4-3</f>
        <v>1</v>
      </c>
      <c r="K12" s="452">
        <f t="shared" si="1"/>
        <v>31665</v>
      </c>
      <c r="L12" s="469"/>
      <c r="M12" s="424"/>
    </row>
    <row r="13" spans="2:13" ht="21" customHeight="1">
      <c r="B13" s="1033"/>
      <c r="C13" s="31" t="s">
        <v>90</v>
      </c>
      <c r="D13" s="32">
        <f>'2-2 공급전 상세'!O56</f>
        <v>30108</v>
      </c>
      <c r="E13" s="33">
        <f>'2-2 공급전 상세'!O57</f>
        <v>1314</v>
      </c>
      <c r="F13" s="34">
        <f t="shared" si="0"/>
        <v>31422</v>
      </c>
      <c r="G13" s="35">
        <f>'2-2 공급전 상세'!O59</f>
        <v>829</v>
      </c>
      <c r="H13" s="35">
        <f>'2-2 공급전 상세'!O60</f>
        <v>174</v>
      </c>
      <c r="I13" s="35">
        <f>'2-2 공급전 상세'!O61</f>
        <v>-6</v>
      </c>
      <c r="J13" s="35">
        <f>'2-2 공급전 상세'!O62</f>
        <v>1</v>
      </c>
      <c r="K13" s="456">
        <f t="shared" si="1"/>
        <v>32420</v>
      </c>
      <c r="L13" s="465">
        <f t="shared" si="2"/>
        <v>1.0238433601768515</v>
      </c>
      <c r="M13" s="422" t="s">
        <v>228</v>
      </c>
    </row>
    <row r="14" spans="2:13" ht="21" customHeight="1">
      <c r="B14" s="1033"/>
      <c r="C14" s="25" t="s">
        <v>92</v>
      </c>
      <c r="D14" s="26">
        <f>'2-2 공급전 상세'!O64</f>
        <v>16115</v>
      </c>
      <c r="E14" s="27">
        <f>'2-2 공급전 상세'!O65</f>
        <v>1417</v>
      </c>
      <c r="F14" s="28">
        <f t="shared" si="0"/>
        <v>17532</v>
      </c>
      <c r="G14" s="29">
        <f>'2-2 공급전 상세'!O67</f>
        <v>654</v>
      </c>
      <c r="H14" s="29">
        <f>'2-2 공급전 상세'!O68</f>
        <v>129</v>
      </c>
      <c r="I14" s="29">
        <f>'2-2 공급전 상세'!O69</f>
        <v>-10</v>
      </c>
      <c r="J14" s="29">
        <f>'2-2 공급전 상세'!O70</f>
        <v>5</v>
      </c>
      <c r="K14" s="457">
        <f t="shared" si="1"/>
        <v>18310</v>
      </c>
      <c r="L14" s="463">
        <f t="shared" si="2"/>
        <v>0.56477483035163478</v>
      </c>
      <c r="M14" s="436" t="s">
        <v>229</v>
      </c>
    </row>
    <row r="15" spans="2:13" ht="21" customHeight="1">
      <c r="B15" s="1033"/>
      <c r="C15" s="723" t="s">
        <v>335</v>
      </c>
      <c r="D15" s="16">
        <f>'2-2 공급전 상세'!O72</f>
        <v>14051</v>
      </c>
      <c r="E15" s="27">
        <f>'2-2 공급전 상세'!O73</f>
        <v>1275</v>
      </c>
      <c r="F15" s="18">
        <f t="shared" si="0"/>
        <v>15326</v>
      </c>
      <c r="G15" s="19">
        <f>'2-2 공급전 상세'!O75</f>
        <v>686</v>
      </c>
      <c r="H15" s="19">
        <f>'2-2 공급전 상세'!O76</f>
        <v>140</v>
      </c>
      <c r="I15" s="19">
        <f>'2-2 공급전 상세'!O77</f>
        <v>-12</v>
      </c>
      <c r="J15" s="19">
        <f>'2-2 공급전 상세'!O78</f>
        <v>5</v>
      </c>
      <c r="K15" s="398">
        <f t="shared" si="1"/>
        <v>16145</v>
      </c>
      <c r="L15" s="463">
        <f t="shared" si="2"/>
        <v>0.8817586018569088</v>
      </c>
      <c r="M15" s="422" t="s">
        <v>337</v>
      </c>
    </row>
    <row r="16" spans="2:13" ht="21" customHeight="1">
      <c r="B16" s="1034"/>
      <c r="C16" s="10" t="s">
        <v>336</v>
      </c>
      <c r="D16" s="20">
        <f>'2-2 공급전 상세'!O80</f>
        <v>6982</v>
      </c>
      <c r="E16" s="21">
        <f>'2-2 공급전 상세'!O81</f>
        <v>1300</v>
      </c>
      <c r="F16" s="22">
        <f t="shared" si="0"/>
        <v>8282</v>
      </c>
      <c r="G16" s="23">
        <f>'2-2 공급전 상세'!O83</f>
        <v>720</v>
      </c>
      <c r="H16" s="23">
        <f>'2-2 공급전 상세'!O84</f>
        <v>151</v>
      </c>
      <c r="I16" s="23">
        <f>'2-2 공급전 상세'!O85</f>
        <v>-13</v>
      </c>
      <c r="J16" s="23">
        <f>'2-2 공급전 상세'!O86</f>
        <v>1</v>
      </c>
      <c r="K16" s="400">
        <f t="shared" si="1"/>
        <v>9141</v>
      </c>
      <c r="L16" s="468">
        <f t="shared" si="2"/>
        <v>0.56618148033446891</v>
      </c>
      <c r="M16" s="423" t="s">
        <v>338</v>
      </c>
    </row>
    <row r="17" spans="2:14" ht="21" customHeight="1">
      <c r="B17" s="1037" t="s">
        <v>57</v>
      </c>
      <c r="C17" s="9" t="s">
        <v>58</v>
      </c>
      <c r="D17" s="12">
        <f>760476+D13</f>
        <v>790584</v>
      </c>
      <c r="E17" s="13">
        <f>502098+E13</f>
        <v>503412</v>
      </c>
      <c r="F17" s="14">
        <f t="shared" si="0"/>
        <v>1293996</v>
      </c>
      <c r="G17" s="15">
        <f>26928+G13</f>
        <v>27757</v>
      </c>
      <c r="H17" s="15">
        <f>13609+H13</f>
        <v>13783</v>
      </c>
      <c r="I17" s="15">
        <f>1456+I13</f>
        <v>1450</v>
      </c>
      <c r="J17" s="15">
        <f>'2-2 공급전 상세'!O52</f>
        <v>3</v>
      </c>
      <c r="K17" s="452">
        <f t="shared" si="1"/>
        <v>1336989</v>
      </c>
      <c r="L17" s="469"/>
      <c r="M17" s="424"/>
      <c r="N17" s="420"/>
    </row>
    <row r="18" spans="2:14" ht="21" customHeight="1" thickBot="1">
      <c r="B18" s="1038"/>
      <c r="C18" s="25" t="s">
        <v>61</v>
      </c>
      <c r="D18" s="26">
        <f>D17+D14</f>
        <v>806699</v>
      </c>
      <c r="E18" s="27">
        <f>E17+E14</f>
        <v>504829</v>
      </c>
      <c r="F18" s="28">
        <f t="shared" si="0"/>
        <v>1311528</v>
      </c>
      <c r="G18" s="29">
        <f>G17+G14</f>
        <v>28411</v>
      </c>
      <c r="H18" s="29">
        <f>H17+H14</f>
        <v>13912</v>
      </c>
      <c r="I18" s="29">
        <f>I17+I14</f>
        <v>1440</v>
      </c>
      <c r="J18" s="29">
        <f>J17+J14</f>
        <v>8</v>
      </c>
      <c r="K18" s="457">
        <f t="shared" si="1"/>
        <v>1355299</v>
      </c>
      <c r="L18" s="470">
        <f t="shared" si="2"/>
        <v>1.0136949518657221</v>
      </c>
      <c r="M18" s="425" t="s">
        <v>228</v>
      </c>
    </row>
    <row r="19" spans="2:14" ht="21" customHeight="1" thickTop="1">
      <c r="B19" s="1039" t="s">
        <v>226</v>
      </c>
      <c r="C19" s="30" t="s">
        <v>140</v>
      </c>
      <c r="D19" s="80">
        <f>D6-D5</f>
        <v>323</v>
      </c>
      <c r="E19" s="81">
        <f t="shared" ref="E19:J19" si="3">E6-E5</f>
        <v>-500</v>
      </c>
      <c r="F19" s="82">
        <f t="shared" si="0"/>
        <v>-177</v>
      </c>
      <c r="G19" s="83">
        <f t="shared" si="3"/>
        <v>-220</v>
      </c>
      <c r="H19" s="83">
        <f t="shared" si="3"/>
        <v>137</v>
      </c>
      <c r="I19" s="83">
        <f t="shared" si="3"/>
        <v>8</v>
      </c>
      <c r="J19" s="83">
        <f t="shared" si="3"/>
        <v>-1</v>
      </c>
      <c r="K19" s="458">
        <f>SUM(F19:J19)</f>
        <v>-253</v>
      </c>
      <c r="L19" s="471"/>
      <c r="M19" s="426"/>
    </row>
    <row r="20" spans="2:14" ht="21" customHeight="1">
      <c r="B20" s="1037"/>
      <c r="C20" s="8" t="s">
        <v>141</v>
      </c>
      <c r="D20" s="84">
        <f>D7-D6</f>
        <v>-13883</v>
      </c>
      <c r="E20" s="85">
        <f>E7-E6</f>
        <v>-325</v>
      </c>
      <c r="F20" s="86">
        <f t="shared" si="0"/>
        <v>-14208</v>
      </c>
      <c r="G20" s="87">
        <f t="shared" ref="G20:J21" si="4">G7-G6</f>
        <v>-91</v>
      </c>
      <c r="H20" s="87">
        <f t="shared" si="4"/>
        <v>-11</v>
      </c>
      <c r="I20" s="87">
        <f t="shared" si="4"/>
        <v>-5</v>
      </c>
      <c r="J20" s="87">
        <f t="shared" si="4"/>
        <v>4</v>
      </c>
      <c r="K20" s="459">
        <f t="shared" ref="K20:K26" si="5">SUM(F20:J20)</f>
        <v>-14311</v>
      </c>
      <c r="L20" s="472"/>
      <c r="M20" s="427"/>
    </row>
    <row r="21" spans="2:14" ht="21" customHeight="1">
      <c r="B21" s="1037"/>
      <c r="C21" s="8" t="s">
        <v>142</v>
      </c>
      <c r="D21" s="84">
        <f>D8-D7</f>
        <v>414</v>
      </c>
      <c r="E21" s="85">
        <f>E8-E7</f>
        <v>214</v>
      </c>
      <c r="F21" s="86">
        <f t="shared" si="0"/>
        <v>628</v>
      </c>
      <c r="G21" s="87">
        <f t="shared" si="4"/>
        <v>57</v>
      </c>
      <c r="H21" s="87">
        <f t="shared" si="4"/>
        <v>15</v>
      </c>
      <c r="I21" s="87">
        <f t="shared" si="4"/>
        <v>1</v>
      </c>
      <c r="J21" s="87">
        <f t="shared" si="4"/>
        <v>0</v>
      </c>
      <c r="K21" s="459">
        <f t="shared" si="5"/>
        <v>701</v>
      </c>
      <c r="L21" s="472"/>
      <c r="M21" s="428"/>
    </row>
    <row r="22" spans="2:14" ht="21" customHeight="1">
      <c r="B22" s="1037"/>
      <c r="C22" s="8" t="s">
        <v>143</v>
      </c>
      <c r="D22" s="84">
        <f>D9-D7</f>
        <v>-467</v>
      </c>
      <c r="E22" s="85">
        <f>E9-E7</f>
        <v>-118</v>
      </c>
      <c r="F22" s="86">
        <f t="shared" si="0"/>
        <v>-585</v>
      </c>
      <c r="G22" s="87">
        <f>G9-G7</f>
        <v>-61</v>
      </c>
      <c r="H22" s="87">
        <f>H9-H7</f>
        <v>-15</v>
      </c>
      <c r="I22" s="87">
        <f>I9-I7</f>
        <v>-4</v>
      </c>
      <c r="J22" s="87">
        <f>J9-J7</f>
        <v>0</v>
      </c>
      <c r="K22" s="459">
        <f t="shared" si="5"/>
        <v>-665</v>
      </c>
      <c r="L22" s="472"/>
      <c r="M22" s="428"/>
    </row>
    <row r="23" spans="2:14" ht="21" customHeight="1">
      <c r="B23" s="1037"/>
      <c r="C23" s="8" t="s">
        <v>145</v>
      </c>
      <c r="D23" s="84">
        <f>D10-D7</f>
        <v>-2122</v>
      </c>
      <c r="E23" s="85">
        <f>E10-E7</f>
        <v>-237</v>
      </c>
      <c r="F23" s="86">
        <f t="shared" si="0"/>
        <v>-2359</v>
      </c>
      <c r="G23" s="87">
        <f>G10-G7</f>
        <v>12</v>
      </c>
      <c r="H23" s="87">
        <f>H10-H7</f>
        <v>-6</v>
      </c>
      <c r="I23" s="87">
        <f>I10-I7</f>
        <v>-2</v>
      </c>
      <c r="J23" s="87">
        <f>J10-J7</f>
        <v>0</v>
      </c>
      <c r="K23" s="459">
        <f t="shared" si="5"/>
        <v>-2355</v>
      </c>
      <c r="L23" s="472"/>
      <c r="M23" s="428"/>
    </row>
    <row r="24" spans="2:14" ht="21" customHeight="1">
      <c r="B24" s="1037"/>
      <c r="C24" s="6" t="s">
        <v>144</v>
      </c>
      <c r="D24" s="88">
        <f>D11-D10</f>
        <v>-7123</v>
      </c>
      <c r="E24" s="89">
        <f>E11-E10</f>
        <v>-61</v>
      </c>
      <c r="F24" s="90">
        <f t="shared" si="0"/>
        <v>-7184</v>
      </c>
      <c r="G24" s="91">
        <f>G11-G10</f>
        <v>15</v>
      </c>
      <c r="H24" s="91">
        <f>H11-H10</f>
        <v>-6</v>
      </c>
      <c r="I24" s="91">
        <f>I11-I10</f>
        <v>-1</v>
      </c>
      <c r="J24" s="91">
        <f>J11-J10</f>
        <v>-4</v>
      </c>
      <c r="K24" s="460">
        <f t="shared" si="5"/>
        <v>-7180</v>
      </c>
      <c r="L24" s="473"/>
      <c r="M24" s="429"/>
    </row>
    <row r="25" spans="2:14" ht="21" customHeight="1">
      <c r="B25" s="1032" t="s">
        <v>225</v>
      </c>
      <c r="C25" s="7" t="s">
        <v>140</v>
      </c>
      <c r="D25" s="92">
        <f>D13-D12</f>
        <v>1374</v>
      </c>
      <c r="E25" s="93">
        <f>E13-E12</f>
        <v>-610</v>
      </c>
      <c r="F25" s="94">
        <f t="shared" si="0"/>
        <v>764</v>
      </c>
      <c r="G25" s="95">
        <f t="shared" ref="G25:J26" si="6">G13-G12</f>
        <v>-99</v>
      </c>
      <c r="H25" s="95">
        <f t="shared" si="6"/>
        <v>65</v>
      </c>
      <c r="I25" s="95">
        <f t="shared" si="6"/>
        <v>25</v>
      </c>
      <c r="J25" s="95">
        <f t="shared" si="6"/>
        <v>0</v>
      </c>
      <c r="K25" s="461">
        <f t="shared" si="5"/>
        <v>755</v>
      </c>
      <c r="L25" s="474"/>
      <c r="M25" s="430"/>
    </row>
    <row r="26" spans="2:14" ht="21" customHeight="1">
      <c r="B26" s="1033"/>
      <c r="C26" s="6" t="s">
        <v>141</v>
      </c>
      <c r="D26" s="88">
        <f>D14-D13</f>
        <v>-13993</v>
      </c>
      <c r="E26" s="89">
        <f>E14-E13</f>
        <v>103</v>
      </c>
      <c r="F26" s="90">
        <f t="shared" si="0"/>
        <v>-13890</v>
      </c>
      <c r="G26" s="91">
        <f t="shared" si="6"/>
        <v>-175</v>
      </c>
      <c r="H26" s="91">
        <f t="shared" si="6"/>
        <v>-45</v>
      </c>
      <c r="I26" s="91">
        <f t="shared" si="6"/>
        <v>-4</v>
      </c>
      <c r="J26" s="91">
        <f t="shared" si="6"/>
        <v>4</v>
      </c>
      <c r="K26" s="460">
        <f t="shared" si="5"/>
        <v>-14110</v>
      </c>
      <c r="L26" s="473"/>
      <c r="M26" s="429"/>
    </row>
    <row r="27" spans="2:14" ht="21" customHeight="1">
      <c r="B27" s="1033"/>
      <c r="C27" s="6" t="s">
        <v>142</v>
      </c>
      <c r="D27" s="88">
        <f t="shared" ref="D27:E27" si="7">D15-D14</f>
        <v>-2064</v>
      </c>
      <c r="E27" s="89">
        <f t="shared" si="7"/>
        <v>-142</v>
      </c>
      <c r="F27" s="90">
        <f t="shared" ref="F27:F28" si="8">SUM(D27:E27)</f>
        <v>-2206</v>
      </c>
      <c r="G27" s="91">
        <f t="shared" ref="G27:J27" si="9">G15-G14</f>
        <v>32</v>
      </c>
      <c r="H27" s="91">
        <f t="shared" si="9"/>
        <v>11</v>
      </c>
      <c r="I27" s="91">
        <f t="shared" si="9"/>
        <v>-2</v>
      </c>
      <c r="J27" s="91">
        <f t="shared" si="9"/>
        <v>0</v>
      </c>
      <c r="K27" s="460">
        <f t="shared" ref="K27:K28" si="10">SUM(F27:J27)</f>
        <v>-2165</v>
      </c>
      <c r="L27" s="473"/>
      <c r="M27" s="429"/>
    </row>
    <row r="28" spans="2:14" ht="21" customHeight="1">
      <c r="B28" s="1034"/>
      <c r="C28" s="6" t="s">
        <v>339</v>
      </c>
      <c r="D28" s="88">
        <f t="shared" ref="D28:E28" si="11">D16-D15</f>
        <v>-7069</v>
      </c>
      <c r="E28" s="89">
        <f t="shared" si="11"/>
        <v>25</v>
      </c>
      <c r="F28" s="90">
        <f t="shared" si="8"/>
        <v>-7044</v>
      </c>
      <c r="G28" s="91">
        <f t="shared" ref="G28:J28" si="12">G16-G15</f>
        <v>34</v>
      </c>
      <c r="H28" s="91">
        <f t="shared" si="12"/>
        <v>11</v>
      </c>
      <c r="I28" s="91">
        <f t="shared" si="12"/>
        <v>-1</v>
      </c>
      <c r="J28" s="91">
        <f t="shared" si="12"/>
        <v>-4</v>
      </c>
      <c r="K28" s="460">
        <f t="shared" si="10"/>
        <v>-7004</v>
      </c>
      <c r="L28" s="473"/>
      <c r="M28" s="429"/>
    </row>
  </sheetData>
  <mergeCells count="13">
    <mergeCell ref="K3:K4"/>
    <mergeCell ref="L3:M4"/>
    <mergeCell ref="D3:F3"/>
    <mergeCell ref="G3:G4"/>
    <mergeCell ref="H3:H4"/>
    <mergeCell ref="I3:I4"/>
    <mergeCell ref="J3:J4"/>
    <mergeCell ref="B25:B28"/>
    <mergeCell ref="B3:C4"/>
    <mergeCell ref="B5:B11"/>
    <mergeCell ref="B17:B18"/>
    <mergeCell ref="B19:B24"/>
    <mergeCell ref="B12:B16"/>
  </mergeCells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1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0"/>
  <sheetViews>
    <sheetView view="pageBreakPreview" topLeftCell="A64" zoomScale="130" zoomScaleNormal="100" zoomScaleSheetLayoutView="130" workbookViewId="0">
      <selection activeCell="Q81" sqref="Q81"/>
    </sheetView>
  </sheetViews>
  <sheetFormatPr defaultRowHeight="16.5"/>
  <cols>
    <col min="1" max="1" width="11.125" customWidth="1"/>
    <col min="2" max="2" width="10.25" bestFit="1" customWidth="1"/>
    <col min="3" max="15" width="10" customWidth="1"/>
  </cols>
  <sheetData>
    <row r="1" spans="1:15" ht="26.25">
      <c r="A1" s="612" t="s">
        <v>62</v>
      </c>
    </row>
    <row r="2" spans="1:15" ht="17.25" customHeight="1"/>
    <row r="3" spans="1:15" ht="30.75" customHeight="1">
      <c r="A3" s="24" t="s">
        <v>64</v>
      </c>
    </row>
    <row r="4" spans="1:15" ht="21" customHeight="1">
      <c r="A4" s="1047" t="s">
        <v>1</v>
      </c>
      <c r="B4" s="1047"/>
      <c r="C4" s="932" t="s">
        <v>69</v>
      </c>
      <c r="D4" s="932" t="s">
        <v>71</v>
      </c>
      <c r="E4" s="932" t="s">
        <v>72</v>
      </c>
      <c r="F4" s="932" t="s">
        <v>73</v>
      </c>
      <c r="G4" s="932" t="s">
        <v>74</v>
      </c>
      <c r="H4" s="932" t="s">
        <v>75</v>
      </c>
      <c r="I4" s="932" t="s">
        <v>76</v>
      </c>
      <c r="J4" s="932" t="s">
        <v>77</v>
      </c>
      <c r="K4" s="932" t="s">
        <v>78</v>
      </c>
      <c r="L4" s="932" t="s">
        <v>79</v>
      </c>
      <c r="M4" s="932" t="s">
        <v>80</v>
      </c>
      <c r="N4" s="932" t="s">
        <v>81</v>
      </c>
      <c r="O4" s="932" t="s">
        <v>51</v>
      </c>
    </row>
    <row r="5" spans="1:15" ht="15" customHeight="1">
      <c r="A5" s="1048" t="s">
        <v>83</v>
      </c>
      <c r="B5" s="933" t="s">
        <v>65</v>
      </c>
      <c r="C5" s="934">
        <v>2741</v>
      </c>
      <c r="D5" s="934">
        <v>1943</v>
      </c>
      <c r="E5" s="934">
        <v>2181</v>
      </c>
      <c r="F5" s="934">
        <v>3891</v>
      </c>
      <c r="G5" s="934">
        <v>3853</v>
      </c>
      <c r="H5" s="934">
        <v>2657</v>
      </c>
      <c r="I5" s="934">
        <v>1895</v>
      </c>
      <c r="J5" s="934">
        <v>2226</v>
      </c>
      <c r="K5" s="934">
        <v>2215</v>
      </c>
      <c r="L5" s="934">
        <v>1672</v>
      </c>
      <c r="M5" s="934">
        <v>2643</v>
      </c>
      <c r="N5" s="934">
        <v>2688</v>
      </c>
      <c r="O5" s="934">
        <f>SUM(C5:N5)</f>
        <v>30605</v>
      </c>
    </row>
    <row r="6" spans="1:15" ht="15" customHeight="1">
      <c r="A6" s="1049"/>
      <c r="B6" s="935" t="s">
        <v>43</v>
      </c>
      <c r="C6" s="936">
        <v>289</v>
      </c>
      <c r="D6" s="936">
        <v>338</v>
      </c>
      <c r="E6" s="936">
        <v>138</v>
      </c>
      <c r="F6" s="936">
        <v>155</v>
      </c>
      <c r="G6" s="936">
        <v>125</v>
      </c>
      <c r="H6" s="936">
        <v>171</v>
      </c>
      <c r="I6" s="936">
        <v>185</v>
      </c>
      <c r="J6" s="936">
        <v>135</v>
      </c>
      <c r="K6" s="936">
        <v>108</v>
      </c>
      <c r="L6" s="936">
        <v>650</v>
      </c>
      <c r="M6" s="936">
        <v>178</v>
      </c>
      <c r="N6" s="936">
        <v>225</v>
      </c>
      <c r="O6" s="936">
        <f t="shared" ref="O6:O11" si="0">SUM(C6:N6)</f>
        <v>2697</v>
      </c>
    </row>
    <row r="7" spans="1:15" ht="15" customHeight="1">
      <c r="A7" s="1049"/>
      <c r="B7" s="937" t="s">
        <v>66</v>
      </c>
      <c r="C7" s="938">
        <f t="shared" ref="C7:N7" si="1">SUM(C5:C6)</f>
        <v>3030</v>
      </c>
      <c r="D7" s="938">
        <f t="shared" si="1"/>
        <v>2281</v>
      </c>
      <c r="E7" s="938">
        <f t="shared" si="1"/>
        <v>2319</v>
      </c>
      <c r="F7" s="938">
        <f t="shared" si="1"/>
        <v>4046</v>
      </c>
      <c r="G7" s="938">
        <f t="shared" si="1"/>
        <v>3978</v>
      </c>
      <c r="H7" s="938">
        <f t="shared" si="1"/>
        <v>2828</v>
      </c>
      <c r="I7" s="938">
        <f t="shared" si="1"/>
        <v>2080</v>
      </c>
      <c r="J7" s="938">
        <f t="shared" si="1"/>
        <v>2361</v>
      </c>
      <c r="K7" s="938">
        <f t="shared" si="1"/>
        <v>2323</v>
      </c>
      <c r="L7" s="938">
        <f t="shared" si="1"/>
        <v>2322</v>
      </c>
      <c r="M7" s="938">
        <f t="shared" si="1"/>
        <v>2821</v>
      </c>
      <c r="N7" s="938">
        <f t="shared" si="1"/>
        <v>2913</v>
      </c>
      <c r="O7" s="938">
        <f t="shared" si="0"/>
        <v>33302</v>
      </c>
    </row>
    <row r="8" spans="1:15" ht="15" customHeight="1">
      <c r="A8" s="1049"/>
      <c r="B8" s="935" t="s">
        <v>102</v>
      </c>
      <c r="C8" s="936">
        <v>73</v>
      </c>
      <c r="D8" s="936">
        <v>48</v>
      </c>
      <c r="E8" s="936">
        <v>77</v>
      </c>
      <c r="F8" s="936">
        <v>91</v>
      </c>
      <c r="G8" s="936">
        <v>92</v>
      </c>
      <c r="H8" s="936">
        <v>76</v>
      </c>
      <c r="I8" s="936">
        <v>83</v>
      </c>
      <c r="J8" s="936">
        <v>70</v>
      </c>
      <c r="K8" s="936">
        <v>73</v>
      </c>
      <c r="L8" s="936">
        <v>82</v>
      </c>
      <c r="M8" s="936">
        <v>91</v>
      </c>
      <c r="N8" s="936">
        <v>103</v>
      </c>
      <c r="O8" s="936">
        <f t="shared" si="0"/>
        <v>959</v>
      </c>
    </row>
    <row r="9" spans="1:15" ht="15" customHeight="1">
      <c r="A9" s="1049"/>
      <c r="B9" s="935" t="s">
        <v>47</v>
      </c>
      <c r="C9" s="936">
        <v>40</v>
      </c>
      <c r="D9" s="936">
        <v>23</v>
      </c>
      <c r="E9" s="936">
        <v>26</v>
      </c>
      <c r="F9" s="936">
        <v>23</v>
      </c>
      <c r="G9" s="936">
        <v>23</v>
      </c>
      <c r="H9" s="936">
        <v>23</v>
      </c>
      <c r="I9" s="936">
        <v>25</v>
      </c>
      <c r="J9" s="936">
        <v>33</v>
      </c>
      <c r="K9" s="936">
        <v>15</v>
      </c>
      <c r="L9" s="936">
        <v>29</v>
      </c>
      <c r="M9" s="936">
        <v>32</v>
      </c>
      <c r="N9" s="936">
        <v>32</v>
      </c>
      <c r="O9" s="936">
        <f t="shared" si="0"/>
        <v>324</v>
      </c>
    </row>
    <row r="10" spans="1:15" ht="15" customHeight="1">
      <c r="A10" s="1049"/>
      <c r="B10" s="935" t="s">
        <v>48</v>
      </c>
      <c r="C10" s="936">
        <v>1</v>
      </c>
      <c r="D10" s="936">
        <v>4</v>
      </c>
      <c r="E10" s="936">
        <v>1</v>
      </c>
      <c r="F10" s="936">
        <v>0</v>
      </c>
      <c r="G10" s="936">
        <v>1</v>
      </c>
      <c r="H10" s="936">
        <v>1</v>
      </c>
      <c r="I10" s="936">
        <v>-1</v>
      </c>
      <c r="J10" s="936">
        <v>1</v>
      </c>
      <c r="K10" s="936">
        <v>2</v>
      </c>
      <c r="L10" s="936">
        <v>7</v>
      </c>
      <c r="M10" s="936">
        <v>0</v>
      </c>
      <c r="N10" s="936">
        <v>0</v>
      </c>
      <c r="O10" s="936">
        <f t="shared" si="0"/>
        <v>17</v>
      </c>
    </row>
    <row r="11" spans="1:15" ht="15" customHeight="1">
      <c r="A11" s="1049"/>
      <c r="B11" s="935" t="s">
        <v>67</v>
      </c>
      <c r="C11" s="936">
        <v>0</v>
      </c>
      <c r="D11" s="936">
        <v>0</v>
      </c>
      <c r="E11" s="936">
        <v>1</v>
      </c>
      <c r="F11" s="936">
        <v>0</v>
      </c>
      <c r="G11" s="936">
        <v>1</v>
      </c>
      <c r="H11" s="936">
        <v>0</v>
      </c>
      <c r="I11" s="936">
        <v>0</v>
      </c>
      <c r="J11" s="936">
        <v>1</v>
      </c>
      <c r="K11" s="936">
        <v>-1</v>
      </c>
      <c r="L11" s="936">
        <v>0</v>
      </c>
      <c r="M11" s="936">
        <v>0</v>
      </c>
      <c r="N11" s="936">
        <v>1</v>
      </c>
      <c r="O11" s="936">
        <f t="shared" si="0"/>
        <v>3</v>
      </c>
    </row>
    <row r="12" spans="1:15" ht="15" customHeight="1">
      <c r="A12" s="1049"/>
      <c r="B12" s="939" t="s">
        <v>51</v>
      </c>
      <c r="C12" s="940">
        <f>SUM(C7:C11)</f>
        <v>3144</v>
      </c>
      <c r="D12" s="940">
        <f t="shared" ref="D12:O12" si="2">SUM(D7:D11)</f>
        <v>2356</v>
      </c>
      <c r="E12" s="940">
        <f t="shared" si="2"/>
        <v>2424</v>
      </c>
      <c r="F12" s="940">
        <f t="shared" si="2"/>
        <v>4160</v>
      </c>
      <c r="G12" s="940">
        <f t="shared" si="2"/>
        <v>4095</v>
      </c>
      <c r="H12" s="940">
        <f t="shared" si="2"/>
        <v>2928</v>
      </c>
      <c r="I12" s="940">
        <f t="shared" si="2"/>
        <v>2187</v>
      </c>
      <c r="J12" s="940">
        <f t="shared" si="2"/>
        <v>2466</v>
      </c>
      <c r="K12" s="940">
        <f t="shared" si="2"/>
        <v>2412</v>
      </c>
      <c r="L12" s="940">
        <f t="shared" si="2"/>
        <v>2440</v>
      </c>
      <c r="M12" s="940">
        <f t="shared" si="2"/>
        <v>2944</v>
      </c>
      <c r="N12" s="940">
        <f t="shared" si="2"/>
        <v>3049</v>
      </c>
      <c r="O12" s="940">
        <f t="shared" si="2"/>
        <v>34605</v>
      </c>
    </row>
    <row r="13" spans="1:15" ht="15" customHeight="1">
      <c r="A13" s="1048" t="s">
        <v>85</v>
      </c>
      <c r="B13" s="933" t="s">
        <v>65</v>
      </c>
      <c r="C13" s="934">
        <v>2514</v>
      </c>
      <c r="D13" s="934">
        <v>1896</v>
      </c>
      <c r="E13" s="934">
        <v>1311</v>
      </c>
      <c r="F13" s="934">
        <v>913</v>
      </c>
      <c r="G13" s="934">
        <v>1180</v>
      </c>
      <c r="H13" s="934">
        <v>1298</v>
      </c>
      <c r="I13" s="934">
        <v>1130</v>
      </c>
      <c r="J13" s="934">
        <v>1397</v>
      </c>
      <c r="K13" s="934">
        <v>1576</v>
      </c>
      <c r="L13" s="934">
        <v>1185</v>
      </c>
      <c r="M13" s="934">
        <v>1125</v>
      </c>
      <c r="N13" s="934">
        <v>1197</v>
      </c>
      <c r="O13" s="934">
        <f t="shared" ref="O13:O19" si="3">SUM(C13:N13)</f>
        <v>16722</v>
      </c>
    </row>
    <row r="14" spans="1:15" ht="15" customHeight="1">
      <c r="A14" s="1049"/>
      <c r="B14" s="935" t="s">
        <v>43</v>
      </c>
      <c r="C14" s="936">
        <v>281</v>
      </c>
      <c r="D14" s="936">
        <v>196</v>
      </c>
      <c r="E14" s="936">
        <v>153</v>
      </c>
      <c r="F14" s="936">
        <v>152</v>
      </c>
      <c r="G14" s="936">
        <v>145</v>
      </c>
      <c r="H14" s="936">
        <v>153</v>
      </c>
      <c r="I14" s="936">
        <v>179</v>
      </c>
      <c r="J14" s="936">
        <v>170</v>
      </c>
      <c r="K14" s="936">
        <v>185</v>
      </c>
      <c r="L14" s="936">
        <v>209</v>
      </c>
      <c r="M14" s="936">
        <v>245</v>
      </c>
      <c r="N14" s="936">
        <v>304</v>
      </c>
      <c r="O14" s="936">
        <f t="shared" si="3"/>
        <v>2372</v>
      </c>
    </row>
    <row r="15" spans="1:15" ht="15" customHeight="1">
      <c r="A15" s="1049"/>
      <c r="B15" s="937" t="s">
        <v>66</v>
      </c>
      <c r="C15" s="938">
        <f t="shared" ref="C15:N15" si="4">SUM(C13:C14)</f>
        <v>2795</v>
      </c>
      <c r="D15" s="938">
        <f t="shared" si="4"/>
        <v>2092</v>
      </c>
      <c r="E15" s="938">
        <f t="shared" si="4"/>
        <v>1464</v>
      </c>
      <c r="F15" s="938">
        <f t="shared" si="4"/>
        <v>1065</v>
      </c>
      <c r="G15" s="938">
        <f t="shared" si="4"/>
        <v>1325</v>
      </c>
      <c r="H15" s="938">
        <f t="shared" si="4"/>
        <v>1451</v>
      </c>
      <c r="I15" s="938">
        <f t="shared" si="4"/>
        <v>1309</v>
      </c>
      <c r="J15" s="938">
        <f t="shared" si="4"/>
        <v>1567</v>
      </c>
      <c r="K15" s="938">
        <f t="shared" si="4"/>
        <v>1761</v>
      </c>
      <c r="L15" s="938">
        <f t="shared" si="4"/>
        <v>1394</v>
      </c>
      <c r="M15" s="938">
        <f t="shared" si="4"/>
        <v>1370</v>
      </c>
      <c r="N15" s="938">
        <f t="shared" si="4"/>
        <v>1501</v>
      </c>
      <c r="O15" s="938">
        <f t="shared" si="3"/>
        <v>19094</v>
      </c>
    </row>
    <row r="16" spans="1:15" ht="15" customHeight="1">
      <c r="A16" s="1049"/>
      <c r="B16" s="935" t="s">
        <v>102</v>
      </c>
      <c r="C16" s="936">
        <v>66</v>
      </c>
      <c r="D16" s="936">
        <v>57</v>
      </c>
      <c r="E16" s="936">
        <v>71</v>
      </c>
      <c r="F16" s="936">
        <v>72</v>
      </c>
      <c r="G16" s="936">
        <v>72</v>
      </c>
      <c r="H16" s="936">
        <v>67</v>
      </c>
      <c r="I16" s="936">
        <v>70</v>
      </c>
      <c r="J16" s="936">
        <v>65</v>
      </c>
      <c r="K16" s="936">
        <v>69</v>
      </c>
      <c r="L16" s="936">
        <v>77</v>
      </c>
      <c r="M16" s="936">
        <v>92</v>
      </c>
      <c r="N16" s="936">
        <v>90</v>
      </c>
      <c r="O16" s="936">
        <f t="shared" si="3"/>
        <v>868</v>
      </c>
    </row>
    <row r="17" spans="1:17" ht="15" customHeight="1">
      <c r="A17" s="1049"/>
      <c r="B17" s="935" t="s">
        <v>47</v>
      </c>
      <c r="C17" s="936">
        <v>31</v>
      </c>
      <c r="D17" s="936">
        <v>24</v>
      </c>
      <c r="E17" s="936">
        <v>27</v>
      </c>
      <c r="F17" s="936">
        <v>33</v>
      </c>
      <c r="G17" s="936">
        <v>25</v>
      </c>
      <c r="H17" s="936">
        <v>22</v>
      </c>
      <c r="I17" s="936">
        <v>23</v>
      </c>
      <c r="J17" s="936">
        <v>27</v>
      </c>
      <c r="K17" s="936">
        <v>16</v>
      </c>
      <c r="L17" s="936">
        <v>23</v>
      </c>
      <c r="M17" s="936">
        <v>32</v>
      </c>
      <c r="N17" s="936">
        <v>30</v>
      </c>
      <c r="O17" s="936">
        <f t="shared" si="3"/>
        <v>313</v>
      </c>
    </row>
    <row r="18" spans="1:17" ht="15" customHeight="1">
      <c r="A18" s="1049"/>
      <c r="B18" s="935" t="s">
        <v>48</v>
      </c>
      <c r="C18" s="936">
        <v>1</v>
      </c>
      <c r="D18" s="936">
        <v>1</v>
      </c>
      <c r="E18" s="936">
        <v>0</v>
      </c>
      <c r="F18" s="936">
        <v>1</v>
      </c>
      <c r="G18" s="936">
        <v>1</v>
      </c>
      <c r="H18" s="936">
        <v>1</v>
      </c>
      <c r="I18" s="936">
        <v>0</v>
      </c>
      <c r="J18" s="936">
        <v>1</v>
      </c>
      <c r="K18" s="936">
        <v>0</v>
      </c>
      <c r="L18" s="936">
        <v>1</v>
      </c>
      <c r="M18" s="936">
        <v>3</v>
      </c>
      <c r="N18" s="936">
        <v>2</v>
      </c>
      <c r="O18" s="936">
        <f t="shared" si="3"/>
        <v>12</v>
      </c>
    </row>
    <row r="19" spans="1:17" ht="15" customHeight="1">
      <c r="A19" s="1049"/>
      <c r="B19" s="935" t="s">
        <v>67</v>
      </c>
      <c r="C19" s="936">
        <v>0</v>
      </c>
      <c r="D19" s="936">
        <v>0</v>
      </c>
      <c r="E19" s="936">
        <v>0</v>
      </c>
      <c r="F19" s="936">
        <v>1</v>
      </c>
      <c r="G19" s="936">
        <v>0</v>
      </c>
      <c r="H19" s="936">
        <v>0</v>
      </c>
      <c r="I19" s="936">
        <v>4</v>
      </c>
      <c r="J19" s="936">
        <v>1</v>
      </c>
      <c r="K19" s="936">
        <v>0</v>
      </c>
      <c r="L19" s="936">
        <v>0</v>
      </c>
      <c r="M19" s="936">
        <v>0</v>
      </c>
      <c r="N19" s="936">
        <v>1</v>
      </c>
      <c r="O19" s="936">
        <f t="shared" si="3"/>
        <v>7</v>
      </c>
    </row>
    <row r="20" spans="1:17" ht="15" customHeight="1">
      <c r="A20" s="1049"/>
      <c r="B20" s="939" t="s">
        <v>51</v>
      </c>
      <c r="C20" s="940">
        <f t="shared" ref="C20:O20" si="5">SUM(C15:C19)</f>
        <v>2893</v>
      </c>
      <c r="D20" s="940">
        <f t="shared" si="5"/>
        <v>2174</v>
      </c>
      <c r="E20" s="940">
        <f t="shared" si="5"/>
        <v>1562</v>
      </c>
      <c r="F20" s="940">
        <f t="shared" si="5"/>
        <v>1172</v>
      </c>
      <c r="G20" s="940">
        <f t="shared" si="5"/>
        <v>1423</v>
      </c>
      <c r="H20" s="940">
        <f t="shared" si="5"/>
        <v>1541</v>
      </c>
      <c r="I20" s="940">
        <f t="shared" si="5"/>
        <v>1406</v>
      </c>
      <c r="J20" s="940">
        <f t="shared" si="5"/>
        <v>1661</v>
      </c>
      <c r="K20" s="940">
        <f t="shared" si="5"/>
        <v>1846</v>
      </c>
      <c r="L20" s="940">
        <f t="shared" si="5"/>
        <v>1495</v>
      </c>
      <c r="M20" s="940">
        <f t="shared" si="5"/>
        <v>1497</v>
      </c>
      <c r="N20" s="940">
        <f t="shared" si="5"/>
        <v>1624</v>
      </c>
      <c r="O20" s="940">
        <f t="shared" si="5"/>
        <v>20294</v>
      </c>
      <c r="P20">
        <v>18310</v>
      </c>
      <c r="Q20" s="420">
        <f>O20-P20</f>
        <v>1984</v>
      </c>
    </row>
    <row r="21" spans="1:17" ht="15" customHeight="1">
      <c r="A21" s="1048" t="s">
        <v>84</v>
      </c>
      <c r="B21" s="933" t="s">
        <v>65</v>
      </c>
      <c r="C21" s="934">
        <v>2631</v>
      </c>
      <c r="D21" s="934">
        <v>1962</v>
      </c>
      <c r="E21" s="934">
        <v>1332</v>
      </c>
      <c r="F21" s="934">
        <v>925</v>
      </c>
      <c r="G21" s="934">
        <v>1225</v>
      </c>
      <c r="H21" s="934">
        <v>1320</v>
      </c>
      <c r="I21" s="934">
        <v>1148</v>
      </c>
      <c r="J21" s="934">
        <v>1407</v>
      </c>
      <c r="K21" s="934">
        <v>1571</v>
      </c>
      <c r="L21" s="934">
        <v>1190</v>
      </c>
      <c r="M21" s="934">
        <v>1136</v>
      </c>
      <c r="N21" s="934">
        <v>1289</v>
      </c>
      <c r="O21" s="934">
        <f t="shared" ref="O21:O27" si="6">SUM(C21:N21)</f>
        <v>17136</v>
      </c>
    </row>
    <row r="22" spans="1:17" ht="15" customHeight="1">
      <c r="A22" s="1049"/>
      <c r="B22" s="935" t="s">
        <v>43</v>
      </c>
      <c r="C22" s="936">
        <v>306</v>
      </c>
      <c r="D22" s="936">
        <v>214</v>
      </c>
      <c r="E22" s="936">
        <v>167</v>
      </c>
      <c r="F22" s="936">
        <v>166</v>
      </c>
      <c r="G22" s="936">
        <v>158</v>
      </c>
      <c r="H22" s="936">
        <v>167</v>
      </c>
      <c r="I22" s="936">
        <v>195</v>
      </c>
      <c r="J22" s="936">
        <v>185</v>
      </c>
      <c r="K22" s="936">
        <v>202</v>
      </c>
      <c r="L22" s="936">
        <v>228</v>
      </c>
      <c r="M22" s="936">
        <v>267</v>
      </c>
      <c r="N22" s="936">
        <v>331</v>
      </c>
      <c r="O22" s="936">
        <f t="shared" si="6"/>
        <v>2586</v>
      </c>
    </row>
    <row r="23" spans="1:17" ht="15" customHeight="1">
      <c r="A23" s="1049"/>
      <c r="B23" s="937" t="s">
        <v>66</v>
      </c>
      <c r="C23" s="938">
        <f t="shared" ref="C23:N23" si="7">SUM(C21:C22)</f>
        <v>2937</v>
      </c>
      <c r="D23" s="938">
        <f t="shared" si="7"/>
        <v>2176</v>
      </c>
      <c r="E23" s="938">
        <f t="shared" si="7"/>
        <v>1499</v>
      </c>
      <c r="F23" s="938">
        <f t="shared" si="7"/>
        <v>1091</v>
      </c>
      <c r="G23" s="938">
        <f t="shared" si="7"/>
        <v>1383</v>
      </c>
      <c r="H23" s="938">
        <f t="shared" si="7"/>
        <v>1487</v>
      </c>
      <c r="I23" s="938">
        <f t="shared" si="7"/>
        <v>1343</v>
      </c>
      <c r="J23" s="938">
        <f t="shared" si="7"/>
        <v>1592</v>
      </c>
      <c r="K23" s="938">
        <f t="shared" si="7"/>
        <v>1773</v>
      </c>
      <c r="L23" s="938">
        <f t="shared" si="7"/>
        <v>1418</v>
      </c>
      <c r="M23" s="938">
        <f t="shared" si="7"/>
        <v>1403</v>
      </c>
      <c r="N23" s="938">
        <f t="shared" si="7"/>
        <v>1620</v>
      </c>
      <c r="O23" s="938">
        <f t="shared" si="6"/>
        <v>19722</v>
      </c>
    </row>
    <row r="24" spans="1:17" ht="15" customHeight="1">
      <c r="A24" s="1049"/>
      <c r="B24" s="935" t="s">
        <v>102</v>
      </c>
      <c r="C24" s="936">
        <v>70</v>
      </c>
      <c r="D24" s="936">
        <v>61</v>
      </c>
      <c r="E24" s="936">
        <v>76</v>
      </c>
      <c r="F24" s="936">
        <v>77</v>
      </c>
      <c r="G24" s="936">
        <v>77</v>
      </c>
      <c r="H24" s="936">
        <v>71</v>
      </c>
      <c r="I24" s="936">
        <v>75</v>
      </c>
      <c r="J24" s="936">
        <v>69</v>
      </c>
      <c r="K24" s="936">
        <v>73</v>
      </c>
      <c r="L24" s="936">
        <v>82</v>
      </c>
      <c r="M24" s="936">
        <v>98</v>
      </c>
      <c r="N24" s="936">
        <v>96</v>
      </c>
      <c r="O24" s="936">
        <f t="shared" si="6"/>
        <v>925</v>
      </c>
    </row>
    <row r="25" spans="1:17" ht="15" customHeight="1">
      <c r="A25" s="1049"/>
      <c r="B25" s="935" t="s">
        <v>47</v>
      </c>
      <c r="C25" s="936">
        <v>32</v>
      </c>
      <c r="D25" s="936">
        <v>25</v>
      </c>
      <c r="E25" s="936">
        <v>30</v>
      </c>
      <c r="F25" s="936">
        <v>34</v>
      </c>
      <c r="G25" s="936">
        <v>27</v>
      </c>
      <c r="H25" s="936">
        <v>24</v>
      </c>
      <c r="I25" s="936">
        <v>25</v>
      </c>
      <c r="J25" s="936">
        <v>28</v>
      </c>
      <c r="K25" s="936">
        <v>17</v>
      </c>
      <c r="L25" s="936">
        <v>23</v>
      </c>
      <c r="M25" s="936">
        <v>32</v>
      </c>
      <c r="N25" s="936">
        <v>31</v>
      </c>
      <c r="O25" s="936">
        <f t="shared" si="6"/>
        <v>328</v>
      </c>
    </row>
    <row r="26" spans="1:17" ht="15" customHeight="1">
      <c r="A26" s="1049"/>
      <c r="B26" s="935" t="s">
        <v>48</v>
      </c>
      <c r="C26" s="936">
        <v>1</v>
      </c>
      <c r="D26" s="936">
        <v>1</v>
      </c>
      <c r="E26" s="936">
        <v>3</v>
      </c>
      <c r="F26" s="936">
        <v>1</v>
      </c>
      <c r="G26" s="936">
        <v>1</v>
      </c>
      <c r="H26" s="936">
        <v>1</v>
      </c>
      <c r="I26" s="936">
        <v>1</v>
      </c>
      <c r="J26" s="936">
        <v>0</v>
      </c>
      <c r="K26" s="936">
        <v>1</v>
      </c>
      <c r="L26" s="936">
        <v>1</v>
      </c>
      <c r="M26" s="936">
        <v>2</v>
      </c>
      <c r="N26" s="936">
        <v>0</v>
      </c>
      <c r="O26" s="936">
        <f t="shared" si="6"/>
        <v>13</v>
      </c>
    </row>
    <row r="27" spans="1:17" ht="15" customHeight="1">
      <c r="A27" s="1049"/>
      <c r="B27" s="935" t="s">
        <v>67</v>
      </c>
      <c r="C27" s="936">
        <v>0</v>
      </c>
      <c r="D27" s="936">
        <v>0</v>
      </c>
      <c r="E27" s="936">
        <v>0</v>
      </c>
      <c r="F27" s="936">
        <v>1</v>
      </c>
      <c r="G27" s="936">
        <v>4</v>
      </c>
      <c r="H27" s="936">
        <v>0</v>
      </c>
      <c r="I27" s="936">
        <v>0</v>
      </c>
      <c r="J27" s="936">
        <v>1</v>
      </c>
      <c r="K27" s="936">
        <v>0</v>
      </c>
      <c r="L27" s="936">
        <v>0</v>
      </c>
      <c r="M27" s="936">
        <v>0</v>
      </c>
      <c r="N27" s="936">
        <v>1</v>
      </c>
      <c r="O27" s="936">
        <f t="shared" si="6"/>
        <v>7</v>
      </c>
    </row>
    <row r="28" spans="1:17" ht="15" customHeight="1">
      <c r="A28" s="1049"/>
      <c r="B28" s="939" t="s">
        <v>51</v>
      </c>
      <c r="C28" s="940">
        <f t="shared" ref="C28:O28" si="8">SUM(C23:C27)</f>
        <v>3040</v>
      </c>
      <c r="D28" s="940">
        <f t="shared" si="8"/>
        <v>2263</v>
      </c>
      <c r="E28" s="940">
        <f t="shared" si="8"/>
        <v>1608</v>
      </c>
      <c r="F28" s="940">
        <f t="shared" si="8"/>
        <v>1204</v>
      </c>
      <c r="G28" s="940">
        <f t="shared" si="8"/>
        <v>1492</v>
      </c>
      <c r="H28" s="940">
        <f t="shared" si="8"/>
        <v>1583</v>
      </c>
      <c r="I28" s="940">
        <f t="shared" si="8"/>
        <v>1444</v>
      </c>
      <c r="J28" s="940">
        <f t="shared" si="8"/>
        <v>1690</v>
      </c>
      <c r="K28" s="940">
        <f t="shared" si="8"/>
        <v>1864</v>
      </c>
      <c r="L28" s="940">
        <f t="shared" si="8"/>
        <v>1524</v>
      </c>
      <c r="M28" s="940">
        <f t="shared" si="8"/>
        <v>1535</v>
      </c>
      <c r="N28" s="940">
        <f t="shared" si="8"/>
        <v>1748</v>
      </c>
      <c r="O28" s="940">
        <f t="shared" si="8"/>
        <v>20995</v>
      </c>
      <c r="P28" s="420">
        <f>O28-Q20</f>
        <v>19011</v>
      </c>
    </row>
    <row r="29" spans="1:17" ht="15" customHeight="1">
      <c r="A29" s="1048" t="s">
        <v>504</v>
      </c>
      <c r="B29" s="933" t="s">
        <v>65</v>
      </c>
      <c r="C29" s="934">
        <v>2488</v>
      </c>
      <c r="D29" s="934">
        <v>1911</v>
      </c>
      <c r="E29" s="934">
        <v>1349</v>
      </c>
      <c r="F29" s="934">
        <v>951</v>
      </c>
      <c r="G29" s="934">
        <v>1160</v>
      </c>
      <c r="H29" s="934">
        <v>1268</v>
      </c>
      <c r="I29" s="934">
        <v>1072</v>
      </c>
      <c r="J29" s="934">
        <v>1242</v>
      </c>
      <c r="K29" s="934">
        <v>1478</v>
      </c>
      <c r="L29" s="934">
        <v>1115</v>
      </c>
      <c r="M29" s="934">
        <v>1083</v>
      </c>
      <c r="N29" s="934">
        <v>1138</v>
      </c>
      <c r="O29" s="934">
        <f t="shared" ref="O29:O35" si="9">SUM(C29:N29)</f>
        <v>16255</v>
      </c>
    </row>
    <row r="30" spans="1:17" ht="15" customHeight="1">
      <c r="A30" s="1049"/>
      <c r="B30" s="935" t="s">
        <v>43</v>
      </c>
      <c r="C30" s="936">
        <v>267</v>
      </c>
      <c r="D30" s="936">
        <v>186</v>
      </c>
      <c r="E30" s="936">
        <v>145</v>
      </c>
      <c r="F30" s="936">
        <v>144</v>
      </c>
      <c r="G30" s="936">
        <v>138</v>
      </c>
      <c r="H30" s="936">
        <v>145</v>
      </c>
      <c r="I30" s="936">
        <v>170</v>
      </c>
      <c r="J30" s="936">
        <v>162</v>
      </c>
      <c r="K30" s="936">
        <v>176</v>
      </c>
      <c r="L30" s="936">
        <v>199</v>
      </c>
      <c r="M30" s="936">
        <v>233</v>
      </c>
      <c r="N30" s="936">
        <v>289</v>
      </c>
      <c r="O30" s="936">
        <f t="shared" si="9"/>
        <v>2254</v>
      </c>
    </row>
    <row r="31" spans="1:17" ht="15" customHeight="1">
      <c r="A31" s="1049"/>
      <c r="B31" s="937" t="s">
        <v>66</v>
      </c>
      <c r="C31" s="938">
        <f t="shared" ref="C31:N31" si="10">SUM(C29:C30)</f>
        <v>2755</v>
      </c>
      <c r="D31" s="938">
        <f t="shared" si="10"/>
        <v>2097</v>
      </c>
      <c r="E31" s="938">
        <f t="shared" si="10"/>
        <v>1494</v>
      </c>
      <c r="F31" s="938">
        <f t="shared" si="10"/>
        <v>1095</v>
      </c>
      <c r="G31" s="938">
        <f t="shared" si="10"/>
        <v>1298</v>
      </c>
      <c r="H31" s="938">
        <f t="shared" si="10"/>
        <v>1413</v>
      </c>
      <c r="I31" s="938">
        <f t="shared" si="10"/>
        <v>1242</v>
      </c>
      <c r="J31" s="938">
        <f t="shared" si="10"/>
        <v>1404</v>
      </c>
      <c r="K31" s="938">
        <f t="shared" si="10"/>
        <v>1654</v>
      </c>
      <c r="L31" s="938">
        <f t="shared" si="10"/>
        <v>1314</v>
      </c>
      <c r="M31" s="938">
        <f t="shared" si="10"/>
        <v>1316</v>
      </c>
      <c r="N31" s="938">
        <f t="shared" si="10"/>
        <v>1427</v>
      </c>
      <c r="O31" s="938">
        <f t="shared" si="9"/>
        <v>18509</v>
      </c>
    </row>
    <row r="32" spans="1:17" ht="15" customHeight="1">
      <c r="A32" s="1049"/>
      <c r="B32" s="935" t="s">
        <v>102</v>
      </c>
      <c r="C32" s="936">
        <v>61</v>
      </c>
      <c r="D32" s="936">
        <v>53</v>
      </c>
      <c r="E32" s="936">
        <v>66</v>
      </c>
      <c r="F32" s="936">
        <v>67</v>
      </c>
      <c r="G32" s="936">
        <v>67</v>
      </c>
      <c r="H32" s="936">
        <v>62</v>
      </c>
      <c r="I32" s="936">
        <v>65</v>
      </c>
      <c r="J32" s="936">
        <v>60</v>
      </c>
      <c r="K32" s="936">
        <v>64</v>
      </c>
      <c r="L32" s="936">
        <v>72</v>
      </c>
      <c r="M32" s="936">
        <v>86</v>
      </c>
      <c r="N32" s="936">
        <v>84</v>
      </c>
      <c r="O32" s="936">
        <f t="shared" si="9"/>
        <v>807</v>
      </c>
    </row>
    <row r="33" spans="1:16" ht="15" customHeight="1">
      <c r="A33" s="1049"/>
      <c r="B33" s="935" t="s">
        <v>47</v>
      </c>
      <c r="C33" s="936">
        <v>30</v>
      </c>
      <c r="D33" s="936">
        <v>23</v>
      </c>
      <c r="E33" s="936">
        <v>27</v>
      </c>
      <c r="F33" s="936">
        <v>31</v>
      </c>
      <c r="G33" s="936">
        <v>23</v>
      </c>
      <c r="H33" s="936">
        <v>22</v>
      </c>
      <c r="I33" s="936">
        <v>23</v>
      </c>
      <c r="J33" s="936">
        <v>25</v>
      </c>
      <c r="K33" s="936">
        <v>15</v>
      </c>
      <c r="L33" s="936">
        <v>20</v>
      </c>
      <c r="M33" s="936">
        <v>30</v>
      </c>
      <c r="N33" s="936">
        <v>29</v>
      </c>
      <c r="O33" s="936">
        <f t="shared" si="9"/>
        <v>298</v>
      </c>
    </row>
    <row r="34" spans="1:16" ht="15" customHeight="1">
      <c r="A34" s="1049"/>
      <c r="B34" s="935" t="s">
        <v>48</v>
      </c>
      <c r="C34" s="936">
        <v>0</v>
      </c>
      <c r="D34" s="936">
        <v>0</v>
      </c>
      <c r="E34" s="936">
        <v>1</v>
      </c>
      <c r="F34" s="936">
        <v>1</v>
      </c>
      <c r="G34" s="936">
        <v>0</v>
      </c>
      <c r="H34" s="936">
        <v>1</v>
      </c>
      <c r="I34" s="936">
        <v>1</v>
      </c>
      <c r="J34" s="936">
        <v>0</v>
      </c>
      <c r="K34" s="936">
        <v>1</v>
      </c>
      <c r="L34" s="936">
        <v>1</v>
      </c>
      <c r="M34" s="936">
        <v>0</v>
      </c>
      <c r="N34" s="936">
        <v>2</v>
      </c>
      <c r="O34" s="936">
        <f t="shared" si="9"/>
        <v>8</v>
      </c>
    </row>
    <row r="35" spans="1:16" ht="15" customHeight="1">
      <c r="A35" s="1049"/>
      <c r="B35" s="935" t="s">
        <v>67</v>
      </c>
      <c r="C35" s="936">
        <v>0</v>
      </c>
      <c r="D35" s="936">
        <v>0</v>
      </c>
      <c r="E35" s="936">
        <v>0</v>
      </c>
      <c r="F35" s="936">
        <v>1</v>
      </c>
      <c r="G35" s="936">
        <v>0</v>
      </c>
      <c r="H35" s="936">
        <v>0</v>
      </c>
      <c r="I35" s="936">
        <v>0</v>
      </c>
      <c r="J35" s="936">
        <v>1</v>
      </c>
      <c r="K35" s="936">
        <v>0</v>
      </c>
      <c r="L35" s="936">
        <v>4</v>
      </c>
      <c r="M35" s="936">
        <v>0</v>
      </c>
      <c r="N35" s="936">
        <v>1</v>
      </c>
      <c r="O35" s="936">
        <f t="shared" si="9"/>
        <v>7</v>
      </c>
    </row>
    <row r="36" spans="1:16" ht="15" customHeight="1">
      <c r="A36" s="1049"/>
      <c r="B36" s="939" t="s">
        <v>51</v>
      </c>
      <c r="C36" s="940">
        <f t="shared" ref="C36:O36" si="11">SUM(C31:C35)</f>
        <v>2846</v>
      </c>
      <c r="D36" s="940">
        <f t="shared" si="11"/>
        <v>2173</v>
      </c>
      <c r="E36" s="940">
        <f t="shared" si="11"/>
        <v>1588</v>
      </c>
      <c r="F36" s="940">
        <f t="shared" si="11"/>
        <v>1195</v>
      </c>
      <c r="G36" s="940">
        <f t="shared" si="11"/>
        <v>1388</v>
      </c>
      <c r="H36" s="940">
        <f t="shared" si="11"/>
        <v>1498</v>
      </c>
      <c r="I36" s="940">
        <f t="shared" si="11"/>
        <v>1331</v>
      </c>
      <c r="J36" s="940">
        <f t="shared" si="11"/>
        <v>1490</v>
      </c>
      <c r="K36" s="940">
        <f t="shared" si="11"/>
        <v>1734</v>
      </c>
      <c r="L36" s="940">
        <f t="shared" si="11"/>
        <v>1411</v>
      </c>
      <c r="M36" s="940">
        <f t="shared" si="11"/>
        <v>1432</v>
      </c>
      <c r="N36" s="940">
        <f t="shared" si="11"/>
        <v>1543</v>
      </c>
      <c r="O36" s="940">
        <f t="shared" si="11"/>
        <v>19629</v>
      </c>
      <c r="P36" s="420">
        <f>O36-Q20</f>
        <v>17645</v>
      </c>
    </row>
    <row r="37" spans="1:16" ht="15" customHeight="1">
      <c r="A37" s="1047" t="s">
        <v>1</v>
      </c>
      <c r="B37" s="1047"/>
      <c r="C37" s="932" t="s">
        <v>69</v>
      </c>
      <c r="D37" s="932" t="s">
        <v>71</v>
      </c>
      <c r="E37" s="932" t="s">
        <v>72</v>
      </c>
      <c r="F37" s="932" t="s">
        <v>73</v>
      </c>
      <c r="G37" s="932" t="s">
        <v>74</v>
      </c>
      <c r="H37" s="932" t="s">
        <v>75</v>
      </c>
      <c r="I37" s="932" t="s">
        <v>76</v>
      </c>
      <c r="J37" s="932" t="s">
        <v>77</v>
      </c>
      <c r="K37" s="932" t="s">
        <v>78</v>
      </c>
      <c r="L37" s="932" t="s">
        <v>79</v>
      </c>
      <c r="M37" s="932" t="s">
        <v>80</v>
      </c>
      <c r="N37" s="932" t="s">
        <v>81</v>
      </c>
      <c r="O37" s="932" t="s">
        <v>51</v>
      </c>
    </row>
    <row r="38" spans="1:16" ht="15" customHeight="1">
      <c r="A38" s="1048" t="s">
        <v>86</v>
      </c>
      <c r="B38" s="933" t="s">
        <v>65</v>
      </c>
      <c r="C38" s="934">
        <v>1172</v>
      </c>
      <c r="D38" s="934">
        <v>1798</v>
      </c>
      <c r="E38" s="934">
        <v>2530</v>
      </c>
      <c r="F38" s="934">
        <v>2008</v>
      </c>
      <c r="G38" s="934">
        <v>2246</v>
      </c>
      <c r="H38" s="934">
        <v>1365</v>
      </c>
      <c r="I38" s="934">
        <v>946</v>
      </c>
      <c r="J38" s="934">
        <v>951</v>
      </c>
      <c r="K38" s="934">
        <v>595</v>
      </c>
      <c r="L38" s="934">
        <v>412</v>
      </c>
      <c r="M38" s="934">
        <v>291</v>
      </c>
      <c r="N38" s="934">
        <v>286</v>
      </c>
      <c r="O38" s="934">
        <f t="shared" ref="O38:O44" si="12">SUM(C38:N38)</f>
        <v>14600</v>
      </c>
    </row>
    <row r="39" spans="1:16" ht="15" customHeight="1">
      <c r="A39" s="1049"/>
      <c r="B39" s="935" t="s">
        <v>43</v>
      </c>
      <c r="C39" s="936">
        <v>253</v>
      </c>
      <c r="D39" s="936">
        <v>175</v>
      </c>
      <c r="E39" s="936">
        <v>138</v>
      </c>
      <c r="F39" s="936">
        <v>137</v>
      </c>
      <c r="G39" s="936">
        <v>131</v>
      </c>
      <c r="H39" s="936">
        <v>137</v>
      </c>
      <c r="I39" s="936">
        <v>161</v>
      </c>
      <c r="J39" s="936">
        <v>154</v>
      </c>
      <c r="K39" s="936">
        <v>168</v>
      </c>
      <c r="L39" s="936">
        <v>183</v>
      </c>
      <c r="M39" s="936">
        <v>221</v>
      </c>
      <c r="N39" s="936">
        <v>277</v>
      </c>
      <c r="O39" s="936">
        <f t="shared" si="12"/>
        <v>2135</v>
      </c>
    </row>
    <row r="40" spans="1:16" ht="15" customHeight="1">
      <c r="A40" s="1049"/>
      <c r="B40" s="937" t="s">
        <v>66</v>
      </c>
      <c r="C40" s="938">
        <f t="shared" ref="C40:N40" si="13">SUM(C38:C39)</f>
        <v>1425</v>
      </c>
      <c r="D40" s="938">
        <f t="shared" si="13"/>
        <v>1973</v>
      </c>
      <c r="E40" s="938">
        <f t="shared" si="13"/>
        <v>2668</v>
      </c>
      <c r="F40" s="938">
        <f t="shared" si="13"/>
        <v>2145</v>
      </c>
      <c r="G40" s="938">
        <f t="shared" si="13"/>
        <v>2377</v>
      </c>
      <c r="H40" s="938">
        <f t="shared" si="13"/>
        <v>1502</v>
      </c>
      <c r="I40" s="938">
        <f t="shared" si="13"/>
        <v>1107</v>
      </c>
      <c r="J40" s="938">
        <f t="shared" si="13"/>
        <v>1105</v>
      </c>
      <c r="K40" s="938">
        <f t="shared" si="13"/>
        <v>763</v>
      </c>
      <c r="L40" s="938">
        <f t="shared" si="13"/>
        <v>595</v>
      </c>
      <c r="M40" s="938">
        <f t="shared" si="13"/>
        <v>512</v>
      </c>
      <c r="N40" s="938">
        <f t="shared" si="13"/>
        <v>563</v>
      </c>
      <c r="O40" s="938">
        <f t="shared" si="12"/>
        <v>16735</v>
      </c>
    </row>
    <row r="41" spans="1:16" ht="15" customHeight="1">
      <c r="A41" s="1049"/>
      <c r="B41" s="935" t="s">
        <v>102</v>
      </c>
      <c r="C41" s="936">
        <v>67</v>
      </c>
      <c r="D41" s="936">
        <v>58</v>
      </c>
      <c r="E41" s="936">
        <v>72</v>
      </c>
      <c r="F41" s="936">
        <v>73</v>
      </c>
      <c r="G41" s="936">
        <v>73</v>
      </c>
      <c r="H41" s="936">
        <v>68</v>
      </c>
      <c r="I41" s="936">
        <v>71</v>
      </c>
      <c r="J41" s="936">
        <v>66</v>
      </c>
      <c r="K41" s="936">
        <v>70</v>
      </c>
      <c r="L41" s="936">
        <v>78</v>
      </c>
      <c r="M41" s="936">
        <v>93</v>
      </c>
      <c r="N41" s="936">
        <v>91</v>
      </c>
      <c r="O41" s="936">
        <f t="shared" si="12"/>
        <v>880</v>
      </c>
    </row>
    <row r="42" spans="1:16" ht="15" customHeight="1">
      <c r="A42" s="1049"/>
      <c r="B42" s="935" t="s">
        <v>47</v>
      </c>
      <c r="C42" s="936">
        <v>30</v>
      </c>
      <c r="D42" s="936">
        <v>23</v>
      </c>
      <c r="E42" s="936">
        <v>28</v>
      </c>
      <c r="F42" s="936">
        <v>32</v>
      </c>
      <c r="G42" s="936">
        <v>26</v>
      </c>
      <c r="H42" s="936">
        <v>22</v>
      </c>
      <c r="I42" s="936">
        <v>23</v>
      </c>
      <c r="J42" s="936">
        <v>26</v>
      </c>
      <c r="K42" s="936">
        <v>15</v>
      </c>
      <c r="L42" s="936">
        <v>22</v>
      </c>
      <c r="M42" s="936">
        <v>31</v>
      </c>
      <c r="N42" s="936">
        <v>29</v>
      </c>
      <c r="O42" s="936">
        <f t="shared" si="12"/>
        <v>307</v>
      </c>
    </row>
    <row r="43" spans="1:16" ht="15" customHeight="1">
      <c r="A43" s="1049"/>
      <c r="B43" s="935" t="s">
        <v>48</v>
      </c>
      <c r="C43" s="936">
        <v>0</v>
      </c>
      <c r="D43" s="936">
        <v>1</v>
      </c>
      <c r="E43" s="936">
        <v>1</v>
      </c>
      <c r="F43" s="936">
        <v>1</v>
      </c>
      <c r="G43" s="936">
        <v>1</v>
      </c>
      <c r="H43" s="936">
        <v>1</v>
      </c>
      <c r="I43" s="936">
        <v>1</v>
      </c>
      <c r="J43" s="936">
        <v>1</v>
      </c>
      <c r="K43" s="936">
        <v>1</v>
      </c>
      <c r="L43" s="936">
        <v>1</v>
      </c>
      <c r="M43" s="936">
        <v>1</v>
      </c>
      <c r="N43" s="936">
        <v>0</v>
      </c>
      <c r="O43" s="936">
        <f t="shared" si="12"/>
        <v>10</v>
      </c>
    </row>
    <row r="44" spans="1:16" ht="15" customHeight="1">
      <c r="A44" s="1049"/>
      <c r="B44" s="935" t="s">
        <v>67</v>
      </c>
      <c r="C44" s="936">
        <v>0</v>
      </c>
      <c r="D44" s="936">
        <v>0</v>
      </c>
      <c r="E44" s="936">
        <v>0</v>
      </c>
      <c r="F44" s="936">
        <v>1</v>
      </c>
      <c r="G44" s="936">
        <v>0</v>
      </c>
      <c r="H44" s="936">
        <v>0</v>
      </c>
      <c r="I44" s="936">
        <v>0</v>
      </c>
      <c r="J44" s="936">
        <v>1</v>
      </c>
      <c r="K44" s="936">
        <v>0</v>
      </c>
      <c r="L44" s="936">
        <v>0</v>
      </c>
      <c r="M44" s="936">
        <v>0</v>
      </c>
      <c r="N44" s="936">
        <v>5</v>
      </c>
      <c r="O44" s="936">
        <f t="shared" si="12"/>
        <v>7</v>
      </c>
    </row>
    <row r="45" spans="1:16" ht="15" customHeight="1">
      <c r="A45" s="1049"/>
      <c r="B45" s="939" t="s">
        <v>51</v>
      </c>
      <c r="C45" s="940">
        <f t="shared" ref="C45:O45" si="14">SUM(C40:C44)</f>
        <v>1522</v>
      </c>
      <c r="D45" s="940">
        <f t="shared" si="14"/>
        <v>2055</v>
      </c>
      <c r="E45" s="940">
        <f t="shared" si="14"/>
        <v>2769</v>
      </c>
      <c r="F45" s="940">
        <f t="shared" si="14"/>
        <v>2252</v>
      </c>
      <c r="G45" s="940">
        <f t="shared" si="14"/>
        <v>2477</v>
      </c>
      <c r="H45" s="940">
        <f t="shared" si="14"/>
        <v>1593</v>
      </c>
      <c r="I45" s="940">
        <f t="shared" si="14"/>
        <v>1202</v>
      </c>
      <c r="J45" s="940">
        <f t="shared" si="14"/>
        <v>1199</v>
      </c>
      <c r="K45" s="940">
        <f t="shared" si="14"/>
        <v>849</v>
      </c>
      <c r="L45" s="940">
        <f t="shared" si="14"/>
        <v>696</v>
      </c>
      <c r="M45" s="940">
        <f t="shared" si="14"/>
        <v>637</v>
      </c>
      <c r="N45" s="940">
        <f t="shared" si="14"/>
        <v>688</v>
      </c>
      <c r="O45" s="940">
        <f t="shared" si="14"/>
        <v>17939</v>
      </c>
    </row>
    <row r="46" spans="1:16" ht="15" customHeight="1">
      <c r="A46" s="1048" t="s">
        <v>87</v>
      </c>
      <c r="B46" s="933" t="s">
        <v>65</v>
      </c>
      <c r="C46" s="934">
        <v>483</v>
      </c>
      <c r="D46" s="934">
        <v>506</v>
      </c>
      <c r="E46" s="934">
        <v>487</v>
      </c>
      <c r="F46" s="934">
        <v>412</v>
      </c>
      <c r="G46" s="934">
        <v>538</v>
      </c>
      <c r="H46" s="934">
        <v>875</v>
      </c>
      <c r="I46" s="934">
        <v>674</v>
      </c>
      <c r="J46" s="934">
        <v>622</v>
      </c>
      <c r="K46" s="934">
        <v>499</v>
      </c>
      <c r="L46" s="934">
        <v>428</v>
      </c>
      <c r="M46" s="934">
        <v>529</v>
      </c>
      <c r="N46" s="934">
        <v>1424</v>
      </c>
      <c r="O46" s="934">
        <f t="shared" ref="O46:O52" si="15">SUM(C46:N46)</f>
        <v>7477</v>
      </c>
    </row>
    <row r="47" spans="1:16" ht="15" customHeight="1">
      <c r="A47" s="1049"/>
      <c r="B47" s="935" t="s">
        <v>43</v>
      </c>
      <c r="C47" s="936">
        <v>246</v>
      </c>
      <c r="D47" s="936">
        <v>170</v>
      </c>
      <c r="E47" s="936">
        <v>134</v>
      </c>
      <c r="F47" s="936">
        <v>133</v>
      </c>
      <c r="G47" s="936">
        <v>127</v>
      </c>
      <c r="H47" s="936">
        <v>133</v>
      </c>
      <c r="I47" s="936">
        <v>156</v>
      </c>
      <c r="J47" s="936">
        <v>150</v>
      </c>
      <c r="K47" s="936">
        <v>163</v>
      </c>
      <c r="L47" s="936">
        <v>178</v>
      </c>
      <c r="M47" s="936">
        <v>215</v>
      </c>
      <c r="N47" s="936">
        <v>269</v>
      </c>
      <c r="O47" s="936">
        <f t="shared" si="15"/>
        <v>2074</v>
      </c>
    </row>
    <row r="48" spans="1:16" ht="15" customHeight="1">
      <c r="A48" s="1049"/>
      <c r="B48" s="937" t="s">
        <v>66</v>
      </c>
      <c r="C48" s="938">
        <f t="shared" ref="C48:N48" si="16">SUM(C46:C47)</f>
        <v>729</v>
      </c>
      <c r="D48" s="938">
        <f t="shared" si="16"/>
        <v>676</v>
      </c>
      <c r="E48" s="938">
        <f t="shared" si="16"/>
        <v>621</v>
      </c>
      <c r="F48" s="938">
        <f t="shared" si="16"/>
        <v>545</v>
      </c>
      <c r="G48" s="938">
        <f t="shared" si="16"/>
        <v>665</v>
      </c>
      <c r="H48" s="938">
        <f t="shared" si="16"/>
        <v>1008</v>
      </c>
      <c r="I48" s="938">
        <f t="shared" si="16"/>
        <v>830</v>
      </c>
      <c r="J48" s="938">
        <f t="shared" si="16"/>
        <v>772</v>
      </c>
      <c r="K48" s="938">
        <f t="shared" si="16"/>
        <v>662</v>
      </c>
      <c r="L48" s="938">
        <f t="shared" si="16"/>
        <v>606</v>
      </c>
      <c r="M48" s="938">
        <f t="shared" si="16"/>
        <v>744</v>
      </c>
      <c r="N48" s="938">
        <f t="shared" si="16"/>
        <v>1693</v>
      </c>
      <c r="O48" s="938">
        <f t="shared" si="15"/>
        <v>9551</v>
      </c>
    </row>
    <row r="49" spans="1:15" ht="15" customHeight="1">
      <c r="A49" s="1049"/>
      <c r="B49" s="935" t="s">
        <v>102</v>
      </c>
      <c r="C49" s="936">
        <v>68</v>
      </c>
      <c r="D49" s="936">
        <v>59</v>
      </c>
      <c r="E49" s="936">
        <v>73</v>
      </c>
      <c r="F49" s="936">
        <v>74</v>
      </c>
      <c r="G49" s="936">
        <v>74</v>
      </c>
      <c r="H49" s="936">
        <v>69</v>
      </c>
      <c r="I49" s="936">
        <v>72</v>
      </c>
      <c r="J49" s="936">
        <v>67</v>
      </c>
      <c r="K49" s="936">
        <v>71</v>
      </c>
      <c r="L49" s="936">
        <v>80</v>
      </c>
      <c r="M49" s="936">
        <v>95</v>
      </c>
      <c r="N49" s="936">
        <v>93</v>
      </c>
      <c r="O49" s="936">
        <f t="shared" si="15"/>
        <v>895</v>
      </c>
    </row>
    <row r="50" spans="1:15" ht="15" customHeight="1">
      <c r="A50" s="1049"/>
      <c r="B50" s="935" t="s">
        <v>47</v>
      </c>
      <c r="C50" s="936">
        <v>29</v>
      </c>
      <c r="D50" s="936">
        <v>23</v>
      </c>
      <c r="E50" s="936">
        <v>27</v>
      </c>
      <c r="F50" s="936">
        <v>32</v>
      </c>
      <c r="G50" s="936">
        <v>24</v>
      </c>
      <c r="H50" s="936">
        <v>22</v>
      </c>
      <c r="I50" s="936">
        <v>23</v>
      </c>
      <c r="J50" s="936">
        <v>26</v>
      </c>
      <c r="K50" s="936">
        <v>15</v>
      </c>
      <c r="L50" s="936">
        <v>21</v>
      </c>
      <c r="M50" s="936">
        <v>29</v>
      </c>
      <c r="N50" s="936">
        <v>30</v>
      </c>
      <c r="O50" s="936">
        <f t="shared" si="15"/>
        <v>301</v>
      </c>
    </row>
    <row r="51" spans="1:15" ht="15" customHeight="1">
      <c r="A51" s="1049"/>
      <c r="B51" s="935" t="s">
        <v>48</v>
      </c>
      <c r="C51" s="936">
        <v>0</v>
      </c>
      <c r="D51" s="936">
        <v>1</v>
      </c>
      <c r="E51" s="936">
        <v>1</v>
      </c>
      <c r="F51" s="936">
        <v>1</v>
      </c>
      <c r="G51" s="936">
        <v>0</v>
      </c>
      <c r="H51" s="936">
        <v>1</v>
      </c>
      <c r="I51" s="936">
        <v>1</v>
      </c>
      <c r="J51" s="936">
        <v>1</v>
      </c>
      <c r="K51" s="936">
        <v>1</v>
      </c>
      <c r="L51" s="936">
        <v>0</v>
      </c>
      <c r="M51" s="936">
        <v>2</v>
      </c>
      <c r="N51" s="936">
        <v>0</v>
      </c>
      <c r="O51" s="936">
        <f t="shared" si="15"/>
        <v>9</v>
      </c>
    </row>
    <row r="52" spans="1:15" ht="15" customHeight="1">
      <c r="A52" s="1049"/>
      <c r="B52" s="935" t="s">
        <v>67</v>
      </c>
      <c r="C52" s="936">
        <v>0</v>
      </c>
      <c r="D52" s="936">
        <v>0</v>
      </c>
      <c r="E52" s="936">
        <v>0</v>
      </c>
      <c r="F52" s="936">
        <v>1</v>
      </c>
      <c r="G52" s="936">
        <v>0</v>
      </c>
      <c r="H52" s="936">
        <v>0</v>
      </c>
      <c r="I52" s="936">
        <v>0</v>
      </c>
      <c r="J52" s="936">
        <v>1</v>
      </c>
      <c r="K52" s="936">
        <v>0</v>
      </c>
      <c r="L52" s="936">
        <v>0</v>
      </c>
      <c r="M52" s="936">
        <v>0</v>
      </c>
      <c r="N52" s="936">
        <v>1</v>
      </c>
      <c r="O52" s="936">
        <f t="shared" si="15"/>
        <v>3</v>
      </c>
    </row>
    <row r="53" spans="1:15" ht="15" customHeight="1">
      <c r="A53" s="1049"/>
      <c r="B53" s="939" t="s">
        <v>51</v>
      </c>
      <c r="C53" s="940">
        <f t="shared" ref="C53:O53" si="17">SUM(C48:C52)</f>
        <v>826</v>
      </c>
      <c r="D53" s="940">
        <f t="shared" si="17"/>
        <v>759</v>
      </c>
      <c r="E53" s="940">
        <f t="shared" si="17"/>
        <v>722</v>
      </c>
      <c r="F53" s="940">
        <f t="shared" si="17"/>
        <v>653</v>
      </c>
      <c r="G53" s="940">
        <f t="shared" si="17"/>
        <v>763</v>
      </c>
      <c r="H53" s="940">
        <f t="shared" si="17"/>
        <v>1100</v>
      </c>
      <c r="I53" s="940">
        <f t="shared" si="17"/>
        <v>926</v>
      </c>
      <c r="J53" s="940">
        <f t="shared" si="17"/>
        <v>867</v>
      </c>
      <c r="K53" s="940">
        <f t="shared" si="17"/>
        <v>749</v>
      </c>
      <c r="L53" s="940">
        <f t="shared" si="17"/>
        <v>707</v>
      </c>
      <c r="M53" s="940">
        <f t="shared" si="17"/>
        <v>870</v>
      </c>
      <c r="N53" s="940">
        <f t="shared" si="17"/>
        <v>1817</v>
      </c>
      <c r="O53" s="940">
        <f t="shared" si="17"/>
        <v>10759</v>
      </c>
    </row>
    <row r="54" spans="1:15" ht="21" customHeight="1">
      <c r="A54" s="944" t="s">
        <v>101</v>
      </c>
      <c r="B54" s="942"/>
      <c r="C54" s="942"/>
      <c r="D54" s="942"/>
      <c r="E54" s="942"/>
      <c r="F54" s="942"/>
      <c r="G54" s="942"/>
      <c r="H54" s="942"/>
      <c r="I54" s="942"/>
      <c r="J54" s="942"/>
      <c r="K54" s="942"/>
      <c r="L54" s="942"/>
      <c r="M54" s="942"/>
      <c r="N54" s="942"/>
      <c r="O54" s="942"/>
    </row>
    <row r="55" spans="1:15" ht="21" customHeight="1">
      <c r="A55" s="1047" t="s">
        <v>1</v>
      </c>
      <c r="B55" s="1047"/>
      <c r="C55" s="932" t="s">
        <v>69</v>
      </c>
      <c r="D55" s="932" t="s">
        <v>71</v>
      </c>
      <c r="E55" s="932" t="s">
        <v>72</v>
      </c>
      <c r="F55" s="932" t="s">
        <v>73</v>
      </c>
      <c r="G55" s="932" t="s">
        <v>74</v>
      </c>
      <c r="H55" s="932" t="s">
        <v>75</v>
      </c>
      <c r="I55" s="932" t="s">
        <v>76</v>
      </c>
      <c r="J55" s="932" t="s">
        <v>77</v>
      </c>
      <c r="K55" s="932" t="s">
        <v>78</v>
      </c>
      <c r="L55" s="932" t="s">
        <v>79</v>
      </c>
      <c r="M55" s="932" t="s">
        <v>80</v>
      </c>
      <c r="N55" s="932" t="s">
        <v>81</v>
      </c>
      <c r="O55" s="932" t="s">
        <v>51</v>
      </c>
    </row>
    <row r="56" spans="1:15" ht="15" customHeight="1">
      <c r="A56" s="1048" t="s">
        <v>83</v>
      </c>
      <c r="B56" s="933" t="s">
        <v>65</v>
      </c>
      <c r="C56" s="934">
        <f t="shared" ref="C56:N56" si="18">C5-C91+C129</f>
        <v>2722</v>
      </c>
      <c r="D56" s="934">
        <f t="shared" si="18"/>
        <v>1942</v>
      </c>
      <c r="E56" s="934">
        <f t="shared" si="18"/>
        <v>2136</v>
      </c>
      <c r="F56" s="934">
        <f t="shared" si="18"/>
        <v>3797</v>
      </c>
      <c r="G56" s="934">
        <f t="shared" si="18"/>
        <v>3796</v>
      </c>
      <c r="H56" s="934">
        <f t="shared" si="18"/>
        <v>2656</v>
      </c>
      <c r="I56" s="934">
        <f t="shared" si="18"/>
        <v>1846</v>
      </c>
      <c r="J56" s="934">
        <f t="shared" si="18"/>
        <v>2208</v>
      </c>
      <c r="K56" s="934">
        <f t="shared" si="18"/>
        <v>2076</v>
      </c>
      <c r="L56" s="934">
        <f t="shared" si="18"/>
        <v>1668</v>
      </c>
      <c r="M56" s="934">
        <f t="shared" si="18"/>
        <v>2600</v>
      </c>
      <c r="N56" s="934">
        <f t="shared" si="18"/>
        <v>2661</v>
      </c>
      <c r="O56" s="934">
        <f>SUM(C56:N56)</f>
        <v>30108</v>
      </c>
    </row>
    <row r="57" spans="1:15" ht="15" customHeight="1">
      <c r="A57" s="1049"/>
      <c r="B57" s="935" t="s">
        <v>43</v>
      </c>
      <c r="C57" s="936">
        <f t="shared" ref="C57:N57" si="19">C6-C92+C130</f>
        <v>212</v>
      </c>
      <c r="D57" s="936">
        <f t="shared" si="19"/>
        <v>269</v>
      </c>
      <c r="E57" s="936">
        <f t="shared" si="19"/>
        <v>90</v>
      </c>
      <c r="F57" s="936">
        <f t="shared" si="19"/>
        <v>24</v>
      </c>
      <c r="G57" s="936">
        <f t="shared" si="19"/>
        <v>32</v>
      </c>
      <c r="H57" s="936">
        <f t="shared" si="19"/>
        <v>73</v>
      </c>
      <c r="I57" s="936">
        <f t="shared" si="19"/>
        <v>82</v>
      </c>
      <c r="J57" s="936">
        <f t="shared" si="19"/>
        <v>46</v>
      </c>
      <c r="K57" s="936">
        <f t="shared" si="19"/>
        <v>-362</v>
      </c>
      <c r="L57" s="936">
        <f t="shared" si="19"/>
        <v>507</v>
      </c>
      <c r="M57" s="936">
        <f t="shared" si="19"/>
        <v>142</v>
      </c>
      <c r="N57" s="936">
        <f t="shared" si="19"/>
        <v>199</v>
      </c>
      <c r="O57" s="936">
        <f t="shared" ref="O57:O62" si="20">SUM(C57:N57)</f>
        <v>1314</v>
      </c>
    </row>
    <row r="58" spans="1:15" ht="15" customHeight="1">
      <c r="A58" s="1049"/>
      <c r="B58" s="937" t="s">
        <v>66</v>
      </c>
      <c r="C58" s="938">
        <f t="shared" ref="C58:N58" si="21">SUM(C56:C57)</f>
        <v>2934</v>
      </c>
      <c r="D58" s="938">
        <f t="shared" si="21"/>
        <v>2211</v>
      </c>
      <c r="E58" s="938">
        <f t="shared" si="21"/>
        <v>2226</v>
      </c>
      <c r="F58" s="938">
        <f t="shared" si="21"/>
        <v>3821</v>
      </c>
      <c r="G58" s="938">
        <f t="shared" si="21"/>
        <v>3828</v>
      </c>
      <c r="H58" s="938">
        <f t="shared" si="21"/>
        <v>2729</v>
      </c>
      <c r="I58" s="938">
        <f t="shared" si="21"/>
        <v>1928</v>
      </c>
      <c r="J58" s="938">
        <f t="shared" si="21"/>
        <v>2254</v>
      </c>
      <c r="K58" s="938">
        <f t="shared" si="21"/>
        <v>1714</v>
      </c>
      <c r="L58" s="938">
        <f t="shared" si="21"/>
        <v>2175</v>
      </c>
      <c r="M58" s="938">
        <f t="shared" si="21"/>
        <v>2742</v>
      </c>
      <c r="N58" s="938">
        <f t="shared" si="21"/>
        <v>2860</v>
      </c>
      <c r="O58" s="938">
        <f t="shared" si="20"/>
        <v>31422</v>
      </c>
    </row>
    <row r="59" spans="1:15" ht="15" customHeight="1">
      <c r="A59" s="1049"/>
      <c r="B59" s="935" t="s">
        <v>102</v>
      </c>
      <c r="C59" s="936">
        <f t="shared" ref="C59:N59" si="22">C8-C94+C131</f>
        <v>77</v>
      </c>
      <c r="D59" s="936">
        <f t="shared" si="22"/>
        <v>37</v>
      </c>
      <c r="E59" s="936">
        <f t="shared" si="22"/>
        <v>63</v>
      </c>
      <c r="F59" s="936">
        <f t="shared" si="22"/>
        <v>73</v>
      </c>
      <c r="G59" s="936">
        <f t="shared" si="22"/>
        <v>76</v>
      </c>
      <c r="H59" s="936">
        <f t="shared" si="22"/>
        <v>81</v>
      </c>
      <c r="I59" s="936">
        <f t="shared" si="22"/>
        <v>79</v>
      </c>
      <c r="J59" s="936">
        <f t="shared" si="22"/>
        <v>56</v>
      </c>
      <c r="K59" s="936">
        <f t="shared" si="22"/>
        <v>64</v>
      </c>
      <c r="L59" s="936">
        <f t="shared" si="22"/>
        <v>69</v>
      </c>
      <c r="M59" s="936">
        <f t="shared" si="22"/>
        <v>70</v>
      </c>
      <c r="N59" s="936">
        <f t="shared" si="22"/>
        <v>84</v>
      </c>
      <c r="O59" s="936">
        <f t="shared" si="20"/>
        <v>829</v>
      </c>
    </row>
    <row r="60" spans="1:15" ht="15" customHeight="1">
      <c r="A60" s="1049"/>
      <c r="B60" s="935" t="s">
        <v>47</v>
      </c>
      <c r="C60" s="936">
        <f t="shared" ref="C60:N60" si="23">C9-C95+C132</f>
        <v>31</v>
      </c>
      <c r="D60" s="936">
        <f t="shared" si="23"/>
        <v>22</v>
      </c>
      <c r="E60" s="936">
        <f t="shared" si="23"/>
        <v>10</v>
      </c>
      <c r="F60" s="936">
        <f t="shared" si="23"/>
        <v>16</v>
      </c>
      <c r="G60" s="936">
        <f t="shared" si="23"/>
        <v>21</v>
      </c>
      <c r="H60" s="936">
        <f t="shared" si="23"/>
        <v>23</v>
      </c>
      <c r="I60" s="936">
        <f t="shared" si="23"/>
        <v>40</v>
      </c>
      <c r="J60" s="936">
        <f t="shared" si="23"/>
        <v>7</v>
      </c>
      <c r="K60" s="936">
        <f t="shared" si="23"/>
        <v>-62</v>
      </c>
      <c r="L60" s="936">
        <f t="shared" si="23"/>
        <v>22</v>
      </c>
      <c r="M60" s="936">
        <f t="shared" si="23"/>
        <v>23</v>
      </c>
      <c r="N60" s="936">
        <f t="shared" si="23"/>
        <v>21</v>
      </c>
      <c r="O60" s="936">
        <f t="shared" si="20"/>
        <v>174</v>
      </c>
    </row>
    <row r="61" spans="1:15" ht="15" customHeight="1">
      <c r="A61" s="1049"/>
      <c r="B61" s="935" t="s">
        <v>48</v>
      </c>
      <c r="C61" s="936">
        <f t="shared" ref="C61:N61" si="24">C10-C96+C133</f>
        <v>-1</v>
      </c>
      <c r="D61" s="936">
        <f t="shared" si="24"/>
        <v>0</v>
      </c>
      <c r="E61" s="936">
        <f t="shared" si="24"/>
        <v>1</v>
      </c>
      <c r="F61" s="936">
        <f t="shared" si="24"/>
        <v>0</v>
      </c>
      <c r="G61" s="936">
        <f t="shared" si="24"/>
        <v>-1</v>
      </c>
      <c r="H61" s="936">
        <f t="shared" si="24"/>
        <v>-2</v>
      </c>
      <c r="I61" s="936">
        <f t="shared" si="24"/>
        <v>-5</v>
      </c>
      <c r="J61" s="936">
        <f t="shared" si="24"/>
        <v>0</v>
      </c>
      <c r="K61" s="936">
        <f t="shared" si="24"/>
        <v>2</v>
      </c>
      <c r="L61" s="936">
        <f t="shared" si="24"/>
        <v>5</v>
      </c>
      <c r="M61" s="936">
        <f t="shared" si="24"/>
        <v>-3</v>
      </c>
      <c r="N61" s="936">
        <f t="shared" si="24"/>
        <v>-2</v>
      </c>
      <c r="O61" s="936">
        <f t="shared" si="20"/>
        <v>-6</v>
      </c>
    </row>
    <row r="62" spans="1:15" ht="15" customHeight="1">
      <c r="A62" s="1049"/>
      <c r="B62" s="935" t="s">
        <v>67</v>
      </c>
      <c r="C62" s="936">
        <f t="shared" ref="C62:N62" si="25">C11-C97+C134</f>
        <v>-1</v>
      </c>
      <c r="D62" s="936">
        <f t="shared" si="25"/>
        <v>0</v>
      </c>
      <c r="E62" s="936">
        <f t="shared" si="25"/>
        <v>0</v>
      </c>
      <c r="F62" s="936">
        <f t="shared" si="25"/>
        <v>1</v>
      </c>
      <c r="G62" s="936">
        <f t="shared" si="25"/>
        <v>0</v>
      </c>
      <c r="H62" s="936">
        <f t="shared" si="25"/>
        <v>0</v>
      </c>
      <c r="I62" s="936">
        <f t="shared" si="25"/>
        <v>-1</v>
      </c>
      <c r="J62" s="936">
        <f t="shared" si="25"/>
        <v>1</v>
      </c>
      <c r="K62" s="936">
        <f t="shared" si="25"/>
        <v>0</v>
      </c>
      <c r="L62" s="936">
        <f t="shared" si="25"/>
        <v>0</v>
      </c>
      <c r="M62" s="936">
        <f t="shared" si="25"/>
        <v>0</v>
      </c>
      <c r="N62" s="936">
        <f t="shared" si="25"/>
        <v>1</v>
      </c>
      <c r="O62" s="936">
        <f t="shared" si="20"/>
        <v>1</v>
      </c>
    </row>
    <row r="63" spans="1:15" ht="15" customHeight="1">
      <c r="A63" s="1049"/>
      <c r="B63" s="939" t="s">
        <v>51</v>
      </c>
      <c r="C63" s="940">
        <f t="shared" ref="C63:O63" si="26">SUM(C58:C62)</f>
        <v>3040</v>
      </c>
      <c r="D63" s="940">
        <f t="shared" si="26"/>
        <v>2270</v>
      </c>
      <c r="E63" s="940">
        <f t="shared" si="26"/>
        <v>2300</v>
      </c>
      <c r="F63" s="940">
        <f t="shared" si="26"/>
        <v>3911</v>
      </c>
      <c r="G63" s="940">
        <f t="shared" si="26"/>
        <v>3924</v>
      </c>
      <c r="H63" s="940">
        <f t="shared" si="26"/>
        <v>2831</v>
      </c>
      <c r="I63" s="940">
        <f t="shared" si="26"/>
        <v>2041</v>
      </c>
      <c r="J63" s="940">
        <f t="shared" si="26"/>
        <v>2318</v>
      </c>
      <c r="K63" s="940">
        <f t="shared" si="26"/>
        <v>1718</v>
      </c>
      <c r="L63" s="940">
        <f t="shared" si="26"/>
        <v>2271</v>
      </c>
      <c r="M63" s="940">
        <f t="shared" si="26"/>
        <v>2832</v>
      </c>
      <c r="N63" s="940">
        <f t="shared" si="26"/>
        <v>2964</v>
      </c>
      <c r="O63" s="940">
        <f t="shared" si="26"/>
        <v>32420</v>
      </c>
    </row>
    <row r="64" spans="1:15" ht="15" customHeight="1">
      <c r="A64" s="1048" t="s">
        <v>85</v>
      </c>
      <c r="B64" s="933" t="s">
        <v>65</v>
      </c>
      <c r="C64" s="934">
        <f t="shared" ref="C64:N64" si="27">C13-C99+C138</f>
        <v>2490</v>
      </c>
      <c r="D64" s="934">
        <f t="shared" si="27"/>
        <v>1881</v>
      </c>
      <c r="E64" s="934">
        <f t="shared" si="27"/>
        <v>1259</v>
      </c>
      <c r="F64" s="934">
        <f t="shared" si="27"/>
        <v>856</v>
      </c>
      <c r="G64" s="934">
        <f t="shared" si="27"/>
        <v>1115</v>
      </c>
      <c r="H64" s="934">
        <f t="shared" si="27"/>
        <v>1294</v>
      </c>
      <c r="I64" s="934">
        <f t="shared" si="27"/>
        <v>1075</v>
      </c>
      <c r="J64" s="934">
        <f t="shared" si="27"/>
        <v>1374</v>
      </c>
      <c r="K64" s="934">
        <f t="shared" si="27"/>
        <v>1447</v>
      </c>
      <c r="L64" s="934">
        <f t="shared" si="27"/>
        <v>1080</v>
      </c>
      <c r="M64" s="934">
        <f t="shared" si="27"/>
        <v>1077</v>
      </c>
      <c r="N64" s="934">
        <f t="shared" si="27"/>
        <v>1167</v>
      </c>
      <c r="O64" s="934">
        <f>SUM(C64:N64)</f>
        <v>16115</v>
      </c>
    </row>
    <row r="65" spans="1:16" ht="15" customHeight="1">
      <c r="A65" s="1049"/>
      <c r="B65" s="935" t="s">
        <v>43</v>
      </c>
      <c r="C65" s="936">
        <f t="shared" ref="C65:N65" si="28">C14-C100+C139</f>
        <v>222</v>
      </c>
      <c r="D65" s="936">
        <f t="shared" si="28"/>
        <v>144</v>
      </c>
      <c r="E65" s="936">
        <f t="shared" si="28"/>
        <v>109</v>
      </c>
      <c r="F65" s="936">
        <f t="shared" si="28"/>
        <v>33</v>
      </c>
      <c r="G65" s="936">
        <f t="shared" si="28"/>
        <v>44</v>
      </c>
      <c r="H65" s="936">
        <f t="shared" si="28"/>
        <v>54</v>
      </c>
      <c r="I65" s="936">
        <f t="shared" si="28"/>
        <v>122</v>
      </c>
      <c r="J65" s="936">
        <f t="shared" si="28"/>
        <v>120</v>
      </c>
      <c r="K65" s="936">
        <f t="shared" si="28"/>
        <v>42</v>
      </c>
      <c r="L65" s="936">
        <f t="shared" si="28"/>
        <v>48</v>
      </c>
      <c r="M65" s="936">
        <f t="shared" si="28"/>
        <v>204</v>
      </c>
      <c r="N65" s="936">
        <f t="shared" si="28"/>
        <v>275</v>
      </c>
      <c r="O65" s="936">
        <f t="shared" ref="O65:O70" si="29">SUM(C65:N65)</f>
        <v>1417</v>
      </c>
    </row>
    <row r="66" spans="1:16" ht="15" customHeight="1">
      <c r="A66" s="1049"/>
      <c r="B66" s="937" t="s">
        <v>66</v>
      </c>
      <c r="C66" s="938">
        <f t="shared" ref="C66:N66" si="30">SUM(C64:C65)</f>
        <v>2712</v>
      </c>
      <c r="D66" s="938">
        <f t="shared" si="30"/>
        <v>2025</v>
      </c>
      <c r="E66" s="938">
        <f t="shared" si="30"/>
        <v>1368</v>
      </c>
      <c r="F66" s="938">
        <f t="shared" si="30"/>
        <v>889</v>
      </c>
      <c r="G66" s="938">
        <f t="shared" si="30"/>
        <v>1159</v>
      </c>
      <c r="H66" s="938">
        <f t="shared" si="30"/>
        <v>1348</v>
      </c>
      <c r="I66" s="938">
        <f t="shared" si="30"/>
        <v>1197</v>
      </c>
      <c r="J66" s="938">
        <f t="shared" si="30"/>
        <v>1494</v>
      </c>
      <c r="K66" s="938">
        <f t="shared" si="30"/>
        <v>1489</v>
      </c>
      <c r="L66" s="938">
        <f t="shared" si="30"/>
        <v>1128</v>
      </c>
      <c r="M66" s="938">
        <f t="shared" si="30"/>
        <v>1281</v>
      </c>
      <c r="N66" s="938">
        <f t="shared" si="30"/>
        <v>1442</v>
      </c>
      <c r="O66" s="938">
        <f t="shared" si="29"/>
        <v>17532</v>
      </c>
    </row>
    <row r="67" spans="1:16" ht="15" customHeight="1">
      <c r="A67" s="1049"/>
      <c r="B67" s="935" t="s">
        <v>102</v>
      </c>
      <c r="C67" s="936">
        <f t="shared" ref="C67:N67" si="31">C16-C102+C140</f>
        <v>47</v>
      </c>
      <c r="D67" s="936">
        <f t="shared" si="31"/>
        <v>41</v>
      </c>
      <c r="E67" s="936">
        <f t="shared" si="31"/>
        <v>52</v>
      </c>
      <c r="F67" s="936">
        <f t="shared" si="31"/>
        <v>50</v>
      </c>
      <c r="G67" s="936">
        <f t="shared" si="31"/>
        <v>51</v>
      </c>
      <c r="H67" s="936">
        <f t="shared" si="31"/>
        <v>62</v>
      </c>
      <c r="I67" s="936">
        <f t="shared" si="31"/>
        <v>52</v>
      </c>
      <c r="J67" s="936">
        <f t="shared" si="31"/>
        <v>46</v>
      </c>
      <c r="K67" s="936">
        <f t="shared" si="31"/>
        <v>54</v>
      </c>
      <c r="L67" s="936">
        <f t="shared" si="31"/>
        <v>62</v>
      </c>
      <c r="M67" s="936">
        <f t="shared" si="31"/>
        <v>68</v>
      </c>
      <c r="N67" s="936">
        <f t="shared" si="31"/>
        <v>69</v>
      </c>
      <c r="O67" s="936">
        <f t="shared" si="29"/>
        <v>654</v>
      </c>
    </row>
    <row r="68" spans="1:16" ht="15" customHeight="1">
      <c r="A68" s="1049"/>
      <c r="B68" s="935" t="s">
        <v>47</v>
      </c>
      <c r="C68" s="936">
        <f t="shared" ref="C68:N68" si="32">C17-C103+C141</f>
        <v>19</v>
      </c>
      <c r="D68" s="936">
        <f t="shared" si="32"/>
        <v>13</v>
      </c>
      <c r="E68" s="936">
        <f t="shared" si="32"/>
        <v>12</v>
      </c>
      <c r="F68" s="936">
        <f t="shared" si="32"/>
        <v>14</v>
      </c>
      <c r="G68" s="936">
        <f t="shared" si="32"/>
        <v>5</v>
      </c>
      <c r="H68" s="936">
        <f t="shared" si="32"/>
        <v>8</v>
      </c>
      <c r="I68" s="936">
        <f t="shared" si="32"/>
        <v>3</v>
      </c>
      <c r="J68" s="936">
        <f t="shared" si="32"/>
        <v>13</v>
      </c>
      <c r="K68" s="936">
        <f t="shared" si="32"/>
        <v>-8</v>
      </c>
      <c r="L68" s="936">
        <f t="shared" si="32"/>
        <v>5</v>
      </c>
      <c r="M68" s="936">
        <f t="shared" si="32"/>
        <v>22</v>
      </c>
      <c r="N68" s="936">
        <f t="shared" si="32"/>
        <v>23</v>
      </c>
      <c r="O68" s="936">
        <f t="shared" si="29"/>
        <v>129</v>
      </c>
    </row>
    <row r="69" spans="1:16" ht="15" customHeight="1">
      <c r="A69" s="1049"/>
      <c r="B69" s="935" t="s">
        <v>48</v>
      </c>
      <c r="C69" s="936">
        <f t="shared" ref="C69:N69" si="33">C18-C104+C142</f>
        <v>-1</v>
      </c>
      <c r="D69" s="936">
        <f t="shared" si="33"/>
        <v>-2</v>
      </c>
      <c r="E69" s="936">
        <f t="shared" si="33"/>
        <v>0</v>
      </c>
      <c r="F69" s="936">
        <f t="shared" si="33"/>
        <v>1</v>
      </c>
      <c r="G69" s="936">
        <f t="shared" si="33"/>
        <v>-1</v>
      </c>
      <c r="H69" s="936">
        <f t="shared" si="33"/>
        <v>-2</v>
      </c>
      <c r="I69" s="936">
        <f t="shared" si="33"/>
        <v>-3</v>
      </c>
      <c r="J69" s="936">
        <f t="shared" si="33"/>
        <v>0</v>
      </c>
      <c r="K69" s="936">
        <f t="shared" si="33"/>
        <v>-1</v>
      </c>
      <c r="L69" s="936">
        <f t="shared" si="33"/>
        <v>-1</v>
      </c>
      <c r="M69" s="936">
        <f t="shared" si="33"/>
        <v>0</v>
      </c>
      <c r="N69" s="936">
        <f t="shared" si="33"/>
        <v>0</v>
      </c>
      <c r="O69" s="936">
        <f t="shared" si="29"/>
        <v>-10</v>
      </c>
    </row>
    <row r="70" spans="1:16" ht="15" customHeight="1">
      <c r="A70" s="1049"/>
      <c r="B70" s="935" t="s">
        <v>67</v>
      </c>
      <c r="C70" s="936">
        <f t="shared" ref="C70:N70" si="34">C19-C105+C143</f>
        <v>-1</v>
      </c>
      <c r="D70" s="936">
        <f t="shared" si="34"/>
        <v>0</v>
      </c>
      <c r="E70" s="936">
        <f t="shared" si="34"/>
        <v>0</v>
      </c>
      <c r="F70" s="936">
        <f t="shared" si="34"/>
        <v>1</v>
      </c>
      <c r="G70" s="936">
        <f t="shared" si="34"/>
        <v>0</v>
      </c>
      <c r="H70" s="936">
        <f t="shared" si="34"/>
        <v>0</v>
      </c>
      <c r="I70" s="936">
        <f t="shared" si="34"/>
        <v>3</v>
      </c>
      <c r="J70" s="936">
        <f t="shared" si="34"/>
        <v>1</v>
      </c>
      <c r="K70" s="936">
        <f t="shared" si="34"/>
        <v>0</v>
      </c>
      <c r="L70" s="936">
        <f t="shared" si="34"/>
        <v>0</v>
      </c>
      <c r="M70" s="936">
        <f t="shared" si="34"/>
        <v>0</v>
      </c>
      <c r="N70" s="936">
        <f t="shared" si="34"/>
        <v>1</v>
      </c>
      <c r="O70" s="936">
        <f t="shared" si="29"/>
        <v>5</v>
      </c>
    </row>
    <row r="71" spans="1:16" ht="15" customHeight="1">
      <c r="A71" s="1049"/>
      <c r="B71" s="939" t="s">
        <v>51</v>
      </c>
      <c r="C71" s="940">
        <f>SUM(C66:C70)</f>
        <v>2776</v>
      </c>
      <c r="D71" s="940">
        <f t="shared" ref="D71:O71" si="35">SUM(D66:D70)</f>
        <v>2077</v>
      </c>
      <c r="E71" s="940">
        <f t="shared" si="35"/>
        <v>1432</v>
      </c>
      <c r="F71" s="940">
        <f t="shared" si="35"/>
        <v>955</v>
      </c>
      <c r="G71" s="940">
        <f t="shared" si="35"/>
        <v>1214</v>
      </c>
      <c r="H71" s="940">
        <f t="shared" si="35"/>
        <v>1416</v>
      </c>
      <c r="I71" s="940">
        <f t="shared" si="35"/>
        <v>1252</v>
      </c>
      <c r="J71" s="940">
        <f t="shared" si="35"/>
        <v>1554</v>
      </c>
      <c r="K71" s="940">
        <f t="shared" si="35"/>
        <v>1534</v>
      </c>
      <c r="L71" s="940">
        <f t="shared" si="35"/>
        <v>1194</v>
      </c>
      <c r="M71" s="940">
        <f t="shared" si="35"/>
        <v>1371</v>
      </c>
      <c r="N71" s="940">
        <f t="shared" si="35"/>
        <v>1535</v>
      </c>
      <c r="O71" s="940">
        <f t="shared" si="35"/>
        <v>18310</v>
      </c>
    </row>
    <row r="72" spans="1:16" ht="15" customHeight="1">
      <c r="A72" s="1048" t="s">
        <v>123</v>
      </c>
      <c r="B72" s="933" t="s">
        <v>65</v>
      </c>
      <c r="C72" s="934">
        <f t="shared" ref="C72:N72" si="36">C38-C107</f>
        <v>1150</v>
      </c>
      <c r="D72" s="934">
        <f t="shared" si="36"/>
        <v>1784</v>
      </c>
      <c r="E72" s="934">
        <f t="shared" si="36"/>
        <v>2483</v>
      </c>
      <c r="F72" s="934">
        <f t="shared" si="36"/>
        <v>1957</v>
      </c>
      <c r="G72" s="934">
        <f t="shared" si="36"/>
        <v>2187</v>
      </c>
      <c r="H72" s="934">
        <f t="shared" si="36"/>
        <v>1361</v>
      </c>
      <c r="I72" s="934">
        <f t="shared" si="36"/>
        <v>896</v>
      </c>
      <c r="J72" s="934">
        <f t="shared" si="36"/>
        <v>930</v>
      </c>
      <c r="K72" s="934">
        <f t="shared" si="36"/>
        <v>479</v>
      </c>
      <c r="L72" s="934">
        <f t="shared" si="36"/>
        <v>317</v>
      </c>
      <c r="M72" s="934">
        <f t="shared" si="36"/>
        <v>248</v>
      </c>
      <c r="N72" s="934">
        <f t="shared" si="36"/>
        <v>259</v>
      </c>
      <c r="O72" s="934">
        <f>SUM(C72:N72)</f>
        <v>14051</v>
      </c>
    </row>
    <row r="73" spans="1:16" ht="15" customHeight="1">
      <c r="A73" s="1049"/>
      <c r="B73" s="935" t="s">
        <v>43</v>
      </c>
      <c r="C73" s="936">
        <f t="shared" ref="C73:N73" si="37">C39-C108</f>
        <v>200</v>
      </c>
      <c r="D73" s="936">
        <f t="shared" si="37"/>
        <v>128</v>
      </c>
      <c r="E73" s="936">
        <f t="shared" si="37"/>
        <v>98</v>
      </c>
      <c r="F73" s="936">
        <f t="shared" si="37"/>
        <v>30</v>
      </c>
      <c r="G73" s="936">
        <f t="shared" si="37"/>
        <v>40</v>
      </c>
      <c r="H73" s="936">
        <f t="shared" si="37"/>
        <v>48</v>
      </c>
      <c r="I73" s="936">
        <f t="shared" si="37"/>
        <v>110</v>
      </c>
      <c r="J73" s="936">
        <f t="shared" si="37"/>
        <v>109</v>
      </c>
      <c r="K73" s="936">
        <f t="shared" si="37"/>
        <v>39</v>
      </c>
      <c r="L73" s="936">
        <f t="shared" si="37"/>
        <v>38</v>
      </c>
      <c r="M73" s="936">
        <f t="shared" si="37"/>
        <v>184</v>
      </c>
      <c r="N73" s="936">
        <f t="shared" si="37"/>
        <v>251</v>
      </c>
      <c r="O73" s="936">
        <f t="shared" ref="O73:O78" si="38">SUM(C73:N73)</f>
        <v>1275</v>
      </c>
    </row>
    <row r="74" spans="1:16" ht="15" customHeight="1">
      <c r="A74" s="1049"/>
      <c r="B74" s="937" t="s">
        <v>66</v>
      </c>
      <c r="C74" s="938">
        <f t="shared" ref="C74:N74" si="39">SUM(C72:C73)</f>
        <v>1350</v>
      </c>
      <c r="D74" s="938">
        <f t="shared" si="39"/>
        <v>1912</v>
      </c>
      <c r="E74" s="938">
        <f t="shared" si="39"/>
        <v>2581</v>
      </c>
      <c r="F74" s="938">
        <f t="shared" si="39"/>
        <v>1987</v>
      </c>
      <c r="G74" s="938">
        <f t="shared" si="39"/>
        <v>2227</v>
      </c>
      <c r="H74" s="938">
        <f t="shared" si="39"/>
        <v>1409</v>
      </c>
      <c r="I74" s="938">
        <f t="shared" si="39"/>
        <v>1006</v>
      </c>
      <c r="J74" s="938">
        <f t="shared" si="39"/>
        <v>1039</v>
      </c>
      <c r="K74" s="938">
        <f t="shared" si="39"/>
        <v>518</v>
      </c>
      <c r="L74" s="938">
        <f t="shared" si="39"/>
        <v>355</v>
      </c>
      <c r="M74" s="938">
        <f t="shared" si="39"/>
        <v>432</v>
      </c>
      <c r="N74" s="938">
        <f t="shared" si="39"/>
        <v>510</v>
      </c>
      <c r="O74" s="938">
        <f t="shared" si="38"/>
        <v>15326</v>
      </c>
    </row>
    <row r="75" spans="1:16" ht="15" customHeight="1">
      <c r="A75" s="1049"/>
      <c r="B75" s="935" t="s">
        <v>102</v>
      </c>
      <c r="C75" s="936">
        <f t="shared" ref="C75:N75" si="40">C41-C110</f>
        <v>50</v>
      </c>
      <c r="D75" s="936">
        <f t="shared" si="40"/>
        <v>44</v>
      </c>
      <c r="E75" s="936">
        <f t="shared" si="40"/>
        <v>55</v>
      </c>
      <c r="F75" s="936">
        <f t="shared" si="40"/>
        <v>53</v>
      </c>
      <c r="G75" s="936">
        <f t="shared" si="40"/>
        <v>54</v>
      </c>
      <c r="H75" s="936">
        <f t="shared" si="40"/>
        <v>63</v>
      </c>
      <c r="I75" s="936">
        <f t="shared" si="40"/>
        <v>55</v>
      </c>
      <c r="J75" s="936">
        <f t="shared" si="40"/>
        <v>49</v>
      </c>
      <c r="K75" s="936">
        <f t="shared" si="40"/>
        <v>56</v>
      </c>
      <c r="L75" s="936">
        <f t="shared" si="40"/>
        <v>64</v>
      </c>
      <c r="M75" s="936">
        <f t="shared" si="40"/>
        <v>71</v>
      </c>
      <c r="N75" s="936">
        <f t="shared" si="40"/>
        <v>72</v>
      </c>
      <c r="O75" s="936">
        <f t="shared" si="38"/>
        <v>686</v>
      </c>
    </row>
    <row r="76" spans="1:16" ht="15" customHeight="1">
      <c r="A76" s="1049"/>
      <c r="B76" s="935" t="s">
        <v>47</v>
      </c>
      <c r="C76" s="936">
        <f t="shared" ref="C76:N76" si="41">C42-C111</f>
        <v>19</v>
      </c>
      <c r="D76" s="936">
        <f t="shared" si="41"/>
        <v>13</v>
      </c>
      <c r="E76" s="936">
        <f t="shared" si="41"/>
        <v>14</v>
      </c>
      <c r="F76" s="936">
        <f t="shared" si="41"/>
        <v>15</v>
      </c>
      <c r="G76" s="936">
        <f t="shared" si="41"/>
        <v>8</v>
      </c>
      <c r="H76" s="936">
        <f t="shared" si="41"/>
        <v>9</v>
      </c>
      <c r="I76" s="936">
        <f t="shared" si="41"/>
        <v>5</v>
      </c>
      <c r="J76" s="936">
        <f t="shared" si="41"/>
        <v>13</v>
      </c>
      <c r="K76" s="936">
        <f t="shared" si="41"/>
        <v>-7</v>
      </c>
      <c r="L76" s="936">
        <f t="shared" si="41"/>
        <v>6</v>
      </c>
      <c r="M76" s="936">
        <f t="shared" si="41"/>
        <v>22</v>
      </c>
      <c r="N76" s="936">
        <f t="shared" si="41"/>
        <v>23</v>
      </c>
      <c r="O76" s="936">
        <f t="shared" si="38"/>
        <v>140</v>
      </c>
    </row>
    <row r="77" spans="1:16" ht="15" customHeight="1">
      <c r="A77" s="1049"/>
      <c r="B77" s="935" t="s">
        <v>48</v>
      </c>
      <c r="C77" s="936">
        <f t="shared" ref="C77:N77" si="42">C43-C112</f>
        <v>-2</v>
      </c>
      <c r="D77" s="936">
        <f t="shared" si="42"/>
        <v>-2</v>
      </c>
      <c r="E77" s="936">
        <f t="shared" si="42"/>
        <v>1</v>
      </c>
      <c r="F77" s="936">
        <f t="shared" si="42"/>
        <v>1</v>
      </c>
      <c r="G77" s="936">
        <f t="shared" si="42"/>
        <v>-1</v>
      </c>
      <c r="H77" s="936">
        <f t="shared" si="42"/>
        <v>-2</v>
      </c>
      <c r="I77" s="936">
        <f t="shared" si="42"/>
        <v>-2</v>
      </c>
      <c r="J77" s="936">
        <f t="shared" si="42"/>
        <v>0</v>
      </c>
      <c r="K77" s="936">
        <f t="shared" si="42"/>
        <v>0</v>
      </c>
      <c r="L77" s="936">
        <f t="shared" si="42"/>
        <v>-1</v>
      </c>
      <c r="M77" s="936">
        <f t="shared" si="42"/>
        <v>-2</v>
      </c>
      <c r="N77" s="936">
        <f t="shared" si="42"/>
        <v>-2</v>
      </c>
      <c r="O77" s="936">
        <f t="shared" si="38"/>
        <v>-12</v>
      </c>
    </row>
    <row r="78" spans="1:16" ht="15" customHeight="1">
      <c r="A78" s="1049"/>
      <c r="B78" s="935" t="s">
        <v>67</v>
      </c>
      <c r="C78" s="936">
        <f t="shared" ref="C78:N78" si="43">C44-C113</f>
        <v>-1</v>
      </c>
      <c r="D78" s="936">
        <f t="shared" si="43"/>
        <v>0</v>
      </c>
      <c r="E78" s="936">
        <f t="shared" si="43"/>
        <v>0</v>
      </c>
      <c r="F78" s="936">
        <f t="shared" si="43"/>
        <v>1</v>
      </c>
      <c r="G78" s="936">
        <f t="shared" si="43"/>
        <v>0</v>
      </c>
      <c r="H78" s="936">
        <f t="shared" si="43"/>
        <v>0</v>
      </c>
      <c r="I78" s="936">
        <f t="shared" si="43"/>
        <v>-1</v>
      </c>
      <c r="J78" s="936">
        <f t="shared" si="43"/>
        <v>1</v>
      </c>
      <c r="K78" s="936">
        <f t="shared" si="43"/>
        <v>0</v>
      </c>
      <c r="L78" s="936">
        <f t="shared" si="43"/>
        <v>0</v>
      </c>
      <c r="M78" s="936">
        <f t="shared" si="43"/>
        <v>0</v>
      </c>
      <c r="N78" s="936">
        <f t="shared" si="43"/>
        <v>5</v>
      </c>
      <c r="O78" s="936">
        <f t="shared" si="38"/>
        <v>5</v>
      </c>
    </row>
    <row r="79" spans="1:16" ht="15" customHeight="1">
      <c r="A79" s="1049"/>
      <c r="B79" s="939" t="s">
        <v>51</v>
      </c>
      <c r="C79" s="940">
        <f>SUM(C74:C78)</f>
        <v>1416</v>
      </c>
      <c r="D79" s="940">
        <f t="shared" ref="D79:O79" si="44">SUM(D74:D78)</f>
        <v>1967</v>
      </c>
      <c r="E79" s="940">
        <f t="shared" si="44"/>
        <v>2651</v>
      </c>
      <c r="F79" s="940">
        <f t="shared" si="44"/>
        <v>2057</v>
      </c>
      <c r="G79" s="940">
        <f t="shared" si="44"/>
        <v>2288</v>
      </c>
      <c r="H79" s="940">
        <f t="shared" si="44"/>
        <v>1479</v>
      </c>
      <c r="I79" s="940">
        <f t="shared" si="44"/>
        <v>1063</v>
      </c>
      <c r="J79" s="940">
        <f t="shared" si="44"/>
        <v>1102</v>
      </c>
      <c r="K79" s="940">
        <f t="shared" si="44"/>
        <v>567</v>
      </c>
      <c r="L79" s="940">
        <f t="shared" si="44"/>
        <v>424</v>
      </c>
      <c r="M79" s="940">
        <f t="shared" si="44"/>
        <v>523</v>
      </c>
      <c r="N79" s="940">
        <f t="shared" si="44"/>
        <v>608</v>
      </c>
      <c r="O79" s="940">
        <f t="shared" si="44"/>
        <v>16145</v>
      </c>
      <c r="P79" s="420"/>
    </row>
    <row r="80" spans="1:16" ht="15" customHeight="1">
      <c r="A80" s="1048" t="s">
        <v>124</v>
      </c>
      <c r="B80" s="933" t="s">
        <v>65</v>
      </c>
      <c r="C80" s="934">
        <f t="shared" ref="C80:N80" si="45">C46-C115</f>
        <v>463</v>
      </c>
      <c r="D80" s="934">
        <f t="shared" si="45"/>
        <v>493</v>
      </c>
      <c r="E80" s="934">
        <f t="shared" si="45"/>
        <v>445</v>
      </c>
      <c r="F80" s="934">
        <f t="shared" si="45"/>
        <v>366</v>
      </c>
      <c r="G80" s="934">
        <f t="shared" si="45"/>
        <v>485</v>
      </c>
      <c r="H80" s="934">
        <f t="shared" si="45"/>
        <v>871</v>
      </c>
      <c r="I80" s="934">
        <f t="shared" si="45"/>
        <v>629</v>
      </c>
      <c r="J80" s="934">
        <f t="shared" si="45"/>
        <v>603</v>
      </c>
      <c r="K80" s="934">
        <f t="shared" si="45"/>
        <v>395</v>
      </c>
      <c r="L80" s="934">
        <f t="shared" si="45"/>
        <v>342</v>
      </c>
      <c r="M80" s="934">
        <f t="shared" si="45"/>
        <v>490</v>
      </c>
      <c r="N80" s="934">
        <f t="shared" si="45"/>
        <v>1400</v>
      </c>
      <c r="O80" s="934">
        <f>SUM(C80:N80)</f>
        <v>6982</v>
      </c>
    </row>
    <row r="81" spans="1:16" ht="15" customHeight="1">
      <c r="A81" s="1049"/>
      <c r="B81" s="935" t="s">
        <v>43</v>
      </c>
      <c r="C81" s="936">
        <f t="shared" ref="C81:N81" si="46">C47-C116</f>
        <v>198</v>
      </c>
      <c r="D81" s="936">
        <f t="shared" si="46"/>
        <v>128</v>
      </c>
      <c r="E81" s="936">
        <f t="shared" si="46"/>
        <v>98</v>
      </c>
      <c r="F81" s="936">
        <f t="shared" si="46"/>
        <v>37</v>
      </c>
      <c r="G81" s="936">
        <f t="shared" si="46"/>
        <v>45</v>
      </c>
      <c r="H81" s="936">
        <f t="shared" si="46"/>
        <v>53</v>
      </c>
      <c r="I81" s="936">
        <f t="shared" si="46"/>
        <v>110</v>
      </c>
      <c r="J81" s="936">
        <f t="shared" si="46"/>
        <v>109</v>
      </c>
      <c r="K81" s="936">
        <f t="shared" si="46"/>
        <v>47</v>
      </c>
      <c r="L81" s="936">
        <f t="shared" si="46"/>
        <v>47</v>
      </c>
      <c r="M81" s="936">
        <f t="shared" si="46"/>
        <v>182</v>
      </c>
      <c r="N81" s="936">
        <f t="shared" si="46"/>
        <v>246</v>
      </c>
      <c r="O81" s="936">
        <f t="shared" ref="O81:O86" si="47">SUM(C81:N81)</f>
        <v>1300</v>
      </c>
    </row>
    <row r="82" spans="1:16" ht="15" customHeight="1">
      <c r="A82" s="1049"/>
      <c r="B82" s="937" t="s">
        <v>66</v>
      </c>
      <c r="C82" s="938">
        <f t="shared" ref="C82:N82" si="48">SUM(C80:C81)</f>
        <v>661</v>
      </c>
      <c r="D82" s="938">
        <f t="shared" si="48"/>
        <v>621</v>
      </c>
      <c r="E82" s="938">
        <f t="shared" si="48"/>
        <v>543</v>
      </c>
      <c r="F82" s="938">
        <f t="shared" si="48"/>
        <v>403</v>
      </c>
      <c r="G82" s="938">
        <f t="shared" si="48"/>
        <v>530</v>
      </c>
      <c r="H82" s="938">
        <f t="shared" si="48"/>
        <v>924</v>
      </c>
      <c r="I82" s="938">
        <f t="shared" si="48"/>
        <v>739</v>
      </c>
      <c r="J82" s="938">
        <f t="shared" si="48"/>
        <v>712</v>
      </c>
      <c r="K82" s="938">
        <f t="shared" si="48"/>
        <v>442</v>
      </c>
      <c r="L82" s="938">
        <f t="shared" si="48"/>
        <v>389</v>
      </c>
      <c r="M82" s="938">
        <f t="shared" si="48"/>
        <v>672</v>
      </c>
      <c r="N82" s="938">
        <f t="shared" si="48"/>
        <v>1646</v>
      </c>
      <c r="O82" s="938">
        <f t="shared" si="47"/>
        <v>8282</v>
      </c>
    </row>
    <row r="83" spans="1:16" ht="15" customHeight="1">
      <c r="A83" s="1049"/>
      <c r="B83" s="935" t="s">
        <v>102</v>
      </c>
      <c r="C83" s="936">
        <f t="shared" ref="C83:N83" si="49">C49-C118</f>
        <v>53</v>
      </c>
      <c r="D83" s="936">
        <f t="shared" si="49"/>
        <v>46</v>
      </c>
      <c r="E83" s="936">
        <f t="shared" si="49"/>
        <v>58</v>
      </c>
      <c r="F83" s="936">
        <f t="shared" si="49"/>
        <v>56</v>
      </c>
      <c r="G83" s="936">
        <f t="shared" si="49"/>
        <v>57</v>
      </c>
      <c r="H83" s="936">
        <f t="shared" si="49"/>
        <v>64</v>
      </c>
      <c r="I83" s="936">
        <f t="shared" si="49"/>
        <v>58</v>
      </c>
      <c r="J83" s="936">
        <f t="shared" si="49"/>
        <v>52</v>
      </c>
      <c r="K83" s="936">
        <f t="shared" si="49"/>
        <v>58</v>
      </c>
      <c r="L83" s="936">
        <f t="shared" si="49"/>
        <v>67</v>
      </c>
      <c r="M83" s="936">
        <f t="shared" si="49"/>
        <v>75</v>
      </c>
      <c r="N83" s="936">
        <f t="shared" si="49"/>
        <v>76</v>
      </c>
      <c r="O83" s="936">
        <f t="shared" si="47"/>
        <v>720</v>
      </c>
    </row>
    <row r="84" spans="1:16" ht="15" customHeight="1">
      <c r="A84" s="1049"/>
      <c r="B84" s="935" t="s">
        <v>47</v>
      </c>
      <c r="C84" s="936">
        <f t="shared" ref="C84:N84" si="50">C50-C119</f>
        <v>19</v>
      </c>
      <c r="D84" s="936">
        <f t="shared" si="50"/>
        <v>14</v>
      </c>
      <c r="E84" s="936">
        <f t="shared" si="50"/>
        <v>14</v>
      </c>
      <c r="F84" s="936">
        <f t="shared" si="50"/>
        <v>17</v>
      </c>
      <c r="G84" s="936">
        <f t="shared" si="50"/>
        <v>8</v>
      </c>
      <c r="H84" s="936">
        <f t="shared" si="50"/>
        <v>10</v>
      </c>
      <c r="I84" s="936">
        <f t="shared" si="50"/>
        <v>7</v>
      </c>
      <c r="J84" s="936">
        <f t="shared" si="50"/>
        <v>14</v>
      </c>
      <c r="K84" s="936">
        <f t="shared" si="50"/>
        <v>-5</v>
      </c>
      <c r="L84" s="936">
        <f t="shared" si="50"/>
        <v>7</v>
      </c>
      <c r="M84" s="936">
        <f t="shared" si="50"/>
        <v>21</v>
      </c>
      <c r="N84" s="936">
        <f t="shared" si="50"/>
        <v>25</v>
      </c>
      <c r="O84" s="936">
        <f t="shared" si="47"/>
        <v>151</v>
      </c>
    </row>
    <row r="85" spans="1:16" ht="15" customHeight="1">
      <c r="A85" s="1049"/>
      <c r="B85" s="935" t="s">
        <v>48</v>
      </c>
      <c r="C85" s="936">
        <f t="shared" ref="C85:N85" si="51">C51-C120</f>
        <v>-2</v>
      </c>
      <c r="D85" s="936">
        <f t="shared" si="51"/>
        <v>-2</v>
      </c>
      <c r="E85" s="936">
        <f t="shared" si="51"/>
        <v>1</v>
      </c>
      <c r="F85" s="936">
        <f t="shared" si="51"/>
        <v>1</v>
      </c>
      <c r="G85" s="936">
        <f t="shared" si="51"/>
        <v>-2</v>
      </c>
      <c r="H85" s="936">
        <f t="shared" si="51"/>
        <v>-2</v>
      </c>
      <c r="I85" s="936">
        <f t="shared" si="51"/>
        <v>-2</v>
      </c>
      <c r="J85" s="936">
        <f t="shared" si="51"/>
        <v>0</v>
      </c>
      <c r="K85" s="936">
        <f t="shared" si="51"/>
        <v>0</v>
      </c>
      <c r="L85" s="936">
        <f t="shared" si="51"/>
        <v>-2</v>
      </c>
      <c r="M85" s="936">
        <f t="shared" si="51"/>
        <v>-1</v>
      </c>
      <c r="N85" s="936">
        <f t="shared" si="51"/>
        <v>-2</v>
      </c>
      <c r="O85" s="936">
        <f t="shared" si="47"/>
        <v>-13</v>
      </c>
    </row>
    <row r="86" spans="1:16" ht="15" customHeight="1">
      <c r="A86" s="1049"/>
      <c r="B86" s="935" t="s">
        <v>67</v>
      </c>
      <c r="C86" s="936">
        <f t="shared" ref="C86:N86" si="52">C52-C121</f>
        <v>-1</v>
      </c>
      <c r="D86" s="936">
        <f t="shared" si="52"/>
        <v>0</v>
      </c>
      <c r="E86" s="936">
        <f t="shared" si="52"/>
        <v>0</v>
      </c>
      <c r="F86" s="936">
        <f t="shared" si="52"/>
        <v>1</v>
      </c>
      <c r="G86" s="936">
        <f t="shared" si="52"/>
        <v>0</v>
      </c>
      <c r="H86" s="936">
        <f t="shared" si="52"/>
        <v>0</v>
      </c>
      <c r="I86" s="936">
        <f t="shared" si="52"/>
        <v>-1</v>
      </c>
      <c r="J86" s="936">
        <f t="shared" si="52"/>
        <v>1</v>
      </c>
      <c r="K86" s="936">
        <f t="shared" si="52"/>
        <v>0</v>
      </c>
      <c r="L86" s="936">
        <f t="shared" si="52"/>
        <v>0</v>
      </c>
      <c r="M86" s="936">
        <f t="shared" si="52"/>
        <v>0</v>
      </c>
      <c r="N86" s="936">
        <f t="shared" si="52"/>
        <v>1</v>
      </c>
      <c r="O86" s="936">
        <f t="shared" si="47"/>
        <v>1</v>
      </c>
    </row>
    <row r="87" spans="1:16" ht="15" customHeight="1">
      <c r="A87" s="1049"/>
      <c r="B87" s="939" t="s">
        <v>51</v>
      </c>
      <c r="C87" s="940">
        <f>SUM(C82:C86)</f>
        <v>730</v>
      </c>
      <c r="D87" s="940">
        <f t="shared" ref="D87:O87" si="53">SUM(D82:D86)</f>
        <v>679</v>
      </c>
      <c r="E87" s="940">
        <f t="shared" si="53"/>
        <v>616</v>
      </c>
      <c r="F87" s="940">
        <f t="shared" si="53"/>
        <v>478</v>
      </c>
      <c r="G87" s="940">
        <f t="shared" si="53"/>
        <v>593</v>
      </c>
      <c r="H87" s="940">
        <f t="shared" si="53"/>
        <v>996</v>
      </c>
      <c r="I87" s="940">
        <f t="shared" si="53"/>
        <v>801</v>
      </c>
      <c r="J87" s="940">
        <f t="shared" si="53"/>
        <v>779</v>
      </c>
      <c r="K87" s="940">
        <f t="shared" si="53"/>
        <v>495</v>
      </c>
      <c r="L87" s="940">
        <f t="shared" si="53"/>
        <v>461</v>
      </c>
      <c r="M87" s="940">
        <f t="shared" si="53"/>
        <v>767</v>
      </c>
      <c r="N87" s="940">
        <f t="shared" si="53"/>
        <v>1746</v>
      </c>
      <c r="O87" s="940">
        <f t="shared" si="53"/>
        <v>9141</v>
      </c>
      <c r="P87" s="420"/>
    </row>
    <row r="88" spans="1:16" ht="21" customHeight="1">
      <c r="A88" s="941"/>
      <c r="B88" s="942"/>
      <c r="C88" s="943"/>
      <c r="D88" s="943"/>
      <c r="E88" s="943"/>
      <c r="F88" s="943"/>
      <c r="G88" s="943"/>
      <c r="H88" s="943"/>
      <c r="I88" s="943"/>
      <c r="J88" s="943"/>
      <c r="K88" s="943"/>
      <c r="L88" s="943"/>
      <c r="M88" s="943"/>
      <c r="N88" s="943"/>
      <c r="O88" s="943"/>
    </row>
    <row r="89" spans="1:16" ht="21" customHeight="1">
      <c r="A89" s="944" t="s">
        <v>103</v>
      </c>
      <c r="B89" s="942"/>
      <c r="C89" s="942"/>
      <c r="D89" s="942"/>
      <c r="E89" s="942"/>
      <c r="F89" s="942"/>
      <c r="G89" s="942"/>
      <c r="H89" s="942"/>
      <c r="I89" s="942"/>
      <c r="J89" s="942"/>
      <c r="K89" s="942"/>
      <c r="L89" s="942"/>
      <c r="M89" s="942"/>
      <c r="N89" s="942"/>
      <c r="O89" s="942"/>
    </row>
    <row r="90" spans="1:16" ht="21" customHeight="1">
      <c r="A90" s="1047" t="s">
        <v>1</v>
      </c>
      <c r="B90" s="1047"/>
      <c r="C90" s="932" t="s">
        <v>69</v>
      </c>
      <c r="D90" s="932" t="s">
        <v>71</v>
      </c>
      <c r="E90" s="932" t="s">
        <v>72</v>
      </c>
      <c r="F90" s="932" t="s">
        <v>73</v>
      </c>
      <c r="G90" s="932" t="s">
        <v>74</v>
      </c>
      <c r="H90" s="932" t="s">
        <v>75</v>
      </c>
      <c r="I90" s="932" t="s">
        <v>76</v>
      </c>
      <c r="J90" s="932" t="s">
        <v>77</v>
      </c>
      <c r="K90" s="932" t="s">
        <v>78</v>
      </c>
      <c r="L90" s="932" t="s">
        <v>79</v>
      </c>
      <c r="M90" s="932" t="s">
        <v>80</v>
      </c>
      <c r="N90" s="932" t="s">
        <v>81</v>
      </c>
      <c r="O90" s="932" t="s">
        <v>51</v>
      </c>
    </row>
    <row r="91" spans="1:16" ht="15" customHeight="1">
      <c r="A91" s="1048" t="s">
        <v>83</v>
      </c>
      <c r="B91" s="933" t="s">
        <v>65</v>
      </c>
      <c r="C91" s="934">
        <v>21</v>
      </c>
      <c r="D91" s="934">
        <v>13</v>
      </c>
      <c r="E91" s="934">
        <v>46</v>
      </c>
      <c r="F91" s="934">
        <v>98</v>
      </c>
      <c r="G91" s="934">
        <v>58</v>
      </c>
      <c r="H91" s="934">
        <v>1</v>
      </c>
      <c r="I91" s="934">
        <v>29</v>
      </c>
      <c r="J91" s="934">
        <v>20</v>
      </c>
      <c r="K91" s="934">
        <v>138</v>
      </c>
      <c r="L91" s="934">
        <v>4</v>
      </c>
      <c r="M91" s="934">
        <v>43</v>
      </c>
      <c r="N91" s="934">
        <v>27</v>
      </c>
      <c r="O91" s="934">
        <f>SUM(C91:N91)</f>
        <v>498</v>
      </c>
    </row>
    <row r="92" spans="1:16" ht="15" customHeight="1">
      <c r="A92" s="1049"/>
      <c r="B92" s="935" t="s">
        <v>43</v>
      </c>
      <c r="C92" s="936">
        <v>52</v>
      </c>
      <c r="D92" s="936">
        <v>46</v>
      </c>
      <c r="E92" s="936">
        <v>39</v>
      </c>
      <c r="F92" s="936">
        <v>106</v>
      </c>
      <c r="G92" s="936">
        <v>90</v>
      </c>
      <c r="H92" s="936">
        <v>88</v>
      </c>
      <c r="I92" s="936">
        <v>68</v>
      </c>
      <c r="J92" s="936">
        <v>98</v>
      </c>
      <c r="K92" s="936">
        <v>467</v>
      </c>
      <c r="L92" s="936">
        <v>143</v>
      </c>
      <c r="M92" s="936">
        <v>36</v>
      </c>
      <c r="N92" s="936">
        <v>26</v>
      </c>
      <c r="O92" s="936">
        <f t="shared" ref="O92:O97" si="54">SUM(C92:N92)</f>
        <v>1259</v>
      </c>
    </row>
    <row r="93" spans="1:16" ht="15" customHeight="1">
      <c r="A93" s="1049"/>
      <c r="B93" s="937" t="s">
        <v>66</v>
      </c>
      <c r="C93" s="938">
        <f t="shared" ref="C93:N93" si="55">SUM(C91:C92)</f>
        <v>73</v>
      </c>
      <c r="D93" s="938">
        <f t="shared" si="55"/>
        <v>59</v>
      </c>
      <c r="E93" s="938">
        <f t="shared" si="55"/>
        <v>85</v>
      </c>
      <c r="F93" s="938">
        <f t="shared" si="55"/>
        <v>204</v>
      </c>
      <c r="G93" s="938">
        <f t="shared" si="55"/>
        <v>148</v>
      </c>
      <c r="H93" s="938">
        <f t="shared" si="55"/>
        <v>89</v>
      </c>
      <c r="I93" s="938">
        <f t="shared" si="55"/>
        <v>97</v>
      </c>
      <c r="J93" s="938">
        <f t="shared" si="55"/>
        <v>118</v>
      </c>
      <c r="K93" s="938">
        <f t="shared" si="55"/>
        <v>605</v>
      </c>
      <c r="L93" s="938">
        <f t="shared" si="55"/>
        <v>147</v>
      </c>
      <c r="M93" s="938">
        <f t="shared" si="55"/>
        <v>79</v>
      </c>
      <c r="N93" s="938">
        <f t="shared" si="55"/>
        <v>53</v>
      </c>
      <c r="O93" s="938">
        <f t="shared" si="54"/>
        <v>1757</v>
      </c>
    </row>
    <row r="94" spans="1:16" ht="15" customHeight="1">
      <c r="A94" s="1049"/>
      <c r="B94" s="935" t="s">
        <v>102</v>
      </c>
      <c r="C94" s="936">
        <v>17</v>
      </c>
      <c r="D94" s="936">
        <v>14</v>
      </c>
      <c r="E94" s="936">
        <v>17</v>
      </c>
      <c r="F94" s="936">
        <v>28</v>
      </c>
      <c r="G94" s="936">
        <v>19</v>
      </c>
      <c r="H94" s="936">
        <v>4</v>
      </c>
      <c r="I94" s="936">
        <v>25</v>
      </c>
      <c r="J94" s="936">
        <v>17</v>
      </c>
      <c r="K94" s="936">
        <v>22</v>
      </c>
      <c r="L94" s="936">
        <v>13</v>
      </c>
      <c r="M94" s="936">
        <v>21</v>
      </c>
      <c r="N94" s="936">
        <v>19</v>
      </c>
      <c r="O94" s="936">
        <f t="shared" si="54"/>
        <v>216</v>
      </c>
    </row>
    <row r="95" spans="1:16" ht="15" customHeight="1">
      <c r="A95" s="1049"/>
      <c r="B95" s="935" t="s">
        <v>47</v>
      </c>
      <c r="C95" s="936">
        <v>11</v>
      </c>
      <c r="D95" s="936">
        <v>10</v>
      </c>
      <c r="E95" s="936">
        <v>22</v>
      </c>
      <c r="F95" s="936">
        <v>17</v>
      </c>
      <c r="G95" s="936">
        <v>2</v>
      </c>
      <c r="H95" s="936">
        <v>1</v>
      </c>
      <c r="I95" s="936">
        <v>18</v>
      </c>
      <c r="J95" s="936">
        <v>12</v>
      </c>
      <c r="K95" s="936">
        <v>66</v>
      </c>
      <c r="L95" s="936">
        <v>7</v>
      </c>
      <c r="M95" s="936">
        <v>9</v>
      </c>
      <c r="N95" s="936">
        <v>11</v>
      </c>
      <c r="O95" s="936">
        <f t="shared" si="54"/>
        <v>186</v>
      </c>
    </row>
    <row r="96" spans="1:16" ht="15" customHeight="1">
      <c r="A96" s="1049"/>
      <c r="B96" s="935" t="s">
        <v>48</v>
      </c>
      <c r="C96" s="936">
        <v>2</v>
      </c>
      <c r="D96" s="936">
        <v>3</v>
      </c>
      <c r="E96" s="936">
        <v>0</v>
      </c>
      <c r="F96" s="936">
        <v>0</v>
      </c>
      <c r="G96" s="936">
        <v>2</v>
      </c>
      <c r="H96" s="936">
        <v>3</v>
      </c>
      <c r="I96" s="936">
        <v>5</v>
      </c>
      <c r="J96" s="936">
        <v>1</v>
      </c>
      <c r="K96" s="936">
        <v>1</v>
      </c>
      <c r="L96" s="936">
        <v>2</v>
      </c>
      <c r="M96" s="936">
        <v>3</v>
      </c>
      <c r="N96" s="936">
        <v>2</v>
      </c>
      <c r="O96" s="936">
        <f t="shared" si="54"/>
        <v>24</v>
      </c>
    </row>
    <row r="97" spans="1:15" ht="15" customHeight="1">
      <c r="A97" s="1049"/>
      <c r="B97" s="935" t="s">
        <v>67</v>
      </c>
      <c r="C97" s="936">
        <v>1</v>
      </c>
      <c r="D97" s="936">
        <v>0</v>
      </c>
      <c r="E97" s="936">
        <v>0</v>
      </c>
      <c r="F97" s="936">
        <v>0</v>
      </c>
      <c r="G97" s="936">
        <v>0</v>
      </c>
      <c r="H97" s="936">
        <v>0</v>
      </c>
      <c r="I97" s="936">
        <v>1</v>
      </c>
      <c r="J97" s="936">
        <v>0</v>
      </c>
      <c r="K97" s="936">
        <v>0</v>
      </c>
      <c r="L97" s="936">
        <v>0</v>
      </c>
      <c r="M97" s="936">
        <v>0</v>
      </c>
      <c r="N97" s="936">
        <v>0</v>
      </c>
      <c r="O97" s="936">
        <f t="shared" si="54"/>
        <v>2</v>
      </c>
    </row>
    <row r="98" spans="1:15" ht="15" customHeight="1">
      <c r="A98" s="1049"/>
      <c r="B98" s="939" t="s">
        <v>51</v>
      </c>
      <c r="C98" s="940">
        <f t="shared" ref="C98:O98" si="56">SUM(C93:C97)</f>
        <v>104</v>
      </c>
      <c r="D98" s="940">
        <f t="shared" si="56"/>
        <v>86</v>
      </c>
      <c r="E98" s="940">
        <f t="shared" si="56"/>
        <v>124</v>
      </c>
      <c r="F98" s="940">
        <f t="shared" si="56"/>
        <v>249</v>
      </c>
      <c r="G98" s="940">
        <f t="shared" si="56"/>
        <v>171</v>
      </c>
      <c r="H98" s="940">
        <f t="shared" si="56"/>
        <v>97</v>
      </c>
      <c r="I98" s="940">
        <f t="shared" si="56"/>
        <v>146</v>
      </c>
      <c r="J98" s="940">
        <f t="shared" si="56"/>
        <v>148</v>
      </c>
      <c r="K98" s="940">
        <f t="shared" si="56"/>
        <v>694</v>
      </c>
      <c r="L98" s="940">
        <f t="shared" si="56"/>
        <v>169</v>
      </c>
      <c r="M98" s="940">
        <f t="shared" si="56"/>
        <v>112</v>
      </c>
      <c r="N98" s="940">
        <f t="shared" si="56"/>
        <v>85</v>
      </c>
      <c r="O98" s="940">
        <f t="shared" si="56"/>
        <v>2185</v>
      </c>
    </row>
    <row r="99" spans="1:15" ht="15" customHeight="1">
      <c r="A99" s="1048" t="s">
        <v>85</v>
      </c>
      <c r="B99" s="933" t="s">
        <v>65</v>
      </c>
      <c r="C99" s="934">
        <v>24</v>
      </c>
      <c r="D99" s="934">
        <v>15</v>
      </c>
      <c r="E99" s="934">
        <v>52</v>
      </c>
      <c r="F99" s="934">
        <v>57</v>
      </c>
      <c r="G99" s="934">
        <v>65</v>
      </c>
      <c r="H99" s="934">
        <v>4</v>
      </c>
      <c r="I99" s="934">
        <v>55</v>
      </c>
      <c r="J99" s="934">
        <v>23</v>
      </c>
      <c r="K99" s="934">
        <v>129</v>
      </c>
      <c r="L99" s="934">
        <v>105</v>
      </c>
      <c r="M99" s="934">
        <v>48</v>
      </c>
      <c r="N99" s="934">
        <v>30</v>
      </c>
      <c r="O99" s="934">
        <f t="shared" ref="O99:O105" si="57">SUM(C99:N99)</f>
        <v>607</v>
      </c>
    </row>
    <row r="100" spans="1:15" ht="15" customHeight="1">
      <c r="A100" s="1049"/>
      <c r="B100" s="935" t="s">
        <v>43</v>
      </c>
      <c r="C100" s="936">
        <v>59</v>
      </c>
      <c r="D100" s="936">
        <v>52</v>
      </c>
      <c r="E100" s="936">
        <v>44</v>
      </c>
      <c r="F100" s="936">
        <v>119</v>
      </c>
      <c r="G100" s="936">
        <v>101</v>
      </c>
      <c r="H100" s="936">
        <v>99</v>
      </c>
      <c r="I100" s="936">
        <v>57</v>
      </c>
      <c r="J100" s="936">
        <v>50</v>
      </c>
      <c r="K100" s="936">
        <v>143</v>
      </c>
      <c r="L100" s="936">
        <v>161</v>
      </c>
      <c r="M100" s="936">
        <v>41</v>
      </c>
      <c r="N100" s="936">
        <v>29</v>
      </c>
      <c r="O100" s="936">
        <f t="shared" si="57"/>
        <v>955</v>
      </c>
    </row>
    <row r="101" spans="1:15" ht="15" customHeight="1">
      <c r="A101" s="1049"/>
      <c r="B101" s="937" t="s">
        <v>66</v>
      </c>
      <c r="C101" s="938">
        <f t="shared" ref="C101:N101" si="58">SUM(C99:C100)</f>
        <v>83</v>
      </c>
      <c r="D101" s="938">
        <f t="shared" si="58"/>
        <v>67</v>
      </c>
      <c r="E101" s="938">
        <f t="shared" si="58"/>
        <v>96</v>
      </c>
      <c r="F101" s="938">
        <f t="shared" si="58"/>
        <v>176</v>
      </c>
      <c r="G101" s="938">
        <f t="shared" si="58"/>
        <v>166</v>
      </c>
      <c r="H101" s="938">
        <f t="shared" si="58"/>
        <v>103</v>
      </c>
      <c r="I101" s="938">
        <f t="shared" si="58"/>
        <v>112</v>
      </c>
      <c r="J101" s="938">
        <f t="shared" si="58"/>
        <v>73</v>
      </c>
      <c r="K101" s="938">
        <f t="shared" si="58"/>
        <v>272</v>
      </c>
      <c r="L101" s="938">
        <f t="shared" si="58"/>
        <v>266</v>
      </c>
      <c r="M101" s="938">
        <f t="shared" si="58"/>
        <v>89</v>
      </c>
      <c r="N101" s="938">
        <f t="shared" si="58"/>
        <v>59</v>
      </c>
      <c r="O101" s="938">
        <f t="shared" si="57"/>
        <v>1562</v>
      </c>
    </row>
    <row r="102" spans="1:15" ht="15" customHeight="1">
      <c r="A102" s="1049"/>
      <c r="B102" s="935" t="s">
        <v>102</v>
      </c>
      <c r="C102" s="936">
        <v>19</v>
      </c>
      <c r="D102" s="936">
        <v>16</v>
      </c>
      <c r="E102" s="936">
        <v>19</v>
      </c>
      <c r="F102" s="936">
        <v>22</v>
      </c>
      <c r="G102" s="936">
        <v>21</v>
      </c>
      <c r="H102" s="936">
        <v>5</v>
      </c>
      <c r="I102" s="936">
        <v>18</v>
      </c>
      <c r="J102" s="936">
        <v>19</v>
      </c>
      <c r="K102" s="936">
        <v>15</v>
      </c>
      <c r="L102" s="936">
        <v>15</v>
      </c>
      <c r="M102" s="936">
        <v>24</v>
      </c>
      <c r="N102" s="936">
        <v>21</v>
      </c>
      <c r="O102" s="936">
        <f t="shared" si="57"/>
        <v>214</v>
      </c>
    </row>
    <row r="103" spans="1:15" ht="15" customHeight="1">
      <c r="A103" s="1049"/>
      <c r="B103" s="935" t="s">
        <v>47</v>
      </c>
      <c r="C103" s="936">
        <v>12</v>
      </c>
      <c r="D103" s="936">
        <v>11</v>
      </c>
      <c r="E103" s="936">
        <v>15</v>
      </c>
      <c r="F103" s="936">
        <v>19</v>
      </c>
      <c r="G103" s="936">
        <v>20</v>
      </c>
      <c r="H103" s="936">
        <v>14</v>
      </c>
      <c r="I103" s="936">
        <v>20</v>
      </c>
      <c r="J103" s="936">
        <v>14</v>
      </c>
      <c r="K103" s="936">
        <v>24</v>
      </c>
      <c r="L103" s="936">
        <v>18</v>
      </c>
      <c r="M103" s="936">
        <v>10</v>
      </c>
      <c r="N103" s="936">
        <v>7</v>
      </c>
      <c r="O103" s="936">
        <f t="shared" si="57"/>
        <v>184</v>
      </c>
    </row>
    <row r="104" spans="1:15" ht="15" customHeight="1">
      <c r="A104" s="1049"/>
      <c r="B104" s="935" t="s">
        <v>48</v>
      </c>
      <c r="C104" s="936">
        <v>2</v>
      </c>
      <c r="D104" s="936">
        <v>3</v>
      </c>
      <c r="E104" s="936">
        <v>0</v>
      </c>
      <c r="F104" s="936">
        <v>0</v>
      </c>
      <c r="G104" s="936">
        <v>2</v>
      </c>
      <c r="H104" s="936">
        <v>3</v>
      </c>
      <c r="I104" s="936">
        <v>3</v>
      </c>
      <c r="J104" s="936">
        <v>1</v>
      </c>
      <c r="K104" s="936">
        <v>1</v>
      </c>
      <c r="L104" s="936">
        <v>2</v>
      </c>
      <c r="M104" s="936">
        <v>3</v>
      </c>
      <c r="N104" s="936">
        <v>2</v>
      </c>
      <c r="O104" s="936">
        <f t="shared" si="57"/>
        <v>22</v>
      </c>
    </row>
    <row r="105" spans="1:15" ht="15" customHeight="1">
      <c r="A105" s="1049"/>
      <c r="B105" s="935" t="s">
        <v>67</v>
      </c>
      <c r="C105" s="936">
        <v>1</v>
      </c>
      <c r="D105" s="936">
        <v>0</v>
      </c>
      <c r="E105" s="936">
        <v>0</v>
      </c>
      <c r="F105" s="936">
        <v>0</v>
      </c>
      <c r="G105" s="936">
        <v>0</v>
      </c>
      <c r="H105" s="936">
        <v>0</v>
      </c>
      <c r="I105" s="936">
        <v>1</v>
      </c>
      <c r="J105" s="936">
        <v>0</v>
      </c>
      <c r="K105" s="936">
        <v>0</v>
      </c>
      <c r="L105" s="936">
        <v>0</v>
      </c>
      <c r="M105" s="936">
        <v>0</v>
      </c>
      <c r="N105" s="936">
        <v>0</v>
      </c>
      <c r="O105" s="936">
        <f t="shared" si="57"/>
        <v>2</v>
      </c>
    </row>
    <row r="106" spans="1:15" ht="15" customHeight="1">
      <c r="A106" s="1049"/>
      <c r="B106" s="939" t="s">
        <v>51</v>
      </c>
      <c r="C106" s="940">
        <f t="shared" ref="C106:O106" si="59">SUM(C101:C105)</f>
        <v>117</v>
      </c>
      <c r="D106" s="940">
        <f t="shared" si="59"/>
        <v>97</v>
      </c>
      <c r="E106" s="940">
        <f t="shared" si="59"/>
        <v>130</v>
      </c>
      <c r="F106" s="940">
        <f t="shared" si="59"/>
        <v>217</v>
      </c>
      <c r="G106" s="940">
        <f t="shared" si="59"/>
        <v>209</v>
      </c>
      <c r="H106" s="940">
        <f t="shared" si="59"/>
        <v>125</v>
      </c>
      <c r="I106" s="940">
        <f t="shared" si="59"/>
        <v>154</v>
      </c>
      <c r="J106" s="940">
        <f t="shared" si="59"/>
        <v>107</v>
      </c>
      <c r="K106" s="940">
        <f t="shared" si="59"/>
        <v>312</v>
      </c>
      <c r="L106" s="940">
        <f t="shared" si="59"/>
        <v>301</v>
      </c>
      <c r="M106" s="940">
        <f t="shared" si="59"/>
        <v>126</v>
      </c>
      <c r="N106" s="940">
        <f t="shared" si="59"/>
        <v>89</v>
      </c>
      <c r="O106" s="940">
        <f t="shared" si="59"/>
        <v>1984</v>
      </c>
    </row>
    <row r="107" spans="1:15" ht="15" customHeight="1">
      <c r="A107" s="1048" t="s">
        <v>123</v>
      </c>
      <c r="B107" s="933" t="s">
        <v>65</v>
      </c>
      <c r="C107" s="934">
        <v>22</v>
      </c>
      <c r="D107" s="934">
        <v>14</v>
      </c>
      <c r="E107" s="934">
        <v>47</v>
      </c>
      <c r="F107" s="934">
        <v>51</v>
      </c>
      <c r="G107" s="934">
        <v>59</v>
      </c>
      <c r="H107" s="934">
        <v>4</v>
      </c>
      <c r="I107" s="934">
        <v>50</v>
      </c>
      <c r="J107" s="934">
        <v>21</v>
      </c>
      <c r="K107" s="934">
        <v>116</v>
      </c>
      <c r="L107" s="934">
        <v>95</v>
      </c>
      <c r="M107" s="934">
        <v>43</v>
      </c>
      <c r="N107" s="934">
        <v>27</v>
      </c>
      <c r="O107" s="934">
        <f t="shared" ref="O107:O113" si="60">SUM(C107:N107)</f>
        <v>549</v>
      </c>
    </row>
    <row r="108" spans="1:15" ht="15" customHeight="1">
      <c r="A108" s="1049"/>
      <c r="B108" s="935" t="s">
        <v>43</v>
      </c>
      <c r="C108" s="936">
        <v>53</v>
      </c>
      <c r="D108" s="936">
        <v>47</v>
      </c>
      <c r="E108" s="936">
        <v>40</v>
      </c>
      <c r="F108" s="936">
        <v>107</v>
      </c>
      <c r="G108" s="936">
        <v>91</v>
      </c>
      <c r="H108" s="936">
        <v>89</v>
      </c>
      <c r="I108" s="936">
        <v>51</v>
      </c>
      <c r="J108" s="936">
        <v>45</v>
      </c>
      <c r="K108" s="936">
        <v>129</v>
      </c>
      <c r="L108" s="936">
        <v>145</v>
      </c>
      <c r="M108" s="936">
        <v>37</v>
      </c>
      <c r="N108" s="936">
        <v>26</v>
      </c>
      <c r="O108" s="936">
        <f t="shared" si="60"/>
        <v>860</v>
      </c>
    </row>
    <row r="109" spans="1:15" ht="15" customHeight="1">
      <c r="A109" s="1049"/>
      <c r="B109" s="937" t="s">
        <v>66</v>
      </c>
      <c r="C109" s="938">
        <f t="shared" ref="C109:N109" si="61">SUM(C107:C108)</f>
        <v>75</v>
      </c>
      <c r="D109" s="938">
        <f t="shared" si="61"/>
        <v>61</v>
      </c>
      <c r="E109" s="938">
        <f t="shared" si="61"/>
        <v>87</v>
      </c>
      <c r="F109" s="938">
        <f t="shared" si="61"/>
        <v>158</v>
      </c>
      <c r="G109" s="938">
        <f t="shared" si="61"/>
        <v>150</v>
      </c>
      <c r="H109" s="938">
        <f t="shared" si="61"/>
        <v>93</v>
      </c>
      <c r="I109" s="938">
        <f t="shared" si="61"/>
        <v>101</v>
      </c>
      <c r="J109" s="938">
        <f t="shared" si="61"/>
        <v>66</v>
      </c>
      <c r="K109" s="938">
        <f t="shared" si="61"/>
        <v>245</v>
      </c>
      <c r="L109" s="938">
        <f t="shared" si="61"/>
        <v>240</v>
      </c>
      <c r="M109" s="938">
        <f t="shared" si="61"/>
        <v>80</v>
      </c>
      <c r="N109" s="938">
        <f t="shared" si="61"/>
        <v>53</v>
      </c>
      <c r="O109" s="938">
        <f t="shared" si="60"/>
        <v>1409</v>
      </c>
    </row>
    <row r="110" spans="1:15" ht="15" customHeight="1">
      <c r="A110" s="1049"/>
      <c r="B110" s="935" t="s">
        <v>102</v>
      </c>
      <c r="C110" s="936">
        <v>17</v>
      </c>
      <c r="D110" s="936">
        <v>14</v>
      </c>
      <c r="E110" s="936">
        <v>17</v>
      </c>
      <c r="F110" s="936">
        <v>20</v>
      </c>
      <c r="G110" s="936">
        <v>19</v>
      </c>
      <c r="H110" s="936">
        <v>5</v>
      </c>
      <c r="I110" s="936">
        <v>16</v>
      </c>
      <c r="J110" s="936">
        <v>17</v>
      </c>
      <c r="K110" s="936">
        <v>14</v>
      </c>
      <c r="L110" s="936">
        <v>14</v>
      </c>
      <c r="M110" s="936">
        <v>22</v>
      </c>
      <c r="N110" s="936">
        <v>19</v>
      </c>
      <c r="O110" s="936">
        <f t="shared" si="60"/>
        <v>194</v>
      </c>
    </row>
    <row r="111" spans="1:15" ht="15" customHeight="1">
      <c r="A111" s="1049"/>
      <c r="B111" s="935" t="s">
        <v>47</v>
      </c>
      <c r="C111" s="936">
        <v>11</v>
      </c>
      <c r="D111" s="936">
        <v>10</v>
      </c>
      <c r="E111" s="936">
        <v>14</v>
      </c>
      <c r="F111" s="936">
        <v>17</v>
      </c>
      <c r="G111" s="936">
        <v>18</v>
      </c>
      <c r="H111" s="936">
        <v>13</v>
      </c>
      <c r="I111" s="936">
        <v>18</v>
      </c>
      <c r="J111" s="936">
        <v>13</v>
      </c>
      <c r="K111" s="936">
        <v>22</v>
      </c>
      <c r="L111" s="936">
        <v>16</v>
      </c>
      <c r="M111" s="936">
        <v>9</v>
      </c>
      <c r="N111" s="936">
        <v>6</v>
      </c>
      <c r="O111" s="936">
        <f t="shared" si="60"/>
        <v>167</v>
      </c>
    </row>
    <row r="112" spans="1:15" ht="15" customHeight="1">
      <c r="A112" s="1049"/>
      <c r="B112" s="935" t="s">
        <v>48</v>
      </c>
      <c r="C112" s="936">
        <v>2</v>
      </c>
      <c r="D112" s="936">
        <v>3</v>
      </c>
      <c r="E112" s="936">
        <v>0</v>
      </c>
      <c r="F112" s="936">
        <v>0</v>
      </c>
      <c r="G112" s="936">
        <v>2</v>
      </c>
      <c r="H112" s="936">
        <v>3</v>
      </c>
      <c r="I112" s="936">
        <v>3</v>
      </c>
      <c r="J112" s="936">
        <v>1</v>
      </c>
      <c r="K112" s="936">
        <v>1</v>
      </c>
      <c r="L112" s="936">
        <v>2</v>
      </c>
      <c r="M112" s="936">
        <v>3</v>
      </c>
      <c r="N112" s="936">
        <v>2</v>
      </c>
      <c r="O112" s="936">
        <f t="shared" si="60"/>
        <v>22</v>
      </c>
    </row>
    <row r="113" spans="1:15" ht="15" customHeight="1">
      <c r="A113" s="1049"/>
      <c r="B113" s="935" t="s">
        <v>67</v>
      </c>
      <c r="C113" s="936">
        <v>1</v>
      </c>
      <c r="D113" s="936">
        <v>0</v>
      </c>
      <c r="E113" s="936">
        <v>0</v>
      </c>
      <c r="F113" s="936">
        <v>0</v>
      </c>
      <c r="G113" s="936">
        <v>0</v>
      </c>
      <c r="H113" s="936">
        <v>0</v>
      </c>
      <c r="I113" s="936">
        <v>1</v>
      </c>
      <c r="J113" s="936">
        <v>0</v>
      </c>
      <c r="K113" s="936">
        <v>0</v>
      </c>
      <c r="L113" s="936">
        <v>0</v>
      </c>
      <c r="M113" s="936">
        <v>0</v>
      </c>
      <c r="N113" s="936">
        <v>0</v>
      </c>
      <c r="O113" s="936">
        <f t="shared" si="60"/>
        <v>2</v>
      </c>
    </row>
    <row r="114" spans="1:15" ht="15" customHeight="1">
      <c r="A114" s="1049"/>
      <c r="B114" s="939" t="s">
        <v>51</v>
      </c>
      <c r="C114" s="940">
        <f t="shared" ref="C114:O114" si="62">SUM(C109:C113)</f>
        <v>106</v>
      </c>
      <c r="D114" s="940">
        <f t="shared" si="62"/>
        <v>88</v>
      </c>
      <c r="E114" s="940">
        <f t="shared" si="62"/>
        <v>118</v>
      </c>
      <c r="F114" s="940">
        <f t="shared" si="62"/>
        <v>195</v>
      </c>
      <c r="G114" s="940">
        <f t="shared" si="62"/>
        <v>189</v>
      </c>
      <c r="H114" s="940">
        <f t="shared" si="62"/>
        <v>114</v>
      </c>
      <c r="I114" s="940">
        <f t="shared" si="62"/>
        <v>139</v>
      </c>
      <c r="J114" s="940">
        <f t="shared" si="62"/>
        <v>97</v>
      </c>
      <c r="K114" s="940">
        <f t="shared" si="62"/>
        <v>282</v>
      </c>
      <c r="L114" s="940">
        <f t="shared" si="62"/>
        <v>272</v>
      </c>
      <c r="M114" s="940">
        <f t="shared" si="62"/>
        <v>114</v>
      </c>
      <c r="N114" s="940">
        <f t="shared" si="62"/>
        <v>80</v>
      </c>
      <c r="O114" s="940">
        <f t="shared" si="62"/>
        <v>1794</v>
      </c>
    </row>
    <row r="115" spans="1:15" ht="15" customHeight="1">
      <c r="A115" s="1048" t="s">
        <v>124</v>
      </c>
      <c r="B115" s="933" t="s">
        <v>65</v>
      </c>
      <c r="C115" s="934">
        <v>20</v>
      </c>
      <c r="D115" s="934">
        <v>13</v>
      </c>
      <c r="E115" s="934">
        <v>42</v>
      </c>
      <c r="F115" s="934">
        <v>46</v>
      </c>
      <c r="G115" s="934">
        <v>53</v>
      </c>
      <c r="H115" s="934">
        <v>4</v>
      </c>
      <c r="I115" s="934">
        <v>45</v>
      </c>
      <c r="J115" s="934">
        <v>19</v>
      </c>
      <c r="K115" s="934">
        <v>104</v>
      </c>
      <c r="L115" s="934">
        <v>86</v>
      </c>
      <c r="M115" s="934">
        <v>39</v>
      </c>
      <c r="N115" s="934">
        <v>24</v>
      </c>
      <c r="O115" s="934">
        <f t="shared" ref="O115:O121" si="63">SUM(C115:N115)</f>
        <v>495</v>
      </c>
    </row>
    <row r="116" spans="1:15" ht="15" customHeight="1">
      <c r="A116" s="1049"/>
      <c r="B116" s="935" t="s">
        <v>43</v>
      </c>
      <c r="C116" s="936">
        <v>48</v>
      </c>
      <c r="D116" s="936">
        <v>42</v>
      </c>
      <c r="E116" s="936">
        <v>36</v>
      </c>
      <c r="F116" s="936">
        <v>96</v>
      </c>
      <c r="G116" s="936">
        <v>82</v>
      </c>
      <c r="H116" s="936">
        <v>80</v>
      </c>
      <c r="I116" s="936">
        <v>46</v>
      </c>
      <c r="J116" s="936">
        <v>41</v>
      </c>
      <c r="K116" s="936">
        <v>116</v>
      </c>
      <c r="L116" s="936">
        <v>131</v>
      </c>
      <c r="M116" s="936">
        <v>33</v>
      </c>
      <c r="N116" s="936">
        <v>23</v>
      </c>
      <c r="O116" s="936">
        <f t="shared" si="63"/>
        <v>774</v>
      </c>
    </row>
    <row r="117" spans="1:15" ht="15" customHeight="1">
      <c r="A117" s="1049"/>
      <c r="B117" s="937" t="s">
        <v>66</v>
      </c>
      <c r="C117" s="938">
        <f t="shared" ref="C117:N117" si="64">SUM(C115:C116)</f>
        <v>68</v>
      </c>
      <c r="D117" s="938">
        <f t="shared" si="64"/>
        <v>55</v>
      </c>
      <c r="E117" s="938">
        <f t="shared" si="64"/>
        <v>78</v>
      </c>
      <c r="F117" s="938">
        <f t="shared" si="64"/>
        <v>142</v>
      </c>
      <c r="G117" s="938">
        <f t="shared" si="64"/>
        <v>135</v>
      </c>
      <c r="H117" s="938">
        <f t="shared" si="64"/>
        <v>84</v>
      </c>
      <c r="I117" s="938">
        <f t="shared" si="64"/>
        <v>91</v>
      </c>
      <c r="J117" s="938">
        <f t="shared" si="64"/>
        <v>60</v>
      </c>
      <c r="K117" s="938">
        <f t="shared" si="64"/>
        <v>220</v>
      </c>
      <c r="L117" s="938">
        <f t="shared" si="64"/>
        <v>217</v>
      </c>
      <c r="M117" s="938">
        <f t="shared" si="64"/>
        <v>72</v>
      </c>
      <c r="N117" s="938">
        <f t="shared" si="64"/>
        <v>47</v>
      </c>
      <c r="O117" s="938">
        <f t="shared" si="63"/>
        <v>1269</v>
      </c>
    </row>
    <row r="118" spans="1:15" ht="15" customHeight="1">
      <c r="A118" s="1049"/>
      <c r="B118" s="935" t="s">
        <v>102</v>
      </c>
      <c r="C118" s="936">
        <v>15</v>
      </c>
      <c r="D118" s="936">
        <v>13</v>
      </c>
      <c r="E118" s="936">
        <v>15</v>
      </c>
      <c r="F118" s="936">
        <v>18</v>
      </c>
      <c r="G118" s="936">
        <v>17</v>
      </c>
      <c r="H118" s="936">
        <v>5</v>
      </c>
      <c r="I118" s="936">
        <v>14</v>
      </c>
      <c r="J118" s="936">
        <v>15</v>
      </c>
      <c r="K118" s="936">
        <v>13</v>
      </c>
      <c r="L118" s="936">
        <v>13</v>
      </c>
      <c r="M118" s="936">
        <v>20</v>
      </c>
      <c r="N118" s="936">
        <v>17</v>
      </c>
      <c r="O118" s="936">
        <f t="shared" si="63"/>
        <v>175</v>
      </c>
    </row>
    <row r="119" spans="1:15" ht="15" customHeight="1">
      <c r="A119" s="1049"/>
      <c r="B119" s="935" t="s">
        <v>47</v>
      </c>
      <c r="C119" s="936">
        <v>10</v>
      </c>
      <c r="D119" s="936">
        <v>9</v>
      </c>
      <c r="E119" s="936">
        <v>13</v>
      </c>
      <c r="F119" s="936">
        <v>15</v>
      </c>
      <c r="G119" s="936">
        <v>16</v>
      </c>
      <c r="H119" s="936">
        <v>12</v>
      </c>
      <c r="I119" s="936">
        <v>16</v>
      </c>
      <c r="J119" s="936">
        <v>12</v>
      </c>
      <c r="K119" s="936">
        <v>20</v>
      </c>
      <c r="L119" s="936">
        <v>14</v>
      </c>
      <c r="M119" s="936">
        <v>8</v>
      </c>
      <c r="N119" s="936">
        <v>5</v>
      </c>
      <c r="O119" s="936">
        <f t="shared" si="63"/>
        <v>150</v>
      </c>
    </row>
    <row r="120" spans="1:15" ht="15" customHeight="1">
      <c r="A120" s="1049"/>
      <c r="B120" s="935" t="s">
        <v>48</v>
      </c>
      <c r="C120" s="936">
        <v>2</v>
      </c>
      <c r="D120" s="936">
        <v>3</v>
      </c>
      <c r="E120" s="936">
        <v>0</v>
      </c>
      <c r="F120" s="936">
        <v>0</v>
      </c>
      <c r="G120" s="936">
        <v>2</v>
      </c>
      <c r="H120" s="936">
        <v>3</v>
      </c>
      <c r="I120" s="936">
        <v>3</v>
      </c>
      <c r="J120" s="936">
        <v>1</v>
      </c>
      <c r="K120" s="936">
        <v>1</v>
      </c>
      <c r="L120" s="936">
        <v>2</v>
      </c>
      <c r="M120" s="936">
        <v>3</v>
      </c>
      <c r="N120" s="936">
        <v>2</v>
      </c>
      <c r="O120" s="936">
        <f t="shared" si="63"/>
        <v>22</v>
      </c>
    </row>
    <row r="121" spans="1:15" ht="15" customHeight="1">
      <c r="A121" s="1049"/>
      <c r="B121" s="935" t="s">
        <v>67</v>
      </c>
      <c r="C121" s="936">
        <v>1</v>
      </c>
      <c r="D121" s="936">
        <v>0</v>
      </c>
      <c r="E121" s="936">
        <v>0</v>
      </c>
      <c r="F121" s="936">
        <v>0</v>
      </c>
      <c r="G121" s="936">
        <v>0</v>
      </c>
      <c r="H121" s="936">
        <v>0</v>
      </c>
      <c r="I121" s="936">
        <v>1</v>
      </c>
      <c r="J121" s="936">
        <v>0</v>
      </c>
      <c r="K121" s="936">
        <v>0</v>
      </c>
      <c r="L121" s="936">
        <v>0</v>
      </c>
      <c r="M121" s="936">
        <v>0</v>
      </c>
      <c r="N121" s="936">
        <v>0</v>
      </c>
      <c r="O121" s="936">
        <f t="shared" si="63"/>
        <v>2</v>
      </c>
    </row>
    <row r="122" spans="1:15" ht="15" customHeight="1">
      <c r="A122" s="1049"/>
      <c r="B122" s="939" t="s">
        <v>51</v>
      </c>
      <c r="C122" s="940">
        <f t="shared" ref="C122:O122" si="65">SUM(C117:C121)</f>
        <v>96</v>
      </c>
      <c r="D122" s="940">
        <f t="shared" si="65"/>
        <v>80</v>
      </c>
      <c r="E122" s="940">
        <f t="shared" si="65"/>
        <v>106</v>
      </c>
      <c r="F122" s="940">
        <f t="shared" si="65"/>
        <v>175</v>
      </c>
      <c r="G122" s="940">
        <f t="shared" si="65"/>
        <v>170</v>
      </c>
      <c r="H122" s="940">
        <f t="shared" si="65"/>
        <v>104</v>
      </c>
      <c r="I122" s="940">
        <f t="shared" si="65"/>
        <v>125</v>
      </c>
      <c r="J122" s="940">
        <f t="shared" si="65"/>
        <v>88</v>
      </c>
      <c r="K122" s="940">
        <f t="shared" si="65"/>
        <v>254</v>
      </c>
      <c r="L122" s="940">
        <f t="shared" si="65"/>
        <v>246</v>
      </c>
      <c r="M122" s="940">
        <f t="shared" si="65"/>
        <v>103</v>
      </c>
      <c r="N122" s="940">
        <f t="shared" si="65"/>
        <v>71</v>
      </c>
      <c r="O122" s="940">
        <f t="shared" si="65"/>
        <v>1618</v>
      </c>
    </row>
    <row r="123" spans="1:15" ht="20.25" customHeight="1">
      <c r="A123" s="942"/>
      <c r="B123" s="942"/>
      <c r="C123" s="942"/>
      <c r="D123" s="942"/>
      <c r="E123" s="942"/>
      <c r="F123" s="942"/>
      <c r="G123" s="942"/>
      <c r="H123" s="942"/>
      <c r="I123" s="942"/>
      <c r="J123" s="942"/>
      <c r="K123" s="942"/>
      <c r="L123" s="942"/>
      <c r="M123" s="942"/>
      <c r="N123" s="942"/>
      <c r="O123" s="942"/>
    </row>
    <row r="124" spans="1:15" ht="20.25" customHeight="1"/>
    <row r="125" spans="1:15" ht="20.25" customHeight="1"/>
    <row r="126" spans="1:15" ht="20.25" customHeight="1"/>
    <row r="127" spans="1:15" ht="20.25" customHeight="1"/>
    <row r="128" spans="1:15" ht="20.25" customHeight="1">
      <c r="A128" s="1037" t="s">
        <v>1</v>
      </c>
      <c r="B128" s="1043"/>
      <c r="C128" s="37" t="s">
        <v>69</v>
      </c>
      <c r="D128" s="37" t="s">
        <v>71</v>
      </c>
      <c r="E128" s="37" t="s">
        <v>146</v>
      </c>
      <c r="F128" s="37" t="s">
        <v>147</v>
      </c>
      <c r="G128" s="37" t="s">
        <v>74</v>
      </c>
      <c r="H128" s="37" t="s">
        <v>75</v>
      </c>
      <c r="I128" s="37" t="s">
        <v>76</v>
      </c>
      <c r="J128" s="37" t="s">
        <v>77</v>
      </c>
      <c r="K128" s="37" t="s">
        <v>78</v>
      </c>
      <c r="L128" s="37" t="s">
        <v>79</v>
      </c>
      <c r="M128" s="37" t="s">
        <v>80</v>
      </c>
      <c r="N128" s="37" t="s">
        <v>81</v>
      </c>
      <c r="O128" s="37" t="s">
        <v>51</v>
      </c>
    </row>
    <row r="129" spans="1:15" ht="20.25" customHeight="1">
      <c r="A129" s="1044" t="s">
        <v>148</v>
      </c>
      <c r="B129" s="37" t="s">
        <v>65</v>
      </c>
      <c r="C129" s="38">
        <v>2</v>
      </c>
      <c r="D129" s="38">
        <v>12</v>
      </c>
      <c r="E129" s="38">
        <v>1</v>
      </c>
      <c r="F129" s="38">
        <v>4</v>
      </c>
      <c r="G129" s="38">
        <v>1</v>
      </c>
      <c r="H129" s="38">
        <v>0</v>
      </c>
      <c r="I129" s="38">
        <v>-20</v>
      </c>
      <c r="J129" s="38">
        <v>2</v>
      </c>
      <c r="K129" s="38">
        <v>-1</v>
      </c>
      <c r="L129" s="38"/>
      <c r="M129" s="38"/>
      <c r="N129" s="38"/>
      <c r="O129" s="50">
        <f t="shared" ref="O129:O134" si="66">SUM(C129:N129)</f>
        <v>1</v>
      </c>
    </row>
    <row r="130" spans="1:15" ht="20.25" customHeight="1">
      <c r="A130" s="1045"/>
      <c r="B130" s="37" t="s">
        <v>43</v>
      </c>
      <c r="C130" s="38">
        <v>-25</v>
      </c>
      <c r="D130" s="38">
        <v>-23</v>
      </c>
      <c r="E130" s="38">
        <v>-9</v>
      </c>
      <c r="F130" s="38">
        <v>-25</v>
      </c>
      <c r="G130" s="38">
        <v>-3</v>
      </c>
      <c r="H130" s="38">
        <v>-10</v>
      </c>
      <c r="I130" s="38">
        <v>-35</v>
      </c>
      <c r="J130" s="38">
        <v>9</v>
      </c>
      <c r="K130" s="38">
        <v>-3</v>
      </c>
      <c r="L130" s="38"/>
      <c r="M130" s="38"/>
      <c r="N130" s="38"/>
      <c r="O130" s="50">
        <f t="shared" si="66"/>
        <v>-124</v>
      </c>
    </row>
    <row r="131" spans="1:15" ht="20.25" customHeight="1">
      <c r="A131" s="1045"/>
      <c r="B131" s="37" t="s">
        <v>102</v>
      </c>
      <c r="C131" s="38">
        <v>21</v>
      </c>
      <c r="D131" s="38">
        <v>3</v>
      </c>
      <c r="E131" s="38">
        <v>3</v>
      </c>
      <c r="F131" s="38">
        <v>10</v>
      </c>
      <c r="G131" s="38">
        <v>3</v>
      </c>
      <c r="H131" s="38">
        <v>9</v>
      </c>
      <c r="I131" s="38">
        <v>21</v>
      </c>
      <c r="J131" s="38">
        <v>3</v>
      </c>
      <c r="K131" s="38">
        <v>13</v>
      </c>
      <c r="L131" s="38"/>
      <c r="M131" s="38"/>
      <c r="N131" s="38"/>
      <c r="O131" s="50">
        <f t="shared" si="66"/>
        <v>86</v>
      </c>
    </row>
    <row r="132" spans="1:15" ht="20.25" customHeight="1">
      <c r="A132" s="1045"/>
      <c r="B132" s="37" t="s">
        <v>47</v>
      </c>
      <c r="C132" s="38">
        <v>2</v>
      </c>
      <c r="D132" s="38">
        <v>9</v>
      </c>
      <c r="E132" s="38">
        <v>6</v>
      </c>
      <c r="F132" s="38">
        <v>10</v>
      </c>
      <c r="G132" s="38">
        <v>0</v>
      </c>
      <c r="H132" s="38">
        <v>1</v>
      </c>
      <c r="I132" s="38">
        <v>33</v>
      </c>
      <c r="J132" s="38">
        <v>-14</v>
      </c>
      <c r="K132" s="38">
        <v>-11</v>
      </c>
      <c r="L132" s="38"/>
      <c r="M132" s="38"/>
      <c r="N132" s="38"/>
      <c r="O132" s="50">
        <f t="shared" si="66"/>
        <v>36</v>
      </c>
    </row>
    <row r="133" spans="1:15" ht="20.25" customHeight="1">
      <c r="A133" s="1045"/>
      <c r="B133" s="37" t="s">
        <v>48</v>
      </c>
      <c r="C133" s="38">
        <v>0</v>
      </c>
      <c r="D133" s="38">
        <v>-1</v>
      </c>
      <c r="E133" s="38">
        <v>0</v>
      </c>
      <c r="F133" s="38">
        <v>0</v>
      </c>
      <c r="G133" s="38">
        <v>0</v>
      </c>
      <c r="H133" s="38">
        <v>0</v>
      </c>
      <c r="I133" s="38">
        <v>1</v>
      </c>
      <c r="J133" s="38">
        <v>0</v>
      </c>
      <c r="K133" s="38">
        <v>1</v>
      </c>
      <c r="L133" s="38"/>
      <c r="M133" s="38"/>
      <c r="N133" s="38"/>
      <c r="O133" s="50">
        <f t="shared" si="66"/>
        <v>1</v>
      </c>
    </row>
    <row r="134" spans="1:15" ht="20.25" customHeight="1">
      <c r="A134" s="1045"/>
      <c r="B134" s="37" t="s">
        <v>130</v>
      </c>
      <c r="C134" s="38">
        <v>0</v>
      </c>
      <c r="D134" s="38">
        <v>0</v>
      </c>
      <c r="E134" s="38">
        <v>-1</v>
      </c>
      <c r="F134" s="38">
        <v>1</v>
      </c>
      <c r="G134" s="38">
        <v>-1</v>
      </c>
      <c r="H134" s="38">
        <v>0</v>
      </c>
      <c r="I134" s="38">
        <v>0</v>
      </c>
      <c r="J134" s="38">
        <v>0</v>
      </c>
      <c r="K134" s="38">
        <v>1</v>
      </c>
      <c r="L134" s="38"/>
      <c r="M134" s="38"/>
      <c r="N134" s="38"/>
      <c r="O134" s="50">
        <f t="shared" si="66"/>
        <v>0</v>
      </c>
    </row>
    <row r="135" spans="1:15" ht="20.25" customHeight="1">
      <c r="A135" s="1046"/>
      <c r="B135" s="96" t="s">
        <v>51</v>
      </c>
      <c r="C135" s="50">
        <f>SUM(C129:C134)</f>
        <v>0</v>
      </c>
      <c r="D135" s="50">
        <f t="shared" ref="D135:N135" si="67">SUM(D129:D134)</f>
        <v>0</v>
      </c>
      <c r="E135" s="50">
        <f t="shared" si="67"/>
        <v>0</v>
      </c>
      <c r="F135" s="50">
        <f t="shared" si="67"/>
        <v>0</v>
      </c>
      <c r="G135" s="50">
        <f t="shared" si="67"/>
        <v>0</v>
      </c>
      <c r="H135" s="50">
        <f t="shared" si="67"/>
        <v>0</v>
      </c>
      <c r="I135" s="50">
        <f t="shared" si="67"/>
        <v>0</v>
      </c>
      <c r="J135" s="50">
        <f t="shared" si="67"/>
        <v>0</v>
      </c>
      <c r="K135" s="50">
        <f t="shared" si="67"/>
        <v>0</v>
      </c>
      <c r="L135" s="50">
        <f t="shared" si="67"/>
        <v>0</v>
      </c>
      <c r="M135" s="50">
        <f t="shared" si="67"/>
        <v>0</v>
      </c>
      <c r="N135" s="50">
        <f t="shared" si="67"/>
        <v>0</v>
      </c>
      <c r="O135" s="50">
        <f>SUM(O129:O134)</f>
        <v>0</v>
      </c>
    </row>
    <row r="136" spans="1:15" ht="20.25" customHeight="1"/>
    <row r="137" spans="1:15" ht="20.25" customHeight="1"/>
    <row r="138" spans="1:15" ht="20.25" customHeight="1"/>
    <row r="139" spans="1:15" ht="20.25" customHeight="1"/>
    <row r="140" spans="1:15" ht="20.25" customHeight="1"/>
    <row r="141" spans="1:15" ht="20.25" customHeight="1"/>
    <row r="142" spans="1:15" ht="20.25" customHeight="1"/>
    <row r="143" spans="1:15" ht="20.25" customHeight="1"/>
    <row r="144" spans="1:15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</sheetData>
  <mergeCells count="20">
    <mergeCell ref="A46:A53"/>
    <mergeCell ref="A37:B37"/>
    <mergeCell ref="A38:A45"/>
    <mergeCell ref="A4:B4"/>
    <mergeCell ref="A5:A12"/>
    <mergeCell ref="A13:A20"/>
    <mergeCell ref="A21:A28"/>
    <mergeCell ref="A29:A36"/>
    <mergeCell ref="A128:B128"/>
    <mergeCell ref="A129:A135"/>
    <mergeCell ref="A55:B55"/>
    <mergeCell ref="A56:A63"/>
    <mergeCell ref="A64:A71"/>
    <mergeCell ref="A90:B90"/>
    <mergeCell ref="A91:A98"/>
    <mergeCell ref="A99:A106"/>
    <mergeCell ref="A72:A79"/>
    <mergeCell ref="A80:A87"/>
    <mergeCell ref="A107:A114"/>
    <mergeCell ref="A115:A122"/>
  </mergeCells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12" orientation="landscape" r:id="rId1"/>
  <rowBreaks count="3" manualBreakCount="3">
    <brk id="36" max="14" man="1"/>
    <brk id="53" max="14" man="1"/>
    <brk id="8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X40"/>
  <sheetViews>
    <sheetView view="pageBreakPreview" zoomScaleNormal="100" zoomScaleSheetLayoutView="100" workbookViewId="0">
      <pane xSplit="3" ySplit="4" topLeftCell="D19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6.5"/>
  <cols>
    <col min="1" max="1" width="2.75" customWidth="1"/>
    <col min="4" max="4" width="16.875" bestFit="1" customWidth="1"/>
    <col min="5" max="10" width="11.875" customWidth="1"/>
    <col min="11" max="11" width="12.125" bestFit="1" customWidth="1"/>
    <col min="12" max="13" width="10.875" customWidth="1"/>
    <col min="14" max="14" width="12.125" bestFit="1" customWidth="1"/>
    <col min="15" max="16" width="10.875" customWidth="1"/>
    <col min="17" max="19" width="8.625" bestFit="1" customWidth="1"/>
    <col min="20" max="20" width="8.125" bestFit="1" customWidth="1"/>
    <col min="21" max="22" width="8.625" bestFit="1" customWidth="1"/>
  </cols>
  <sheetData>
    <row r="1" spans="2:24" ht="26.25">
      <c r="B1" s="612" t="s">
        <v>105</v>
      </c>
    </row>
    <row r="3" spans="2:24" ht="30.75" customHeight="1" thickBot="1">
      <c r="B3" s="1035" t="s">
        <v>1</v>
      </c>
      <c r="C3" s="1035"/>
      <c r="D3" s="1042" t="s">
        <v>82</v>
      </c>
      <c r="E3" s="1042"/>
      <c r="F3" s="1042" t="s">
        <v>116</v>
      </c>
      <c r="G3" s="1042"/>
      <c r="H3" s="1042"/>
      <c r="I3" s="47" t="s">
        <v>123</v>
      </c>
      <c r="J3" s="65" t="s">
        <v>124</v>
      </c>
      <c r="K3" s="1041" t="s">
        <v>139</v>
      </c>
      <c r="L3" s="1042"/>
      <c r="M3" s="1042"/>
      <c r="N3" s="1042"/>
      <c r="O3" s="1035"/>
      <c r="P3" s="1055"/>
      <c r="Q3" s="1051" t="s">
        <v>122</v>
      </c>
      <c r="R3" s="1042"/>
      <c r="S3" s="1042"/>
      <c r="T3" s="1042"/>
      <c r="U3" s="1035"/>
      <c r="V3" s="1035"/>
    </row>
    <row r="4" spans="2:24" ht="30.75" customHeight="1">
      <c r="B4" s="1035"/>
      <c r="C4" s="1035"/>
      <c r="D4" s="40" t="s">
        <v>117</v>
      </c>
      <c r="E4" s="502" t="s">
        <v>118</v>
      </c>
      <c r="F4" s="482" t="s">
        <v>119</v>
      </c>
      <c r="G4" s="516" t="s">
        <v>120</v>
      </c>
      <c r="H4" s="42" t="s">
        <v>153</v>
      </c>
      <c r="I4" s="509" t="s">
        <v>125</v>
      </c>
      <c r="J4" s="66" t="s">
        <v>126</v>
      </c>
      <c r="K4" s="489" t="s">
        <v>140</v>
      </c>
      <c r="L4" s="482" t="s">
        <v>141</v>
      </c>
      <c r="M4" s="509" t="s">
        <v>142</v>
      </c>
      <c r="N4" s="48" t="s">
        <v>143</v>
      </c>
      <c r="O4" s="419" t="s">
        <v>145</v>
      </c>
      <c r="P4" s="75" t="s">
        <v>144</v>
      </c>
      <c r="Q4" s="475" t="s">
        <v>59</v>
      </c>
      <c r="R4" s="482" t="s">
        <v>60</v>
      </c>
      <c r="S4" s="509" t="s">
        <v>97</v>
      </c>
      <c r="T4" s="48" t="s">
        <v>98</v>
      </c>
      <c r="U4" s="419" t="s">
        <v>99</v>
      </c>
      <c r="V4" s="49" t="s">
        <v>100</v>
      </c>
    </row>
    <row r="5" spans="2:24" ht="30.75" customHeight="1">
      <c r="B5" s="1037" t="s">
        <v>41</v>
      </c>
      <c r="C5" s="7" t="s">
        <v>106</v>
      </c>
      <c r="D5" s="12">
        <v>266671</v>
      </c>
      <c r="E5" s="954">
        <f>'3-2 공급량상세'!O6</f>
        <v>261055</v>
      </c>
      <c r="F5" s="955">
        <f>'3-2 공급량상세'!O34</f>
        <v>234950</v>
      </c>
      <c r="G5" s="956">
        <f>'3-2 공급량상세'!O62</f>
        <v>239153</v>
      </c>
      <c r="H5" s="14">
        <f>'3-2 공급량상세'!O90</f>
        <v>227195</v>
      </c>
      <c r="I5" s="421">
        <f>'3-2 공급량상세'!O118</f>
        <v>222497</v>
      </c>
      <c r="J5" s="452">
        <f>'3-2 공급량상세'!O146</f>
        <v>212084</v>
      </c>
      <c r="K5" s="957">
        <f t="shared" ref="K5:M7" si="0">E5-D5</f>
        <v>-5616</v>
      </c>
      <c r="L5" s="958">
        <f t="shared" si="0"/>
        <v>-26105</v>
      </c>
      <c r="M5" s="959">
        <f t="shared" si="0"/>
        <v>4203</v>
      </c>
      <c r="N5" s="960">
        <f>H5-F5</f>
        <v>-7755</v>
      </c>
      <c r="O5" s="959">
        <f>I5-F5</f>
        <v>-12453</v>
      </c>
      <c r="P5" s="961">
        <f>J5-I5</f>
        <v>-10413</v>
      </c>
      <c r="Q5" s="476">
        <f>E5/D5</f>
        <v>0.97894034221943893</v>
      </c>
      <c r="R5" s="724">
        <f>F5/E5</f>
        <v>0.9000019153052039</v>
      </c>
      <c r="S5" s="725">
        <f>G5/F5</f>
        <v>1.0178889125345818</v>
      </c>
      <c r="T5" s="726">
        <f>H5/F5</f>
        <v>0.96699297722919775</v>
      </c>
      <c r="U5" s="725">
        <f>I5/F5</f>
        <v>0.94699723345392639</v>
      </c>
      <c r="V5" s="726">
        <f>J5/I5</f>
        <v>0.95319936898025592</v>
      </c>
      <c r="X5">
        <f>ROUND(D5/1000,0)</f>
        <v>267</v>
      </c>
    </row>
    <row r="6" spans="2:24" ht="30.75" customHeight="1">
      <c r="B6" s="1037"/>
      <c r="C6" s="8" t="s">
        <v>107</v>
      </c>
      <c r="D6" s="16">
        <v>26958746</v>
      </c>
      <c r="E6" s="962">
        <f>'3-2 공급량상세'!O7</f>
        <v>24313190</v>
      </c>
      <c r="F6" s="963">
        <f>'3-2 공급량상세'!O35</f>
        <v>25005440</v>
      </c>
      <c r="G6" s="964">
        <f>'3-2 공급량상세'!O63</f>
        <v>25593337</v>
      </c>
      <c r="H6" s="18">
        <f>'3-2 공급량상세'!O91</f>
        <v>23862874</v>
      </c>
      <c r="I6" s="965">
        <f>'3-2 공급량상세'!O119</f>
        <v>25383675</v>
      </c>
      <c r="J6" s="398">
        <f>'3-2 공급량상세'!O147</f>
        <v>25713909</v>
      </c>
      <c r="K6" s="966">
        <f t="shared" si="0"/>
        <v>-2645556</v>
      </c>
      <c r="L6" s="967">
        <f t="shared" si="0"/>
        <v>692250</v>
      </c>
      <c r="M6" s="968">
        <f t="shared" si="0"/>
        <v>587897</v>
      </c>
      <c r="N6" s="969">
        <f>H6-F6</f>
        <v>-1142566</v>
      </c>
      <c r="O6" s="968">
        <f>I6-F6</f>
        <v>378235</v>
      </c>
      <c r="P6" s="970">
        <f>J6-I6</f>
        <v>330234</v>
      </c>
      <c r="Q6" s="477">
        <f t="shared" ref="Q6:Q23" si="1">E6/D6</f>
        <v>0.90186650373129373</v>
      </c>
      <c r="R6" s="727">
        <f t="shared" ref="R6:R23" si="2">F6/E6</f>
        <v>1.0284721996578812</v>
      </c>
      <c r="S6" s="728">
        <f t="shared" ref="S6:S23" si="3">G6/F6</f>
        <v>1.023510764057741</v>
      </c>
      <c r="T6" s="729">
        <f t="shared" ref="T6:T23" si="4">H6/F6</f>
        <v>0.95430730273092579</v>
      </c>
      <c r="U6" s="728">
        <f t="shared" ref="U6:U23" si="5">I6/F6</f>
        <v>1.0151261085587777</v>
      </c>
      <c r="V6" s="729">
        <f t="shared" ref="V6:V23" si="6">J6/I6</f>
        <v>1.013009700132073</v>
      </c>
      <c r="X6">
        <f t="shared" ref="X6:X7" si="7">ROUND(D6/1000,0)</f>
        <v>26959</v>
      </c>
    </row>
    <row r="7" spans="2:24" ht="30.75" customHeight="1">
      <c r="B7" s="1037"/>
      <c r="C7" s="8" t="s">
        <v>44</v>
      </c>
      <c r="D7" s="16">
        <v>591329</v>
      </c>
      <c r="E7" s="962">
        <f>'3-2 공급량상세'!O8</f>
        <v>600122</v>
      </c>
      <c r="F7" s="963">
        <f>'3-2 공급량상세'!O36</f>
        <v>570115</v>
      </c>
      <c r="G7" s="964">
        <f>'3-2 공급량상세'!O64</f>
        <v>582752</v>
      </c>
      <c r="H7" s="18">
        <f>'3-2 공급량상세'!O92</f>
        <v>553614</v>
      </c>
      <c r="I7" s="965">
        <f>'3-2 공급량상세'!O120</f>
        <v>548909</v>
      </c>
      <c r="J7" s="398">
        <f>'3-2 공급량상세'!O148</f>
        <v>530793</v>
      </c>
      <c r="K7" s="966">
        <f t="shared" si="0"/>
        <v>8793</v>
      </c>
      <c r="L7" s="967">
        <f t="shared" si="0"/>
        <v>-30007</v>
      </c>
      <c r="M7" s="968">
        <f t="shared" si="0"/>
        <v>12637</v>
      </c>
      <c r="N7" s="969">
        <f>H7-F7</f>
        <v>-16501</v>
      </c>
      <c r="O7" s="968">
        <f>I7-F7</f>
        <v>-21206</v>
      </c>
      <c r="P7" s="970">
        <f>J7-I7</f>
        <v>-18116</v>
      </c>
      <c r="Q7" s="477">
        <f t="shared" si="1"/>
        <v>1.0148698947624757</v>
      </c>
      <c r="R7" s="727">
        <f t="shared" si="2"/>
        <v>0.94999850030493804</v>
      </c>
      <c r="S7" s="728">
        <f t="shared" si="3"/>
        <v>1.0221657034107154</v>
      </c>
      <c r="T7" s="729">
        <f t="shared" si="4"/>
        <v>0.97105671662734716</v>
      </c>
      <c r="U7" s="728">
        <f t="shared" si="5"/>
        <v>0.96280399568508113</v>
      </c>
      <c r="V7" s="729">
        <f t="shared" si="6"/>
        <v>0.96699635094341685</v>
      </c>
      <c r="X7">
        <f t="shared" si="7"/>
        <v>591</v>
      </c>
    </row>
    <row r="8" spans="2:24" ht="30.75" customHeight="1">
      <c r="B8" s="1037"/>
      <c r="C8" s="97" t="s">
        <v>46</v>
      </c>
      <c r="D8" s="971">
        <f t="shared" ref="D8:P8" si="8">SUM(D5:D7)</f>
        <v>27816746</v>
      </c>
      <c r="E8" s="972">
        <f t="shared" si="8"/>
        <v>25174367</v>
      </c>
      <c r="F8" s="973">
        <f t="shared" si="8"/>
        <v>25810505</v>
      </c>
      <c r="G8" s="974">
        <f t="shared" si="8"/>
        <v>26415242</v>
      </c>
      <c r="H8" s="975">
        <f t="shared" si="8"/>
        <v>24643683</v>
      </c>
      <c r="I8" s="976">
        <f t="shared" si="8"/>
        <v>26155081</v>
      </c>
      <c r="J8" s="977">
        <f t="shared" si="8"/>
        <v>26456786</v>
      </c>
      <c r="K8" s="978">
        <f t="shared" si="8"/>
        <v>-2642379</v>
      </c>
      <c r="L8" s="979">
        <f t="shared" si="8"/>
        <v>636138</v>
      </c>
      <c r="M8" s="980">
        <f t="shared" si="8"/>
        <v>604737</v>
      </c>
      <c r="N8" s="981">
        <f t="shared" si="8"/>
        <v>-1166822</v>
      </c>
      <c r="O8" s="980">
        <f t="shared" si="8"/>
        <v>344576</v>
      </c>
      <c r="P8" s="982">
        <f t="shared" si="8"/>
        <v>301705</v>
      </c>
      <c r="Q8" s="478">
        <f t="shared" si="1"/>
        <v>0.90500761663495799</v>
      </c>
      <c r="R8" s="485">
        <f t="shared" si="2"/>
        <v>1.0252692748937837</v>
      </c>
      <c r="S8" s="104">
        <f t="shared" si="3"/>
        <v>1.0234298786482481</v>
      </c>
      <c r="T8" s="105">
        <f t="shared" si="4"/>
        <v>0.95479274814653958</v>
      </c>
      <c r="U8" s="104">
        <f t="shared" si="5"/>
        <v>1.0133502230971458</v>
      </c>
      <c r="V8" s="105">
        <f t="shared" si="6"/>
        <v>1.0115352347790474</v>
      </c>
      <c r="X8">
        <f t="shared" ref="X8" si="9">SUM(X5:X7)</f>
        <v>27817</v>
      </c>
    </row>
    <row r="9" spans="2:24" ht="30.75" customHeight="1">
      <c r="B9" s="1036" t="s">
        <v>121</v>
      </c>
      <c r="C9" s="7" t="s">
        <v>108</v>
      </c>
      <c r="D9" s="12">
        <v>2459911</v>
      </c>
      <c r="E9" s="954">
        <f>SUM('3-2 공급량상세'!O10:O11)</f>
        <v>2465142</v>
      </c>
      <c r="F9" s="955">
        <f>SUM('3-2 공급량상세'!O38:O39)</f>
        <v>2465028</v>
      </c>
      <c r="G9" s="956">
        <f>SUM('3-2 공급량상세'!O66:O67)</f>
        <v>2520174</v>
      </c>
      <c r="H9" s="14">
        <f>SUM('3-2 공급량상세'!O94:O95)</f>
        <v>2376288</v>
      </c>
      <c r="I9" s="421">
        <f>SUM('3-2 공급량상세'!O122:O123)</f>
        <v>2473695</v>
      </c>
      <c r="J9" s="452">
        <f>SUM('3-2 공급량상세'!O150:O151)</f>
        <v>2467122</v>
      </c>
      <c r="K9" s="957">
        <f t="shared" ref="K9:M13" si="10">E9-D9</f>
        <v>5231</v>
      </c>
      <c r="L9" s="958">
        <f t="shared" si="10"/>
        <v>-114</v>
      </c>
      <c r="M9" s="959">
        <f t="shared" si="10"/>
        <v>55146</v>
      </c>
      <c r="N9" s="960">
        <f>H9-F9</f>
        <v>-88740</v>
      </c>
      <c r="O9" s="959">
        <f>I9-F9</f>
        <v>8667</v>
      </c>
      <c r="P9" s="961">
        <f>J9-I9</f>
        <v>-6573</v>
      </c>
      <c r="Q9" s="476">
        <f t="shared" si="1"/>
        <v>1.0021264996985664</v>
      </c>
      <c r="R9" s="483">
        <f t="shared" si="2"/>
        <v>0.99995375519949758</v>
      </c>
      <c r="S9" s="71">
        <f t="shared" si="3"/>
        <v>1.0223713483173416</v>
      </c>
      <c r="T9" s="45">
        <f t="shared" si="4"/>
        <v>0.96400040892030436</v>
      </c>
      <c r="U9" s="71">
        <f t="shared" si="5"/>
        <v>1.0035159844026111</v>
      </c>
      <c r="V9" s="45">
        <f t="shared" si="6"/>
        <v>0.99734284137696849</v>
      </c>
      <c r="X9">
        <f t="shared" ref="X9:X13" si="11">ROUND(D9/1000,0)</f>
        <v>2460</v>
      </c>
    </row>
    <row r="10" spans="2:24" ht="30.75" customHeight="1">
      <c r="B10" s="1037"/>
      <c r="C10" s="8" t="s">
        <v>109</v>
      </c>
      <c r="D10" s="16">
        <v>1127438</v>
      </c>
      <c r="E10" s="962">
        <f>'3-2 공급량상세'!O12</f>
        <v>1178914</v>
      </c>
      <c r="F10" s="963">
        <f>'3-2 공급량상세'!O40</f>
        <v>1175453</v>
      </c>
      <c r="G10" s="964">
        <f>'3-2 공급량상세'!O68</f>
        <v>1179266</v>
      </c>
      <c r="H10" s="18">
        <f>'3-2 공급량상세'!O96</f>
        <v>1123078</v>
      </c>
      <c r="I10" s="965">
        <f>'3-2 공급량상세'!O124</f>
        <v>1112970</v>
      </c>
      <c r="J10" s="398">
        <f>'3-2 공급량상세'!O152</f>
        <v>1098528</v>
      </c>
      <c r="K10" s="966">
        <f t="shared" si="10"/>
        <v>51476</v>
      </c>
      <c r="L10" s="967">
        <f t="shared" si="10"/>
        <v>-3461</v>
      </c>
      <c r="M10" s="968">
        <f t="shared" si="10"/>
        <v>3813</v>
      </c>
      <c r="N10" s="969">
        <f>H10-F10</f>
        <v>-52375</v>
      </c>
      <c r="O10" s="968">
        <f>I10-F10</f>
        <v>-62483</v>
      </c>
      <c r="P10" s="970">
        <f>J10-I10</f>
        <v>-14442</v>
      </c>
      <c r="Q10" s="477">
        <f t="shared" si="1"/>
        <v>1.0456574995698211</v>
      </c>
      <c r="R10" s="484">
        <f t="shared" si="2"/>
        <v>0.99706424726485565</v>
      </c>
      <c r="S10" s="72">
        <f t="shared" si="3"/>
        <v>1.003243855773051</v>
      </c>
      <c r="T10" s="46">
        <f t="shared" si="4"/>
        <v>0.95544271017216342</v>
      </c>
      <c r="U10" s="72">
        <f t="shared" si="5"/>
        <v>0.94684347226133247</v>
      </c>
      <c r="V10" s="46">
        <f t="shared" si="6"/>
        <v>0.98702390900024262</v>
      </c>
      <c r="X10">
        <f t="shared" si="11"/>
        <v>1127</v>
      </c>
    </row>
    <row r="11" spans="2:24" ht="30.75" customHeight="1">
      <c r="B11" s="1037"/>
      <c r="C11" s="8" t="s">
        <v>110</v>
      </c>
      <c r="D11" s="16">
        <v>777683</v>
      </c>
      <c r="E11" s="962">
        <f>'3-2 공급량상세'!O13</f>
        <v>729701</v>
      </c>
      <c r="F11" s="963">
        <f>'3-2 공급량상세'!O41</f>
        <v>718999</v>
      </c>
      <c r="G11" s="964">
        <f>'3-2 공급량상세'!O69</f>
        <v>759128</v>
      </c>
      <c r="H11" s="18">
        <f>'3-2 공급량상세'!O97</f>
        <v>681722</v>
      </c>
      <c r="I11" s="965">
        <f>'3-2 공급량상세'!O125</f>
        <v>682632</v>
      </c>
      <c r="J11" s="398">
        <f>'3-2 공급량상세'!O153</f>
        <v>678130</v>
      </c>
      <c r="K11" s="966">
        <f t="shared" si="10"/>
        <v>-47982</v>
      </c>
      <c r="L11" s="967">
        <f t="shared" si="10"/>
        <v>-10702</v>
      </c>
      <c r="M11" s="968">
        <f t="shared" si="10"/>
        <v>40129</v>
      </c>
      <c r="N11" s="969">
        <f>H11-F11</f>
        <v>-37277</v>
      </c>
      <c r="O11" s="968">
        <f>I11-F11</f>
        <v>-36367</v>
      </c>
      <c r="P11" s="970">
        <f>J11-I11</f>
        <v>-4502</v>
      </c>
      <c r="Q11" s="477">
        <f t="shared" si="1"/>
        <v>0.93830133872027544</v>
      </c>
      <c r="R11" s="484">
        <f t="shared" si="2"/>
        <v>0.9853337188793766</v>
      </c>
      <c r="S11" s="72">
        <f t="shared" si="3"/>
        <v>1.0558123168460596</v>
      </c>
      <c r="T11" s="46">
        <f t="shared" si="4"/>
        <v>0.94815430897678576</v>
      </c>
      <c r="U11" s="72">
        <f t="shared" si="5"/>
        <v>0.94941995746864738</v>
      </c>
      <c r="V11" s="46">
        <f t="shared" si="6"/>
        <v>0.99340493853203482</v>
      </c>
      <c r="X11">
        <f t="shared" si="11"/>
        <v>778</v>
      </c>
    </row>
    <row r="12" spans="2:24" ht="30.75" customHeight="1">
      <c r="B12" s="1037"/>
      <c r="C12" s="8" t="s">
        <v>111</v>
      </c>
      <c r="D12" s="16">
        <v>1430288</v>
      </c>
      <c r="E12" s="962">
        <f>'3-2 공급량상세'!O14</f>
        <v>1437341</v>
      </c>
      <c r="F12" s="963">
        <f>'3-2 공급량상세'!O42</f>
        <v>1386150</v>
      </c>
      <c r="G12" s="964">
        <f>'3-2 공급량상세'!O70</f>
        <v>1411155</v>
      </c>
      <c r="H12" s="18">
        <f>'3-2 공급량상세'!O98</f>
        <v>1366193</v>
      </c>
      <c r="I12" s="965">
        <f>'3-2 공급량상세'!O126</f>
        <v>1408114</v>
      </c>
      <c r="J12" s="398">
        <f>'3-2 공급량상세'!O154</f>
        <v>1433428</v>
      </c>
      <c r="K12" s="966">
        <f t="shared" si="10"/>
        <v>7053</v>
      </c>
      <c r="L12" s="967">
        <f t="shared" si="10"/>
        <v>-51191</v>
      </c>
      <c r="M12" s="968">
        <f t="shared" si="10"/>
        <v>25005</v>
      </c>
      <c r="N12" s="969">
        <f>H12-F12</f>
        <v>-19957</v>
      </c>
      <c r="O12" s="968">
        <f>I12-F12</f>
        <v>21964</v>
      </c>
      <c r="P12" s="970">
        <f>J12-I12</f>
        <v>25314</v>
      </c>
      <c r="Q12" s="477">
        <f t="shared" si="1"/>
        <v>1.0049311747004799</v>
      </c>
      <c r="R12" s="484">
        <f t="shared" si="2"/>
        <v>0.96438493022880445</v>
      </c>
      <c r="S12" s="72">
        <f t="shared" si="3"/>
        <v>1.0180391732496483</v>
      </c>
      <c r="T12" s="46">
        <f t="shared" si="4"/>
        <v>0.98560256826461778</v>
      </c>
      <c r="U12" s="72">
        <f t="shared" si="5"/>
        <v>1.015845326984814</v>
      </c>
      <c r="V12" s="46">
        <f t="shared" si="6"/>
        <v>1.0179772376384297</v>
      </c>
      <c r="X12">
        <f t="shared" si="11"/>
        <v>1430</v>
      </c>
    </row>
    <row r="13" spans="2:24" ht="30.75" customHeight="1">
      <c r="B13" s="1037"/>
      <c r="C13" s="8" t="s">
        <v>112</v>
      </c>
      <c r="D13" s="16">
        <v>61904</v>
      </c>
      <c r="E13" s="962">
        <f>'3-2 공급량상세'!O15</f>
        <v>65856</v>
      </c>
      <c r="F13" s="963">
        <f>'3-2 공급량상세'!O43</f>
        <v>64109</v>
      </c>
      <c r="G13" s="964">
        <f>'3-2 공급량상세'!O71</f>
        <v>65135</v>
      </c>
      <c r="H13" s="18">
        <f>'3-2 공급량상세'!O99</f>
        <v>62491</v>
      </c>
      <c r="I13" s="965">
        <f>'3-2 공급량상세'!O127</f>
        <v>62199</v>
      </c>
      <c r="J13" s="398">
        <f>'3-2 공급량상세'!O155</f>
        <v>61246</v>
      </c>
      <c r="K13" s="966">
        <f t="shared" si="10"/>
        <v>3952</v>
      </c>
      <c r="L13" s="967">
        <f t="shared" si="10"/>
        <v>-1747</v>
      </c>
      <c r="M13" s="968">
        <f t="shared" si="10"/>
        <v>1026</v>
      </c>
      <c r="N13" s="969">
        <f>H13-F13</f>
        <v>-1618</v>
      </c>
      <c r="O13" s="968">
        <f>I13-F13</f>
        <v>-1910</v>
      </c>
      <c r="P13" s="970">
        <f>J13-I13</f>
        <v>-953</v>
      </c>
      <c r="Q13" s="477">
        <f t="shared" si="1"/>
        <v>1.0638407857327474</v>
      </c>
      <c r="R13" s="484">
        <f t="shared" si="2"/>
        <v>0.9734724246841594</v>
      </c>
      <c r="S13" s="72">
        <f t="shared" si="3"/>
        <v>1.0160039931990827</v>
      </c>
      <c r="T13" s="46">
        <f t="shared" si="4"/>
        <v>0.97476173392191423</v>
      </c>
      <c r="U13" s="72">
        <f t="shared" si="5"/>
        <v>0.97020699121808174</v>
      </c>
      <c r="V13" s="46">
        <f t="shared" si="6"/>
        <v>0.98467821026061508</v>
      </c>
      <c r="X13">
        <f t="shared" si="11"/>
        <v>62</v>
      </c>
    </row>
    <row r="14" spans="2:24" ht="30.75" customHeight="1">
      <c r="B14" s="1037"/>
      <c r="C14" s="97" t="s">
        <v>46</v>
      </c>
      <c r="D14" s="971">
        <f t="shared" ref="D14:P14" si="12">SUM(D9:D13)</f>
        <v>5857224</v>
      </c>
      <c r="E14" s="972">
        <f t="shared" si="12"/>
        <v>5876954</v>
      </c>
      <c r="F14" s="973">
        <f t="shared" si="12"/>
        <v>5809739</v>
      </c>
      <c r="G14" s="974">
        <f t="shared" si="12"/>
        <v>5934858</v>
      </c>
      <c r="H14" s="975">
        <f t="shared" si="12"/>
        <v>5609772</v>
      </c>
      <c r="I14" s="976">
        <f t="shared" si="12"/>
        <v>5739610</v>
      </c>
      <c r="J14" s="977">
        <f t="shared" si="12"/>
        <v>5738454</v>
      </c>
      <c r="K14" s="978">
        <f t="shared" si="12"/>
        <v>19730</v>
      </c>
      <c r="L14" s="979">
        <f t="shared" si="12"/>
        <v>-67215</v>
      </c>
      <c r="M14" s="980">
        <f t="shared" si="12"/>
        <v>125119</v>
      </c>
      <c r="N14" s="981">
        <f t="shared" si="12"/>
        <v>-199967</v>
      </c>
      <c r="O14" s="980">
        <f t="shared" si="12"/>
        <v>-70129</v>
      </c>
      <c r="P14" s="982">
        <f t="shared" si="12"/>
        <v>-1156</v>
      </c>
      <c r="Q14" s="478">
        <f t="shared" si="1"/>
        <v>1.0033684899194568</v>
      </c>
      <c r="R14" s="485">
        <f t="shared" si="2"/>
        <v>0.98856295284938422</v>
      </c>
      <c r="S14" s="104">
        <f t="shared" si="3"/>
        <v>1.0215360793316188</v>
      </c>
      <c r="T14" s="105">
        <f t="shared" si="4"/>
        <v>0.96558072574344567</v>
      </c>
      <c r="U14" s="104">
        <f t="shared" si="5"/>
        <v>0.98792906187351959</v>
      </c>
      <c r="V14" s="105">
        <f t="shared" si="6"/>
        <v>0.99979859258730119</v>
      </c>
      <c r="X14">
        <f t="shared" ref="X14" si="13">SUM(X9:X13)</f>
        <v>5857</v>
      </c>
    </row>
    <row r="15" spans="2:24" ht="30.75" customHeight="1">
      <c r="B15" s="1054" t="s">
        <v>48</v>
      </c>
      <c r="C15" s="1054"/>
      <c r="D15" s="983">
        <v>9866942</v>
      </c>
      <c r="E15" s="984">
        <f>SUM('3-2 공급량상세'!O17)</f>
        <v>9962205</v>
      </c>
      <c r="F15" s="985">
        <f>'3-2 공급량상세'!O45</f>
        <v>9738437</v>
      </c>
      <c r="G15" s="986">
        <f>'3-2 공급량상세'!O73</f>
        <v>9753208</v>
      </c>
      <c r="H15" s="987">
        <f>'3-2 공급량상세'!O101</f>
        <v>9679249</v>
      </c>
      <c r="I15" s="988">
        <f>'3-2 공급량상세'!O129</f>
        <v>9759343</v>
      </c>
      <c r="J15" s="989">
        <f>'3-2 공급량상세'!O157</f>
        <v>9772361</v>
      </c>
      <c r="K15" s="990">
        <f t="shared" ref="K15:K21" si="14">E15-D15</f>
        <v>95263</v>
      </c>
      <c r="L15" s="991">
        <f t="shared" ref="L15:L21" si="15">F15-E15</f>
        <v>-223768</v>
      </c>
      <c r="M15" s="992">
        <f t="shared" ref="M15:M21" si="16">G15-F15</f>
        <v>14771</v>
      </c>
      <c r="N15" s="993">
        <f t="shared" ref="N15:N21" si="17">H15-F15</f>
        <v>-59188</v>
      </c>
      <c r="O15" s="992">
        <f t="shared" ref="O15:O21" si="18">I15-F15</f>
        <v>20906</v>
      </c>
      <c r="P15" s="994">
        <f t="shared" ref="P15:P21" si="19">J15-I15</f>
        <v>13018</v>
      </c>
      <c r="Q15" s="479">
        <f t="shared" si="1"/>
        <v>1.0096547643636702</v>
      </c>
      <c r="R15" s="486">
        <f t="shared" si="2"/>
        <v>0.97753830602763148</v>
      </c>
      <c r="S15" s="73">
        <f t="shared" si="3"/>
        <v>1.0015167731741756</v>
      </c>
      <c r="T15" s="44">
        <f t="shared" si="4"/>
        <v>0.99392222797149066</v>
      </c>
      <c r="U15" s="73">
        <f t="shared" si="5"/>
        <v>1.0021467510648783</v>
      </c>
      <c r="V15" s="44">
        <f t="shared" si="6"/>
        <v>1.0013339012677391</v>
      </c>
      <c r="X15">
        <f t="shared" ref="X15:X21" si="20">ROUND(D15/1000,0)</f>
        <v>9867</v>
      </c>
    </row>
    <row r="16" spans="2:24" ht="30.75" customHeight="1">
      <c r="B16" s="1054" t="s">
        <v>67</v>
      </c>
      <c r="C16" s="1054"/>
      <c r="D16" s="983">
        <v>281515</v>
      </c>
      <c r="E16" s="984">
        <f>SUM('3-2 공급량상세'!O18)</f>
        <v>242441</v>
      </c>
      <c r="F16" s="985">
        <f>'3-2 공급량상세'!O46</f>
        <v>233461</v>
      </c>
      <c r="G16" s="986">
        <f>'3-2 공급량상세'!O74</f>
        <v>239065</v>
      </c>
      <c r="H16" s="987">
        <f>'3-2 공급량상세'!O102</f>
        <v>227858</v>
      </c>
      <c r="I16" s="988">
        <f>'3-2 공급량상세'!O130</f>
        <v>225288</v>
      </c>
      <c r="J16" s="989">
        <f>'3-2 공급량상세'!O158</f>
        <v>217403</v>
      </c>
      <c r="K16" s="990">
        <f t="shared" si="14"/>
        <v>-39074</v>
      </c>
      <c r="L16" s="991">
        <f t="shared" si="15"/>
        <v>-8980</v>
      </c>
      <c r="M16" s="992">
        <f t="shared" si="16"/>
        <v>5604</v>
      </c>
      <c r="N16" s="993">
        <f t="shared" si="17"/>
        <v>-5603</v>
      </c>
      <c r="O16" s="992">
        <f t="shared" si="18"/>
        <v>-8173</v>
      </c>
      <c r="P16" s="994">
        <f t="shared" si="19"/>
        <v>-7885</v>
      </c>
      <c r="Q16" s="479">
        <f t="shared" si="1"/>
        <v>0.86120100172282121</v>
      </c>
      <c r="R16" s="486">
        <f t="shared" si="2"/>
        <v>0.96296006038582582</v>
      </c>
      <c r="S16" s="73">
        <f t="shared" si="3"/>
        <v>1.0240040092349472</v>
      </c>
      <c r="T16" s="44">
        <f t="shared" si="4"/>
        <v>0.97600027413572288</v>
      </c>
      <c r="U16" s="73">
        <f t="shared" si="5"/>
        <v>0.9649920115137004</v>
      </c>
      <c r="V16" s="44">
        <f t="shared" si="6"/>
        <v>0.96500035510102622</v>
      </c>
      <c r="X16">
        <f t="shared" si="20"/>
        <v>282</v>
      </c>
    </row>
    <row r="17" spans="2:24" ht="30.75" customHeight="1">
      <c r="B17" s="1054" t="s">
        <v>131</v>
      </c>
      <c r="C17" s="1054"/>
      <c r="D17" s="983">
        <v>275704</v>
      </c>
      <c r="E17" s="984">
        <f>SUM('3-2 공급량상세'!O19)</f>
        <v>219374</v>
      </c>
      <c r="F17" s="985">
        <f>'3-2 공급량상세'!O47</f>
        <v>238690</v>
      </c>
      <c r="G17" s="986">
        <f>'3-2 공급량상세'!O75</f>
        <v>244440</v>
      </c>
      <c r="H17" s="987">
        <f>'3-2 공급량상세'!O103</f>
        <v>221685</v>
      </c>
      <c r="I17" s="988">
        <f>'3-2 공급량상세'!O131</f>
        <v>297731</v>
      </c>
      <c r="J17" s="989">
        <f>'3-2 공급량상세'!O159</f>
        <v>1534001</v>
      </c>
      <c r="K17" s="990">
        <f t="shared" si="14"/>
        <v>-56330</v>
      </c>
      <c r="L17" s="991">
        <f t="shared" si="15"/>
        <v>19316</v>
      </c>
      <c r="M17" s="992">
        <f t="shared" si="16"/>
        <v>5750</v>
      </c>
      <c r="N17" s="993">
        <f t="shared" si="17"/>
        <v>-17005</v>
      </c>
      <c r="O17" s="992">
        <f t="shared" si="18"/>
        <v>59041</v>
      </c>
      <c r="P17" s="994">
        <f t="shared" si="19"/>
        <v>1236270</v>
      </c>
      <c r="Q17" s="479">
        <f>E17/D17</f>
        <v>0.79568667846676144</v>
      </c>
      <c r="R17" s="486">
        <f>F17/E17</f>
        <v>1.0880505438201429</v>
      </c>
      <c r="S17" s="73">
        <f>G17/F17</f>
        <v>1.0240898236205958</v>
      </c>
      <c r="T17" s="44">
        <f>H17/F17</f>
        <v>0.92875696510117722</v>
      </c>
      <c r="U17" s="73">
        <f>I17/F17</f>
        <v>1.2473543089362771</v>
      </c>
      <c r="V17" s="44">
        <f>J17/I17</f>
        <v>5.1523052688500695</v>
      </c>
      <c r="X17">
        <f t="shared" si="20"/>
        <v>276</v>
      </c>
    </row>
    <row r="18" spans="2:24" ht="30.75" customHeight="1">
      <c r="B18" s="1054" t="s">
        <v>132</v>
      </c>
      <c r="C18" s="1054"/>
      <c r="D18" s="983">
        <v>343209</v>
      </c>
      <c r="E18" s="984">
        <f>SUM('3-2 공급량상세'!O20)</f>
        <v>327177</v>
      </c>
      <c r="F18" s="985">
        <f>'3-2 공급량상세'!O48</f>
        <v>338460</v>
      </c>
      <c r="G18" s="986">
        <f>'3-2 공급량상세'!O76</f>
        <v>353352</v>
      </c>
      <c r="H18" s="987">
        <f>'3-2 공급량상세'!O104</f>
        <v>323566</v>
      </c>
      <c r="I18" s="988">
        <f>'3-2 공급량상세'!O132</f>
        <v>322712</v>
      </c>
      <c r="J18" s="989">
        <f>'3-2 공급량상세'!O160</f>
        <v>298425</v>
      </c>
      <c r="K18" s="990">
        <f t="shared" si="14"/>
        <v>-16032</v>
      </c>
      <c r="L18" s="991">
        <f t="shared" si="15"/>
        <v>11283</v>
      </c>
      <c r="M18" s="992">
        <f t="shared" si="16"/>
        <v>14892</v>
      </c>
      <c r="N18" s="993">
        <f t="shared" si="17"/>
        <v>-14894</v>
      </c>
      <c r="O18" s="992">
        <f t="shared" si="18"/>
        <v>-15748</v>
      </c>
      <c r="P18" s="994">
        <f t="shared" si="19"/>
        <v>-24287</v>
      </c>
      <c r="Q18" s="479">
        <f t="shared" si="1"/>
        <v>0.95328793825336744</v>
      </c>
      <c r="R18" s="486">
        <f t="shared" si="2"/>
        <v>1.0344859204650694</v>
      </c>
      <c r="S18" s="73">
        <f t="shared" si="3"/>
        <v>1.0439992909058677</v>
      </c>
      <c r="T18" s="44">
        <f t="shared" si="4"/>
        <v>0.9559947999763635</v>
      </c>
      <c r="U18" s="73">
        <f t="shared" si="5"/>
        <v>0.95347160668912134</v>
      </c>
      <c r="V18" s="44">
        <f t="shared" si="6"/>
        <v>0.9247409454869977</v>
      </c>
      <c r="X18">
        <f t="shared" si="20"/>
        <v>343</v>
      </c>
    </row>
    <row r="19" spans="2:24" ht="30.75" customHeight="1">
      <c r="B19" s="1054" t="s">
        <v>133</v>
      </c>
      <c r="C19" s="1054"/>
      <c r="D19" s="983">
        <v>30257</v>
      </c>
      <c r="E19" s="984">
        <f>SUM('3-2 공급량상세'!O21)</f>
        <v>212885</v>
      </c>
      <c r="F19" s="985">
        <f>'3-2 공급량상세'!O49</f>
        <v>33802</v>
      </c>
      <c r="G19" s="986">
        <f>'3-2 공급량상세'!O77</f>
        <v>34816</v>
      </c>
      <c r="H19" s="987">
        <f>'3-2 공급량상세'!O105</f>
        <v>32786</v>
      </c>
      <c r="I19" s="988">
        <f>'3-2 공급량상세'!O133</f>
        <v>31975</v>
      </c>
      <c r="J19" s="989">
        <f>'3-2 공급량상세'!O161</f>
        <v>33831</v>
      </c>
      <c r="K19" s="990">
        <f t="shared" si="14"/>
        <v>182628</v>
      </c>
      <c r="L19" s="991">
        <f t="shared" si="15"/>
        <v>-179083</v>
      </c>
      <c r="M19" s="992">
        <f t="shared" si="16"/>
        <v>1014</v>
      </c>
      <c r="N19" s="993">
        <f t="shared" si="17"/>
        <v>-1016</v>
      </c>
      <c r="O19" s="992">
        <f t="shared" si="18"/>
        <v>-1827</v>
      </c>
      <c r="P19" s="994">
        <f t="shared" si="19"/>
        <v>1856</v>
      </c>
      <c r="Q19" s="479">
        <f t="shared" si="1"/>
        <v>7.0358925207390026</v>
      </c>
      <c r="R19" s="486">
        <f t="shared" si="2"/>
        <v>0.15878056227540691</v>
      </c>
      <c r="S19" s="73">
        <f t="shared" si="3"/>
        <v>1.0299982249571031</v>
      </c>
      <c r="T19" s="44">
        <f t="shared" si="4"/>
        <v>0.9699426069463345</v>
      </c>
      <c r="U19" s="73">
        <f t="shared" si="5"/>
        <v>0.94594994379030828</v>
      </c>
      <c r="V19" s="44">
        <f t="shared" si="6"/>
        <v>1.0580453479280687</v>
      </c>
      <c r="X19">
        <f t="shared" si="20"/>
        <v>30</v>
      </c>
    </row>
    <row r="20" spans="2:24" ht="30.75" customHeight="1">
      <c r="B20" s="1038" t="s">
        <v>113</v>
      </c>
      <c r="C20" s="7" t="s">
        <v>114</v>
      </c>
      <c r="D20" s="12">
        <v>3106830</v>
      </c>
      <c r="E20" s="954">
        <f>SUM('3-2 공급량상세'!O22)</f>
        <v>3142946</v>
      </c>
      <c r="F20" s="955">
        <f>'3-2 공급량상세'!O50</f>
        <v>3027703</v>
      </c>
      <c r="G20" s="956">
        <f>'3-2 공급량상세'!O78</f>
        <v>3045246</v>
      </c>
      <c r="H20" s="14">
        <f>'3-2 공급량상세'!O106</f>
        <v>3024161</v>
      </c>
      <c r="I20" s="421">
        <f>'3-2 공급량상세'!O134</f>
        <v>2894145</v>
      </c>
      <c r="J20" s="452">
        <f>'3-2 공급량상세'!O162</f>
        <v>2767060</v>
      </c>
      <c r="K20" s="957">
        <f t="shared" si="14"/>
        <v>36116</v>
      </c>
      <c r="L20" s="958">
        <f t="shared" si="15"/>
        <v>-115243</v>
      </c>
      <c r="M20" s="959">
        <f t="shared" si="16"/>
        <v>17543</v>
      </c>
      <c r="N20" s="960">
        <f t="shared" si="17"/>
        <v>-3542</v>
      </c>
      <c r="O20" s="959">
        <f t="shared" si="18"/>
        <v>-133558</v>
      </c>
      <c r="P20" s="961">
        <f t="shared" si="19"/>
        <v>-127085</v>
      </c>
      <c r="Q20" s="476">
        <f t="shared" si="1"/>
        <v>1.0116247107179988</v>
      </c>
      <c r="R20" s="483">
        <f t="shared" si="2"/>
        <v>0.96333280940875221</v>
      </c>
      <c r="S20" s="71">
        <f t="shared" si="3"/>
        <v>1.0057941614484645</v>
      </c>
      <c r="T20" s="45">
        <f t="shared" si="4"/>
        <v>0.99883013624519978</v>
      </c>
      <c r="U20" s="71">
        <f t="shared" si="5"/>
        <v>0.95588801147272373</v>
      </c>
      <c r="V20" s="45">
        <f t="shared" si="6"/>
        <v>0.95608893127331218</v>
      </c>
      <c r="X20">
        <f t="shared" si="20"/>
        <v>3107</v>
      </c>
    </row>
    <row r="21" spans="2:24" ht="30.75" customHeight="1">
      <c r="B21" s="1052"/>
      <c r="C21" s="36" t="s">
        <v>128</v>
      </c>
      <c r="D21" s="26">
        <v>144301</v>
      </c>
      <c r="E21" s="995">
        <f>SUM('3-2 공급량상세'!O23)</f>
        <v>153197</v>
      </c>
      <c r="F21" s="996">
        <f>'3-2 공급량상세'!O51</f>
        <v>153630</v>
      </c>
      <c r="G21" s="997">
        <f>'3-2 공급량상세'!O79</f>
        <v>154519</v>
      </c>
      <c r="H21" s="28">
        <f>'3-2 공급량상세'!O107</f>
        <v>153450</v>
      </c>
      <c r="I21" s="998">
        <f>'3-2 공급량상세'!O135</f>
        <v>153544</v>
      </c>
      <c r="J21" s="457">
        <f>'3-2 공급량상세'!O163</f>
        <v>152675</v>
      </c>
      <c r="K21" s="999">
        <f t="shared" si="14"/>
        <v>8896</v>
      </c>
      <c r="L21" s="1000">
        <f t="shared" si="15"/>
        <v>433</v>
      </c>
      <c r="M21" s="1001">
        <f t="shared" si="16"/>
        <v>889</v>
      </c>
      <c r="N21" s="1002">
        <f t="shared" si="17"/>
        <v>-180</v>
      </c>
      <c r="O21" s="1001">
        <f t="shared" si="18"/>
        <v>-86</v>
      </c>
      <c r="P21" s="1003">
        <f t="shared" si="19"/>
        <v>-869</v>
      </c>
      <c r="Q21" s="480">
        <f t="shared" si="1"/>
        <v>1.0616489144219374</v>
      </c>
      <c r="R21" s="487">
        <f t="shared" si="2"/>
        <v>1.0028264261049498</v>
      </c>
      <c r="S21" s="74">
        <f t="shared" si="3"/>
        <v>1.0057866302154528</v>
      </c>
      <c r="T21" s="51">
        <f t="shared" si="4"/>
        <v>0.99882835383714119</v>
      </c>
      <c r="U21" s="74">
        <f t="shared" si="5"/>
        <v>0.99944021349996748</v>
      </c>
      <c r="V21" s="51">
        <f t="shared" si="6"/>
        <v>0.9943403845151878</v>
      </c>
      <c r="X21">
        <f t="shared" si="20"/>
        <v>144</v>
      </c>
    </row>
    <row r="22" spans="2:24" ht="30.75" customHeight="1">
      <c r="B22" s="1053"/>
      <c r="C22" s="97" t="s">
        <v>46</v>
      </c>
      <c r="D22" s="971">
        <f>SUM(D20:D21)</f>
        <v>3251131</v>
      </c>
      <c r="E22" s="972">
        <f t="shared" ref="E22:J22" si="21">SUM(E20:E21)</f>
        <v>3296143</v>
      </c>
      <c r="F22" s="973">
        <f t="shared" si="21"/>
        <v>3181333</v>
      </c>
      <c r="G22" s="974">
        <f t="shared" si="21"/>
        <v>3199765</v>
      </c>
      <c r="H22" s="975">
        <f t="shared" si="21"/>
        <v>3177611</v>
      </c>
      <c r="I22" s="976">
        <f t="shared" si="21"/>
        <v>3047689</v>
      </c>
      <c r="J22" s="977">
        <f t="shared" si="21"/>
        <v>2919735</v>
      </c>
      <c r="K22" s="978">
        <f t="shared" ref="K22:P22" si="22">SUM(K20:K21)</f>
        <v>45012</v>
      </c>
      <c r="L22" s="979">
        <f t="shared" si="22"/>
        <v>-114810</v>
      </c>
      <c r="M22" s="980">
        <f t="shared" si="22"/>
        <v>18432</v>
      </c>
      <c r="N22" s="981">
        <f t="shared" si="22"/>
        <v>-3722</v>
      </c>
      <c r="O22" s="980">
        <f t="shared" si="22"/>
        <v>-133644</v>
      </c>
      <c r="P22" s="982">
        <f t="shared" si="22"/>
        <v>-127954</v>
      </c>
      <c r="Q22" s="478">
        <f>E22/D22</f>
        <v>1.013845028084073</v>
      </c>
      <c r="R22" s="485">
        <f>F22/E22</f>
        <v>0.96516838013399298</v>
      </c>
      <c r="S22" s="104">
        <f>G22/F22</f>
        <v>1.0057937977571036</v>
      </c>
      <c r="T22" s="105">
        <f>H22/F22</f>
        <v>0.99883005017079318</v>
      </c>
      <c r="U22" s="104">
        <f>I22/F22</f>
        <v>0.95799119425724999</v>
      </c>
      <c r="V22" s="105">
        <f>J22/I22</f>
        <v>0.95801605741268225</v>
      </c>
      <c r="X22">
        <f t="shared" ref="X22" si="23">SUM(X20:X21)</f>
        <v>3251</v>
      </c>
    </row>
    <row r="23" spans="2:24" ht="30.75" customHeight="1" thickBot="1">
      <c r="B23" s="1050" t="s">
        <v>51</v>
      </c>
      <c r="C23" s="1050"/>
      <c r="D23" s="1004">
        <f>SUM(D8,D14:D19,D22)</f>
        <v>47722728</v>
      </c>
      <c r="E23" s="1005">
        <f t="shared" ref="E23:J23" si="24">SUM(E8,E14:E19,E22)</f>
        <v>45311546</v>
      </c>
      <c r="F23" s="1006">
        <f t="shared" si="24"/>
        <v>45384427</v>
      </c>
      <c r="G23" s="1007">
        <f t="shared" si="24"/>
        <v>46174746</v>
      </c>
      <c r="H23" s="1008">
        <f t="shared" si="24"/>
        <v>43916210</v>
      </c>
      <c r="I23" s="1009">
        <f t="shared" si="24"/>
        <v>45579429</v>
      </c>
      <c r="J23" s="1010">
        <f t="shared" si="24"/>
        <v>46970996</v>
      </c>
      <c r="K23" s="1011">
        <f t="shared" ref="K23:P23" si="25">SUM(K8,K14:K19,K22)</f>
        <v>-2411182</v>
      </c>
      <c r="L23" s="1012">
        <f t="shared" si="25"/>
        <v>72881</v>
      </c>
      <c r="M23" s="1013">
        <f t="shared" si="25"/>
        <v>790319</v>
      </c>
      <c r="N23" s="1014">
        <f t="shared" si="25"/>
        <v>-1468217</v>
      </c>
      <c r="O23" s="1013">
        <f t="shared" si="25"/>
        <v>195002</v>
      </c>
      <c r="P23" s="1015">
        <f t="shared" si="25"/>
        <v>1391567</v>
      </c>
      <c r="Q23" s="481">
        <f t="shared" si="1"/>
        <v>0.94947518507324224</v>
      </c>
      <c r="R23" s="488">
        <f t="shared" si="2"/>
        <v>1.00160844213967</v>
      </c>
      <c r="S23" s="111">
        <f t="shared" si="3"/>
        <v>1.0174138807569388</v>
      </c>
      <c r="T23" s="112">
        <f t="shared" si="4"/>
        <v>0.96764932164947237</v>
      </c>
      <c r="U23" s="111">
        <f t="shared" si="5"/>
        <v>1.0042966720721185</v>
      </c>
      <c r="V23" s="112">
        <f t="shared" si="6"/>
        <v>1.0305305930883863</v>
      </c>
      <c r="X23">
        <f t="shared" ref="X23" si="26">SUM(X8,X14:X19,X22)</f>
        <v>47723</v>
      </c>
    </row>
    <row r="24" spans="2:24" ht="9.75" customHeight="1" thickBot="1">
      <c r="D24" s="420"/>
      <c r="E24" s="420"/>
      <c r="F24" s="420"/>
      <c r="G24" s="420"/>
      <c r="H24" s="420"/>
      <c r="I24" s="420"/>
      <c r="J24" s="420"/>
      <c r="K24" s="420"/>
      <c r="L24" s="1016"/>
      <c r="M24" s="1016"/>
      <c r="N24" s="1016"/>
      <c r="O24" s="1016"/>
      <c r="P24" s="1016"/>
    </row>
    <row r="25" spans="2:24" ht="21" customHeight="1">
      <c r="B25" s="1050" t="s">
        <v>41</v>
      </c>
      <c r="C25" s="1050"/>
      <c r="D25" s="1004">
        <f>D8</f>
        <v>27816746</v>
      </c>
      <c r="E25" s="1005">
        <f t="shared" ref="E25:J25" si="27">E8</f>
        <v>25174367</v>
      </c>
      <c r="F25" s="1017">
        <f t="shared" si="27"/>
        <v>25810505</v>
      </c>
      <c r="G25" s="1007">
        <f t="shared" si="27"/>
        <v>26415242</v>
      </c>
      <c r="H25" s="1008">
        <f t="shared" si="27"/>
        <v>24643683</v>
      </c>
      <c r="I25" s="1009">
        <f t="shared" si="27"/>
        <v>26155081</v>
      </c>
      <c r="J25" s="1010">
        <f t="shared" si="27"/>
        <v>26456786</v>
      </c>
      <c r="K25" s="1011">
        <f t="shared" ref="K25:M26" si="28">E25-D25</f>
        <v>-2642379</v>
      </c>
      <c r="L25" s="1017">
        <f t="shared" si="28"/>
        <v>636138</v>
      </c>
      <c r="M25" s="1013">
        <f t="shared" si="28"/>
        <v>604737</v>
      </c>
      <c r="N25" s="1014">
        <f>H25-F25</f>
        <v>-1166822</v>
      </c>
      <c r="O25" s="1013">
        <f>I25-F25</f>
        <v>344576</v>
      </c>
      <c r="P25" s="1015">
        <f>J25-I25</f>
        <v>301705</v>
      </c>
      <c r="Q25" s="481">
        <f t="shared" ref="Q25" si="29">E25/D25</f>
        <v>0.90500761663495799</v>
      </c>
      <c r="R25" s="928">
        <f t="shared" ref="R25" si="30">F25/E25</f>
        <v>1.0252692748937837</v>
      </c>
      <c r="S25" s="111">
        <f t="shared" ref="S25" si="31">G25/F25</f>
        <v>1.0234298786482481</v>
      </c>
      <c r="T25" s="112">
        <f t="shared" ref="T25" si="32">H25/F25</f>
        <v>0.95479274814653958</v>
      </c>
      <c r="U25" s="111">
        <f t="shared" ref="U25" si="33">I25/F25</f>
        <v>1.0133502230971458</v>
      </c>
      <c r="V25" s="112">
        <f t="shared" ref="V25" si="34">J25/I25</f>
        <v>1.0115352347790474</v>
      </c>
    </row>
    <row r="26" spans="2:24" ht="21" customHeight="1" thickBot="1">
      <c r="B26" s="1050" t="s">
        <v>332</v>
      </c>
      <c r="C26" s="1050"/>
      <c r="D26" s="1004">
        <f>D23-D25</f>
        <v>19905982</v>
      </c>
      <c r="E26" s="1005">
        <f t="shared" ref="E26:J26" si="35">E23-E25</f>
        <v>20137179</v>
      </c>
      <c r="F26" s="1018">
        <f t="shared" si="35"/>
        <v>19573922</v>
      </c>
      <c r="G26" s="1007">
        <f t="shared" si="35"/>
        <v>19759504</v>
      </c>
      <c r="H26" s="1008">
        <f t="shared" si="35"/>
        <v>19272527</v>
      </c>
      <c r="I26" s="1009">
        <f t="shared" si="35"/>
        <v>19424348</v>
      </c>
      <c r="J26" s="1010">
        <f t="shared" si="35"/>
        <v>20514210</v>
      </c>
      <c r="K26" s="1011">
        <f t="shared" si="28"/>
        <v>231197</v>
      </c>
      <c r="L26" s="1019">
        <f t="shared" si="28"/>
        <v>-563257</v>
      </c>
      <c r="M26" s="1013">
        <f t="shared" si="28"/>
        <v>185582</v>
      </c>
      <c r="N26" s="1014">
        <f>H26-F26</f>
        <v>-301395</v>
      </c>
      <c r="O26" s="1013">
        <f>I26-F26</f>
        <v>-149574</v>
      </c>
      <c r="P26" s="1015">
        <f>J26-I26</f>
        <v>1089862</v>
      </c>
      <c r="Q26" s="481">
        <f t="shared" ref="Q26" si="36">E26/D26</f>
        <v>1.0116144483602969</v>
      </c>
      <c r="R26" s="927">
        <f t="shared" ref="R26" si="37">F26/E26</f>
        <v>0.97202900167893425</v>
      </c>
      <c r="S26" s="111">
        <f t="shared" ref="S26" si="38">G26/F26</f>
        <v>1.0094810840668518</v>
      </c>
      <c r="T26" s="112">
        <f t="shared" ref="T26" si="39">H26/F26</f>
        <v>0.98460221717446306</v>
      </c>
      <c r="U26" s="111">
        <f t="shared" ref="U26" si="40">I26/F26</f>
        <v>0.99235850638415746</v>
      </c>
      <c r="V26" s="112">
        <f t="shared" ref="V26" si="41">J26/I26</f>
        <v>1.05610803513199</v>
      </c>
    </row>
    <row r="27" spans="2:24" ht="21" customHeight="1"/>
    <row r="28" spans="2:24" ht="21" customHeight="1"/>
    <row r="29" spans="2:24" ht="21" customHeight="1"/>
    <row r="30" spans="2:24" ht="21" customHeight="1"/>
    <row r="31" spans="2:24" ht="21" customHeight="1"/>
    <row r="32" spans="2:24" ht="21" customHeight="1"/>
    <row r="33" spans="2:22" ht="21" customHeight="1"/>
    <row r="34" spans="2:22" ht="21" customHeight="1">
      <c r="P34" t="s">
        <v>522</v>
      </c>
    </row>
    <row r="35" spans="2:22" ht="21" customHeight="1" thickBot="1">
      <c r="B35" s="1035" t="s">
        <v>1</v>
      </c>
      <c r="C35" s="1035"/>
      <c r="D35" s="1042" t="s">
        <v>82</v>
      </c>
      <c r="E35" s="1042"/>
      <c r="F35" s="1042" t="s">
        <v>116</v>
      </c>
      <c r="G35" s="1042"/>
      <c r="H35" s="1042"/>
      <c r="I35" s="47" t="s">
        <v>123</v>
      </c>
      <c r="J35" s="65" t="s">
        <v>124</v>
      </c>
      <c r="K35" s="1041" t="s">
        <v>139</v>
      </c>
      <c r="L35" s="1042"/>
      <c r="M35" s="1042"/>
      <c r="N35" s="1042"/>
      <c r="O35" s="1035"/>
      <c r="P35" s="1055"/>
      <c r="Q35" s="1051" t="s">
        <v>122</v>
      </c>
      <c r="R35" s="1042"/>
      <c r="S35" s="1042"/>
      <c r="T35" s="1042"/>
      <c r="U35" s="1035"/>
      <c r="V35" s="1035"/>
    </row>
    <row r="36" spans="2:22" ht="21" customHeight="1">
      <c r="B36" s="1035"/>
      <c r="C36" s="1035"/>
      <c r="D36" s="40" t="s">
        <v>117</v>
      </c>
      <c r="E36" s="502" t="s">
        <v>118</v>
      </c>
      <c r="F36" s="482" t="s">
        <v>119</v>
      </c>
      <c r="G36" s="516" t="s">
        <v>120</v>
      </c>
      <c r="H36" s="42" t="s">
        <v>153</v>
      </c>
      <c r="I36" s="509" t="s">
        <v>125</v>
      </c>
      <c r="J36" s="66" t="s">
        <v>126</v>
      </c>
      <c r="K36" s="489" t="s">
        <v>140</v>
      </c>
      <c r="L36" s="482" t="s">
        <v>141</v>
      </c>
      <c r="M36" s="509" t="s">
        <v>142</v>
      </c>
      <c r="N36" s="48" t="s">
        <v>143</v>
      </c>
      <c r="O36" s="419" t="s">
        <v>145</v>
      </c>
      <c r="P36" s="75" t="s">
        <v>144</v>
      </c>
      <c r="Q36" s="475" t="s">
        <v>59</v>
      </c>
      <c r="R36" s="482" t="s">
        <v>60</v>
      </c>
      <c r="S36" s="509" t="s">
        <v>97</v>
      </c>
      <c r="T36" s="48" t="s">
        <v>98</v>
      </c>
      <c r="U36" s="419" t="s">
        <v>99</v>
      </c>
      <c r="V36" s="49" t="s">
        <v>100</v>
      </c>
    </row>
    <row r="37" spans="2:22" ht="21" customHeight="1" thickBot="1">
      <c r="B37" s="1050" t="s">
        <v>51</v>
      </c>
      <c r="C37" s="1050"/>
      <c r="D37" s="1004">
        <f>D23/42.369</f>
        <v>1126359.5553352686</v>
      </c>
      <c r="E37" s="1005">
        <f t="shared" ref="E37:J37" si="42">E23/42.369</f>
        <v>1069450.4472609691</v>
      </c>
      <c r="F37" s="1006">
        <f t="shared" si="42"/>
        <v>1071170.5964266327</v>
      </c>
      <c r="G37" s="1007">
        <f t="shared" si="42"/>
        <v>1089823.8334631452</v>
      </c>
      <c r="H37" s="1008">
        <f t="shared" si="42"/>
        <v>1036517.5010030919</v>
      </c>
      <c r="I37" s="1009">
        <f t="shared" si="42"/>
        <v>1075773.0652127734</v>
      </c>
      <c r="J37" s="1010">
        <f t="shared" si="42"/>
        <v>1108617.0549222308</v>
      </c>
      <c r="K37" s="1011">
        <f t="shared" ref="K37" si="43">E37-D37</f>
        <v>-56909.108074299525</v>
      </c>
      <c r="L37" s="1012">
        <f t="shared" ref="L37" si="44">F37-E37</f>
        <v>1720.1491656636354</v>
      </c>
      <c r="M37" s="1013">
        <f t="shared" ref="M37" si="45">G37-F37</f>
        <v>18653.237036512466</v>
      </c>
      <c r="N37" s="1014">
        <f t="shared" ref="N37" si="46">H37-F37</f>
        <v>-34653.095423540799</v>
      </c>
      <c r="O37" s="1013">
        <f t="shared" ref="O37" si="47">I37-F37</f>
        <v>4602.468786140671</v>
      </c>
      <c r="P37" s="1015">
        <f t="shared" ref="P37" si="48">J37-I37</f>
        <v>32843.989709457383</v>
      </c>
      <c r="Q37" s="481">
        <f t="shared" ref="Q37" si="49">E37/D37</f>
        <v>0.94947518507324236</v>
      </c>
      <c r="R37" s="488">
        <f t="shared" ref="R37" si="50">F37/E37</f>
        <v>1.0016084421396703</v>
      </c>
      <c r="S37" s="111">
        <f t="shared" ref="S37" si="51">G37/F37</f>
        <v>1.0174138807569388</v>
      </c>
      <c r="T37" s="112">
        <f t="shared" ref="T37" si="52">H37/F37</f>
        <v>0.96764932164947237</v>
      </c>
      <c r="U37" s="111">
        <f t="shared" ref="U37" si="53">I37/F37</f>
        <v>1.0042966720721183</v>
      </c>
      <c r="V37" s="112">
        <f t="shared" ref="V37" si="54">J37/I37</f>
        <v>1.0305305930883863</v>
      </c>
    </row>
    <row r="38" spans="2:22" ht="21" customHeight="1" thickBot="1">
      <c r="D38" s="420"/>
      <c r="E38" s="420"/>
      <c r="F38" s="420"/>
      <c r="G38" s="420"/>
      <c r="H38" s="420"/>
      <c r="I38" s="420"/>
      <c r="J38" s="420"/>
      <c r="K38" s="420"/>
      <c r="L38" s="1016"/>
      <c r="M38" s="1016"/>
      <c r="N38" s="1016"/>
      <c r="O38" s="1016"/>
      <c r="P38" s="1016"/>
    </row>
    <row r="39" spans="2:22" ht="21" customHeight="1">
      <c r="B39" s="1050" t="s">
        <v>41</v>
      </c>
      <c r="C39" s="1050"/>
      <c r="D39" s="1004">
        <f>D25/42.369</f>
        <v>656535.34423753212</v>
      </c>
      <c r="E39" s="1005">
        <f t="shared" ref="E39:J39" si="55">E25/42.369</f>
        <v>594169.48712502071</v>
      </c>
      <c r="F39" s="1017">
        <f t="shared" si="55"/>
        <v>609183.71922868129</v>
      </c>
      <c r="G39" s="1007">
        <f t="shared" si="55"/>
        <v>623456.81984469783</v>
      </c>
      <c r="H39" s="1008">
        <f t="shared" si="55"/>
        <v>581644.19740848267</v>
      </c>
      <c r="I39" s="1009">
        <f t="shared" si="55"/>
        <v>617316.45778753329</v>
      </c>
      <c r="J39" s="1010">
        <f t="shared" si="55"/>
        <v>624437.34806108242</v>
      </c>
      <c r="K39" s="1011">
        <f t="shared" ref="K39:K40" si="56">E39-D39</f>
        <v>-62365.85711251141</v>
      </c>
      <c r="L39" s="1017">
        <f t="shared" ref="L39:L40" si="57">F39-E39</f>
        <v>15014.232103660586</v>
      </c>
      <c r="M39" s="1013">
        <f t="shared" ref="M39:M40" si="58">G39-F39</f>
        <v>14273.100616016542</v>
      </c>
      <c r="N39" s="1014">
        <f t="shared" ref="N39:N40" si="59">H39-F39</f>
        <v>-27539.521820198628</v>
      </c>
      <c r="O39" s="1013">
        <f t="shared" ref="O39:O40" si="60">I39-F39</f>
        <v>8132.7385588519974</v>
      </c>
      <c r="P39" s="1015">
        <f t="shared" ref="P39:P40" si="61">J39-I39</f>
        <v>7120.8902735491283</v>
      </c>
      <c r="Q39" s="481">
        <f t="shared" ref="Q39:Q40" si="62">E39/D39</f>
        <v>0.9050076166349581</v>
      </c>
      <c r="R39" s="928">
        <f t="shared" ref="R39:R40" si="63">F39/E39</f>
        <v>1.0252692748937837</v>
      </c>
      <c r="S39" s="111">
        <f t="shared" ref="S39:S40" si="64">G39/F39</f>
        <v>1.0234298786482483</v>
      </c>
      <c r="T39" s="112">
        <f t="shared" ref="T39:T40" si="65">H39/F39</f>
        <v>0.95479274814653969</v>
      </c>
      <c r="U39" s="111">
        <f t="shared" ref="U39:U40" si="66">I39/F39</f>
        <v>1.0133502230971458</v>
      </c>
      <c r="V39" s="112">
        <f t="shared" ref="V39:V40" si="67">J39/I39</f>
        <v>1.0115352347790474</v>
      </c>
    </row>
    <row r="40" spans="2:22" ht="21" customHeight="1" thickBot="1">
      <c r="B40" s="1050" t="s">
        <v>332</v>
      </c>
      <c r="C40" s="1050"/>
      <c r="D40" s="1004">
        <f>D26/42.369</f>
        <v>469824.21109773655</v>
      </c>
      <c r="E40" s="1005">
        <f t="shared" ref="E40:J40" si="68">E26/42.369</f>
        <v>475280.96013594844</v>
      </c>
      <c r="F40" s="1018">
        <f t="shared" si="68"/>
        <v>461986.87719795131</v>
      </c>
      <c r="G40" s="1007">
        <f t="shared" si="68"/>
        <v>466367.01361844747</v>
      </c>
      <c r="H40" s="1008">
        <f t="shared" si="68"/>
        <v>454873.30359460926</v>
      </c>
      <c r="I40" s="1009">
        <f t="shared" si="68"/>
        <v>458456.60742524016</v>
      </c>
      <c r="J40" s="1010">
        <f t="shared" si="68"/>
        <v>484179.70686114847</v>
      </c>
      <c r="K40" s="1011">
        <f t="shared" si="56"/>
        <v>5456.7490382118849</v>
      </c>
      <c r="L40" s="1019">
        <f t="shared" si="57"/>
        <v>-13294.082937997126</v>
      </c>
      <c r="M40" s="1013">
        <f t="shared" si="58"/>
        <v>4380.1364204961574</v>
      </c>
      <c r="N40" s="1014">
        <f t="shared" si="59"/>
        <v>-7113.5736033420544</v>
      </c>
      <c r="O40" s="1013">
        <f t="shared" si="60"/>
        <v>-3530.2697727111517</v>
      </c>
      <c r="P40" s="1015">
        <f t="shared" si="61"/>
        <v>25723.099435908312</v>
      </c>
      <c r="Q40" s="481">
        <f t="shared" si="62"/>
        <v>1.0116144483602969</v>
      </c>
      <c r="R40" s="927">
        <f t="shared" si="63"/>
        <v>0.97202900167893425</v>
      </c>
      <c r="S40" s="111">
        <f t="shared" si="64"/>
        <v>1.009481084066852</v>
      </c>
      <c r="T40" s="112">
        <f t="shared" si="65"/>
        <v>0.98460221717446306</v>
      </c>
      <c r="U40" s="111">
        <f t="shared" si="66"/>
        <v>0.99235850638415757</v>
      </c>
      <c r="V40" s="112">
        <f t="shared" si="67"/>
        <v>1.05610803513199</v>
      </c>
    </row>
  </sheetData>
  <mergeCells count="24">
    <mergeCell ref="F35:H35"/>
    <mergeCell ref="K35:P35"/>
    <mergeCell ref="Q35:V35"/>
    <mergeCell ref="B37:C37"/>
    <mergeCell ref="B39:C39"/>
    <mergeCell ref="B40:C40"/>
    <mergeCell ref="B35:C36"/>
    <mergeCell ref="D35:E35"/>
    <mergeCell ref="B25:C25"/>
    <mergeCell ref="B26:C26"/>
    <mergeCell ref="B23:C23"/>
    <mergeCell ref="D3:E3"/>
    <mergeCell ref="F3:H3"/>
    <mergeCell ref="B3:C4"/>
    <mergeCell ref="Q3:V3"/>
    <mergeCell ref="B20:B22"/>
    <mergeCell ref="B17:C17"/>
    <mergeCell ref="B16:C16"/>
    <mergeCell ref="K3:P3"/>
    <mergeCell ref="B15:C15"/>
    <mergeCell ref="B18:C18"/>
    <mergeCell ref="B19:C19"/>
    <mergeCell ref="B9:B14"/>
    <mergeCell ref="B5:B8"/>
  </mergeCells>
  <phoneticPr fontId="4" type="noConversion"/>
  <pageMargins left="0.70866141732283472" right="0.70866141732283472" top="0.74803149606299213" bottom="0.74803149606299213" header="0.31496062992125984" footer="0.31496062992125984"/>
  <pageSetup paperSize="12"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B1:W48"/>
  <sheetViews>
    <sheetView workbookViewId="0"/>
  </sheetViews>
  <sheetFormatPr defaultRowHeight="16.5"/>
  <cols>
    <col min="1" max="1" width="2.75" customWidth="1"/>
    <col min="4" max="4" width="11.875" bestFit="1" customWidth="1"/>
    <col min="5" max="10" width="11.875" customWidth="1"/>
    <col min="11" max="13" width="10.875" customWidth="1"/>
    <col min="14" max="14" width="13" customWidth="1"/>
    <col min="15" max="17" width="10.875" customWidth="1"/>
    <col min="18" max="19" width="7.5" bestFit="1" customWidth="1"/>
    <col min="20" max="20" width="8.375" hidden="1" customWidth="1"/>
    <col min="21" max="21" width="8" hidden="1" customWidth="1"/>
    <col min="22" max="22" width="8" bestFit="1" customWidth="1"/>
    <col min="23" max="23" width="8.375" bestFit="1" customWidth="1"/>
  </cols>
  <sheetData>
    <row r="1" spans="2:23" ht="26.25">
      <c r="B1" s="612" t="s">
        <v>105</v>
      </c>
    </row>
    <row r="3" spans="2:23" ht="21" customHeight="1" thickBot="1">
      <c r="B3" s="1035" t="s">
        <v>1</v>
      </c>
      <c r="C3" s="1035"/>
      <c r="D3" s="1042" t="s">
        <v>82</v>
      </c>
      <c r="E3" s="1042"/>
      <c r="F3" s="1042" t="s">
        <v>116</v>
      </c>
      <c r="G3" s="1042"/>
      <c r="H3" s="1042"/>
      <c r="I3" s="47" t="s">
        <v>123</v>
      </c>
      <c r="J3" s="65" t="s">
        <v>124</v>
      </c>
      <c r="K3" s="1041" t="s">
        <v>139</v>
      </c>
      <c r="L3" s="1042"/>
      <c r="M3" s="1042"/>
      <c r="N3" s="1042"/>
      <c r="O3" s="1042"/>
      <c r="P3" s="1035"/>
      <c r="Q3" s="1055"/>
      <c r="R3" s="1051" t="s">
        <v>122</v>
      </c>
      <c r="S3" s="1042"/>
      <c r="T3" s="1042"/>
      <c r="U3" s="1042"/>
      <c r="V3" s="1035"/>
      <c r="W3" s="1035"/>
    </row>
    <row r="4" spans="2:23" ht="21" customHeight="1">
      <c r="B4" s="1035"/>
      <c r="C4" s="1035"/>
      <c r="D4" s="40" t="s">
        <v>117</v>
      </c>
      <c r="E4" s="502" t="s">
        <v>118</v>
      </c>
      <c r="F4" s="482" t="s">
        <v>119</v>
      </c>
      <c r="G4" s="516" t="s">
        <v>120</v>
      </c>
      <c r="H4" s="42" t="s">
        <v>153</v>
      </c>
      <c r="I4" s="509" t="s">
        <v>125</v>
      </c>
      <c r="J4" s="66" t="s">
        <v>126</v>
      </c>
      <c r="K4" s="489" t="s">
        <v>140</v>
      </c>
      <c r="L4" s="482" t="s">
        <v>141</v>
      </c>
      <c r="M4" s="712"/>
      <c r="N4" s="509" t="s">
        <v>142</v>
      </c>
      <c r="O4" s="48" t="s">
        <v>143</v>
      </c>
      <c r="P4" s="419" t="s">
        <v>145</v>
      </c>
      <c r="Q4" s="75" t="s">
        <v>144</v>
      </c>
      <c r="R4" s="475" t="s">
        <v>59</v>
      </c>
      <c r="S4" s="482" t="s">
        <v>60</v>
      </c>
      <c r="T4" s="509" t="s">
        <v>97</v>
      </c>
      <c r="U4" s="48" t="s">
        <v>98</v>
      </c>
      <c r="V4" s="419" t="s">
        <v>99</v>
      </c>
      <c r="W4" s="49" t="s">
        <v>100</v>
      </c>
    </row>
    <row r="5" spans="2:23" ht="23.25" customHeight="1">
      <c r="B5" s="1037" t="s">
        <v>41</v>
      </c>
      <c r="C5" s="7" t="s">
        <v>106</v>
      </c>
      <c r="D5" s="53">
        <v>266670655</v>
      </c>
      <c r="E5" s="503">
        <f>'3-2 공급량상세'!O6</f>
        <v>261055</v>
      </c>
      <c r="F5" s="523">
        <f>'3-2 공급량상세'!O34</f>
        <v>234950</v>
      </c>
      <c r="G5" s="517">
        <f>'3-2 공급량상세'!O62</f>
        <v>239153</v>
      </c>
      <c r="H5" s="54">
        <f>'3-2 공급량상세'!O90</f>
        <v>227195</v>
      </c>
      <c r="I5" s="510">
        <f>'3-2 공급량상세'!O118</f>
        <v>222497</v>
      </c>
      <c r="J5" s="67">
        <f>'3-2 공급량상세'!O146</f>
        <v>212084</v>
      </c>
      <c r="K5" s="490">
        <f t="shared" ref="K5:L7" si="0">E5-D5</f>
        <v>-266409600</v>
      </c>
      <c r="L5" s="529">
        <f t="shared" si="0"/>
        <v>-26105</v>
      </c>
      <c r="M5" s="713">
        <f>L5/42.369</f>
        <v>-616.134437914513</v>
      </c>
      <c r="N5" s="496">
        <f>G5-F5</f>
        <v>4203</v>
      </c>
      <c r="O5" s="61">
        <f>H5-F5</f>
        <v>-7755</v>
      </c>
      <c r="P5" s="496">
        <f>I5-F5</f>
        <v>-12453</v>
      </c>
      <c r="Q5" s="76">
        <f>J5-I5</f>
        <v>-10413</v>
      </c>
      <c r="R5" s="476">
        <f t="shared" ref="R5:R23" si="1">E5/D5</f>
        <v>9.7894160870456472E-4</v>
      </c>
      <c r="S5" s="483">
        <f t="shared" ref="S5:S23" si="2">F5/E5</f>
        <v>0.9000019153052039</v>
      </c>
      <c r="T5" s="71">
        <f t="shared" ref="T5:T23" si="3">G5/F5</f>
        <v>1.0178889125345818</v>
      </c>
      <c r="U5" s="45">
        <f>H5/F5</f>
        <v>0.96699297722919775</v>
      </c>
      <c r="V5" s="71">
        <f>I5/F5</f>
        <v>0.94699723345392639</v>
      </c>
      <c r="W5" s="45">
        <f>J5/I5</f>
        <v>0.95319936898025592</v>
      </c>
    </row>
    <row r="6" spans="2:23" ht="23.25" customHeight="1">
      <c r="B6" s="1037"/>
      <c r="C6" s="8" t="s">
        <v>107</v>
      </c>
      <c r="D6" s="55">
        <v>26958746548</v>
      </c>
      <c r="E6" s="504">
        <f>'3-2 공급량상세'!O7</f>
        <v>24313190</v>
      </c>
      <c r="F6" s="524">
        <f>E6+423690000</f>
        <v>448003190</v>
      </c>
      <c r="G6" s="518">
        <f>'3-2 공급량상세'!O63</f>
        <v>25593337</v>
      </c>
      <c r="H6" s="56">
        <f>'3-2 공급량상세'!O91</f>
        <v>23862874</v>
      </c>
      <c r="I6" s="511">
        <f>'3-2 공급량상세'!O119</f>
        <v>25383675</v>
      </c>
      <c r="J6" s="68">
        <f>'3-2 공급량상세'!O147</f>
        <v>25713909</v>
      </c>
      <c r="K6" s="491">
        <f t="shared" si="0"/>
        <v>-26934433358</v>
      </c>
      <c r="L6" s="530">
        <f t="shared" si="0"/>
        <v>423690000</v>
      </c>
      <c r="M6" s="714">
        <f t="shared" ref="M6:M23" si="4">L6/42.369</f>
        <v>10000000</v>
      </c>
      <c r="N6" s="497">
        <f>G6-F6</f>
        <v>-422409853</v>
      </c>
      <c r="O6" s="62">
        <f>H6-F6</f>
        <v>-424140316</v>
      </c>
      <c r="P6" s="497">
        <f>I6-F6</f>
        <v>-422619515</v>
      </c>
      <c r="Q6" s="77">
        <f>J6-I6</f>
        <v>330234</v>
      </c>
      <c r="R6" s="477">
        <f t="shared" si="1"/>
        <v>9.0186648539873355E-4</v>
      </c>
      <c r="S6" s="484">
        <f t="shared" si="2"/>
        <v>18.426343478580968</v>
      </c>
      <c r="T6" s="72">
        <f t="shared" si="3"/>
        <v>5.7127577596043456E-2</v>
      </c>
      <c r="U6" s="46">
        <f t="shared" ref="U6:U23" si="5">H6/F6</f>
        <v>5.3264964474918138E-2</v>
      </c>
      <c r="V6" s="72">
        <f t="shared" ref="V6:V23" si="6">I6/F6</f>
        <v>5.665958539268437E-2</v>
      </c>
      <c r="W6" s="46">
        <f t="shared" ref="W6:W23" si="7">J6/I6</f>
        <v>1.013009700132073</v>
      </c>
    </row>
    <row r="7" spans="2:23" ht="23.25" customHeight="1">
      <c r="B7" s="1037"/>
      <c r="C7" s="8" t="s">
        <v>44</v>
      </c>
      <c r="D7" s="55">
        <v>591329008</v>
      </c>
      <c r="E7" s="504">
        <f>'3-2 공급량상세'!O8</f>
        <v>600122</v>
      </c>
      <c r="F7" s="524">
        <f>'3-2 공급량상세'!O36</f>
        <v>570115</v>
      </c>
      <c r="G7" s="518">
        <f>'3-2 공급량상세'!O64</f>
        <v>582752</v>
      </c>
      <c r="H7" s="56">
        <f>'3-2 공급량상세'!O92</f>
        <v>553614</v>
      </c>
      <c r="I7" s="511">
        <f>'3-2 공급량상세'!O120</f>
        <v>548909</v>
      </c>
      <c r="J7" s="68">
        <f>'3-2 공급량상세'!O148</f>
        <v>530793</v>
      </c>
      <c r="K7" s="491">
        <f t="shared" si="0"/>
        <v>-590728886</v>
      </c>
      <c r="L7" s="530">
        <f t="shared" si="0"/>
        <v>-30007</v>
      </c>
      <c r="M7" s="714">
        <f t="shared" si="4"/>
        <v>-708.23007387476696</v>
      </c>
      <c r="N7" s="497">
        <f>G7-F7</f>
        <v>12637</v>
      </c>
      <c r="O7" s="62">
        <f>H7-F7</f>
        <v>-16501</v>
      </c>
      <c r="P7" s="497">
        <f>I7-F7</f>
        <v>-21206</v>
      </c>
      <c r="Q7" s="77">
        <f>J7-I7</f>
        <v>-18116</v>
      </c>
      <c r="R7" s="477">
        <f t="shared" si="1"/>
        <v>1.0148698810324556E-3</v>
      </c>
      <c r="S7" s="484">
        <f t="shared" si="2"/>
        <v>0.94999850030493804</v>
      </c>
      <c r="T7" s="72">
        <f t="shared" si="3"/>
        <v>1.0221657034107154</v>
      </c>
      <c r="U7" s="46">
        <f t="shared" si="5"/>
        <v>0.97105671662734716</v>
      </c>
      <c r="V7" s="72">
        <f t="shared" si="6"/>
        <v>0.96280399568508113</v>
      </c>
      <c r="W7" s="46">
        <f t="shared" si="7"/>
        <v>0.96699635094341685</v>
      </c>
    </row>
    <row r="8" spans="2:23" ht="23.25" customHeight="1">
      <c r="B8" s="1037"/>
      <c r="C8" s="97" t="s">
        <v>46</v>
      </c>
      <c r="D8" s="99">
        <f t="shared" ref="D8:Q8" si="8">SUM(D5:D7)</f>
        <v>27816746211</v>
      </c>
      <c r="E8" s="505">
        <f t="shared" si="8"/>
        <v>25174367</v>
      </c>
      <c r="F8" s="525">
        <f t="shared" si="8"/>
        <v>448808255</v>
      </c>
      <c r="G8" s="519">
        <f t="shared" si="8"/>
        <v>26415242</v>
      </c>
      <c r="H8" s="100">
        <f t="shared" si="8"/>
        <v>24643683</v>
      </c>
      <c r="I8" s="512">
        <f t="shared" si="8"/>
        <v>26155081</v>
      </c>
      <c r="J8" s="101">
        <f t="shared" si="8"/>
        <v>26456786</v>
      </c>
      <c r="K8" s="492">
        <f t="shared" si="8"/>
        <v>-27791571844</v>
      </c>
      <c r="L8" s="531">
        <f t="shared" si="8"/>
        <v>423633888</v>
      </c>
      <c r="M8" s="715">
        <f t="shared" si="4"/>
        <v>9998675.6354882102</v>
      </c>
      <c r="N8" s="498">
        <f t="shared" si="8"/>
        <v>-422393013</v>
      </c>
      <c r="O8" s="102">
        <f t="shared" si="8"/>
        <v>-424164572</v>
      </c>
      <c r="P8" s="498">
        <f t="shared" si="8"/>
        <v>-422653174</v>
      </c>
      <c r="Q8" s="103">
        <f t="shared" si="8"/>
        <v>301705</v>
      </c>
      <c r="R8" s="478">
        <f t="shared" si="1"/>
        <v>9.0500760977015049E-4</v>
      </c>
      <c r="S8" s="485">
        <f t="shared" si="2"/>
        <v>17.827985704665384</v>
      </c>
      <c r="T8" s="104">
        <f t="shared" si="3"/>
        <v>5.8856408512361257E-2</v>
      </c>
      <c r="U8" s="105">
        <f t="shared" si="5"/>
        <v>5.4909157141060164E-2</v>
      </c>
      <c r="V8" s="104">
        <f t="shared" si="6"/>
        <v>5.827673780198183E-2</v>
      </c>
      <c r="W8" s="105">
        <f t="shared" si="7"/>
        <v>1.0115352347790474</v>
      </c>
    </row>
    <row r="9" spans="2:23" ht="23.25" customHeight="1">
      <c r="B9" s="1036" t="s">
        <v>121</v>
      </c>
      <c r="C9" s="7" t="s">
        <v>108</v>
      </c>
      <c r="D9" s="53">
        <v>2459911156</v>
      </c>
      <c r="E9" s="503">
        <f>SUM('3-2 공급량상세'!O10:O11)</f>
        <v>2465142</v>
      </c>
      <c r="F9" s="523">
        <f>SUM('3-2 공급량상세'!O38:O39)</f>
        <v>2465028</v>
      </c>
      <c r="G9" s="517">
        <f>SUM('3-2 공급량상세'!O66:O67)</f>
        <v>2520174</v>
      </c>
      <c r="H9" s="54">
        <f>SUM('3-2 공급량상세'!O94:O95)</f>
        <v>2376288</v>
      </c>
      <c r="I9" s="510">
        <f>SUM('3-2 공급량상세'!O122:O123)</f>
        <v>2473695</v>
      </c>
      <c r="J9" s="67">
        <f>SUM('3-2 공급량상세'!O150:O151)</f>
        <v>2467122</v>
      </c>
      <c r="K9" s="490">
        <f t="shared" ref="K9:L13" si="9">E9-D9</f>
        <v>-2457446014</v>
      </c>
      <c r="L9" s="529">
        <f t="shared" si="9"/>
        <v>-114</v>
      </c>
      <c r="M9" s="713">
        <f t="shared" si="4"/>
        <v>-2.6906464632160305</v>
      </c>
      <c r="N9" s="496">
        <f>G9-F9</f>
        <v>55146</v>
      </c>
      <c r="O9" s="61">
        <f>H9-F9</f>
        <v>-88740</v>
      </c>
      <c r="P9" s="496">
        <f>I9-F9</f>
        <v>8667</v>
      </c>
      <c r="Q9" s="76">
        <f>J9-I9</f>
        <v>-6573</v>
      </c>
      <c r="R9" s="476">
        <f t="shared" si="1"/>
        <v>1.0021264361467859E-3</v>
      </c>
      <c r="S9" s="483">
        <f t="shared" si="2"/>
        <v>0.99995375519949758</v>
      </c>
      <c r="T9" s="71">
        <f t="shared" si="3"/>
        <v>1.0223713483173416</v>
      </c>
      <c r="U9" s="45">
        <f t="shared" si="5"/>
        <v>0.96400040892030436</v>
      </c>
      <c r="V9" s="71">
        <f t="shared" si="6"/>
        <v>1.0035159844026111</v>
      </c>
      <c r="W9" s="45">
        <f t="shared" si="7"/>
        <v>0.99734284137696849</v>
      </c>
    </row>
    <row r="10" spans="2:23" ht="23.25" customHeight="1">
      <c r="B10" s="1037"/>
      <c r="C10" s="8" t="s">
        <v>109</v>
      </c>
      <c r="D10" s="55">
        <v>1127437782</v>
      </c>
      <c r="E10" s="504">
        <f>'3-2 공급량상세'!O12</f>
        <v>1178914</v>
      </c>
      <c r="F10" s="524">
        <f>'3-2 공급량상세'!O40</f>
        <v>1175453</v>
      </c>
      <c r="G10" s="518">
        <f>'3-2 공급량상세'!O68</f>
        <v>1179266</v>
      </c>
      <c r="H10" s="56">
        <f>'3-2 공급량상세'!O96</f>
        <v>1123078</v>
      </c>
      <c r="I10" s="511">
        <f>'3-2 공급량상세'!O124</f>
        <v>1112970</v>
      </c>
      <c r="J10" s="68">
        <f>'3-2 공급량상세'!O152</f>
        <v>1098528</v>
      </c>
      <c r="K10" s="491">
        <f t="shared" si="9"/>
        <v>-1126258868</v>
      </c>
      <c r="L10" s="530">
        <f t="shared" si="9"/>
        <v>-3461</v>
      </c>
      <c r="M10" s="714">
        <f t="shared" si="4"/>
        <v>-81.687082536760371</v>
      </c>
      <c r="N10" s="497">
        <f>G10-F10</f>
        <v>3813</v>
      </c>
      <c r="O10" s="62">
        <f>H10-F10</f>
        <v>-52375</v>
      </c>
      <c r="P10" s="497">
        <f>I10-F10</f>
        <v>-62483</v>
      </c>
      <c r="Q10" s="77">
        <f>J10-I10</f>
        <v>-14442</v>
      </c>
      <c r="R10" s="477">
        <f t="shared" si="1"/>
        <v>1.045657701756885E-3</v>
      </c>
      <c r="S10" s="484">
        <f t="shared" si="2"/>
        <v>0.99706424726485565</v>
      </c>
      <c r="T10" s="72">
        <f t="shared" si="3"/>
        <v>1.003243855773051</v>
      </c>
      <c r="U10" s="46">
        <f t="shared" si="5"/>
        <v>0.95544271017216342</v>
      </c>
      <c r="V10" s="72">
        <f t="shared" si="6"/>
        <v>0.94684347226133247</v>
      </c>
      <c r="W10" s="46">
        <f t="shared" si="7"/>
        <v>0.98702390900024262</v>
      </c>
    </row>
    <row r="11" spans="2:23" ht="23.25" customHeight="1">
      <c r="B11" s="1037"/>
      <c r="C11" s="8" t="s">
        <v>110</v>
      </c>
      <c r="D11" s="55">
        <v>777683277</v>
      </c>
      <c r="E11" s="504">
        <f>'3-2 공급량상세'!O13</f>
        <v>729701</v>
      </c>
      <c r="F11" s="524">
        <f>'3-2 공급량상세'!O41</f>
        <v>718999</v>
      </c>
      <c r="G11" s="518">
        <f>'3-2 공급량상세'!O69</f>
        <v>759128</v>
      </c>
      <c r="H11" s="56">
        <f>'3-2 공급량상세'!O97</f>
        <v>681722</v>
      </c>
      <c r="I11" s="511">
        <f>'3-2 공급량상세'!O125</f>
        <v>682632</v>
      </c>
      <c r="J11" s="68">
        <f>'3-2 공급량상세'!O153</f>
        <v>678130</v>
      </c>
      <c r="K11" s="491">
        <f t="shared" si="9"/>
        <v>-776953576</v>
      </c>
      <c r="L11" s="530">
        <f t="shared" si="9"/>
        <v>-10702</v>
      </c>
      <c r="M11" s="714">
        <f t="shared" si="4"/>
        <v>-252.59033727489438</v>
      </c>
      <c r="N11" s="497">
        <f>G11-F11</f>
        <v>40129</v>
      </c>
      <c r="O11" s="62">
        <f>H11-F11</f>
        <v>-37277</v>
      </c>
      <c r="P11" s="497">
        <f>I11-F11</f>
        <v>-36367</v>
      </c>
      <c r="Q11" s="77">
        <f>J11-I11</f>
        <v>-4502</v>
      </c>
      <c r="R11" s="477">
        <f t="shared" si="1"/>
        <v>9.3830100451034902E-4</v>
      </c>
      <c r="S11" s="484">
        <f t="shared" si="2"/>
        <v>0.9853337188793766</v>
      </c>
      <c r="T11" s="72">
        <f t="shared" si="3"/>
        <v>1.0558123168460596</v>
      </c>
      <c r="U11" s="46">
        <f t="shared" si="5"/>
        <v>0.94815430897678576</v>
      </c>
      <c r="V11" s="72">
        <f t="shared" si="6"/>
        <v>0.94941995746864738</v>
      </c>
      <c r="W11" s="46">
        <f t="shared" si="7"/>
        <v>0.99340493853203482</v>
      </c>
    </row>
    <row r="12" spans="2:23" ht="23.25" customHeight="1">
      <c r="B12" s="1037"/>
      <c r="C12" s="8" t="s">
        <v>111</v>
      </c>
      <c r="D12" s="55">
        <v>1430288477</v>
      </c>
      <c r="E12" s="504">
        <f>'3-2 공급량상세'!O14</f>
        <v>1437341</v>
      </c>
      <c r="F12" s="524">
        <f>'3-2 공급량상세'!O42</f>
        <v>1386150</v>
      </c>
      <c r="G12" s="518">
        <f>'3-2 공급량상세'!O70</f>
        <v>1411155</v>
      </c>
      <c r="H12" s="56">
        <f>'3-2 공급량상세'!O98</f>
        <v>1366193</v>
      </c>
      <c r="I12" s="511">
        <f>'3-2 공급량상세'!O126</f>
        <v>1408114</v>
      </c>
      <c r="J12" s="68">
        <f>'3-2 공급량상세'!O154</f>
        <v>1433428</v>
      </c>
      <c r="K12" s="491">
        <f t="shared" si="9"/>
        <v>-1428851136</v>
      </c>
      <c r="L12" s="530">
        <f t="shared" si="9"/>
        <v>-51191</v>
      </c>
      <c r="M12" s="714">
        <f t="shared" si="4"/>
        <v>-1208.2182727937879</v>
      </c>
      <c r="N12" s="497">
        <f>G12-F12</f>
        <v>25005</v>
      </c>
      <c r="O12" s="62">
        <f>H12-F12</f>
        <v>-19957</v>
      </c>
      <c r="P12" s="497">
        <f>I12-F12</f>
        <v>21964</v>
      </c>
      <c r="Q12" s="77">
        <f>J12-I12</f>
        <v>25314</v>
      </c>
      <c r="R12" s="477">
        <f t="shared" si="1"/>
        <v>1.0049308395567813E-3</v>
      </c>
      <c r="S12" s="484">
        <f t="shared" si="2"/>
        <v>0.96438493022880445</v>
      </c>
      <c r="T12" s="72">
        <f t="shared" si="3"/>
        <v>1.0180391732496483</v>
      </c>
      <c r="U12" s="46">
        <f t="shared" si="5"/>
        <v>0.98560256826461778</v>
      </c>
      <c r="V12" s="72">
        <f t="shared" si="6"/>
        <v>1.015845326984814</v>
      </c>
      <c r="W12" s="46">
        <f t="shared" si="7"/>
        <v>1.0179772376384297</v>
      </c>
    </row>
    <row r="13" spans="2:23" ht="23.25" customHeight="1">
      <c r="B13" s="1037"/>
      <c r="C13" s="8" t="s">
        <v>112</v>
      </c>
      <c r="D13" s="55">
        <v>61903741</v>
      </c>
      <c r="E13" s="504">
        <f>'3-2 공급량상세'!O15</f>
        <v>65856</v>
      </c>
      <c r="F13" s="524">
        <f>'3-2 공급량상세'!O43</f>
        <v>64109</v>
      </c>
      <c r="G13" s="518">
        <f>'3-2 공급량상세'!O71</f>
        <v>65135</v>
      </c>
      <c r="H13" s="56">
        <f>'3-2 공급량상세'!O99</f>
        <v>62491</v>
      </c>
      <c r="I13" s="511">
        <f>'3-2 공급량상세'!O127</f>
        <v>62199</v>
      </c>
      <c r="J13" s="68">
        <f>'3-2 공급량상세'!O155</f>
        <v>61246</v>
      </c>
      <c r="K13" s="491">
        <f t="shared" si="9"/>
        <v>-61837885</v>
      </c>
      <c r="L13" s="530">
        <f t="shared" si="9"/>
        <v>-1747</v>
      </c>
      <c r="M13" s="714">
        <f t="shared" si="4"/>
        <v>-41.23297694068777</v>
      </c>
      <c r="N13" s="497">
        <f>G13-F13</f>
        <v>1026</v>
      </c>
      <c r="O13" s="62">
        <f>H13-F13</f>
        <v>-1618</v>
      </c>
      <c r="P13" s="497">
        <f>I13-F13</f>
        <v>-1910</v>
      </c>
      <c r="Q13" s="77">
        <f>J13-I13</f>
        <v>-953</v>
      </c>
      <c r="R13" s="477">
        <f t="shared" si="1"/>
        <v>1.0638452367523314E-3</v>
      </c>
      <c r="S13" s="484">
        <f t="shared" si="2"/>
        <v>0.9734724246841594</v>
      </c>
      <c r="T13" s="72">
        <f t="shared" si="3"/>
        <v>1.0160039931990827</v>
      </c>
      <c r="U13" s="46">
        <f t="shared" si="5"/>
        <v>0.97476173392191423</v>
      </c>
      <c r="V13" s="72">
        <f t="shared" si="6"/>
        <v>0.97020699121808174</v>
      </c>
      <c r="W13" s="46">
        <f t="shared" si="7"/>
        <v>0.98467821026061508</v>
      </c>
    </row>
    <row r="14" spans="2:23" ht="23.25" customHeight="1">
      <c r="B14" s="1037"/>
      <c r="C14" s="97" t="s">
        <v>46</v>
      </c>
      <c r="D14" s="99">
        <f t="shared" ref="D14:Q14" si="10">SUM(D9:D13)</f>
        <v>5857224433</v>
      </c>
      <c r="E14" s="505">
        <f t="shared" si="10"/>
        <v>5876954</v>
      </c>
      <c r="F14" s="525">
        <f t="shared" si="10"/>
        <v>5809739</v>
      </c>
      <c r="G14" s="519">
        <f t="shared" si="10"/>
        <v>5934858</v>
      </c>
      <c r="H14" s="100">
        <f t="shared" si="10"/>
        <v>5609772</v>
      </c>
      <c r="I14" s="512">
        <f t="shared" si="10"/>
        <v>5739610</v>
      </c>
      <c r="J14" s="101">
        <f t="shared" si="10"/>
        <v>5738454</v>
      </c>
      <c r="K14" s="492">
        <f t="shared" si="10"/>
        <v>-5851347479</v>
      </c>
      <c r="L14" s="531">
        <f t="shared" si="10"/>
        <v>-67215</v>
      </c>
      <c r="M14" s="715">
        <f t="shared" si="4"/>
        <v>-1586.4193160093464</v>
      </c>
      <c r="N14" s="498">
        <f t="shared" si="10"/>
        <v>125119</v>
      </c>
      <c r="O14" s="102">
        <f t="shared" si="10"/>
        <v>-199967</v>
      </c>
      <c r="P14" s="498">
        <f t="shared" si="10"/>
        <v>-70129</v>
      </c>
      <c r="Q14" s="103">
        <f t="shared" si="10"/>
        <v>-1156</v>
      </c>
      <c r="R14" s="478">
        <f t="shared" si="1"/>
        <v>1.0033684157446387E-3</v>
      </c>
      <c r="S14" s="485">
        <f t="shared" si="2"/>
        <v>0.98856295284938422</v>
      </c>
      <c r="T14" s="104">
        <f t="shared" si="3"/>
        <v>1.0215360793316188</v>
      </c>
      <c r="U14" s="105">
        <f t="shared" si="5"/>
        <v>0.96558072574344567</v>
      </c>
      <c r="V14" s="104">
        <f t="shared" si="6"/>
        <v>0.98792906187351959</v>
      </c>
      <c r="W14" s="105">
        <f t="shared" si="7"/>
        <v>0.99979859258730119</v>
      </c>
    </row>
    <row r="15" spans="2:23" ht="23.25" customHeight="1">
      <c r="B15" s="1054" t="s">
        <v>48</v>
      </c>
      <c r="C15" s="1054"/>
      <c r="D15" s="57">
        <v>9866941701</v>
      </c>
      <c r="E15" s="506">
        <f>SUM('3-2 공급량상세'!O17)</f>
        <v>9962205</v>
      </c>
      <c r="F15" s="526">
        <f>'3-2 공급량상세'!O45</f>
        <v>9738437</v>
      </c>
      <c r="G15" s="520">
        <f>'3-2 공급량상세'!O73</f>
        <v>9753208</v>
      </c>
      <c r="H15" s="58">
        <f>'3-2 공급량상세'!O101</f>
        <v>9679249</v>
      </c>
      <c r="I15" s="513">
        <f>'3-2 공급량상세'!O129</f>
        <v>9759343</v>
      </c>
      <c r="J15" s="69">
        <f>'3-2 공급량상세'!O157</f>
        <v>9772361</v>
      </c>
      <c r="K15" s="493">
        <f t="shared" ref="K15:L21" si="11">E15-D15</f>
        <v>-9856979496</v>
      </c>
      <c r="L15" s="532">
        <f t="shared" si="11"/>
        <v>-223768</v>
      </c>
      <c r="M15" s="716">
        <f t="shared" si="4"/>
        <v>-5281.4085770256552</v>
      </c>
      <c r="N15" s="499">
        <f t="shared" ref="N15:N21" si="12">G15-F15</f>
        <v>14771</v>
      </c>
      <c r="O15" s="63">
        <f t="shared" ref="O15:O21" si="13">H15-F15</f>
        <v>-59188</v>
      </c>
      <c r="P15" s="499">
        <f t="shared" ref="P15:P21" si="14">I15-F15</f>
        <v>20906</v>
      </c>
      <c r="Q15" s="78">
        <f t="shared" ref="Q15:Q21" si="15">J15-I15</f>
        <v>13018</v>
      </c>
      <c r="R15" s="479">
        <f t="shared" si="1"/>
        <v>1.0096547949594499E-3</v>
      </c>
      <c r="S15" s="486">
        <f t="shared" si="2"/>
        <v>0.97753830602763148</v>
      </c>
      <c r="T15" s="73">
        <f t="shared" si="3"/>
        <v>1.0015167731741756</v>
      </c>
      <c r="U15" s="44">
        <f t="shared" si="5"/>
        <v>0.99392222797149066</v>
      </c>
      <c r="V15" s="73">
        <f t="shared" si="6"/>
        <v>1.0021467510648783</v>
      </c>
      <c r="W15" s="44">
        <f t="shared" si="7"/>
        <v>1.0013339012677391</v>
      </c>
    </row>
    <row r="16" spans="2:23" ht="23.25" customHeight="1">
      <c r="B16" s="1054" t="s">
        <v>67</v>
      </c>
      <c r="C16" s="1054"/>
      <c r="D16" s="57">
        <v>281515065</v>
      </c>
      <c r="E16" s="506">
        <f>SUM('3-2 공급량상세'!O18)</f>
        <v>242441</v>
      </c>
      <c r="F16" s="526">
        <f>'3-2 공급량상세'!O46</f>
        <v>233461</v>
      </c>
      <c r="G16" s="520">
        <f>'3-2 공급량상세'!O74</f>
        <v>239065</v>
      </c>
      <c r="H16" s="58">
        <f>'3-2 공급량상세'!O102</f>
        <v>227858</v>
      </c>
      <c r="I16" s="513">
        <f>'3-2 공급량상세'!O130</f>
        <v>225288</v>
      </c>
      <c r="J16" s="69">
        <f>'3-2 공급량상세'!O158</f>
        <v>217403</v>
      </c>
      <c r="K16" s="493">
        <f t="shared" si="11"/>
        <v>-281272624</v>
      </c>
      <c r="L16" s="532">
        <f t="shared" si="11"/>
        <v>-8980</v>
      </c>
      <c r="M16" s="716">
        <f t="shared" si="4"/>
        <v>-211.94741438315751</v>
      </c>
      <c r="N16" s="499">
        <f t="shared" si="12"/>
        <v>5604</v>
      </c>
      <c r="O16" s="63">
        <f t="shared" si="13"/>
        <v>-5603</v>
      </c>
      <c r="P16" s="499">
        <f t="shared" si="14"/>
        <v>-8173</v>
      </c>
      <c r="Q16" s="78">
        <f t="shared" si="15"/>
        <v>-7885</v>
      </c>
      <c r="R16" s="479">
        <f t="shared" si="1"/>
        <v>8.6120080287710357E-4</v>
      </c>
      <c r="S16" s="486">
        <f t="shared" si="2"/>
        <v>0.96296006038582582</v>
      </c>
      <c r="T16" s="73">
        <f t="shared" si="3"/>
        <v>1.0240040092349472</v>
      </c>
      <c r="U16" s="44">
        <f t="shared" si="5"/>
        <v>0.97600027413572288</v>
      </c>
      <c r="V16" s="73">
        <f t="shared" si="6"/>
        <v>0.9649920115137004</v>
      </c>
      <c r="W16" s="44">
        <f t="shared" si="7"/>
        <v>0.96500035510102622</v>
      </c>
    </row>
    <row r="17" spans="2:23" ht="23.25" customHeight="1">
      <c r="B17" s="1054" t="s">
        <v>131</v>
      </c>
      <c r="C17" s="1054"/>
      <c r="D17" s="57">
        <v>275704416</v>
      </c>
      <c r="E17" s="506">
        <f>SUM('3-2 공급량상세'!O19)</f>
        <v>219374</v>
      </c>
      <c r="F17" s="526">
        <f>'3-2 공급량상세'!O47</f>
        <v>238690</v>
      </c>
      <c r="G17" s="520">
        <f>'3-2 공급량상세'!O75</f>
        <v>244440</v>
      </c>
      <c r="H17" s="58">
        <f>'3-2 공급량상세'!O103</f>
        <v>221685</v>
      </c>
      <c r="I17" s="513">
        <f>'3-2 공급량상세'!O131</f>
        <v>297731</v>
      </c>
      <c r="J17" s="69">
        <f>'3-2 공급량상세'!O159</f>
        <v>1534001</v>
      </c>
      <c r="K17" s="493">
        <f t="shared" si="11"/>
        <v>-275485042</v>
      </c>
      <c r="L17" s="532">
        <f t="shared" si="11"/>
        <v>19316</v>
      </c>
      <c r="M17" s="716">
        <f t="shared" si="4"/>
        <v>455.89936038141093</v>
      </c>
      <c r="N17" s="499">
        <f t="shared" si="12"/>
        <v>5750</v>
      </c>
      <c r="O17" s="63">
        <f t="shared" si="13"/>
        <v>-17005</v>
      </c>
      <c r="P17" s="499">
        <f t="shared" si="14"/>
        <v>59041</v>
      </c>
      <c r="Q17" s="78">
        <f t="shared" si="15"/>
        <v>1236270</v>
      </c>
      <c r="R17" s="479">
        <f t="shared" si="1"/>
        <v>7.9568547788512749E-4</v>
      </c>
      <c r="S17" s="486">
        <f t="shared" si="2"/>
        <v>1.0880505438201429</v>
      </c>
      <c r="T17" s="73">
        <f t="shared" si="3"/>
        <v>1.0240898236205958</v>
      </c>
      <c r="U17" s="44">
        <f>H17/F17</f>
        <v>0.92875696510117722</v>
      </c>
      <c r="V17" s="73">
        <f>I17/F17</f>
        <v>1.2473543089362771</v>
      </c>
      <c r="W17" s="44">
        <f>J17/I17</f>
        <v>5.1523052688500695</v>
      </c>
    </row>
    <row r="18" spans="2:23" ht="23.25" customHeight="1">
      <c r="B18" s="1054" t="s">
        <v>132</v>
      </c>
      <c r="C18" s="1054"/>
      <c r="D18" s="57">
        <v>343208744</v>
      </c>
      <c r="E18" s="506">
        <f>SUM('3-2 공급량상세'!O20)</f>
        <v>327177</v>
      </c>
      <c r="F18" s="526">
        <f>'3-2 공급량상세'!O48</f>
        <v>338460</v>
      </c>
      <c r="G18" s="520">
        <f>'3-2 공급량상세'!O76</f>
        <v>353352</v>
      </c>
      <c r="H18" s="58">
        <f>'3-2 공급량상세'!O104</f>
        <v>323566</v>
      </c>
      <c r="I18" s="513">
        <f>'3-2 공급량상세'!O132</f>
        <v>322712</v>
      </c>
      <c r="J18" s="69">
        <f>'3-2 공급량상세'!O160</f>
        <v>298425</v>
      </c>
      <c r="K18" s="493">
        <f t="shared" si="11"/>
        <v>-342881567</v>
      </c>
      <c r="L18" s="532">
        <f t="shared" si="11"/>
        <v>11283</v>
      </c>
      <c r="M18" s="716">
        <f t="shared" si="4"/>
        <v>266.30319337251291</v>
      </c>
      <c r="N18" s="499">
        <f t="shared" si="12"/>
        <v>14892</v>
      </c>
      <c r="O18" s="63">
        <f t="shared" si="13"/>
        <v>-14894</v>
      </c>
      <c r="P18" s="499">
        <f t="shared" si="14"/>
        <v>-15748</v>
      </c>
      <c r="Q18" s="78">
        <f t="shared" si="15"/>
        <v>-24287</v>
      </c>
      <c r="R18" s="479">
        <f t="shared" si="1"/>
        <v>9.5328864931250117E-4</v>
      </c>
      <c r="S18" s="486">
        <f t="shared" si="2"/>
        <v>1.0344859204650694</v>
      </c>
      <c r="T18" s="73">
        <f t="shared" si="3"/>
        <v>1.0439992909058677</v>
      </c>
      <c r="U18" s="44">
        <f t="shared" si="5"/>
        <v>0.9559947999763635</v>
      </c>
      <c r="V18" s="73">
        <f t="shared" si="6"/>
        <v>0.95347160668912134</v>
      </c>
      <c r="W18" s="44">
        <f t="shared" si="7"/>
        <v>0.9247409454869977</v>
      </c>
    </row>
    <row r="19" spans="2:23" ht="23.25" customHeight="1">
      <c r="B19" s="1054" t="s">
        <v>133</v>
      </c>
      <c r="C19" s="1054"/>
      <c r="D19" s="57">
        <v>30256518</v>
      </c>
      <c r="E19" s="506">
        <f>SUM('3-2 공급량상세'!O21)</f>
        <v>212885</v>
      </c>
      <c r="F19" s="526">
        <f>'3-2 공급량상세'!O49</f>
        <v>33802</v>
      </c>
      <c r="G19" s="520">
        <f>'3-2 공급량상세'!O77</f>
        <v>34816</v>
      </c>
      <c r="H19" s="58">
        <f>'3-2 공급량상세'!O105</f>
        <v>32786</v>
      </c>
      <c r="I19" s="513">
        <f>'3-2 공급량상세'!O133</f>
        <v>31975</v>
      </c>
      <c r="J19" s="69">
        <f>'3-2 공급량상세'!O161</f>
        <v>33831</v>
      </c>
      <c r="K19" s="493">
        <f t="shared" si="11"/>
        <v>-30043633</v>
      </c>
      <c r="L19" s="532">
        <f t="shared" si="11"/>
        <v>-179083</v>
      </c>
      <c r="M19" s="716">
        <f t="shared" si="4"/>
        <v>-4226.7459699308456</v>
      </c>
      <c r="N19" s="499">
        <f t="shared" si="12"/>
        <v>1014</v>
      </c>
      <c r="O19" s="63">
        <f t="shared" si="13"/>
        <v>-1016</v>
      </c>
      <c r="P19" s="499">
        <f t="shared" si="14"/>
        <v>-1827</v>
      </c>
      <c r="Q19" s="78">
        <f t="shared" si="15"/>
        <v>1856</v>
      </c>
      <c r="R19" s="479">
        <f t="shared" si="1"/>
        <v>7.0360046056852938E-3</v>
      </c>
      <c r="S19" s="486">
        <f t="shared" si="2"/>
        <v>0.15878056227540691</v>
      </c>
      <c r="T19" s="73">
        <f t="shared" si="3"/>
        <v>1.0299982249571031</v>
      </c>
      <c r="U19" s="44">
        <f t="shared" si="5"/>
        <v>0.9699426069463345</v>
      </c>
      <c r="V19" s="73">
        <f t="shared" si="6"/>
        <v>0.94594994379030828</v>
      </c>
      <c r="W19" s="44">
        <f t="shared" si="7"/>
        <v>1.0580453479280687</v>
      </c>
    </row>
    <row r="20" spans="2:23" ht="23.25" customHeight="1">
      <c r="B20" s="1038" t="s">
        <v>113</v>
      </c>
      <c r="C20" s="7" t="s">
        <v>114</v>
      </c>
      <c r="D20" s="53">
        <v>3106829567</v>
      </c>
      <c r="E20" s="503">
        <f>SUM('3-2 공급량상세'!O22)</f>
        <v>3142946</v>
      </c>
      <c r="F20" s="523">
        <f>'3-2 공급량상세'!O50</f>
        <v>3027703</v>
      </c>
      <c r="G20" s="517">
        <f>'3-2 공급량상세'!O78</f>
        <v>3045246</v>
      </c>
      <c r="H20" s="54">
        <f>'3-2 공급량상세'!O106</f>
        <v>3024161</v>
      </c>
      <c r="I20" s="510">
        <f>'3-2 공급량상세'!O134</f>
        <v>2894145</v>
      </c>
      <c r="J20" s="67">
        <f>'3-2 공급량상세'!O162</f>
        <v>2767060</v>
      </c>
      <c r="K20" s="490">
        <f t="shared" si="11"/>
        <v>-3103686621</v>
      </c>
      <c r="L20" s="529">
        <f t="shared" si="11"/>
        <v>-115243</v>
      </c>
      <c r="M20" s="713">
        <f t="shared" si="4"/>
        <v>-2719.9839505298687</v>
      </c>
      <c r="N20" s="496">
        <f t="shared" si="12"/>
        <v>17543</v>
      </c>
      <c r="O20" s="61">
        <f t="shared" si="13"/>
        <v>-3542</v>
      </c>
      <c r="P20" s="496">
        <f t="shared" si="14"/>
        <v>-133558</v>
      </c>
      <c r="Q20" s="76">
        <f t="shared" si="15"/>
        <v>-127085</v>
      </c>
      <c r="R20" s="476">
        <f t="shared" si="1"/>
        <v>1.0116248517085134E-3</v>
      </c>
      <c r="S20" s="483">
        <f t="shared" si="2"/>
        <v>0.96333280940875221</v>
      </c>
      <c r="T20" s="71">
        <f t="shared" si="3"/>
        <v>1.0057941614484645</v>
      </c>
      <c r="U20" s="45">
        <f t="shared" si="5"/>
        <v>0.99883013624519978</v>
      </c>
      <c r="V20" s="71">
        <f t="shared" si="6"/>
        <v>0.95588801147272373</v>
      </c>
      <c r="W20" s="45">
        <f t="shared" si="7"/>
        <v>0.95608893127331218</v>
      </c>
    </row>
    <row r="21" spans="2:23" ht="23.25" customHeight="1">
      <c r="B21" s="1052"/>
      <c r="C21" s="36" t="s">
        <v>128</v>
      </c>
      <c r="D21" s="59">
        <v>144301070</v>
      </c>
      <c r="E21" s="507">
        <f>SUM('3-2 공급량상세'!O23)</f>
        <v>153197</v>
      </c>
      <c r="F21" s="527">
        <f>'3-2 공급량상세'!O51</f>
        <v>153630</v>
      </c>
      <c r="G21" s="521">
        <f>'3-2 공급량상세'!O79</f>
        <v>154519</v>
      </c>
      <c r="H21" s="60">
        <f>'3-2 공급량상세'!O107</f>
        <v>153450</v>
      </c>
      <c r="I21" s="514">
        <f>'3-2 공급량상세'!O135</f>
        <v>153544</v>
      </c>
      <c r="J21" s="70">
        <f>'3-2 공급량상세'!O163</f>
        <v>152675</v>
      </c>
      <c r="K21" s="494">
        <f t="shared" si="11"/>
        <v>-144147873</v>
      </c>
      <c r="L21" s="533">
        <f t="shared" si="11"/>
        <v>433</v>
      </c>
      <c r="M21" s="717">
        <f t="shared" si="4"/>
        <v>10.219736127829309</v>
      </c>
      <c r="N21" s="500">
        <f t="shared" si="12"/>
        <v>889</v>
      </c>
      <c r="O21" s="64">
        <f t="shared" si="13"/>
        <v>-180</v>
      </c>
      <c r="P21" s="500">
        <f t="shared" si="14"/>
        <v>-86</v>
      </c>
      <c r="Q21" s="79">
        <f t="shared" si="15"/>
        <v>-869</v>
      </c>
      <c r="R21" s="480">
        <f t="shared" si="1"/>
        <v>1.0616483994193529E-3</v>
      </c>
      <c r="S21" s="487">
        <f t="shared" si="2"/>
        <v>1.0028264261049498</v>
      </c>
      <c r="T21" s="74">
        <f t="shared" si="3"/>
        <v>1.0057866302154528</v>
      </c>
      <c r="U21" s="51">
        <f t="shared" si="5"/>
        <v>0.99882835383714119</v>
      </c>
      <c r="V21" s="74">
        <f t="shared" si="6"/>
        <v>0.99944021349996748</v>
      </c>
      <c r="W21" s="51">
        <f t="shared" si="7"/>
        <v>0.9943403845151878</v>
      </c>
    </row>
    <row r="22" spans="2:23" ht="23.25" customHeight="1">
      <c r="B22" s="1053"/>
      <c r="C22" s="97" t="s">
        <v>46</v>
      </c>
      <c r="D22" s="99">
        <f>SUM(D20:D21)</f>
        <v>3251130637</v>
      </c>
      <c r="E22" s="505">
        <f t="shared" ref="E22:Q22" si="16">SUM(E20:E21)</f>
        <v>3296143</v>
      </c>
      <c r="F22" s="525">
        <f t="shared" si="16"/>
        <v>3181333</v>
      </c>
      <c r="G22" s="519">
        <f t="shared" si="16"/>
        <v>3199765</v>
      </c>
      <c r="H22" s="100">
        <f t="shared" si="16"/>
        <v>3177611</v>
      </c>
      <c r="I22" s="512">
        <f t="shared" si="16"/>
        <v>3047689</v>
      </c>
      <c r="J22" s="101">
        <f t="shared" si="16"/>
        <v>2919735</v>
      </c>
      <c r="K22" s="492">
        <f t="shared" si="16"/>
        <v>-3247834494</v>
      </c>
      <c r="L22" s="531">
        <f t="shared" si="16"/>
        <v>-114810</v>
      </c>
      <c r="M22" s="715">
        <f t="shared" si="4"/>
        <v>-2709.7642144020392</v>
      </c>
      <c r="N22" s="498">
        <f t="shared" si="16"/>
        <v>18432</v>
      </c>
      <c r="O22" s="102">
        <f t="shared" si="16"/>
        <v>-3722</v>
      </c>
      <c r="P22" s="498">
        <f t="shared" si="16"/>
        <v>-133644</v>
      </c>
      <c r="Q22" s="103">
        <f t="shared" si="16"/>
        <v>-127954</v>
      </c>
      <c r="R22" s="478">
        <f t="shared" si="1"/>
        <v>1.013845141283383E-3</v>
      </c>
      <c r="S22" s="485">
        <f t="shared" si="2"/>
        <v>0.96516838013399298</v>
      </c>
      <c r="T22" s="104">
        <f t="shared" si="3"/>
        <v>1.0057937977571036</v>
      </c>
      <c r="U22" s="105">
        <f>H22/F22</f>
        <v>0.99883005017079318</v>
      </c>
      <c r="V22" s="104">
        <f>I22/F22</f>
        <v>0.95799119425724999</v>
      </c>
      <c r="W22" s="105">
        <f>J22/I22</f>
        <v>0.95801605741268225</v>
      </c>
    </row>
    <row r="23" spans="2:23" ht="23.25" customHeight="1" thickBot="1">
      <c r="B23" s="1050" t="s">
        <v>51</v>
      </c>
      <c r="C23" s="1050"/>
      <c r="D23" s="106">
        <f>SUM(D8,D14:D19,D22)</f>
        <v>47722727725</v>
      </c>
      <c r="E23" s="508">
        <f t="shared" ref="E23:Q23" si="17">SUM(E8,E14:E19,E22)</f>
        <v>45311546</v>
      </c>
      <c r="F23" s="528">
        <f t="shared" si="17"/>
        <v>468382177</v>
      </c>
      <c r="G23" s="522">
        <f t="shared" si="17"/>
        <v>46174746</v>
      </c>
      <c r="H23" s="107">
        <f t="shared" si="17"/>
        <v>43916210</v>
      </c>
      <c r="I23" s="515">
        <f t="shared" si="17"/>
        <v>45579429</v>
      </c>
      <c r="J23" s="108">
        <f t="shared" si="17"/>
        <v>46970996</v>
      </c>
      <c r="K23" s="495">
        <f t="shared" si="17"/>
        <v>-47677416179</v>
      </c>
      <c r="L23" s="534">
        <f t="shared" si="17"/>
        <v>423070631</v>
      </c>
      <c r="M23" s="718">
        <f t="shared" si="4"/>
        <v>9985381.5525502134</v>
      </c>
      <c r="N23" s="501">
        <f t="shared" si="17"/>
        <v>-422207431</v>
      </c>
      <c r="O23" s="109">
        <f t="shared" si="17"/>
        <v>-424465967</v>
      </c>
      <c r="P23" s="501">
        <f t="shared" si="17"/>
        <v>-422802748</v>
      </c>
      <c r="Q23" s="110">
        <f t="shared" si="17"/>
        <v>1391567</v>
      </c>
      <c r="R23" s="481">
        <f t="shared" si="1"/>
        <v>9.4947519054454886E-4</v>
      </c>
      <c r="S23" s="488">
        <f t="shared" si="2"/>
        <v>10.336927744641509</v>
      </c>
      <c r="T23" s="111">
        <f t="shared" si="3"/>
        <v>9.858348218062106E-2</v>
      </c>
      <c r="U23" s="112">
        <f t="shared" si="5"/>
        <v>9.3761488281395466E-2</v>
      </c>
      <c r="V23" s="111">
        <f t="shared" si="6"/>
        <v>9.7312475235367457E-2</v>
      </c>
      <c r="W23" s="112">
        <f t="shared" si="7"/>
        <v>1.0305305930883863</v>
      </c>
    </row>
    <row r="24" spans="2:23" ht="21" customHeight="1"/>
    <row r="25" spans="2:23" ht="21" customHeight="1">
      <c r="B25" t="s">
        <v>41</v>
      </c>
      <c r="D25" s="113">
        <f>D8</f>
        <v>27816746211</v>
      </c>
      <c r="E25" s="113">
        <f t="shared" ref="E25:J25" si="18">E8</f>
        <v>25174367</v>
      </c>
      <c r="F25" s="113">
        <f t="shared" si="18"/>
        <v>448808255</v>
      </c>
      <c r="G25" s="113">
        <f t="shared" si="18"/>
        <v>26415242</v>
      </c>
      <c r="H25" s="113">
        <f t="shared" si="18"/>
        <v>24643683</v>
      </c>
      <c r="I25" s="113">
        <f t="shared" si="18"/>
        <v>26155081</v>
      </c>
      <c r="J25" s="113">
        <f t="shared" si="18"/>
        <v>26456786</v>
      </c>
      <c r="K25" s="113">
        <f t="shared" ref="K25:K26" si="19">E25-D25</f>
        <v>-27791571844</v>
      </c>
      <c r="L25" s="719">
        <f t="shared" ref="L25:L26" si="20">F25-E25</f>
        <v>423633888</v>
      </c>
      <c r="M25" s="113"/>
      <c r="N25" s="113">
        <f t="shared" ref="N25:N26" si="21">G25-F25</f>
        <v>-422393013</v>
      </c>
      <c r="O25" s="113">
        <f t="shared" ref="O25:O26" si="22">H25-F25</f>
        <v>-424164572</v>
      </c>
      <c r="P25" s="719">
        <f t="shared" ref="P25:P26" si="23">I25-F25</f>
        <v>-422653174</v>
      </c>
      <c r="Q25" s="722">
        <f t="shared" ref="Q25:Q26" si="24">J25-I25</f>
        <v>301705</v>
      </c>
    </row>
    <row r="26" spans="2:23" ht="21" customHeight="1">
      <c r="B26" t="s">
        <v>332</v>
      </c>
      <c r="D26" s="113">
        <f>SUM(D22,D14:D19)</f>
        <v>19905981514</v>
      </c>
      <c r="E26" s="113">
        <f t="shared" ref="E26:J26" si="25">SUM(E22,E14:E19)</f>
        <v>20137179</v>
      </c>
      <c r="F26" s="113">
        <f t="shared" si="25"/>
        <v>19573922</v>
      </c>
      <c r="G26" s="113">
        <f t="shared" si="25"/>
        <v>19759504</v>
      </c>
      <c r="H26" s="113">
        <f t="shared" si="25"/>
        <v>19272527</v>
      </c>
      <c r="I26" s="113">
        <f t="shared" si="25"/>
        <v>19424348</v>
      </c>
      <c r="J26" s="113">
        <f t="shared" si="25"/>
        <v>20514210</v>
      </c>
      <c r="K26" s="711">
        <f t="shared" si="19"/>
        <v>-19885844335</v>
      </c>
      <c r="L26" s="720">
        <f t="shared" si="20"/>
        <v>-563257</v>
      </c>
      <c r="M26" s="711"/>
      <c r="N26" s="711">
        <f t="shared" si="21"/>
        <v>185582</v>
      </c>
      <c r="O26" s="711">
        <f t="shared" si="22"/>
        <v>-301395</v>
      </c>
      <c r="P26" s="719">
        <f t="shared" si="23"/>
        <v>-149574</v>
      </c>
      <c r="Q26" s="719">
        <f t="shared" si="24"/>
        <v>1089862</v>
      </c>
    </row>
    <row r="27" spans="2:23" ht="21" customHeight="1">
      <c r="B27" t="s">
        <v>340</v>
      </c>
      <c r="L27" s="721">
        <f>L26/42.369</f>
        <v>-13294.08293799712</v>
      </c>
      <c r="M27" s="710"/>
      <c r="N27" s="710">
        <f t="shared" ref="N27:O27" si="26">N26/42.369</f>
        <v>4380.1364204961174</v>
      </c>
      <c r="O27" s="710">
        <f t="shared" si="26"/>
        <v>-7113.5736033420662</v>
      </c>
      <c r="P27" s="721">
        <f>P26/42.369</f>
        <v>-3530.2697727111804</v>
      </c>
      <c r="Q27" s="721">
        <f>Q26/42.369</f>
        <v>25723.099435908331</v>
      </c>
    </row>
    <row r="28" spans="2:23" ht="21" customHeight="1" thickBot="1">
      <c r="B28" s="1035" t="s">
        <v>1</v>
      </c>
      <c r="C28" s="1035"/>
      <c r="D28" s="1042" t="s">
        <v>82</v>
      </c>
      <c r="E28" s="1042"/>
      <c r="F28" s="1042" t="s">
        <v>116</v>
      </c>
      <c r="G28" s="1042"/>
      <c r="H28" s="1042"/>
      <c r="I28" s="47" t="s">
        <v>123</v>
      </c>
      <c r="J28" s="65" t="s">
        <v>124</v>
      </c>
    </row>
    <row r="29" spans="2:23" ht="21" customHeight="1">
      <c r="B29" s="1035"/>
      <c r="C29" s="1035"/>
      <c r="D29" s="40" t="s">
        <v>117</v>
      </c>
      <c r="E29" s="502" t="s">
        <v>118</v>
      </c>
      <c r="F29" s="482" t="s">
        <v>119</v>
      </c>
      <c r="G29" s="516" t="s">
        <v>120</v>
      </c>
      <c r="H29" s="42" t="s">
        <v>153</v>
      </c>
      <c r="I29" s="509" t="s">
        <v>125</v>
      </c>
      <c r="J29" s="66" t="s">
        <v>126</v>
      </c>
    </row>
    <row r="30" spans="2:23" ht="21" customHeight="1">
      <c r="B30" s="1037" t="s">
        <v>41</v>
      </c>
      <c r="C30" s="7" t="s">
        <v>106</v>
      </c>
      <c r="D30" s="53">
        <v>266670655</v>
      </c>
      <c r="E30" s="503">
        <f>'3-2 공급량상세'!O31</f>
        <v>0</v>
      </c>
      <c r="F30" s="523">
        <f>'3-2 공급량상세'!O59</f>
        <v>0</v>
      </c>
      <c r="G30" s="517">
        <f>'3-2 공급량상세'!O87</f>
        <v>0</v>
      </c>
      <c r="H30" s="54">
        <f>'3-2 공급량상세'!O115</f>
        <v>0</v>
      </c>
      <c r="I30" s="510">
        <f>'3-2 공급량상세'!O143</f>
        <v>0</v>
      </c>
      <c r="J30" s="67">
        <f>'3-2 공급량상세'!O171</f>
        <v>0</v>
      </c>
    </row>
    <row r="31" spans="2:23" ht="21" customHeight="1">
      <c r="B31" s="1037"/>
      <c r="C31" s="8" t="s">
        <v>107</v>
      </c>
      <c r="D31" s="55">
        <v>26958746548</v>
      </c>
      <c r="E31" s="504" t="str">
        <f>'3-2 공급량상세'!O32</f>
        <v>(단위 : GJ)</v>
      </c>
      <c r="F31" s="524" t="e">
        <f>E31+423690000</f>
        <v>#VALUE!</v>
      </c>
      <c r="G31" s="518" t="str">
        <f>'3-2 공급량상세'!O88</f>
        <v>(단위 : GJ)</v>
      </c>
      <c r="H31" s="56" t="str">
        <f>'3-2 공급량상세'!O116</f>
        <v>(단위 : GJ)</v>
      </c>
      <c r="I31" s="511" t="str">
        <f>'3-2 공급량상세'!O144</f>
        <v>(단위 : GJ)</v>
      </c>
      <c r="J31" s="68">
        <f>'3-2 공급량상세'!O172</f>
        <v>0</v>
      </c>
    </row>
    <row r="32" spans="2:23" ht="21" customHeight="1">
      <c r="B32" s="1037"/>
      <c r="C32" s="8" t="s">
        <v>44</v>
      </c>
      <c r="D32" s="55">
        <v>591329008</v>
      </c>
      <c r="E32" s="504" t="str">
        <f>'3-2 공급량상세'!O33</f>
        <v>합계</v>
      </c>
      <c r="F32" s="524" t="str">
        <f>'3-2 공급량상세'!O61</f>
        <v>합계</v>
      </c>
      <c r="G32" s="518" t="str">
        <f>'3-2 공급량상세'!O89</f>
        <v>합계</v>
      </c>
      <c r="H32" s="56" t="str">
        <f>'3-2 공급량상세'!O117</f>
        <v>합계</v>
      </c>
      <c r="I32" s="511" t="str">
        <f>'3-2 공급량상세'!O145</f>
        <v>합계</v>
      </c>
      <c r="J32" s="68">
        <f>'3-2 공급량상세'!O173</f>
        <v>0</v>
      </c>
    </row>
    <row r="33" spans="2:10" ht="21" customHeight="1">
      <c r="B33" s="1037"/>
      <c r="C33" s="97" t="s">
        <v>46</v>
      </c>
      <c r="D33" s="99">
        <f t="shared" ref="D33:J33" si="27">SUM(D30:D32)</f>
        <v>27816746211</v>
      </c>
      <c r="E33" s="505">
        <f t="shared" si="27"/>
        <v>0</v>
      </c>
      <c r="F33" s="525" t="e">
        <f t="shared" si="27"/>
        <v>#VALUE!</v>
      </c>
      <c r="G33" s="519">
        <f t="shared" si="27"/>
        <v>0</v>
      </c>
      <c r="H33" s="100">
        <f t="shared" si="27"/>
        <v>0</v>
      </c>
      <c r="I33" s="512">
        <f t="shared" si="27"/>
        <v>0</v>
      </c>
      <c r="J33" s="101">
        <f t="shared" si="27"/>
        <v>0</v>
      </c>
    </row>
    <row r="34" spans="2:10" ht="21" customHeight="1">
      <c r="B34" s="1036" t="s">
        <v>121</v>
      </c>
      <c r="C34" s="7" t="s">
        <v>108</v>
      </c>
      <c r="D34" s="53">
        <v>2459911156</v>
      </c>
      <c r="E34" s="503">
        <f>SUM('3-2 공급량상세'!O35:O36)</f>
        <v>25575555</v>
      </c>
      <c r="F34" s="523">
        <f>SUM('3-2 공급량상세'!O63:O64)</f>
        <v>26176089</v>
      </c>
      <c r="G34" s="517">
        <f>SUM('3-2 공급량상세'!O91:O92)</f>
        <v>24416488</v>
      </c>
      <c r="H34" s="54">
        <f>SUM('3-2 공급량상세'!O119:O120)</f>
        <v>25932584</v>
      </c>
      <c r="I34" s="510">
        <f>SUM('3-2 공급량상세'!O147:O148)</f>
        <v>26244702</v>
      </c>
      <c r="J34" s="67">
        <f>SUM('3-2 공급량상세'!O175:O176)</f>
        <v>0</v>
      </c>
    </row>
    <row r="35" spans="2:10" ht="21" customHeight="1">
      <c r="B35" s="1037"/>
      <c r="C35" s="8" t="s">
        <v>109</v>
      </c>
      <c r="D35" s="55">
        <v>1127437782</v>
      </c>
      <c r="E35" s="504">
        <f>'3-2 공급량상세'!O37</f>
        <v>25810505</v>
      </c>
      <c r="F35" s="524">
        <f>'3-2 공급량상세'!O65</f>
        <v>26415242</v>
      </c>
      <c r="G35" s="518">
        <f>'3-2 공급량상세'!O93</f>
        <v>24643683</v>
      </c>
      <c r="H35" s="56">
        <f>'3-2 공급량상세'!O121</f>
        <v>26155081</v>
      </c>
      <c r="I35" s="511">
        <f>'3-2 공급량상세'!O149</f>
        <v>26456786</v>
      </c>
      <c r="J35" s="68">
        <f>'3-2 공급량상세'!O177</f>
        <v>0</v>
      </c>
    </row>
    <row r="36" spans="2:10" ht="21" customHeight="1">
      <c r="B36" s="1037"/>
      <c r="C36" s="8" t="s">
        <v>110</v>
      </c>
      <c r="D36" s="55">
        <v>777683277</v>
      </c>
      <c r="E36" s="504">
        <f>'3-2 공급량상세'!O38</f>
        <v>1655299</v>
      </c>
      <c r="F36" s="524">
        <f>'3-2 공급량상세'!O66</f>
        <v>1689116</v>
      </c>
      <c r="G36" s="518">
        <f>'3-2 공급량상세'!O94</f>
        <v>1597333</v>
      </c>
      <c r="H36" s="56">
        <f>'3-2 공급량상세'!O122</f>
        <v>1680129</v>
      </c>
      <c r="I36" s="511">
        <f>'3-2 공급량상세'!O150</f>
        <v>1701973</v>
      </c>
      <c r="J36" s="68">
        <f>'3-2 공급량상세'!O178</f>
        <v>0</v>
      </c>
    </row>
    <row r="37" spans="2:10" ht="21" customHeight="1">
      <c r="B37" s="1037"/>
      <c r="C37" s="8" t="s">
        <v>111</v>
      </c>
      <c r="D37" s="55">
        <v>1430288477</v>
      </c>
      <c r="E37" s="504">
        <f>'3-2 공급량상세'!O39</f>
        <v>809729</v>
      </c>
      <c r="F37" s="524">
        <f>'3-2 공급량상세'!O67</f>
        <v>831058</v>
      </c>
      <c r="G37" s="518">
        <f>'3-2 공급량상세'!O95</f>
        <v>778955</v>
      </c>
      <c r="H37" s="56">
        <f>'3-2 공급량상세'!O123</f>
        <v>793566</v>
      </c>
      <c r="I37" s="511">
        <f>'3-2 공급량상세'!O151</f>
        <v>765149</v>
      </c>
      <c r="J37" s="68">
        <f>'3-2 공급량상세'!O179</f>
        <v>0</v>
      </c>
    </row>
    <row r="38" spans="2:10" ht="21" customHeight="1">
      <c r="B38" s="1037"/>
      <c r="C38" s="8" t="s">
        <v>112</v>
      </c>
      <c r="D38" s="55">
        <v>61903741</v>
      </c>
      <c r="E38" s="504">
        <f>'3-2 공급량상세'!O40</f>
        <v>1175453</v>
      </c>
      <c r="F38" s="524">
        <f>'3-2 공급량상세'!O68</f>
        <v>1179266</v>
      </c>
      <c r="G38" s="518">
        <f>'3-2 공급량상세'!O96</f>
        <v>1123078</v>
      </c>
      <c r="H38" s="56">
        <f>'3-2 공급량상세'!O124</f>
        <v>1112970</v>
      </c>
      <c r="I38" s="511">
        <f>'3-2 공급량상세'!O152</f>
        <v>1098528</v>
      </c>
      <c r="J38" s="68">
        <f>'3-2 공급량상세'!O180</f>
        <v>0</v>
      </c>
    </row>
    <row r="39" spans="2:10">
      <c r="B39" s="1037"/>
      <c r="C39" s="97" t="s">
        <v>46</v>
      </c>
      <c r="D39" s="99">
        <f t="shared" ref="D39:J39" si="28">SUM(D34:D38)</f>
        <v>5857224433</v>
      </c>
      <c r="E39" s="505">
        <f t="shared" si="28"/>
        <v>55026541</v>
      </c>
      <c r="F39" s="525">
        <f t="shared" si="28"/>
        <v>56290771</v>
      </c>
      <c r="G39" s="519">
        <f t="shared" si="28"/>
        <v>52559537</v>
      </c>
      <c r="H39" s="100">
        <f t="shared" si="28"/>
        <v>55674330</v>
      </c>
      <c r="I39" s="512">
        <f t="shared" si="28"/>
        <v>56267138</v>
      </c>
      <c r="J39" s="101">
        <f t="shared" si="28"/>
        <v>0</v>
      </c>
    </row>
    <row r="40" spans="2:10">
      <c r="B40" s="1054" t="s">
        <v>48</v>
      </c>
      <c r="C40" s="1054"/>
      <c r="D40" s="57">
        <v>9866941701</v>
      </c>
      <c r="E40" s="506">
        <f>SUM('3-2 공급량상세'!O42)</f>
        <v>1386150</v>
      </c>
      <c r="F40" s="526">
        <f>'3-2 공급량상세'!O70</f>
        <v>1411155</v>
      </c>
      <c r="G40" s="520">
        <f>'3-2 공급량상세'!O98</f>
        <v>1366193</v>
      </c>
      <c r="H40" s="58">
        <f>'3-2 공급량상세'!O126</f>
        <v>1408114</v>
      </c>
      <c r="I40" s="513">
        <f>'3-2 공급량상세'!O154</f>
        <v>1433428</v>
      </c>
      <c r="J40" s="69">
        <f>'3-2 공급량상세'!O182</f>
        <v>0</v>
      </c>
    </row>
    <row r="41" spans="2:10">
      <c r="B41" s="1054" t="s">
        <v>67</v>
      </c>
      <c r="C41" s="1054"/>
      <c r="D41" s="57">
        <v>281515065</v>
      </c>
      <c r="E41" s="506">
        <f>SUM('3-2 공급량상세'!O43)</f>
        <v>64109</v>
      </c>
      <c r="F41" s="526">
        <f>'3-2 공급량상세'!O71</f>
        <v>65135</v>
      </c>
      <c r="G41" s="520">
        <f>'3-2 공급량상세'!O99</f>
        <v>62491</v>
      </c>
      <c r="H41" s="58">
        <f>'3-2 공급량상세'!O127</f>
        <v>62199</v>
      </c>
      <c r="I41" s="513">
        <f>'3-2 공급량상세'!O155</f>
        <v>61246</v>
      </c>
      <c r="J41" s="69">
        <f>'3-2 공급량상세'!O183</f>
        <v>0</v>
      </c>
    </row>
    <row r="42" spans="2:10">
      <c r="B42" s="1054" t="s">
        <v>131</v>
      </c>
      <c r="C42" s="1054"/>
      <c r="D42" s="57">
        <v>275704416</v>
      </c>
      <c r="E42" s="506">
        <f>SUM('3-2 공급량상세'!O44)</f>
        <v>4154440</v>
      </c>
      <c r="F42" s="526">
        <f>'3-2 공급량상세'!O72</f>
        <v>4245742</v>
      </c>
      <c r="G42" s="520">
        <f>'3-2 공급량상세'!O100</f>
        <v>4012439</v>
      </c>
      <c r="H42" s="58">
        <f>'3-2 공급량상세'!O128</f>
        <v>4059481</v>
      </c>
      <c r="I42" s="513">
        <f>'3-2 공급량상세'!O156</f>
        <v>4036481</v>
      </c>
      <c r="J42" s="69">
        <f>'3-2 공급량상세'!O184</f>
        <v>0</v>
      </c>
    </row>
    <row r="43" spans="2:10">
      <c r="B43" s="1054" t="s">
        <v>132</v>
      </c>
      <c r="C43" s="1054"/>
      <c r="D43" s="57">
        <v>343208744</v>
      </c>
      <c r="E43" s="506">
        <f>SUM('3-2 공급량상세'!O45)</f>
        <v>9738437</v>
      </c>
      <c r="F43" s="526">
        <f>'3-2 공급량상세'!O73</f>
        <v>9753208</v>
      </c>
      <c r="G43" s="520">
        <f>'3-2 공급량상세'!O101</f>
        <v>9679249</v>
      </c>
      <c r="H43" s="58">
        <f>'3-2 공급량상세'!O129</f>
        <v>9759343</v>
      </c>
      <c r="I43" s="513">
        <f>'3-2 공급량상세'!O157</f>
        <v>9772361</v>
      </c>
      <c r="J43" s="69">
        <f>'3-2 공급량상세'!O185</f>
        <v>0</v>
      </c>
    </row>
    <row r="44" spans="2:10">
      <c r="B44" s="1054" t="s">
        <v>133</v>
      </c>
      <c r="C44" s="1054"/>
      <c r="D44" s="57">
        <v>30256518</v>
      </c>
      <c r="E44" s="506">
        <f>SUM('3-2 공급량상세'!O46)</f>
        <v>233461</v>
      </c>
      <c r="F44" s="526">
        <f>'3-2 공급량상세'!O74</f>
        <v>239065</v>
      </c>
      <c r="G44" s="520">
        <f>'3-2 공급량상세'!O102</f>
        <v>227858</v>
      </c>
      <c r="H44" s="58">
        <f>'3-2 공급량상세'!O130</f>
        <v>225288</v>
      </c>
      <c r="I44" s="513">
        <f>'3-2 공급량상세'!O158</f>
        <v>217403</v>
      </c>
      <c r="J44" s="69">
        <f>'3-2 공급량상세'!O186</f>
        <v>0</v>
      </c>
    </row>
    <row r="45" spans="2:10">
      <c r="B45" s="1038" t="s">
        <v>113</v>
      </c>
      <c r="C45" s="7" t="s">
        <v>114</v>
      </c>
      <c r="D45" s="53">
        <v>3106829567</v>
      </c>
      <c r="E45" s="503">
        <f>SUM('3-2 공급량상세'!O47)</f>
        <v>238690</v>
      </c>
      <c r="F45" s="523">
        <f>'3-2 공급량상세'!O75</f>
        <v>244440</v>
      </c>
      <c r="G45" s="517">
        <f>'3-2 공급량상세'!O103</f>
        <v>221685</v>
      </c>
      <c r="H45" s="54">
        <f>'3-2 공급량상세'!O131</f>
        <v>297731</v>
      </c>
      <c r="I45" s="510">
        <f>'3-2 공급량상세'!O159</f>
        <v>1534001</v>
      </c>
      <c r="J45" s="67">
        <f>'3-2 공급량상세'!O187</f>
        <v>0</v>
      </c>
    </row>
    <row r="46" spans="2:10">
      <c r="B46" s="1052"/>
      <c r="C46" s="36" t="s">
        <v>128</v>
      </c>
      <c r="D46" s="59">
        <v>144301070</v>
      </c>
      <c r="E46" s="507">
        <f>SUM('3-2 공급량상세'!O48)</f>
        <v>338460</v>
      </c>
      <c r="F46" s="527">
        <f>'3-2 공급량상세'!O76</f>
        <v>353352</v>
      </c>
      <c r="G46" s="521">
        <f>'3-2 공급량상세'!O104</f>
        <v>323566</v>
      </c>
      <c r="H46" s="60">
        <f>'3-2 공급량상세'!O132</f>
        <v>322712</v>
      </c>
      <c r="I46" s="514">
        <f>'3-2 공급량상세'!O160</f>
        <v>298425</v>
      </c>
      <c r="J46" s="70">
        <f>'3-2 공급량상세'!O188</f>
        <v>0</v>
      </c>
    </row>
    <row r="47" spans="2:10">
      <c r="B47" s="1053"/>
      <c r="C47" s="97" t="s">
        <v>46</v>
      </c>
      <c r="D47" s="99">
        <f>SUM(D45:D46)</f>
        <v>3251130637</v>
      </c>
      <c r="E47" s="505">
        <f t="shared" ref="E47:J47" si="29">SUM(E45:E46)</f>
        <v>577150</v>
      </c>
      <c r="F47" s="525">
        <f t="shared" si="29"/>
        <v>597792</v>
      </c>
      <c r="G47" s="519">
        <f t="shared" si="29"/>
        <v>545251</v>
      </c>
      <c r="H47" s="100">
        <f t="shared" si="29"/>
        <v>620443</v>
      </c>
      <c r="I47" s="512">
        <f t="shared" si="29"/>
        <v>1832426</v>
      </c>
      <c r="J47" s="101">
        <f t="shared" si="29"/>
        <v>0</v>
      </c>
    </row>
    <row r="48" spans="2:10" ht="17.25" thickBot="1">
      <c r="B48" s="1050" t="s">
        <v>51</v>
      </c>
      <c r="C48" s="1050"/>
      <c r="D48" s="106">
        <f>SUM(D33,D39:D44,D47)</f>
        <v>47722727725</v>
      </c>
      <c r="E48" s="508">
        <f t="shared" ref="E48:J48" si="30">SUM(E33,E39:E44,E47)</f>
        <v>71180288</v>
      </c>
      <c r="F48" s="528" t="e">
        <f t="shared" si="30"/>
        <v>#VALUE!</v>
      </c>
      <c r="G48" s="522">
        <f t="shared" si="30"/>
        <v>68453018</v>
      </c>
      <c r="H48" s="107">
        <f t="shared" si="30"/>
        <v>71809198</v>
      </c>
      <c r="I48" s="515">
        <f t="shared" si="30"/>
        <v>73620483</v>
      </c>
      <c r="J48" s="108">
        <f t="shared" si="30"/>
        <v>0</v>
      </c>
    </row>
  </sheetData>
  <mergeCells count="26">
    <mergeCell ref="R3:W3"/>
    <mergeCell ref="B20:B22"/>
    <mergeCell ref="B23:C23"/>
    <mergeCell ref="B9:B14"/>
    <mergeCell ref="B15:C15"/>
    <mergeCell ref="B16:C16"/>
    <mergeCell ref="B17:C17"/>
    <mergeCell ref="B18:C18"/>
    <mergeCell ref="B19:C19"/>
    <mergeCell ref="B5:B8"/>
    <mergeCell ref="B3:C4"/>
    <mergeCell ref="D3:E3"/>
    <mergeCell ref="F3:H3"/>
    <mergeCell ref="K3:Q3"/>
    <mergeCell ref="B28:C29"/>
    <mergeCell ref="D28:E28"/>
    <mergeCell ref="F28:H28"/>
    <mergeCell ref="B30:B33"/>
    <mergeCell ref="B34:B39"/>
    <mergeCell ref="B45:B47"/>
    <mergeCell ref="B48:C48"/>
    <mergeCell ref="B40:C40"/>
    <mergeCell ref="B41:C41"/>
    <mergeCell ref="B42:C42"/>
    <mergeCell ref="B43:C43"/>
    <mergeCell ref="B44:C44"/>
  </mergeCells>
  <phoneticPr fontId="4" type="noConversion"/>
  <pageMargins left="0.70866141732283472" right="0.70866141732283472" top="0.74803149606299213" bottom="0.74803149606299213" header="0.31496062992125984" footer="0.31496062992125984"/>
  <pageSetup paperSize="12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0"/>
  <sheetViews>
    <sheetView tabSelected="1" view="pageBreakPreview" zoomScale="85" zoomScaleNormal="100" zoomScaleSheetLayoutView="85" workbookViewId="0">
      <pane xSplit="2" ySplit="5" topLeftCell="C22" activePane="bottomRight" state="frozen"/>
      <selection pane="topRight" activeCell="C1" sqref="C1"/>
      <selection pane="bottomLeft" activeCell="A6" sqref="A6"/>
      <selection pane="bottomRight" activeCell="I27" sqref="I27"/>
    </sheetView>
  </sheetViews>
  <sheetFormatPr defaultRowHeight="16.5"/>
  <cols>
    <col min="3" max="15" width="15.125" customWidth="1"/>
    <col min="16" max="16" width="10.875" bestFit="1" customWidth="1"/>
    <col min="18" max="18" width="12.125" bestFit="1" customWidth="1"/>
  </cols>
  <sheetData>
    <row r="1" spans="1:15" ht="26.25">
      <c r="A1" s="612" t="s">
        <v>127</v>
      </c>
    </row>
    <row r="4" spans="1:15" ht="24" customHeight="1">
      <c r="A4" s="52" t="s">
        <v>134</v>
      </c>
      <c r="O4" s="98" t="s">
        <v>135</v>
      </c>
    </row>
    <row r="5" spans="1:15" ht="27.75" customHeight="1">
      <c r="A5" s="1035" t="s">
        <v>1</v>
      </c>
      <c r="B5" s="1035"/>
      <c r="C5" s="49" t="s">
        <v>69</v>
      </c>
      <c r="D5" s="49" t="s">
        <v>71</v>
      </c>
      <c r="E5" s="49" t="s">
        <v>72</v>
      </c>
      <c r="F5" s="49" t="s">
        <v>73</v>
      </c>
      <c r="G5" s="49" t="s">
        <v>74</v>
      </c>
      <c r="H5" s="49" t="s">
        <v>75</v>
      </c>
      <c r="I5" s="49" t="s">
        <v>76</v>
      </c>
      <c r="J5" s="49" t="s">
        <v>77</v>
      </c>
      <c r="K5" s="49" t="s">
        <v>78</v>
      </c>
      <c r="L5" s="49" t="s">
        <v>79</v>
      </c>
      <c r="M5" s="49" t="s">
        <v>80</v>
      </c>
      <c r="N5" s="49" t="s">
        <v>81</v>
      </c>
      <c r="O5" s="49" t="s">
        <v>51</v>
      </c>
    </row>
    <row r="6" spans="1:15" ht="27.75" customHeight="1">
      <c r="A6" s="1037" t="s">
        <v>41</v>
      </c>
      <c r="B6" s="7" t="s">
        <v>106</v>
      </c>
      <c r="C6" s="15">
        <v>26694</v>
      </c>
      <c r="D6" s="15">
        <v>23397</v>
      </c>
      <c r="E6" s="15">
        <v>25987</v>
      </c>
      <c r="F6" s="15">
        <v>19335</v>
      </c>
      <c r="G6" s="15">
        <v>20887</v>
      </c>
      <c r="H6" s="15">
        <v>19890</v>
      </c>
      <c r="I6" s="15">
        <v>21439</v>
      </c>
      <c r="J6" s="15">
        <v>21259</v>
      </c>
      <c r="K6" s="15">
        <v>20201</v>
      </c>
      <c r="L6" s="15">
        <v>16977</v>
      </c>
      <c r="M6" s="15">
        <v>21741</v>
      </c>
      <c r="N6" s="15">
        <v>23248</v>
      </c>
      <c r="O6" s="15">
        <f>SUM(C6:N6)</f>
        <v>261055</v>
      </c>
    </row>
    <row r="7" spans="1:15" ht="27.75" customHeight="1">
      <c r="A7" s="1037"/>
      <c r="B7" s="8" t="s">
        <v>107</v>
      </c>
      <c r="C7" s="19">
        <v>4914456</v>
      </c>
      <c r="D7" s="19">
        <v>3817200</v>
      </c>
      <c r="E7" s="19">
        <v>3207958</v>
      </c>
      <c r="F7" s="19">
        <v>1285050</v>
      </c>
      <c r="G7" s="19">
        <v>834809</v>
      </c>
      <c r="H7" s="19">
        <v>508435</v>
      </c>
      <c r="I7" s="19">
        <v>455143</v>
      </c>
      <c r="J7" s="19">
        <v>348898</v>
      </c>
      <c r="K7" s="19">
        <v>349998</v>
      </c>
      <c r="L7" s="19">
        <v>961952</v>
      </c>
      <c r="M7" s="19">
        <v>2673016</v>
      </c>
      <c r="N7" s="19">
        <v>4956275</v>
      </c>
      <c r="O7" s="19">
        <f t="shared" ref="O7:O30" si="0">SUM(C7:N7)</f>
        <v>24313190</v>
      </c>
    </row>
    <row r="8" spans="1:15" ht="27.75" customHeight="1">
      <c r="A8" s="1037"/>
      <c r="B8" s="8" t="s">
        <v>44</v>
      </c>
      <c r="C8" s="19">
        <v>106995</v>
      </c>
      <c r="D8" s="19">
        <v>88659</v>
      </c>
      <c r="E8" s="19">
        <v>84570</v>
      </c>
      <c r="F8" s="19">
        <v>38338</v>
      </c>
      <c r="G8" s="19">
        <v>23929</v>
      </c>
      <c r="H8" s="19">
        <v>17402</v>
      </c>
      <c r="I8" s="19">
        <v>13626</v>
      </c>
      <c r="J8" s="19">
        <v>12121</v>
      </c>
      <c r="K8" s="19">
        <v>14703</v>
      </c>
      <c r="L8" s="19">
        <v>27645</v>
      </c>
      <c r="M8" s="19">
        <v>70849</v>
      </c>
      <c r="N8" s="19">
        <v>101285</v>
      </c>
      <c r="O8" s="19">
        <f t="shared" si="0"/>
        <v>600122</v>
      </c>
    </row>
    <row r="9" spans="1:15" ht="27.75" customHeight="1">
      <c r="A9" s="1037"/>
      <c r="B9" s="97" t="s">
        <v>46</v>
      </c>
      <c r="C9" s="945">
        <f>SUM(C6:C8)</f>
        <v>5048145</v>
      </c>
      <c r="D9" s="945">
        <f t="shared" ref="D9:N9" si="1">SUM(D6:D8)</f>
        <v>3929256</v>
      </c>
      <c r="E9" s="945">
        <f t="shared" si="1"/>
        <v>3318515</v>
      </c>
      <c r="F9" s="945">
        <f t="shared" si="1"/>
        <v>1342723</v>
      </c>
      <c r="G9" s="945">
        <f t="shared" si="1"/>
        <v>879625</v>
      </c>
      <c r="H9" s="945">
        <f t="shared" si="1"/>
        <v>545727</v>
      </c>
      <c r="I9" s="945">
        <f t="shared" si="1"/>
        <v>490208</v>
      </c>
      <c r="J9" s="945">
        <f t="shared" si="1"/>
        <v>382278</v>
      </c>
      <c r="K9" s="945">
        <f t="shared" si="1"/>
        <v>384902</v>
      </c>
      <c r="L9" s="945">
        <f t="shared" si="1"/>
        <v>1006574</v>
      </c>
      <c r="M9" s="945">
        <f t="shared" si="1"/>
        <v>2765606</v>
      </c>
      <c r="N9" s="945">
        <f t="shared" si="1"/>
        <v>5080808</v>
      </c>
      <c r="O9" s="945">
        <f t="shared" si="0"/>
        <v>25174367</v>
      </c>
    </row>
    <row r="10" spans="1:15" ht="27.75" customHeight="1">
      <c r="A10" s="11" t="s">
        <v>102</v>
      </c>
      <c r="B10" s="39" t="s">
        <v>108</v>
      </c>
      <c r="C10" s="38">
        <v>155557</v>
      </c>
      <c r="D10" s="38">
        <v>138902</v>
      </c>
      <c r="E10" s="38">
        <v>150379</v>
      </c>
      <c r="F10" s="38">
        <v>130777</v>
      </c>
      <c r="G10" s="38">
        <v>132467</v>
      </c>
      <c r="H10" s="38">
        <v>120942</v>
      </c>
      <c r="I10" s="38">
        <v>125805</v>
      </c>
      <c r="J10" s="38">
        <v>121407</v>
      </c>
      <c r="K10" s="38">
        <v>115705</v>
      </c>
      <c r="L10" s="38">
        <v>125468</v>
      </c>
      <c r="M10" s="38">
        <v>141119</v>
      </c>
      <c r="N10" s="38">
        <v>161521</v>
      </c>
      <c r="O10" s="38">
        <f t="shared" si="0"/>
        <v>1620049</v>
      </c>
    </row>
    <row r="11" spans="1:15" ht="27.75" customHeight="1">
      <c r="A11" s="1037" t="s">
        <v>47</v>
      </c>
      <c r="B11" s="7" t="s">
        <v>108</v>
      </c>
      <c r="C11" s="15">
        <v>75779</v>
      </c>
      <c r="D11" s="15">
        <v>65581</v>
      </c>
      <c r="E11" s="15">
        <v>90858</v>
      </c>
      <c r="F11" s="15">
        <v>73644</v>
      </c>
      <c r="G11" s="15">
        <v>71168</v>
      </c>
      <c r="H11" s="15">
        <v>64953</v>
      </c>
      <c r="I11" s="15">
        <v>58657</v>
      </c>
      <c r="J11" s="15">
        <v>51292</v>
      </c>
      <c r="K11" s="15">
        <v>56959</v>
      </c>
      <c r="L11" s="15">
        <v>61460</v>
      </c>
      <c r="M11" s="15">
        <v>84313</v>
      </c>
      <c r="N11" s="15">
        <v>90429</v>
      </c>
      <c r="O11" s="15">
        <f t="shared" si="0"/>
        <v>845093</v>
      </c>
    </row>
    <row r="12" spans="1:15" ht="27.75" customHeight="1">
      <c r="A12" s="1037"/>
      <c r="B12" s="8" t="s">
        <v>109</v>
      </c>
      <c r="C12" s="19">
        <v>170031</v>
      </c>
      <c r="D12" s="19">
        <v>140806</v>
      </c>
      <c r="E12" s="19">
        <v>136010</v>
      </c>
      <c r="F12" s="19">
        <v>84654</v>
      </c>
      <c r="G12" s="19">
        <v>72113</v>
      </c>
      <c r="H12" s="19">
        <v>56889</v>
      </c>
      <c r="I12" s="19">
        <v>55097</v>
      </c>
      <c r="J12" s="19">
        <v>48503</v>
      </c>
      <c r="K12" s="19">
        <v>50341</v>
      </c>
      <c r="L12" s="19">
        <v>77437</v>
      </c>
      <c r="M12" s="19">
        <v>116043</v>
      </c>
      <c r="N12" s="19">
        <v>170990</v>
      </c>
      <c r="O12" s="19">
        <f t="shared" si="0"/>
        <v>1178914</v>
      </c>
    </row>
    <row r="13" spans="1:15" ht="27.75" customHeight="1">
      <c r="A13" s="1037"/>
      <c r="B13" s="8" t="s">
        <v>110</v>
      </c>
      <c r="C13" s="19">
        <v>142874</v>
      </c>
      <c r="D13" s="19">
        <v>110986</v>
      </c>
      <c r="E13" s="19">
        <v>95512</v>
      </c>
      <c r="F13" s="19">
        <v>40905</v>
      </c>
      <c r="G13" s="19">
        <v>27965</v>
      </c>
      <c r="H13" s="19">
        <v>21509</v>
      </c>
      <c r="I13" s="19">
        <v>20709</v>
      </c>
      <c r="J13" s="19">
        <v>18061</v>
      </c>
      <c r="K13" s="19">
        <v>18050</v>
      </c>
      <c r="L13" s="19">
        <v>26068</v>
      </c>
      <c r="M13" s="19">
        <v>72337</v>
      </c>
      <c r="N13" s="19">
        <v>134725</v>
      </c>
      <c r="O13" s="19">
        <f t="shared" si="0"/>
        <v>729701</v>
      </c>
    </row>
    <row r="14" spans="1:15" ht="27.75" customHeight="1">
      <c r="A14" s="1037"/>
      <c r="B14" s="8" t="s">
        <v>129</v>
      </c>
      <c r="C14" s="19">
        <v>168164</v>
      </c>
      <c r="D14" s="19">
        <v>123526</v>
      </c>
      <c r="E14" s="19">
        <v>91718</v>
      </c>
      <c r="F14" s="19">
        <v>34079</v>
      </c>
      <c r="G14" s="19">
        <v>61249</v>
      </c>
      <c r="H14" s="19">
        <v>124479</v>
      </c>
      <c r="I14" s="19">
        <v>202792</v>
      </c>
      <c r="J14" s="19">
        <v>214741</v>
      </c>
      <c r="K14" s="19">
        <v>140238</v>
      </c>
      <c r="L14" s="19">
        <v>52852</v>
      </c>
      <c r="M14" s="19">
        <v>71212</v>
      </c>
      <c r="N14" s="19">
        <v>152291</v>
      </c>
      <c r="O14" s="19">
        <f t="shared" si="0"/>
        <v>1437341</v>
      </c>
    </row>
    <row r="15" spans="1:15" ht="27.75" customHeight="1">
      <c r="A15" s="1037"/>
      <c r="B15" s="8" t="s">
        <v>112</v>
      </c>
      <c r="C15" s="19">
        <v>12322</v>
      </c>
      <c r="D15" s="19">
        <v>9752</v>
      </c>
      <c r="E15" s="19">
        <v>8646</v>
      </c>
      <c r="F15" s="19">
        <v>3493</v>
      </c>
      <c r="G15" s="19">
        <v>4058</v>
      </c>
      <c r="H15" s="19">
        <v>2073</v>
      </c>
      <c r="I15" s="19">
        <v>1654</v>
      </c>
      <c r="J15" s="19">
        <v>1332</v>
      </c>
      <c r="K15" s="19">
        <v>1213</v>
      </c>
      <c r="L15" s="19">
        <v>2467</v>
      </c>
      <c r="M15" s="19">
        <v>7430</v>
      </c>
      <c r="N15" s="19">
        <v>11416</v>
      </c>
      <c r="O15" s="19">
        <f t="shared" si="0"/>
        <v>65856</v>
      </c>
    </row>
    <row r="16" spans="1:15" ht="27.75" customHeight="1">
      <c r="A16" s="1037"/>
      <c r="B16" s="97" t="s">
        <v>46</v>
      </c>
      <c r="C16" s="945">
        <f>SUM(C11:C15)</f>
        <v>569170</v>
      </c>
      <c r="D16" s="945">
        <f t="shared" ref="D16:N16" si="2">SUM(D11:D15)</f>
        <v>450651</v>
      </c>
      <c r="E16" s="945">
        <f t="shared" si="2"/>
        <v>422744</v>
      </c>
      <c r="F16" s="945">
        <f t="shared" si="2"/>
        <v>236775</v>
      </c>
      <c r="G16" s="945">
        <f t="shared" si="2"/>
        <v>236553</v>
      </c>
      <c r="H16" s="945">
        <f t="shared" si="2"/>
        <v>269903</v>
      </c>
      <c r="I16" s="945">
        <f t="shared" si="2"/>
        <v>338909</v>
      </c>
      <c r="J16" s="945">
        <f t="shared" si="2"/>
        <v>333929</v>
      </c>
      <c r="K16" s="945">
        <f t="shared" si="2"/>
        <v>266801</v>
      </c>
      <c r="L16" s="945">
        <f t="shared" si="2"/>
        <v>220284</v>
      </c>
      <c r="M16" s="945">
        <f t="shared" si="2"/>
        <v>351335</v>
      </c>
      <c r="N16" s="945">
        <f t="shared" si="2"/>
        <v>559851</v>
      </c>
      <c r="O16" s="945">
        <f t="shared" si="0"/>
        <v>4256905</v>
      </c>
    </row>
    <row r="17" spans="1:16" ht="27.75" customHeight="1">
      <c r="A17" s="1054" t="s">
        <v>48</v>
      </c>
      <c r="B17" s="1054"/>
      <c r="C17" s="38">
        <v>980833</v>
      </c>
      <c r="D17" s="38">
        <v>808407</v>
      </c>
      <c r="E17" s="38">
        <v>923319</v>
      </c>
      <c r="F17" s="38">
        <v>831527</v>
      </c>
      <c r="G17" s="38">
        <v>816449</v>
      </c>
      <c r="H17" s="38">
        <v>763221</v>
      </c>
      <c r="I17" s="38">
        <v>737629</v>
      </c>
      <c r="J17" s="38">
        <v>699127</v>
      </c>
      <c r="K17" s="38">
        <v>732608</v>
      </c>
      <c r="L17" s="38">
        <v>838804</v>
      </c>
      <c r="M17" s="38">
        <v>882672</v>
      </c>
      <c r="N17" s="38">
        <v>947609</v>
      </c>
      <c r="O17" s="38">
        <f t="shared" si="0"/>
        <v>9962205</v>
      </c>
    </row>
    <row r="18" spans="1:16" ht="27.75" customHeight="1">
      <c r="A18" s="1054" t="s">
        <v>130</v>
      </c>
      <c r="B18" s="1054"/>
      <c r="C18" s="38">
        <v>24039</v>
      </c>
      <c r="D18" s="38">
        <v>22500</v>
      </c>
      <c r="E18" s="38">
        <v>20333</v>
      </c>
      <c r="F18" s="38">
        <v>17659</v>
      </c>
      <c r="G18" s="38">
        <v>19779</v>
      </c>
      <c r="H18" s="38">
        <v>22641</v>
      </c>
      <c r="I18" s="38">
        <v>18868</v>
      </c>
      <c r="J18" s="38">
        <v>19577</v>
      </c>
      <c r="K18" s="38">
        <v>17620</v>
      </c>
      <c r="L18" s="38">
        <v>19859</v>
      </c>
      <c r="M18" s="38">
        <v>19480</v>
      </c>
      <c r="N18" s="38">
        <v>20086</v>
      </c>
      <c r="O18" s="38">
        <f t="shared" si="0"/>
        <v>242441</v>
      </c>
    </row>
    <row r="19" spans="1:16" ht="27.75" customHeight="1">
      <c r="A19" s="1054" t="s">
        <v>131</v>
      </c>
      <c r="B19" s="1054"/>
      <c r="C19" s="38">
        <v>18099</v>
      </c>
      <c r="D19" s="38">
        <v>17317</v>
      </c>
      <c r="E19" s="38">
        <v>18832</v>
      </c>
      <c r="F19" s="38">
        <v>18898</v>
      </c>
      <c r="G19" s="38">
        <v>18242</v>
      </c>
      <c r="H19" s="38">
        <v>16518</v>
      </c>
      <c r="I19" s="38">
        <v>19380</v>
      </c>
      <c r="J19" s="38">
        <v>17957</v>
      </c>
      <c r="K19" s="38">
        <v>18254</v>
      </c>
      <c r="L19" s="38">
        <v>18847</v>
      </c>
      <c r="M19" s="38">
        <v>18173</v>
      </c>
      <c r="N19" s="38">
        <v>18857</v>
      </c>
      <c r="O19" s="38">
        <f t="shared" si="0"/>
        <v>219374</v>
      </c>
    </row>
    <row r="20" spans="1:16" ht="27.75" customHeight="1">
      <c r="A20" s="1054" t="s">
        <v>132</v>
      </c>
      <c r="B20" s="1054"/>
      <c r="C20" s="38">
        <v>74180</v>
      </c>
      <c r="D20" s="38">
        <v>56194</v>
      </c>
      <c r="E20" s="38">
        <v>48928</v>
      </c>
      <c r="F20" s="38">
        <v>17310</v>
      </c>
      <c r="G20" s="38">
        <v>8581</v>
      </c>
      <c r="H20" s="38">
        <v>5092</v>
      </c>
      <c r="I20" s="38">
        <v>4039</v>
      </c>
      <c r="J20" s="38">
        <v>3025</v>
      </c>
      <c r="K20" s="38">
        <v>2440</v>
      </c>
      <c r="L20" s="38">
        <v>10107</v>
      </c>
      <c r="M20" s="38">
        <v>32102</v>
      </c>
      <c r="N20" s="38">
        <v>65179</v>
      </c>
      <c r="O20" s="38">
        <f t="shared" si="0"/>
        <v>327177</v>
      </c>
    </row>
    <row r="21" spans="1:16" ht="27.75" customHeight="1">
      <c r="A21" s="1054" t="s">
        <v>133</v>
      </c>
      <c r="B21" s="1054"/>
      <c r="C21" s="38">
        <v>38371</v>
      </c>
      <c r="D21" s="38">
        <v>30526</v>
      </c>
      <c r="E21" s="38">
        <v>20629</v>
      </c>
      <c r="F21" s="38">
        <v>1032</v>
      </c>
      <c r="G21" s="38">
        <v>9397</v>
      </c>
      <c r="H21" s="38">
        <v>13981</v>
      </c>
      <c r="I21" s="38">
        <v>27190</v>
      </c>
      <c r="J21" s="38">
        <v>11639</v>
      </c>
      <c r="K21" s="38">
        <v>12718</v>
      </c>
      <c r="L21" s="38">
        <v>14962</v>
      </c>
      <c r="M21" s="38">
        <v>15937</v>
      </c>
      <c r="N21" s="38">
        <v>16503</v>
      </c>
      <c r="O21" s="38">
        <f t="shared" si="0"/>
        <v>212885</v>
      </c>
    </row>
    <row r="22" spans="1:16" ht="27.75" customHeight="1">
      <c r="A22" s="1037" t="s">
        <v>113</v>
      </c>
      <c r="B22" s="7" t="s">
        <v>114</v>
      </c>
      <c r="C22" s="15">
        <v>258959</v>
      </c>
      <c r="D22" s="15">
        <v>238340</v>
      </c>
      <c r="E22" s="15">
        <v>257227</v>
      </c>
      <c r="F22" s="15">
        <v>249571</v>
      </c>
      <c r="G22" s="15">
        <v>264610</v>
      </c>
      <c r="H22" s="15">
        <v>262691</v>
      </c>
      <c r="I22" s="15">
        <v>278839</v>
      </c>
      <c r="J22" s="15">
        <v>280615</v>
      </c>
      <c r="K22" s="15">
        <v>261019</v>
      </c>
      <c r="L22" s="15">
        <v>261005</v>
      </c>
      <c r="M22" s="15">
        <v>262750</v>
      </c>
      <c r="N22" s="15">
        <v>267320</v>
      </c>
      <c r="O22" s="15">
        <f t="shared" si="0"/>
        <v>3142946</v>
      </c>
    </row>
    <row r="23" spans="1:16" ht="27.75" customHeight="1">
      <c r="A23" s="1037"/>
      <c r="B23" s="8" t="s">
        <v>128</v>
      </c>
      <c r="C23" s="19">
        <v>11634</v>
      </c>
      <c r="D23" s="19">
        <v>12156</v>
      </c>
      <c r="E23" s="19">
        <v>12332</v>
      </c>
      <c r="F23" s="19">
        <v>13186</v>
      </c>
      <c r="G23" s="19">
        <v>13430</v>
      </c>
      <c r="H23" s="19">
        <v>13314</v>
      </c>
      <c r="I23" s="19">
        <v>13361</v>
      </c>
      <c r="J23" s="19">
        <v>12071</v>
      </c>
      <c r="K23" s="19">
        <v>13317</v>
      </c>
      <c r="L23" s="19">
        <v>12668</v>
      </c>
      <c r="M23" s="19">
        <v>12753</v>
      </c>
      <c r="N23" s="19">
        <v>12975</v>
      </c>
      <c r="O23" s="19">
        <f t="shared" si="0"/>
        <v>153197</v>
      </c>
    </row>
    <row r="24" spans="1:16" ht="27.75" customHeight="1">
      <c r="A24" s="1037"/>
      <c r="B24" s="97" t="s">
        <v>46</v>
      </c>
      <c r="C24" s="945">
        <f>SUM(C22:C23)</f>
        <v>270593</v>
      </c>
      <c r="D24" s="945">
        <f t="shared" ref="D24:N24" si="3">SUM(D22:D23)</f>
        <v>250496</v>
      </c>
      <c r="E24" s="945">
        <f t="shared" si="3"/>
        <v>269559</v>
      </c>
      <c r="F24" s="945">
        <f t="shared" si="3"/>
        <v>262757</v>
      </c>
      <c r="G24" s="945">
        <f t="shared" si="3"/>
        <v>278040</v>
      </c>
      <c r="H24" s="945">
        <f t="shared" si="3"/>
        <v>276005</v>
      </c>
      <c r="I24" s="945">
        <f t="shared" si="3"/>
        <v>292200</v>
      </c>
      <c r="J24" s="945">
        <f t="shared" si="3"/>
        <v>292686</v>
      </c>
      <c r="K24" s="945">
        <f t="shared" si="3"/>
        <v>274336</v>
      </c>
      <c r="L24" s="945">
        <f t="shared" si="3"/>
        <v>273673</v>
      </c>
      <c r="M24" s="945">
        <f t="shared" si="3"/>
        <v>275503</v>
      </c>
      <c r="N24" s="945">
        <f t="shared" si="3"/>
        <v>280295</v>
      </c>
      <c r="O24" s="945">
        <f t="shared" si="0"/>
        <v>3296143</v>
      </c>
    </row>
    <row r="25" spans="1:16" ht="27.75" customHeight="1">
      <c r="A25" s="1050" t="s">
        <v>51</v>
      </c>
      <c r="B25" s="1050"/>
      <c r="C25" s="946">
        <f>SUM(C9,C10,C16,C17:C21,C24)</f>
        <v>7178987</v>
      </c>
      <c r="D25" s="946">
        <f t="shared" ref="D25:N25" si="4">SUM(D9,D10,D16,D17:D21,D24)</f>
        <v>5704249</v>
      </c>
      <c r="E25" s="946">
        <f t="shared" si="4"/>
        <v>5193238</v>
      </c>
      <c r="F25" s="946">
        <f t="shared" si="4"/>
        <v>2859458</v>
      </c>
      <c r="G25" s="946">
        <f t="shared" si="4"/>
        <v>2399133</v>
      </c>
      <c r="H25" s="946">
        <f t="shared" si="4"/>
        <v>2034030</v>
      </c>
      <c r="I25" s="946">
        <f t="shared" si="4"/>
        <v>2054228</v>
      </c>
      <c r="J25" s="946">
        <f t="shared" si="4"/>
        <v>1881625</v>
      </c>
      <c r="K25" s="946">
        <f t="shared" si="4"/>
        <v>1825384</v>
      </c>
      <c r="L25" s="946">
        <f t="shared" si="4"/>
        <v>2528578</v>
      </c>
      <c r="M25" s="946">
        <f t="shared" si="4"/>
        <v>4501927</v>
      </c>
      <c r="N25" s="946">
        <f t="shared" si="4"/>
        <v>7150709</v>
      </c>
      <c r="O25" s="946">
        <f t="shared" si="0"/>
        <v>45311546</v>
      </c>
      <c r="P25" s="420"/>
    </row>
    <row r="26" spans="1:16" ht="10.5" customHeight="1">
      <c r="C26" s="420"/>
      <c r="D26" s="420"/>
      <c r="E26" s="420"/>
      <c r="F26" s="420"/>
      <c r="G26" s="420"/>
      <c r="H26" s="420"/>
      <c r="I26" s="420"/>
      <c r="J26" s="420"/>
      <c r="K26" s="420"/>
      <c r="L26" s="420"/>
      <c r="M26" s="420"/>
      <c r="N26" s="420"/>
      <c r="O26" s="420"/>
    </row>
    <row r="27" spans="1:16" ht="27.75" customHeight="1">
      <c r="A27" s="1036" t="s">
        <v>138</v>
      </c>
      <c r="B27" s="7" t="s">
        <v>136</v>
      </c>
      <c r="C27" s="15">
        <v>20695</v>
      </c>
      <c r="D27" s="15">
        <v>17101</v>
      </c>
      <c r="E27" s="15">
        <v>12031</v>
      </c>
      <c r="F27" s="15">
        <v>1119</v>
      </c>
      <c r="G27" s="15">
        <v>1095</v>
      </c>
      <c r="H27" s="15">
        <v>2410</v>
      </c>
      <c r="I27" s="15">
        <v>9519</v>
      </c>
      <c r="J27" s="15">
        <v>9265</v>
      </c>
      <c r="K27" s="15">
        <v>2774</v>
      </c>
      <c r="L27" s="15">
        <v>6155</v>
      </c>
      <c r="M27" s="15">
        <v>3514</v>
      </c>
      <c r="N27" s="15">
        <v>23157</v>
      </c>
      <c r="O27" s="15">
        <f t="shared" si="0"/>
        <v>108835</v>
      </c>
    </row>
    <row r="28" spans="1:16" ht="27.75" customHeight="1">
      <c r="A28" s="1037"/>
      <c r="B28" s="8" t="s">
        <v>49</v>
      </c>
      <c r="C28" s="19">
        <v>454</v>
      </c>
      <c r="D28" s="19">
        <v>347</v>
      </c>
      <c r="E28" s="19">
        <v>255</v>
      </c>
      <c r="F28" s="19">
        <v>56</v>
      </c>
      <c r="G28" s="19">
        <v>117</v>
      </c>
      <c r="H28" s="19">
        <v>316</v>
      </c>
      <c r="I28" s="19">
        <v>452</v>
      </c>
      <c r="J28" s="19">
        <v>520</v>
      </c>
      <c r="K28" s="19">
        <v>317</v>
      </c>
      <c r="L28" s="19">
        <v>100</v>
      </c>
      <c r="M28" s="19">
        <v>223</v>
      </c>
      <c r="N28" s="19">
        <v>496</v>
      </c>
      <c r="O28" s="19">
        <f t="shared" si="0"/>
        <v>3653</v>
      </c>
    </row>
    <row r="29" spans="1:16" ht="27.75" customHeight="1">
      <c r="A29" s="1037"/>
      <c r="B29" s="6" t="s">
        <v>45</v>
      </c>
      <c r="C29" s="23">
        <f>SUM(C27:C28)</f>
        <v>21149</v>
      </c>
      <c r="D29" s="23">
        <f t="shared" ref="D29:N29" si="5">SUM(D27:D28)</f>
        <v>17448</v>
      </c>
      <c r="E29" s="23">
        <f t="shared" si="5"/>
        <v>12286</v>
      </c>
      <c r="F29" s="23">
        <f t="shared" si="5"/>
        <v>1175</v>
      </c>
      <c r="G29" s="23">
        <f t="shared" si="5"/>
        <v>1212</v>
      </c>
      <c r="H29" s="23">
        <f t="shared" si="5"/>
        <v>2726</v>
      </c>
      <c r="I29" s="23">
        <f t="shared" si="5"/>
        <v>9971</v>
      </c>
      <c r="J29" s="23">
        <f t="shared" si="5"/>
        <v>9785</v>
      </c>
      <c r="K29" s="23">
        <f t="shared" si="5"/>
        <v>3091</v>
      </c>
      <c r="L29" s="23">
        <f t="shared" si="5"/>
        <v>6255</v>
      </c>
      <c r="M29" s="23">
        <f t="shared" si="5"/>
        <v>3737</v>
      </c>
      <c r="N29" s="23">
        <f t="shared" si="5"/>
        <v>23653</v>
      </c>
      <c r="O29" s="23">
        <f t="shared" si="0"/>
        <v>112488</v>
      </c>
    </row>
    <row r="30" spans="1:16" ht="45.75" customHeight="1">
      <c r="A30" s="1056" t="s">
        <v>137</v>
      </c>
      <c r="B30" s="1056"/>
      <c r="C30" s="38">
        <f>SUM(C25,C29)</f>
        <v>7200136</v>
      </c>
      <c r="D30" s="38">
        <f t="shared" ref="D30:N30" si="6">SUM(D25,D29)</f>
        <v>5721697</v>
      </c>
      <c r="E30" s="38">
        <f t="shared" si="6"/>
        <v>5205524</v>
      </c>
      <c r="F30" s="38">
        <f t="shared" si="6"/>
        <v>2860633</v>
      </c>
      <c r="G30" s="38">
        <f t="shared" si="6"/>
        <v>2400345</v>
      </c>
      <c r="H30" s="38">
        <f t="shared" si="6"/>
        <v>2036756</v>
      </c>
      <c r="I30" s="38">
        <f t="shared" si="6"/>
        <v>2064199</v>
      </c>
      <c r="J30" s="38">
        <f t="shared" si="6"/>
        <v>1891410</v>
      </c>
      <c r="K30" s="38">
        <f t="shared" si="6"/>
        <v>1828475</v>
      </c>
      <c r="L30" s="38">
        <f t="shared" si="6"/>
        <v>2534833</v>
      </c>
      <c r="M30" s="38">
        <f t="shared" si="6"/>
        <v>4505664</v>
      </c>
      <c r="N30" s="38">
        <f t="shared" si="6"/>
        <v>7174362</v>
      </c>
      <c r="O30" s="38">
        <f t="shared" si="0"/>
        <v>45424034</v>
      </c>
    </row>
    <row r="31" spans="1:16">
      <c r="C31" s="420"/>
      <c r="D31" s="420"/>
      <c r="E31" s="420"/>
      <c r="F31" s="420"/>
      <c r="G31" s="420"/>
      <c r="H31" s="420"/>
      <c r="I31" s="420"/>
      <c r="J31" s="420"/>
      <c r="K31" s="420"/>
      <c r="L31" s="420"/>
      <c r="M31" s="420"/>
      <c r="N31" s="420"/>
      <c r="O31" s="420"/>
    </row>
    <row r="32" spans="1:16" ht="27" customHeight="1">
      <c r="A32" s="52" t="s">
        <v>149</v>
      </c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0"/>
      <c r="N32" s="420"/>
      <c r="O32" s="947" t="s">
        <v>135</v>
      </c>
    </row>
    <row r="33" spans="1:15" ht="27.75" customHeight="1">
      <c r="A33" s="1035" t="s">
        <v>1</v>
      </c>
      <c r="B33" s="1035"/>
      <c r="C33" s="948" t="s">
        <v>69</v>
      </c>
      <c r="D33" s="948" t="s">
        <v>71</v>
      </c>
      <c r="E33" s="948" t="s">
        <v>72</v>
      </c>
      <c r="F33" s="948" t="s">
        <v>73</v>
      </c>
      <c r="G33" s="948" t="s">
        <v>74</v>
      </c>
      <c r="H33" s="948" t="s">
        <v>75</v>
      </c>
      <c r="I33" s="948" t="s">
        <v>76</v>
      </c>
      <c r="J33" s="948" t="s">
        <v>77</v>
      </c>
      <c r="K33" s="948" t="s">
        <v>78</v>
      </c>
      <c r="L33" s="948" t="s">
        <v>79</v>
      </c>
      <c r="M33" s="948" t="s">
        <v>80</v>
      </c>
      <c r="N33" s="948" t="s">
        <v>81</v>
      </c>
      <c r="O33" s="948" t="s">
        <v>51</v>
      </c>
    </row>
    <row r="34" spans="1:15" ht="27.75" customHeight="1">
      <c r="A34" s="1037" t="s">
        <v>41</v>
      </c>
      <c r="B34" s="7" t="s">
        <v>106</v>
      </c>
      <c r="C34" s="949">
        <v>24024</v>
      </c>
      <c r="D34" s="949">
        <v>21057</v>
      </c>
      <c r="E34" s="949">
        <v>23388</v>
      </c>
      <c r="F34" s="949">
        <v>17401</v>
      </c>
      <c r="G34" s="949">
        <v>18799</v>
      </c>
      <c r="H34" s="949">
        <v>17901</v>
      </c>
      <c r="I34" s="949">
        <v>19296</v>
      </c>
      <c r="J34" s="949">
        <v>19133</v>
      </c>
      <c r="K34" s="949">
        <v>18181</v>
      </c>
      <c r="L34" s="949">
        <v>15279</v>
      </c>
      <c r="M34" s="949">
        <v>19567</v>
      </c>
      <c r="N34" s="949">
        <v>20924</v>
      </c>
      <c r="O34" s="15">
        <f>SUM(C34:N34)</f>
        <v>234950</v>
      </c>
    </row>
    <row r="35" spans="1:15" ht="27.75" customHeight="1">
      <c r="A35" s="1037"/>
      <c r="B35" s="8" t="s">
        <v>107</v>
      </c>
      <c r="C35" s="950">
        <v>5200147</v>
      </c>
      <c r="D35" s="950">
        <v>3853258</v>
      </c>
      <c r="E35" s="950">
        <v>2976571</v>
      </c>
      <c r="F35" s="950">
        <v>1494564</v>
      </c>
      <c r="G35" s="950">
        <v>938060</v>
      </c>
      <c r="H35" s="950">
        <v>513971</v>
      </c>
      <c r="I35" s="950">
        <v>462002</v>
      </c>
      <c r="J35" s="950">
        <v>440508</v>
      </c>
      <c r="K35" s="950">
        <v>491857</v>
      </c>
      <c r="L35" s="950">
        <v>1035452</v>
      </c>
      <c r="M35" s="950">
        <v>2721240</v>
      </c>
      <c r="N35" s="950">
        <v>4877810</v>
      </c>
      <c r="O35" s="19">
        <f t="shared" ref="O35:O53" si="7">SUM(C35:N35)</f>
        <v>25005440</v>
      </c>
    </row>
    <row r="36" spans="1:15" ht="27.75" customHeight="1">
      <c r="A36" s="1037"/>
      <c r="B36" s="8" t="s">
        <v>44</v>
      </c>
      <c r="C36" s="950">
        <v>101645</v>
      </c>
      <c r="D36" s="950">
        <v>85046</v>
      </c>
      <c r="E36" s="950">
        <v>73780</v>
      </c>
      <c r="F36" s="950">
        <v>38062</v>
      </c>
      <c r="G36" s="950">
        <v>22732</v>
      </c>
      <c r="H36" s="950">
        <v>16532</v>
      </c>
      <c r="I36" s="950">
        <v>12944</v>
      </c>
      <c r="J36" s="950">
        <v>11515</v>
      </c>
      <c r="K36" s="950">
        <v>13968</v>
      </c>
      <c r="L36" s="950">
        <v>27083</v>
      </c>
      <c r="M36" s="950">
        <v>68947</v>
      </c>
      <c r="N36" s="950">
        <v>97861</v>
      </c>
      <c r="O36" s="19">
        <f t="shared" si="7"/>
        <v>570115</v>
      </c>
    </row>
    <row r="37" spans="1:15" ht="27.75" customHeight="1">
      <c r="A37" s="1037"/>
      <c r="B37" s="97" t="s">
        <v>46</v>
      </c>
      <c r="C37" s="945">
        <f t="shared" ref="C37:N37" si="8">SUM(C34:C36)</f>
        <v>5325816</v>
      </c>
      <c r="D37" s="945">
        <f t="shared" si="8"/>
        <v>3959361</v>
      </c>
      <c r="E37" s="945">
        <f t="shared" si="8"/>
        <v>3073739</v>
      </c>
      <c r="F37" s="945">
        <f t="shared" si="8"/>
        <v>1550027</v>
      </c>
      <c r="G37" s="945">
        <f t="shared" si="8"/>
        <v>979591</v>
      </c>
      <c r="H37" s="945">
        <f t="shared" si="8"/>
        <v>548404</v>
      </c>
      <c r="I37" s="945">
        <f t="shared" si="8"/>
        <v>494242</v>
      </c>
      <c r="J37" s="945">
        <f t="shared" si="8"/>
        <v>471156</v>
      </c>
      <c r="K37" s="945">
        <f t="shared" si="8"/>
        <v>524006</v>
      </c>
      <c r="L37" s="945">
        <f t="shared" si="8"/>
        <v>1077814</v>
      </c>
      <c r="M37" s="945">
        <f t="shared" si="8"/>
        <v>2809754</v>
      </c>
      <c r="N37" s="945">
        <f t="shared" si="8"/>
        <v>4996595</v>
      </c>
      <c r="O37" s="945">
        <f t="shared" si="7"/>
        <v>25810505</v>
      </c>
    </row>
    <row r="38" spans="1:15" ht="27.75" customHeight="1">
      <c r="A38" s="11" t="s">
        <v>102</v>
      </c>
      <c r="B38" s="39" t="s">
        <v>108</v>
      </c>
      <c r="C38" s="38">
        <v>159885</v>
      </c>
      <c r="D38" s="38">
        <v>137227</v>
      </c>
      <c r="E38" s="38">
        <v>154971</v>
      </c>
      <c r="F38" s="38">
        <v>134632</v>
      </c>
      <c r="G38" s="38">
        <v>134780</v>
      </c>
      <c r="H38" s="38">
        <v>124704</v>
      </c>
      <c r="I38" s="38">
        <v>129511</v>
      </c>
      <c r="J38" s="38">
        <v>123858</v>
      </c>
      <c r="K38" s="38">
        <v>119017</v>
      </c>
      <c r="L38" s="38">
        <v>125428</v>
      </c>
      <c r="M38" s="38">
        <v>144140</v>
      </c>
      <c r="N38" s="38">
        <v>167146</v>
      </c>
      <c r="O38" s="38">
        <f t="shared" si="7"/>
        <v>1655299</v>
      </c>
    </row>
    <row r="39" spans="1:15" ht="27.75" customHeight="1">
      <c r="A39" s="1037" t="s">
        <v>47</v>
      </c>
      <c r="B39" s="7" t="s">
        <v>108</v>
      </c>
      <c r="C39" s="15">
        <v>77579</v>
      </c>
      <c r="D39" s="15">
        <v>65545</v>
      </c>
      <c r="E39" s="15">
        <v>79139</v>
      </c>
      <c r="F39" s="15">
        <v>72642</v>
      </c>
      <c r="G39" s="15">
        <v>70302</v>
      </c>
      <c r="H39" s="15">
        <v>62035</v>
      </c>
      <c r="I39" s="15">
        <v>56825</v>
      </c>
      <c r="J39" s="15">
        <v>54137</v>
      </c>
      <c r="K39" s="15">
        <v>56046</v>
      </c>
      <c r="L39" s="15">
        <v>57265</v>
      </c>
      <c r="M39" s="15">
        <v>74891</v>
      </c>
      <c r="N39" s="15">
        <v>83323</v>
      </c>
      <c r="O39" s="15">
        <f t="shared" si="7"/>
        <v>809729</v>
      </c>
    </row>
    <row r="40" spans="1:15" ht="27.75" customHeight="1">
      <c r="A40" s="1037"/>
      <c r="B40" s="8" t="s">
        <v>109</v>
      </c>
      <c r="C40" s="19">
        <v>173402</v>
      </c>
      <c r="D40" s="19">
        <v>142991</v>
      </c>
      <c r="E40" s="19">
        <v>125685</v>
      </c>
      <c r="F40" s="19">
        <v>81638</v>
      </c>
      <c r="G40" s="19">
        <v>70368</v>
      </c>
      <c r="H40" s="19">
        <v>55046</v>
      </c>
      <c r="I40" s="19">
        <v>53332</v>
      </c>
      <c r="J40" s="19">
        <v>53564</v>
      </c>
      <c r="K40" s="19">
        <v>53807</v>
      </c>
      <c r="L40" s="19">
        <v>78406</v>
      </c>
      <c r="M40" s="19">
        <v>114722</v>
      </c>
      <c r="N40" s="19">
        <v>172492</v>
      </c>
      <c r="O40" s="19">
        <f t="shared" si="7"/>
        <v>1175453</v>
      </c>
    </row>
    <row r="41" spans="1:15" ht="27.75" customHeight="1">
      <c r="A41" s="1037"/>
      <c r="B41" s="8" t="s">
        <v>110</v>
      </c>
      <c r="C41" s="19">
        <v>149991</v>
      </c>
      <c r="D41" s="19">
        <v>114875</v>
      </c>
      <c r="E41" s="19">
        <v>76167</v>
      </c>
      <c r="F41" s="19">
        <v>41254</v>
      </c>
      <c r="G41" s="19">
        <v>28171</v>
      </c>
      <c r="H41" s="19">
        <v>20524</v>
      </c>
      <c r="I41" s="19">
        <v>19271</v>
      </c>
      <c r="J41" s="19">
        <v>19294</v>
      </c>
      <c r="K41" s="19">
        <v>19213</v>
      </c>
      <c r="L41" s="19">
        <v>30378</v>
      </c>
      <c r="M41" s="19">
        <v>75413</v>
      </c>
      <c r="N41" s="19">
        <v>124448</v>
      </c>
      <c r="O41" s="19">
        <f t="shared" si="7"/>
        <v>718999</v>
      </c>
    </row>
    <row r="42" spans="1:15" ht="27.75" customHeight="1">
      <c r="A42" s="1037"/>
      <c r="B42" s="8" t="s">
        <v>129</v>
      </c>
      <c r="C42" s="19">
        <v>171090</v>
      </c>
      <c r="D42" s="19">
        <v>121847</v>
      </c>
      <c r="E42" s="19">
        <v>71495</v>
      </c>
      <c r="F42" s="19">
        <v>39450</v>
      </c>
      <c r="G42" s="19">
        <v>60707</v>
      </c>
      <c r="H42" s="19">
        <v>123159</v>
      </c>
      <c r="I42" s="19">
        <v>200974</v>
      </c>
      <c r="J42" s="19">
        <v>210596</v>
      </c>
      <c r="K42" s="19">
        <v>121990</v>
      </c>
      <c r="L42" s="19">
        <v>50872</v>
      </c>
      <c r="M42" s="19">
        <v>70441</v>
      </c>
      <c r="N42" s="19">
        <v>143529</v>
      </c>
      <c r="O42" s="19">
        <f t="shared" si="7"/>
        <v>1386150</v>
      </c>
    </row>
    <row r="43" spans="1:15" ht="27.75" customHeight="1">
      <c r="A43" s="1037"/>
      <c r="B43" s="8" t="s">
        <v>112</v>
      </c>
      <c r="C43" s="19">
        <v>12697</v>
      </c>
      <c r="D43" s="19">
        <v>9328</v>
      </c>
      <c r="E43" s="19">
        <v>7619</v>
      </c>
      <c r="F43" s="19">
        <v>3229</v>
      </c>
      <c r="G43" s="19">
        <v>3347</v>
      </c>
      <c r="H43" s="19">
        <v>2002</v>
      </c>
      <c r="I43" s="19">
        <v>1668</v>
      </c>
      <c r="J43" s="19">
        <v>1521</v>
      </c>
      <c r="K43" s="19">
        <v>1593</v>
      </c>
      <c r="L43" s="19">
        <v>2434</v>
      </c>
      <c r="M43" s="19">
        <v>7199</v>
      </c>
      <c r="N43" s="19">
        <v>11472</v>
      </c>
      <c r="O43" s="19">
        <f t="shared" si="7"/>
        <v>64109</v>
      </c>
    </row>
    <row r="44" spans="1:15" ht="27.75" customHeight="1">
      <c r="A44" s="1037"/>
      <c r="B44" s="97" t="s">
        <v>46</v>
      </c>
      <c r="C44" s="945">
        <f t="shared" ref="C44:N44" si="9">SUM(C39:C43)</f>
        <v>584759</v>
      </c>
      <c r="D44" s="945">
        <f t="shared" si="9"/>
        <v>454586</v>
      </c>
      <c r="E44" s="945">
        <f t="shared" si="9"/>
        <v>360105</v>
      </c>
      <c r="F44" s="945">
        <f t="shared" si="9"/>
        <v>238213</v>
      </c>
      <c r="G44" s="945">
        <f t="shared" si="9"/>
        <v>232895</v>
      </c>
      <c r="H44" s="945">
        <f t="shared" si="9"/>
        <v>262766</v>
      </c>
      <c r="I44" s="945">
        <f t="shared" si="9"/>
        <v>332070</v>
      </c>
      <c r="J44" s="945">
        <f t="shared" si="9"/>
        <v>339112</v>
      </c>
      <c r="K44" s="945">
        <f t="shared" si="9"/>
        <v>252649</v>
      </c>
      <c r="L44" s="945">
        <f t="shared" si="9"/>
        <v>219355</v>
      </c>
      <c r="M44" s="945">
        <f t="shared" si="9"/>
        <v>342666</v>
      </c>
      <c r="N44" s="945">
        <f t="shared" si="9"/>
        <v>535264</v>
      </c>
      <c r="O44" s="945">
        <f t="shared" si="7"/>
        <v>4154440</v>
      </c>
    </row>
    <row r="45" spans="1:15" ht="27.75" customHeight="1">
      <c r="A45" s="1054" t="s">
        <v>48</v>
      </c>
      <c r="B45" s="1054"/>
      <c r="C45" s="38">
        <v>840294</v>
      </c>
      <c r="D45" s="38">
        <v>851039</v>
      </c>
      <c r="E45" s="38">
        <v>888080</v>
      </c>
      <c r="F45" s="38">
        <v>844210</v>
      </c>
      <c r="G45" s="38">
        <v>805156</v>
      </c>
      <c r="H45" s="38">
        <v>771222</v>
      </c>
      <c r="I45" s="38">
        <v>727910</v>
      </c>
      <c r="J45" s="38">
        <v>663444</v>
      </c>
      <c r="K45" s="38">
        <v>852867</v>
      </c>
      <c r="L45" s="38">
        <v>692772</v>
      </c>
      <c r="M45" s="38">
        <v>838548</v>
      </c>
      <c r="N45" s="38">
        <v>962895</v>
      </c>
      <c r="O45" s="38">
        <f t="shared" si="7"/>
        <v>9738437</v>
      </c>
    </row>
    <row r="46" spans="1:15" ht="27.75" customHeight="1">
      <c r="A46" s="1054" t="s">
        <v>130</v>
      </c>
      <c r="B46" s="1054"/>
      <c r="C46" s="38">
        <v>23319</v>
      </c>
      <c r="D46" s="38">
        <v>20825</v>
      </c>
      <c r="E46" s="38">
        <v>19343</v>
      </c>
      <c r="F46" s="38">
        <v>18111</v>
      </c>
      <c r="G46" s="38">
        <v>19696</v>
      </c>
      <c r="H46" s="38">
        <v>17101</v>
      </c>
      <c r="I46" s="38">
        <v>18020</v>
      </c>
      <c r="J46" s="38">
        <v>19339</v>
      </c>
      <c r="K46" s="38">
        <v>17620</v>
      </c>
      <c r="L46" s="38">
        <v>19859</v>
      </c>
      <c r="M46" s="38">
        <v>19480</v>
      </c>
      <c r="N46" s="38">
        <v>20748</v>
      </c>
      <c r="O46" s="38">
        <f t="shared" si="7"/>
        <v>233461</v>
      </c>
    </row>
    <row r="47" spans="1:15" ht="27.75" customHeight="1">
      <c r="A47" s="1054" t="s">
        <v>131</v>
      </c>
      <c r="B47" s="1054"/>
      <c r="C47" s="38">
        <v>19245</v>
      </c>
      <c r="D47" s="38">
        <v>17378</v>
      </c>
      <c r="E47" s="38">
        <v>19235</v>
      </c>
      <c r="F47" s="38">
        <v>18609</v>
      </c>
      <c r="G47" s="38">
        <v>19230</v>
      </c>
      <c r="H47" s="38">
        <v>18613</v>
      </c>
      <c r="I47" s="38">
        <v>19229</v>
      </c>
      <c r="J47" s="38">
        <v>20097</v>
      </c>
      <c r="K47" s="38">
        <v>21408</v>
      </c>
      <c r="L47" s="38">
        <v>22119</v>
      </c>
      <c r="M47" s="38">
        <v>21408</v>
      </c>
      <c r="N47" s="38">
        <v>22119</v>
      </c>
      <c r="O47" s="38">
        <f t="shared" si="7"/>
        <v>238690</v>
      </c>
    </row>
    <row r="48" spans="1:15" ht="27.75" customHeight="1">
      <c r="A48" s="1054" t="s">
        <v>132</v>
      </c>
      <c r="B48" s="1054"/>
      <c r="C48" s="38">
        <v>78551</v>
      </c>
      <c r="D48" s="38">
        <v>64270</v>
      </c>
      <c r="E48" s="38">
        <v>44930</v>
      </c>
      <c r="F48" s="38">
        <v>24045</v>
      </c>
      <c r="G48" s="38">
        <v>9446</v>
      </c>
      <c r="H48" s="38">
        <v>4183</v>
      </c>
      <c r="I48" s="38">
        <v>2506</v>
      </c>
      <c r="J48" s="38">
        <v>1837</v>
      </c>
      <c r="K48" s="38">
        <v>2156</v>
      </c>
      <c r="L48" s="38">
        <v>9823</v>
      </c>
      <c r="M48" s="38">
        <v>31818</v>
      </c>
      <c r="N48" s="38">
        <v>64895</v>
      </c>
      <c r="O48" s="38">
        <f t="shared" si="7"/>
        <v>338460</v>
      </c>
    </row>
    <row r="49" spans="1:17" ht="27.75" customHeight="1">
      <c r="A49" s="1054" t="s">
        <v>133</v>
      </c>
      <c r="B49" s="1054"/>
      <c r="C49" s="38">
        <v>9887</v>
      </c>
      <c r="D49" s="38">
        <v>719</v>
      </c>
      <c r="E49" s="38">
        <v>641</v>
      </c>
      <c r="F49" s="38">
        <v>559</v>
      </c>
      <c r="G49" s="38">
        <v>459</v>
      </c>
      <c r="H49" s="38">
        <v>627</v>
      </c>
      <c r="I49" s="38">
        <v>786</v>
      </c>
      <c r="J49" s="38">
        <v>754</v>
      </c>
      <c r="K49" s="38">
        <v>676</v>
      </c>
      <c r="L49" s="38">
        <v>17530</v>
      </c>
      <c r="M49" s="38">
        <v>499</v>
      </c>
      <c r="N49" s="38">
        <v>665</v>
      </c>
      <c r="O49" s="38">
        <f t="shared" si="7"/>
        <v>33802</v>
      </c>
    </row>
    <row r="50" spans="1:17" ht="27.75" customHeight="1">
      <c r="A50" s="1037" t="s">
        <v>113</v>
      </c>
      <c r="B50" s="7" t="s">
        <v>114</v>
      </c>
      <c r="C50" s="15">
        <v>254842</v>
      </c>
      <c r="D50" s="15">
        <v>227780</v>
      </c>
      <c r="E50" s="15">
        <v>252234</v>
      </c>
      <c r="F50" s="15">
        <v>244277</v>
      </c>
      <c r="G50" s="15">
        <v>256800</v>
      </c>
      <c r="H50" s="15">
        <v>253398</v>
      </c>
      <c r="I50" s="15">
        <v>268267</v>
      </c>
      <c r="J50" s="15">
        <v>268713</v>
      </c>
      <c r="K50" s="15">
        <v>250223</v>
      </c>
      <c r="L50" s="15">
        <v>247940</v>
      </c>
      <c r="M50" s="15">
        <v>249445</v>
      </c>
      <c r="N50" s="15">
        <v>253784</v>
      </c>
      <c r="O50" s="15">
        <f t="shared" si="7"/>
        <v>3027703</v>
      </c>
    </row>
    <row r="51" spans="1:17" ht="27.75" customHeight="1">
      <c r="A51" s="1037"/>
      <c r="B51" s="8" t="s">
        <v>128</v>
      </c>
      <c r="C51" s="19">
        <v>12931</v>
      </c>
      <c r="D51" s="19">
        <v>11558</v>
      </c>
      <c r="E51" s="19">
        <v>12799</v>
      </c>
      <c r="F51" s="19">
        <v>12395</v>
      </c>
      <c r="G51" s="19">
        <v>13030</v>
      </c>
      <c r="H51" s="19">
        <v>12858</v>
      </c>
      <c r="I51" s="19">
        <v>13612</v>
      </c>
      <c r="J51" s="19">
        <v>13635</v>
      </c>
      <c r="K51" s="19">
        <v>12697</v>
      </c>
      <c r="L51" s="19">
        <v>12581</v>
      </c>
      <c r="M51" s="19">
        <v>12657</v>
      </c>
      <c r="N51" s="19">
        <v>12877</v>
      </c>
      <c r="O51" s="19">
        <f t="shared" si="7"/>
        <v>153630</v>
      </c>
    </row>
    <row r="52" spans="1:17" ht="27.75" customHeight="1">
      <c r="A52" s="1037"/>
      <c r="B52" s="97" t="s">
        <v>46</v>
      </c>
      <c r="C52" s="945">
        <f t="shared" ref="C52:N52" si="10">SUM(C50:C51)</f>
        <v>267773</v>
      </c>
      <c r="D52" s="945">
        <f t="shared" si="10"/>
        <v>239338</v>
      </c>
      <c r="E52" s="945">
        <f t="shared" si="10"/>
        <v>265033</v>
      </c>
      <c r="F52" s="945">
        <f t="shared" si="10"/>
        <v>256672</v>
      </c>
      <c r="G52" s="945">
        <f t="shared" si="10"/>
        <v>269830</v>
      </c>
      <c r="H52" s="945">
        <f t="shared" si="10"/>
        <v>266256</v>
      </c>
      <c r="I52" s="945">
        <f t="shared" si="10"/>
        <v>281879</v>
      </c>
      <c r="J52" s="945">
        <f t="shared" si="10"/>
        <v>282348</v>
      </c>
      <c r="K52" s="945">
        <f t="shared" si="10"/>
        <v>262920</v>
      </c>
      <c r="L52" s="945">
        <f t="shared" si="10"/>
        <v>260521</v>
      </c>
      <c r="M52" s="945">
        <f t="shared" si="10"/>
        <v>262102</v>
      </c>
      <c r="N52" s="945">
        <f t="shared" si="10"/>
        <v>266661</v>
      </c>
      <c r="O52" s="945">
        <f t="shared" si="7"/>
        <v>3181333</v>
      </c>
    </row>
    <row r="53" spans="1:17" ht="27.75" customHeight="1">
      <c r="A53" s="1050" t="s">
        <v>51</v>
      </c>
      <c r="B53" s="1050"/>
      <c r="C53" s="946">
        <f t="shared" ref="C53:N53" si="11">SUM(C37,C38,C44,C45:C49,C52)</f>
        <v>7309529</v>
      </c>
      <c r="D53" s="946">
        <f t="shared" si="11"/>
        <v>5744743</v>
      </c>
      <c r="E53" s="946">
        <f t="shared" si="11"/>
        <v>4826077</v>
      </c>
      <c r="F53" s="946">
        <f t="shared" si="11"/>
        <v>3085078</v>
      </c>
      <c r="G53" s="946">
        <f t="shared" si="11"/>
        <v>2471083</v>
      </c>
      <c r="H53" s="946">
        <f t="shared" si="11"/>
        <v>2013876</v>
      </c>
      <c r="I53" s="946">
        <f t="shared" si="11"/>
        <v>2006153</v>
      </c>
      <c r="J53" s="946">
        <f t="shared" si="11"/>
        <v>1921945</v>
      </c>
      <c r="K53" s="946">
        <f t="shared" si="11"/>
        <v>2053319</v>
      </c>
      <c r="L53" s="946">
        <f t="shared" si="11"/>
        <v>2445221</v>
      </c>
      <c r="M53" s="946">
        <f t="shared" si="11"/>
        <v>4470415</v>
      </c>
      <c r="N53" s="946">
        <f t="shared" si="11"/>
        <v>7036988</v>
      </c>
      <c r="O53" s="946">
        <f t="shared" si="7"/>
        <v>45384427</v>
      </c>
      <c r="P53" s="420"/>
    </row>
    <row r="54" spans="1:17" ht="10.5" customHeight="1"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0"/>
    </row>
    <row r="55" spans="1:17" ht="27.75" customHeight="1">
      <c r="A55" s="1036" t="s">
        <v>138</v>
      </c>
      <c r="B55" s="7" t="s">
        <v>136</v>
      </c>
      <c r="C55" s="15">
        <v>22093</v>
      </c>
      <c r="D55" s="15">
        <v>15591</v>
      </c>
      <c r="E55" s="15">
        <v>10210</v>
      </c>
      <c r="F55" s="15">
        <v>13342</v>
      </c>
      <c r="G55" s="15">
        <v>130</v>
      </c>
      <c r="H55" s="15">
        <v>73</v>
      </c>
      <c r="I55" s="15">
        <v>3933</v>
      </c>
      <c r="J55" s="15">
        <v>9499</v>
      </c>
      <c r="K55" s="15">
        <v>2719</v>
      </c>
      <c r="L55" s="15">
        <v>5358</v>
      </c>
      <c r="M55" s="15">
        <v>3962</v>
      </c>
      <c r="N55" s="15">
        <v>22719</v>
      </c>
      <c r="O55" s="15">
        <f>SUM(C55:N55)</f>
        <v>109629</v>
      </c>
    </row>
    <row r="56" spans="1:17" ht="27.75" customHeight="1">
      <c r="A56" s="1037"/>
      <c r="B56" s="8" t="s">
        <v>49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>
        <f>SUM(C56:N56)</f>
        <v>0</v>
      </c>
    </row>
    <row r="57" spans="1:17" ht="27.75" customHeight="1">
      <c r="A57" s="1037"/>
      <c r="B57" s="6" t="s">
        <v>45</v>
      </c>
      <c r="C57" s="23">
        <f t="shared" ref="C57:N57" si="12">SUM(C55:C56)</f>
        <v>22093</v>
      </c>
      <c r="D57" s="23">
        <f t="shared" si="12"/>
        <v>15591</v>
      </c>
      <c r="E57" s="23">
        <f t="shared" si="12"/>
        <v>10210</v>
      </c>
      <c r="F57" s="23">
        <f t="shared" si="12"/>
        <v>13342</v>
      </c>
      <c r="G57" s="23">
        <f t="shared" si="12"/>
        <v>130</v>
      </c>
      <c r="H57" s="23">
        <f t="shared" si="12"/>
        <v>73</v>
      </c>
      <c r="I57" s="23">
        <f t="shared" si="12"/>
        <v>3933</v>
      </c>
      <c r="J57" s="23">
        <f t="shared" si="12"/>
        <v>9499</v>
      </c>
      <c r="K57" s="23">
        <f t="shared" si="12"/>
        <v>2719</v>
      </c>
      <c r="L57" s="23">
        <f t="shared" si="12"/>
        <v>5358</v>
      </c>
      <c r="M57" s="23">
        <f t="shared" si="12"/>
        <v>3962</v>
      </c>
      <c r="N57" s="23">
        <f t="shared" si="12"/>
        <v>22719</v>
      </c>
      <c r="O57" s="23">
        <f>SUM(C57:N57)</f>
        <v>109629</v>
      </c>
    </row>
    <row r="58" spans="1:17" ht="43.5" customHeight="1">
      <c r="A58" s="1056" t="s">
        <v>137</v>
      </c>
      <c r="B58" s="1056"/>
      <c r="C58" s="38">
        <f t="shared" ref="C58:N58" si="13">SUM(C53,C57)</f>
        <v>7331622</v>
      </c>
      <c r="D58" s="38">
        <f t="shared" si="13"/>
        <v>5760334</v>
      </c>
      <c r="E58" s="38">
        <f t="shared" si="13"/>
        <v>4836287</v>
      </c>
      <c r="F58" s="38">
        <f t="shared" si="13"/>
        <v>3098420</v>
      </c>
      <c r="G58" s="38">
        <f t="shared" si="13"/>
        <v>2471213</v>
      </c>
      <c r="H58" s="38">
        <f t="shared" si="13"/>
        <v>2013949</v>
      </c>
      <c r="I58" s="38">
        <f t="shared" si="13"/>
        <v>2010086</v>
      </c>
      <c r="J58" s="38">
        <f t="shared" si="13"/>
        <v>1931444</v>
      </c>
      <c r="K58" s="38">
        <f t="shared" si="13"/>
        <v>2056038</v>
      </c>
      <c r="L58" s="38">
        <f t="shared" si="13"/>
        <v>2450579</v>
      </c>
      <c r="M58" s="38">
        <f t="shared" si="13"/>
        <v>4474377</v>
      </c>
      <c r="N58" s="38">
        <f t="shared" si="13"/>
        <v>7059707</v>
      </c>
      <c r="O58" s="38">
        <f>SUM(C58:N58)</f>
        <v>45494056</v>
      </c>
    </row>
    <row r="59" spans="1:17"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0"/>
      <c r="N59" s="420"/>
      <c r="O59" s="420"/>
    </row>
    <row r="60" spans="1:17" ht="33" customHeight="1">
      <c r="A60" s="52" t="s">
        <v>150</v>
      </c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0"/>
      <c r="N60" s="420"/>
      <c r="O60" s="947" t="s">
        <v>135</v>
      </c>
    </row>
    <row r="61" spans="1:17" ht="27.75" customHeight="1">
      <c r="A61" s="1035" t="s">
        <v>1</v>
      </c>
      <c r="B61" s="1035"/>
      <c r="C61" s="948" t="s">
        <v>69</v>
      </c>
      <c r="D61" s="948" t="s">
        <v>71</v>
      </c>
      <c r="E61" s="948" t="s">
        <v>72</v>
      </c>
      <c r="F61" s="948" t="s">
        <v>73</v>
      </c>
      <c r="G61" s="948" t="s">
        <v>74</v>
      </c>
      <c r="H61" s="948" t="s">
        <v>75</v>
      </c>
      <c r="I61" s="948" t="s">
        <v>76</v>
      </c>
      <c r="J61" s="948" t="s">
        <v>77</v>
      </c>
      <c r="K61" s="948" t="s">
        <v>78</v>
      </c>
      <c r="L61" s="948" t="s">
        <v>79</v>
      </c>
      <c r="M61" s="948" t="s">
        <v>80</v>
      </c>
      <c r="N61" s="948" t="s">
        <v>81</v>
      </c>
      <c r="O61" s="948" t="s">
        <v>51</v>
      </c>
    </row>
    <row r="62" spans="1:17" ht="27.75" customHeight="1">
      <c r="A62" s="1037" t="s">
        <v>41</v>
      </c>
      <c r="B62" s="7" t="s">
        <v>106</v>
      </c>
      <c r="C62" s="15">
        <v>24454</v>
      </c>
      <c r="D62" s="15">
        <v>21434</v>
      </c>
      <c r="E62" s="15">
        <v>23806</v>
      </c>
      <c r="F62" s="15">
        <v>17712</v>
      </c>
      <c r="G62" s="15">
        <v>19135</v>
      </c>
      <c r="H62" s="15">
        <v>18221</v>
      </c>
      <c r="I62" s="15">
        <v>19641</v>
      </c>
      <c r="J62" s="15">
        <v>19476</v>
      </c>
      <c r="K62" s="15">
        <v>18506</v>
      </c>
      <c r="L62" s="15">
        <v>15553</v>
      </c>
      <c r="M62" s="15">
        <v>19917</v>
      </c>
      <c r="N62" s="15">
        <v>21298</v>
      </c>
      <c r="O62" s="15">
        <f>SUM(C62:N62)</f>
        <v>239153</v>
      </c>
      <c r="P62" s="113"/>
      <c r="Q62" s="113"/>
    </row>
    <row r="63" spans="1:17" ht="27.75" customHeight="1">
      <c r="A63" s="1037"/>
      <c r="B63" s="8" t="s">
        <v>107</v>
      </c>
      <c r="C63" s="19">
        <v>5322405</v>
      </c>
      <c r="D63" s="19">
        <v>3943850</v>
      </c>
      <c r="E63" s="19">
        <v>3046553</v>
      </c>
      <c r="F63" s="19">
        <v>1529703</v>
      </c>
      <c r="G63" s="19">
        <v>960115</v>
      </c>
      <c r="H63" s="19">
        <v>526055</v>
      </c>
      <c r="I63" s="19">
        <v>472863</v>
      </c>
      <c r="J63" s="19">
        <v>450866</v>
      </c>
      <c r="K63" s="19">
        <v>503423</v>
      </c>
      <c r="L63" s="19">
        <v>1059797</v>
      </c>
      <c r="M63" s="19">
        <v>2785217</v>
      </c>
      <c r="N63" s="19">
        <v>4992490</v>
      </c>
      <c r="O63" s="19">
        <f t="shared" ref="O63:O64" si="14">SUM(C63:N63)</f>
        <v>25593337</v>
      </c>
      <c r="P63" s="113"/>
      <c r="Q63" s="113"/>
    </row>
    <row r="64" spans="1:17" ht="27.75" customHeight="1">
      <c r="A64" s="1037"/>
      <c r="B64" s="8" t="s">
        <v>44</v>
      </c>
      <c r="C64" s="19">
        <v>103898</v>
      </c>
      <c r="D64" s="19">
        <v>86931</v>
      </c>
      <c r="E64" s="19">
        <v>75416</v>
      </c>
      <c r="F64" s="19">
        <v>38905</v>
      </c>
      <c r="G64" s="19">
        <v>23236</v>
      </c>
      <c r="H64" s="19">
        <v>16898</v>
      </c>
      <c r="I64" s="19">
        <v>13231</v>
      </c>
      <c r="J64" s="19">
        <v>11770</v>
      </c>
      <c r="K64" s="19">
        <v>14278</v>
      </c>
      <c r="L64" s="19">
        <v>27684</v>
      </c>
      <c r="M64" s="19">
        <v>70475</v>
      </c>
      <c r="N64" s="19">
        <v>100030</v>
      </c>
      <c r="O64" s="19">
        <f t="shared" si="14"/>
        <v>582752</v>
      </c>
      <c r="P64" s="113"/>
      <c r="Q64" s="113"/>
    </row>
    <row r="65" spans="1:15" ht="27.75" customHeight="1">
      <c r="A65" s="1037"/>
      <c r="B65" s="97" t="s">
        <v>46</v>
      </c>
      <c r="C65" s="945">
        <f t="shared" ref="C65:N65" si="15">SUM(C62:C64)</f>
        <v>5450757</v>
      </c>
      <c r="D65" s="945">
        <f t="shared" si="15"/>
        <v>4052215</v>
      </c>
      <c r="E65" s="945">
        <f t="shared" si="15"/>
        <v>3145775</v>
      </c>
      <c r="F65" s="945">
        <f t="shared" si="15"/>
        <v>1586320</v>
      </c>
      <c r="G65" s="945">
        <f t="shared" si="15"/>
        <v>1002486</v>
      </c>
      <c r="H65" s="945">
        <f t="shared" si="15"/>
        <v>561174</v>
      </c>
      <c r="I65" s="945">
        <f t="shared" si="15"/>
        <v>505735</v>
      </c>
      <c r="J65" s="945">
        <f t="shared" si="15"/>
        <v>482112</v>
      </c>
      <c r="K65" s="945">
        <f t="shared" si="15"/>
        <v>536207</v>
      </c>
      <c r="L65" s="945">
        <f t="shared" si="15"/>
        <v>1103034</v>
      </c>
      <c r="M65" s="945">
        <f t="shared" si="15"/>
        <v>2875609</v>
      </c>
      <c r="N65" s="945">
        <f t="shared" si="15"/>
        <v>5113818</v>
      </c>
      <c r="O65" s="945">
        <f t="shared" ref="O65:O81" si="16">SUM(C65:N65)</f>
        <v>26415242</v>
      </c>
    </row>
    <row r="66" spans="1:15" ht="27.75" customHeight="1">
      <c r="A66" s="11" t="s">
        <v>102</v>
      </c>
      <c r="B66" s="39" t="s">
        <v>108</v>
      </c>
      <c r="C66" s="38">
        <v>163151</v>
      </c>
      <c r="D66" s="38">
        <v>140031</v>
      </c>
      <c r="E66" s="38">
        <v>158137</v>
      </c>
      <c r="F66" s="38">
        <v>137382</v>
      </c>
      <c r="G66" s="38">
        <v>137533</v>
      </c>
      <c r="H66" s="38">
        <v>127251</v>
      </c>
      <c r="I66" s="38">
        <v>132157</v>
      </c>
      <c r="J66" s="38">
        <v>126389</v>
      </c>
      <c r="K66" s="38">
        <v>121448</v>
      </c>
      <c r="L66" s="38">
        <v>127991</v>
      </c>
      <c r="M66" s="38">
        <v>147085</v>
      </c>
      <c r="N66" s="38">
        <v>170561</v>
      </c>
      <c r="O66" s="38">
        <f t="shared" si="16"/>
        <v>1689116</v>
      </c>
    </row>
    <row r="67" spans="1:15" ht="27.75" customHeight="1">
      <c r="A67" s="1037" t="s">
        <v>47</v>
      </c>
      <c r="B67" s="7" t="s">
        <v>108</v>
      </c>
      <c r="C67" s="15">
        <v>79237</v>
      </c>
      <c r="D67" s="15">
        <v>68952</v>
      </c>
      <c r="E67" s="15">
        <v>80700</v>
      </c>
      <c r="F67" s="15">
        <v>74075</v>
      </c>
      <c r="G67" s="15">
        <v>71688</v>
      </c>
      <c r="H67" s="15">
        <v>63259</v>
      </c>
      <c r="I67" s="15">
        <v>57945</v>
      </c>
      <c r="J67" s="15">
        <v>55205</v>
      </c>
      <c r="K67" s="15">
        <v>57151</v>
      </c>
      <c r="L67" s="15">
        <v>58394</v>
      </c>
      <c r="M67" s="15">
        <v>79485</v>
      </c>
      <c r="N67" s="15">
        <v>84967</v>
      </c>
      <c r="O67" s="15">
        <f t="shared" si="16"/>
        <v>831058</v>
      </c>
    </row>
    <row r="68" spans="1:15" ht="27.75" customHeight="1">
      <c r="A68" s="1037"/>
      <c r="B68" s="8" t="s">
        <v>109</v>
      </c>
      <c r="C68" s="19">
        <v>174460</v>
      </c>
      <c r="D68" s="19">
        <v>143225</v>
      </c>
      <c r="E68" s="19">
        <v>125891</v>
      </c>
      <c r="F68" s="19">
        <v>81772</v>
      </c>
      <c r="G68" s="19">
        <v>70483</v>
      </c>
      <c r="H68" s="19">
        <v>55136</v>
      </c>
      <c r="I68" s="19">
        <v>53420</v>
      </c>
      <c r="J68" s="19">
        <v>53652</v>
      </c>
      <c r="K68" s="19">
        <v>53895</v>
      </c>
      <c r="L68" s="19">
        <v>78534</v>
      </c>
      <c r="M68" s="19">
        <v>115549</v>
      </c>
      <c r="N68" s="19">
        <v>173249</v>
      </c>
      <c r="O68" s="19">
        <f t="shared" si="16"/>
        <v>1179266</v>
      </c>
    </row>
    <row r="69" spans="1:15" ht="27.75" customHeight="1">
      <c r="A69" s="1037"/>
      <c r="B69" s="8" t="s">
        <v>110</v>
      </c>
      <c r="C69" s="19">
        <v>154658</v>
      </c>
      <c r="D69" s="19">
        <v>115075</v>
      </c>
      <c r="E69" s="19">
        <v>92802</v>
      </c>
      <c r="F69" s="19">
        <v>41607</v>
      </c>
      <c r="G69" s="19">
        <v>28714</v>
      </c>
      <c r="H69" s="19">
        <v>20903</v>
      </c>
      <c r="I69" s="19">
        <v>19953</v>
      </c>
      <c r="J69" s="19">
        <v>19976</v>
      </c>
      <c r="K69" s="19">
        <v>19896</v>
      </c>
      <c r="L69" s="19">
        <v>32902</v>
      </c>
      <c r="M69" s="19">
        <v>82238</v>
      </c>
      <c r="N69" s="19">
        <v>130404</v>
      </c>
      <c r="O69" s="19">
        <f t="shared" si="16"/>
        <v>759128</v>
      </c>
    </row>
    <row r="70" spans="1:15" ht="27.75" customHeight="1">
      <c r="A70" s="1037"/>
      <c r="B70" s="8" t="s">
        <v>129</v>
      </c>
      <c r="C70" s="19">
        <v>173924</v>
      </c>
      <c r="D70" s="19">
        <v>123010</v>
      </c>
      <c r="E70" s="19">
        <v>72177</v>
      </c>
      <c r="F70" s="19">
        <v>39827</v>
      </c>
      <c r="G70" s="19">
        <v>61287</v>
      </c>
      <c r="H70" s="19">
        <v>124335</v>
      </c>
      <c r="I70" s="19">
        <v>207941</v>
      </c>
      <c r="J70" s="19">
        <v>217655</v>
      </c>
      <c r="K70" s="19">
        <v>123155</v>
      </c>
      <c r="L70" s="19">
        <v>51358</v>
      </c>
      <c r="M70" s="19">
        <v>71459</v>
      </c>
      <c r="N70" s="19">
        <v>145027</v>
      </c>
      <c r="O70" s="19">
        <f t="shared" si="16"/>
        <v>1411155</v>
      </c>
    </row>
    <row r="71" spans="1:15" ht="27.75" customHeight="1">
      <c r="A71" s="1037"/>
      <c r="B71" s="8" t="s">
        <v>112</v>
      </c>
      <c r="C71" s="19">
        <v>12900</v>
      </c>
      <c r="D71" s="19">
        <v>9478</v>
      </c>
      <c r="E71" s="19">
        <v>7741</v>
      </c>
      <c r="F71" s="19">
        <v>3280</v>
      </c>
      <c r="G71" s="19">
        <v>3400</v>
      </c>
      <c r="H71" s="19">
        <v>2034</v>
      </c>
      <c r="I71" s="19">
        <v>1695</v>
      </c>
      <c r="J71" s="19">
        <v>1546</v>
      </c>
      <c r="K71" s="19">
        <v>1618</v>
      </c>
      <c r="L71" s="19">
        <v>2473</v>
      </c>
      <c r="M71" s="19">
        <v>7314</v>
      </c>
      <c r="N71" s="19">
        <v>11656</v>
      </c>
      <c r="O71" s="19">
        <f t="shared" si="16"/>
        <v>65135</v>
      </c>
    </row>
    <row r="72" spans="1:15" ht="27.75" customHeight="1">
      <c r="A72" s="1037"/>
      <c r="B72" s="97" t="s">
        <v>46</v>
      </c>
      <c r="C72" s="945">
        <f t="shared" ref="C72:N72" si="17">SUM(C67:C71)</f>
        <v>595179</v>
      </c>
      <c r="D72" s="945">
        <f t="shared" si="17"/>
        <v>459740</v>
      </c>
      <c r="E72" s="945">
        <f t="shared" si="17"/>
        <v>379311</v>
      </c>
      <c r="F72" s="945">
        <f t="shared" si="17"/>
        <v>240561</v>
      </c>
      <c r="G72" s="945">
        <f t="shared" si="17"/>
        <v>235572</v>
      </c>
      <c r="H72" s="945">
        <f t="shared" si="17"/>
        <v>265667</v>
      </c>
      <c r="I72" s="945">
        <f t="shared" si="17"/>
        <v>340954</v>
      </c>
      <c r="J72" s="945">
        <f t="shared" si="17"/>
        <v>348034</v>
      </c>
      <c r="K72" s="945">
        <f t="shared" si="17"/>
        <v>255715</v>
      </c>
      <c r="L72" s="945">
        <f t="shared" si="17"/>
        <v>223661</v>
      </c>
      <c r="M72" s="945">
        <f t="shared" si="17"/>
        <v>356045</v>
      </c>
      <c r="N72" s="945">
        <f t="shared" si="17"/>
        <v>545303</v>
      </c>
      <c r="O72" s="945">
        <f t="shared" si="16"/>
        <v>4245742</v>
      </c>
    </row>
    <row r="73" spans="1:15" ht="27.75" customHeight="1">
      <c r="A73" s="1054" t="s">
        <v>48</v>
      </c>
      <c r="B73" s="1054"/>
      <c r="C73" s="38">
        <v>840776</v>
      </c>
      <c r="D73" s="38">
        <v>851125</v>
      </c>
      <c r="E73" s="38">
        <v>888814</v>
      </c>
      <c r="F73" s="38">
        <v>844917</v>
      </c>
      <c r="G73" s="38">
        <v>805826</v>
      </c>
      <c r="H73" s="38">
        <v>771865</v>
      </c>
      <c r="I73" s="38">
        <v>728763</v>
      </c>
      <c r="J73" s="38">
        <v>665583</v>
      </c>
      <c r="K73" s="38">
        <v>856484</v>
      </c>
      <c r="L73" s="38">
        <v>696389</v>
      </c>
      <c r="M73" s="38">
        <v>839272</v>
      </c>
      <c r="N73" s="38">
        <v>963394</v>
      </c>
      <c r="O73" s="38">
        <f t="shared" si="16"/>
        <v>9753208</v>
      </c>
    </row>
    <row r="74" spans="1:15" ht="27.75" customHeight="1">
      <c r="A74" s="1054" t="s">
        <v>130</v>
      </c>
      <c r="B74" s="1054"/>
      <c r="C74" s="38">
        <v>23878</v>
      </c>
      <c r="D74" s="38">
        <v>21325</v>
      </c>
      <c r="E74" s="38">
        <v>19807</v>
      </c>
      <c r="F74" s="38">
        <v>18546</v>
      </c>
      <c r="G74" s="38">
        <v>20169</v>
      </c>
      <c r="H74" s="38">
        <v>17511</v>
      </c>
      <c r="I74" s="38">
        <v>18453</v>
      </c>
      <c r="J74" s="38">
        <v>19803</v>
      </c>
      <c r="K74" s="38">
        <v>18043</v>
      </c>
      <c r="L74" s="38">
        <v>20336</v>
      </c>
      <c r="M74" s="38">
        <v>19948</v>
      </c>
      <c r="N74" s="38">
        <v>21246</v>
      </c>
      <c r="O74" s="38">
        <f t="shared" si="16"/>
        <v>239065</v>
      </c>
    </row>
    <row r="75" spans="1:15" ht="27.75" customHeight="1">
      <c r="A75" s="1054" t="s">
        <v>131</v>
      </c>
      <c r="B75" s="1054"/>
      <c r="C75" s="38">
        <v>19245</v>
      </c>
      <c r="D75" s="38">
        <v>17378</v>
      </c>
      <c r="E75" s="38">
        <v>19235</v>
      </c>
      <c r="F75" s="38">
        <v>18609</v>
      </c>
      <c r="G75" s="38">
        <v>19230</v>
      </c>
      <c r="H75" s="38">
        <v>19452</v>
      </c>
      <c r="I75" s="38">
        <v>22118</v>
      </c>
      <c r="J75" s="38">
        <v>22119</v>
      </c>
      <c r="K75" s="38">
        <v>21408</v>
      </c>
      <c r="L75" s="38">
        <v>22119</v>
      </c>
      <c r="M75" s="38">
        <v>21408</v>
      </c>
      <c r="N75" s="38">
        <v>22119</v>
      </c>
      <c r="O75" s="38">
        <f t="shared" si="16"/>
        <v>244440</v>
      </c>
    </row>
    <row r="76" spans="1:15" ht="27.75" customHeight="1">
      <c r="A76" s="1054" t="s">
        <v>132</v>
      </c>
      <c r="B76" s="1054"/>
      <c r="C76" s="38">
        <v>82008</v>
      </c>
      <c r="D76" s="38">
        <v>67098</v>
      </c>
      <c r="E76" s="38">
        <v>46907</v>
      </c>
      <c r="F76" s="38">
        <v>25103</v>
      </c>
      <c r="G76" s="38">
        <v>9861</v>
      </c>
      <c r="H76" s="38">
        <v>4367</v>
      </c>
      <c r="I76" s="38">
        <v>2617</v>
      </c>
      <c r="J76" s="38">
        <v>1917</v>
      </c>
      <c r="K76" s="38">
        <v>2251</v>
      </c>
      <c r="L76" s="38">
        <v>10255</v>
      </c>
      <c r="M76" s="38">
        <v>33218</v>
      </c>
      <c r="N76" s="38">
        <v>67750</v>
      </c>
      <c r="O76" s="38">
        <f t="shared" si="16"/>
        <v>353352</v>
      </c>
    </row>
    <row r="77" spans="1:15" ht="27.75" customHeight="1">
      <c r="A77" s="1054" t="s">
        <v>133</v>
      </c>
      <c r="B77" s="1054"/>
      <c r="C77" s="38">
        <v>10184</v>
      </c>
      <c r="D77" s="38">
        <v>741</v>
      </c>
      <c r="E77" s="38">
        <v>660</v>
      </c>
      <c r="F77" s="38">
        <v>576</v>
      </c>
      <c r="G77" s="38">
        <v>473</v>
      </c>
      <c r="H77" s="38">
        <v>646</v>
      </c>
      <c r="I77" s="38">
        <v>809</v>
      </c>
      <c r="J77" s="38">
        <v>776</v>
      </c>
      <c r="K77" s="38">
        <v>696</v>
      </c>
      <c r="L77" s="38">
        <v>18056</v>
      </c>
      <c r="M77" s="38">
        <v>514</v>
      </c>
      <c r="N77" s="38">
        <v>685</v>
      </c>
      <c r="O77" s="38">
        <f t="shared" si="16"/>
        <v>34816</v>
      </c>
    </row>
    <row r="78" spans="1:15" ht="27.75" customHeight="1">
      <c r="A78" s="1037" t="s">
        <v>113</v>
      </c>
      <c r="B78" s="7" t="s">
        <v>114</v>
      </c>
      <c r="C78" s="15">
        <v>254842</v>
      </c>
      <c r="D78" s="15">
        <v>227780</v>
      </c>
      <c r="E78" s="15">
        <v>252234</v>
      </c>
      <c r="F78" s="15">
        <v>244711</v>
      </c>
      <c r="G78" s="15">
        <v>257259</v>
      </c>
      <c r="H78" s="15">
        <v>255376</v>
      </c>
      <c r="I78" s="15">
        <v>270360</v>
      </c>
      <c r="J78" s="15">
        <v>271875</v>
      </c>
      <c r="K78" s="15">
        <v>252189</v>
      </c>
      <c r="L78" s="15">
        <v>251409</v>
      </c>
      <c r="M78" s="15">
        <v>251419</v>
      </c>
      <c r="N78" s="15">
        <v>255792</v>
      </c>
      <c r="O78" s="15">
        <f t="shared" si="16"/>
        <v>3045246</v>
      </c>
    </row>
    <row r="79" spans="1:15" ht="27.75" customHeight="1">
      <c r="A79" s="1037"/>
      <c r="B79" s="8" t="s">
        <v>128</v>
      </c>
      <c r="C79" s="19">
        <v>12931</v>
      </c>
      <c r="D79" s="19">
        <v>11558</v>
      </c>
      <c r="E79" s="19">
        <v>12799</v>
      </c>
      <c r="F79" s="19">
        <v>12417</v>
      </c>
      <c r="G79" s="19">
        <v>13054</v>
      </c>
      <c r="H79" s="19">
        <v>12958</v>
      </c>
      <c r="I79" s="19">
        <v>13718</v>
      </c>
      <c r="J79" s="19">
        <v>13795</v>
      </c>
      <c r="K79" s="19">
        <v>12796</v>
      </c>
      <c r="L79" s="19">
        <v>12757</v>
      </c>
      <c r="M79" s="19">
        <v>12757</v>
      </c>
      <c r="N79" s="19">
        <v>12979</v>
      </c>
      <c r="O79" s="19">
        <f t="shared" si="16"/>
        <v>154519</v>
      </c>
    </row>
    <row r="80" spans="1:15" ht="27.75" customHeight="1">
      <c r="A80" s="1037"/>
      <c r="B80" s="97" t="s">
        <v>46</v>
      </c>
      <c r="C80" s="945">
        <f t="shared" ref="C80:N80" si="18">SUM(C78:C79)</f>
        <v>267773</v>
      </c>
      <c r="D80" s="945">
        <f t="shared" si="18"/>
        <v>239338</v>
      </c>
      <c r="E80" s="945">
        <f t="shared" si="18"/>
        <v>265033</v>
      </c>
      <c r="F80" s="945">
        <f t="shared" si="18"/>
        <v>257128</v>
      </c>
      <c r="G80" s="945">
        <f t="shared" si="18"/>
        <v>270313</v>
      </c>
      <c r="H80" s="945">
        <f t="shared" si="18"/>
        <v>268334</v>
      </c>
      <c r="I80" s="945">
        <f t="shared" si="18"/>
        <v>284078</v>
      </c>
      <c r="J80" s="945">
        <f t="shared" si="18"/>
        <v>285670</v>
      </c>
      <c r="K80" s="945">
        <f t="shared" si="18"/>
        <v>264985</v>
      </c>
      <c r="L80" s="945">
        <f t="shared" si="18"/>
        <v>264166</v>
      </c>
      <c r="M80" s="945">
        <f t="shared" si="18"/>
        <v>264176</v>
      </c>
      <c r="N80" s="945">
        <f t="shared" si="18"/>
        <v>268771</v>
      </c>
      <c r="O80" s="945">
        <f t="shared" si="16"/>
        <v>3199765</v>
      </c>
    </row>
    <row r="81" spans="1:16" ht="27.75" customHeight="1">
      <c r="A81" s="1050" t="s">
        <v>51</v>
      </c>
      <c r="B81" s="1050"/>
      <c r="C81" s="946">
        <f t="shared" ref="C81:N81" si="19">SUM(C65,C66,C72,C73:C77,C80)</f>
        <v>7452951</v>
      </c>
      <c r="D81" s="946">
        <f t="shared" si="19"/>
        <v>5848991</v>
      </c>
      <c r="E81" s="946">
        <f t="shared" si="19"/>
        <v>4923679</v>
      </c>
      <c r="F81" s="946">
        <f t="shared" si="19"/>
        <v>3129142</v>
      </c>
      <c r="G81" s="946">
        <f t="shared" si="19"/>
        <v>2501463</v>
      </c>
      <c r="H81" s="946">
        <f t="shared" si="19"/>
        <v>2036267</v>
      </c>
      <c r="I81" s="946">
        <f t="shared" si="19"/>
        <v>2035684</v>
      </c>
      <c r="J81" s="946">
        <f t="shared" si="19"/>
        <v>1952403</v>
      </c>
      <c r="K81" s="946">
        <f t="shared" si="19"/>
        <v>2077237</v>
      </c>
      <c r="L81" s="946">
        <f t="shared" si="19"/>
        <v>2486007</v>
      </c>
      <c r="M81" s="946">
        <f t="shared" si="19"/>
        <v>4557275</v>
      </c>
      <c r="N81" s="946">
        <f t="shared" si="19"/>
        <v>7173647</v>
      </c>
      <c r="O81" s="946">
        <f t="shared" si="16"/>
        <v>46174746</v>
      </c>
      <c r="P81" s="420"/>
    </row>
    <row r="82" spans="1:16" ht="10.5" customHeight="1">
      <c r="C82" s="420"/>
      <c r="D82" s="420"/>
      <c r="E82" s="420"/>
      <c r="F82" s="420"/>
      <c r="G82" s="420"/>
      <c r="H82" s="420"/>
      <c r="I82" s="420"/>
      <c r="J82" s="420"/>
      <c r="K82" s="420"/>
      <c r="L82" s="420"/>
      <c r="M82" s="420"/>
      <c r="N82" s="420"/>
      <c r="O82" s="420"/>
    </row>
    <row r="83" spans="1:16" ht="27.75" customHeight="1">
      <c r="A83" s="1036" t="s">
        <v>138</v>
      </c>
      <c r="B83" s="7" t="s">
        <v>136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>
        <f>SUM(C83:N83)</f>
        <v>0</v>
      </c>
    </row>
    <row r="84" spans="1:16" ht="27.75" customHeight="1">
      <c r="A84" s="1037"/>
      <c r="B84" s="8" t="s">
        <v>49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>
        <f>SUM(C84:N84)</f>
        <v>0</v>
      </c>
    </row>
    <row r="85" spans="1:16" ht="27.75" customHeight="1">
      <c r="A85" s="1037"/>
      <c r="B85" s="6" t="s">
        <v>45</v>
      </c>
      <c r="C85" s="23">
        <f t="shared" ref="C85:N85" si="20">SUM(C83:C84)</f>
        <v>0</v>
      </c>
      <c r="D85" s="23">
        <f t="shared" si="20"/>
        <v>0</v>
      </c>
      <c r="E85" s="23">
        <f t="shared" si="20"/>
        <v>0</v>
      </c>
      <c r="F85" s="23">
        <f t="shared" si="20"/>
        <v>0</v>
      </c>
      <c r="G85" s="23">
        <f t="shared" si="20"/>
        <v>0</v>
      </c>
      <c r="H85" s="23">
        <f t="shared" si="20"/>
        <v>0</v>
      </c>
      <c r="I85" s="23">
        <f t="shared" si="20"/>
        <v>0</v>
      </c>
      <c r="J85" s="23">
        <f t="shared" si="20"/>
        <v>0</v>
      </c>
      <c r="K85" s="23">
        <f t="shared" si="20"/>
        <v>0</v>
      </c>
      <c r="L85" s="23">
        <f t="shared" si="20"/>
        <v>0</v>
      </c>
      <c r="M85" s="23">
        <f t="shared" si="20"/>
        <v>0</v>
      </c>
      <c r="N85" s="23">
        <f t="shared" si="20"/>
        <v>0</v>
      </c>
      <c r="O85" s="23">
        <f>SUM(C85:N85)</f>
        <v>0</v>
      </c>
    </row>
    <row r="86" spans="1:16" ht="43.5" customHeight="1">
      <c r="A86" s="1056" t="s">
        <v>137</v>
      </c>
      <c r="B86" s="1056"/>
      <c r="C86" s="38">
        <f t="shared" ref="C86:N86" si="21">SUM(C81,C85)</f>
        <v>7452951</v>
      </c>
      <c r="D86" s="38">
        <f t="shared" si="21"/>
        <v>5848991</v>
      </c>
      <c r="E86" s="38">
        <f t="shared" si="21"/>
        <v>4923679</v>
      </c>
      <c r="F86" s="38">
        <f t="shared" si="21"/>
        <v>3129142</v>
      </c>
      <c r="G86" s="38">
        <f t="shared" si="21"/>
        <v>2501463</v>
      </c>
      <c r="H86" s="38">
        <f t="shared" si="21"/>
        <v>2036267</v>
      </c>
      <c r="I86" s="38">
        <f t="shared" si="21"/>
        <v>2035684</v>
      </c>
      <c r="J86" s="38">
        <f t="shared" si="21"/>
        <v>1952403</v>
      </c>
      <c r="K86" s="38">
        <f t="shared" si="21"/>
        <v>2077237</v>
      </c>
      <c r="L86" s="38">
        <f t="shared" si="21"/>
        <v>2486007</v>
      </c>
      <c r="M86" s="38">
        <f t="shared" si="21"/>
        <v>4557275</v>
      </c>
      <c r="N86" s="38">
        <f t="shared" si="21"/>
        <v>7173647</v>
      </c>
      <c r="O86" s="38">
        <f>SUM(C86:N86)</f>
        <v>46174746</v>
      </c>
    </row>
    <row r="87" spans="1:16"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0"/>
      <c r="N87" s="420"/>
      <c r="O87" s="420"/>
    </row>
    <row r="88" spans="1:16" ht="33" customHeight="1">
      <c r="A88" s="52" t="s">
        <v>234</v>
      </c>
      <c r="C88" s="420"/>
      <c r="D88" s="420"/>
      <c r="E88" s="420"/>
      <c r="F88" s="420"/>
      <c r="G88" s="420"/>
      <c r="H88" s="420"/>
      <c r="I88" s="420"/>
      <c r="J88" s="420"/>
      <c r="K88" s="420"/>
      <c r="L88" s="420"/>
      <c r="M88" s="420"/>
      <c r="N88" s="420"/>
      <c r="O88" s="947" t="s">
        <v>135</v>
      </c>
    </row>
    <row r="89" spans="1:16" ht="27.75" customHeight="1">
      <c r="A89" s="1035" t="s">
        <v>1</v>
      </c>
      <c r="B89" s="1035"/>
      <c r="C89" s="948" t="s">
        <v>69</v>
      </c>
      <c r="D89" s="948" t="s">
        <v>71</v>
      </c>
      <c r="E89" s="948" t="s">
        <v>72</v>
      </c>
      <c r="F89" s="948" t="s">
        <v>73</v>
      </c>
      <c r="G89" s="948" t="s">
        <v>74</v>
      </c>
      <c r="H89" s="948" t="s">
        <v>75</v>
      </c>
      <c r="I89" s="948" t="s">
        <v>76</v>
      </c>
      <c r="J89" s="948" t="s">
        <v>77</v>
      </c>
      <c r="K89" s="948" t="s">
        <v>78</v>
      </c>
      <c r="L89" s="948" t="s">
        <v>79</v>
      </c>
      <c r="M89" s="948" t="s">
        <v>80</v>
      </c>
      <c r="N89" s="948" t="s">
        <v>81</v>
      </c>
      <c r="O89" s="948" t="s">
        <v>51</v>
      </c>
    </row>
    <row r="90" spans="1:16" ht="27.75" customHeight="1">
      <c r="A90" s="1037" t="s">
        <v>41</v>
      </c>
      <c r="B90" s="7" t="s">
        <v>106</v>
      </c>
      <c r="C90" s="19">
        <v>23231</v>
      </c>
      <c r="D90" s="15">
        <v>20362</v>
      </c>
      <c r="E90" s="15">
        <v>22616</v>
      </c>
      <c r="F90" s="15">
        <v>16827</v>
      </c>
      <c r="G90" s="15">
        <v>18178</v>
      </c>
      <c r="H90" s="15">
        <v>17310</v>
      </c>
      <c r="I90" s="15">
        <v>18659</v>
      </c>
      <c r="J90" s="15">
        <v>18502</v>
      </c>
      <c r="K90" s="15">
        <v>17581</v>
      </c>
      <c r="L90" s="15">
        <v>14775</v>
      </c>
      <c r="M90" s="15">
        <v>18921</v>
      </c>
      <c r="N90" s="15">
        <v>20233</v>
      </c>
      <c r="O90" s="951">
        <f>SUM(C90:N90)</f>
        <v>227195</v>
      </c>
    </row>
    <row r="91" spans="1:16" ht="27.75" customHeight="1">
      <c r="A91" s="1037"/>
      <c r="B91" s="8" t="s">
        <v>107</v>
      </c>
      <c r="C91" s="19">
        <v>4962537</v>
      </c>
      <c r="D91" s="19">
        <v>3677191</v>
      </c>
      <c r="E91" s="19">
        <v>2840564</v>
      </c>
      <c r="F91" s="19">
        <v>1426274</v>
      </c>
      <c r="G91" s="19">
        <v>895198</v>
      </c>
      <c r="H91" s="19">
        <v>490487</v>
      </c>
      <c r="I91" s="19">
        <v>440891</v>
      </c>
      <c r="J91" s="19">
        <v>420381</v>
      </c>
      <c r="K91" s="19">
        <v>469384</v>
      </c>
      <c r="L91" s="19">
        <v>988140</v>
      </c>
      <c r="M91" s="19">
        <v>2596898</v>
      </c>
      <c r="N91" s="19">
        <v>4654929</v>
      </c>
      <c r="O91" s="19">
        <f>SUM(C91:N91)</f>
        <v>23862874</v>
      </c>
    </row>
    <row r="92" spans="1:16" ht="27.75" customHeight="1">
      <c r="A92" s="1037"/>
      <c r="B92" s="8" t="s">
        <v>44</v>
      </c>
      <c r="C92" s="19">
        <v>98703</v>
      </c>
      <c r="D92" s="19">
        <v>82585</v>
      </c>
      <c r="E92" s="19">
        <v>71645</v>
      </c>
      <c r="F92" s="19">
        <v>36960</v>
      </c>
      <c r="G92" s="19">
        <v>22074</v>
      </c>
      <c r="H92" s="19">
        <v>16053</v>
      </c>
      <c r="I92" s="19">
        <v>12570</v>
      </c>
      <c r="J92" s="19">
        <v>11181</v>
      </c>
      <c r="K92" s="19">
        <v>13564</v>
      </c>
      <c r="L92" s="19">
        <v>26299</v>
      </c>
      <c r="M92" s="19">
        <v>66952</v>
      </c>
      <c r="N92" s="19">
        <v>95028</v>
      </c>
      <c r="O92" s="19">
        <f>SUM(C92:N92)</f>
        <v>553614</v>
      </c>
      <c r="P92" s="113"/>
    </row>
    <row r="93" spans="1:16" ht="27.75" customHeight="1">
      <c r="A93" s="1037"/>
      <c r="B93" s="97" t="s">
        <v>46</v>
      </c>
      <c r="C93" s="945">
        <f t="shared" ref="C93:N93" si="22">SUM(C90:C92)</f>
        <v>5084471</v>
      </c>
      <c r="D93" s="945">
        <f t="shared" si="22"/>
        <v>3780138</v>
      </c>
      <c r="E93" s="945">
        <f t="shared" si="22"/>
        <v>2934825</v>
      </c>
      <c r="F93" s="945">
        <f t="shared" si="22"/>
        <v>1480061</v>
      </c>
      <c r="G93" s="945">
        <f t="shared" si="22"/>
        <v>935450</v>
      </c>
      <c r="H93" s="945">
        <f t="shared" si="22"/>
        <v>523850</v>
      </c>
      <c r="I93" s="945">
        <f t="shared" si="22"/>
        <v>472120</v>
      </c>
      <c r="J93" s="945">
        <f t="shared" si="22"/>
        <v>450064</v>
      </c>
      <c r="K93" s="945">
        <f t="shared" si="22"/>
        <v>500529</v>
      </c>
      <c r="L93" s="945">
        <f t="shared" si="22"/>
        <v>1029214</v>
      </c>
      <c r="M93" s="945">
        <f t="shared" si="22"/>
        <v>2682771</v>
      </c>
      <c r="N93" s="945">
        <f t="shared" si="22"/>
        <v>4770190</v>
      </c>
      <c r="O93" s="945">
        <f t="shared" ref="O93:O109" si="23">SUM(C93:N93)</f>
        <v>24643683</v>
      </c>
    </row>
    <row r="94" spans="1:16" ht="27.75" customHeight="1">
      <c r="A94" s="11" t="s">
        <v>102</v>
      </c>
      <c r="B94" s="39" t="s">
        <v>108</v>
      </c>
      <c r="C94" s="38">
        <v>154286</v>
      </c>
      <c r="D94" s="38">
        <v>132422</v>
      </c>
      <c r="E94" s="38">
        <v>149544</v>
      </c>
      <c r="F94" s="38">
        <v>129917</v>
      </c>
      <c r="G94" s="38">
        <v>130060</v>
      </c>
      <c r="H94" s="38">
        <v>120337</v>
      </c>
      <c r="I94" s="38">
        <v>124976</v>
      </c>
      <c r="J94" s="38">
        <v>119521</v>
      </c>
      <c r="K94" s="38">
        <v>114849</v>
      </c>
      <c r="L94" s="38">
        <v>121036</v>
      </c>
      <c r="M94" s="38">
        <v>139092</v>
      </c>
      <c r="N94" s="38">
        <v>161293</v>
      </c>
      <c r="O94" s="38">
        <f t="shared" si="23"/>
        <v>1597333</v>
      </c>
    </row>
    <row r="95" spans="1:16" ht="27.75" customHeight="1">
      <c r="A95" s="1037" t="s">
        <v>47</v>
      </c>
      <c r="B95" s="7" t="s">
        <v>108</v>
      </c>
      <c r="C95" s="15">
        <v>74784</v>
      </c>
      <c r="D95" s="15">
        <v>63184</v>
      </c>
      <c r="E95" s="15">
        <v>76288</v>
      </c>
      <c r="F95" s="15">
        <v>70025</v>
      </c>
      <c r="G95" s="15">
        <v>67769</v>
      </c>
      <c r="H95" s="15">
        <v>59800</v>
      </c>
      <c r="I95" s="15">
        <v>54777</v>
      </c>
      <c r="J95" s="15">
        <v>51887</v>
      </c>
      <c r="K95" s="15">
        <v>54026</v>
      </c>
      <c r="L95" s="15">
        <v>55202</v>
      </c>
      <c r="M95" s="15">
        <v>70892</v>
      </c>
      <c r="N95" s="15">
        <v>80321</v>
      </c>
      <c r="O95" s="15">
        <f t="shared" si="23"/>
        <v>778955</v>
      </c>
    </row>
    <row r="96" spans="1:16" ht="27.75" customHeight="1">
      <c r="A96" s="1037"/>
      <c r="B96" s="8" t="s">
        <v>109</v>
      </c>
      <c r="C96" s="19">
        <v>172611</v>
      </c>
      <c r="D96" s="19">
        <v>134917</v>
      </c>
      <c r="E96" s="19">
        <v>118588</v>
      </c>
      <c r="F96" s="19">
        <v>77028</v>
      </c>
      <c r="G96" s="19">
        <v>66395</v>
      </c>
      <c r="H96" s="19">
        <v>51937</v>
      </c>
      <c r="I96" s="19">
        <v>50321</v>
      </c>
      <c r="J96" s="19">
        <v>50539</v>
      </c>
      <c r="K96" s="19">
        <v>50768</v>
      </c>
      <c r="L96" s="19">
        <v>73978</v>
      </c>
      <c r="M96" s="19">
        <v>113244</v>
      </c>
      <c r="N96" s="19">
        <v>162752</v>
      </c>
      <c r="O96" s="19">
        <f t="shared" si="23"/>
        <v>1123078</v>
      </c>
    </row>
    <row r="97" spans="1:16" ht="27.75" customHeight="1">
      <c r="A97" s="1037"/>
      <c r="B97" s="8" t="s">
        <v>110</v>
      </c>
      <c r="C97" s="19">
        <v>144717</v>
      </c>
      <c r="D97" s="19">
        <v>109406</v>
      </c>
      <c r="E97" s="19">
        <v>73465</v>
      </c>
      <c r="F97" s="19">
        <v>37135</v>
      </c>
      <c r="G97" s="19">
        <v>26259</v>
      </c>
      <c r="H97" s="19">
        <v>18475</v>
      </c>
      <c r="I97" s="19">
        <v>18247</v>
      </c>
      <c r="J97" s="19">
        <v>18268</v>
      </c>
      <c r="K97" s="19">
        <v>18195</v>
      </c>
      <c r="L97" s="19">
        <v>27346</v>
      </c>
      <c r="M97" s="19">
        <v>72785</v>
      </c>
      <c r="N97" s="19">
        <v>117424</v>
      </c>
      <c r="O97" s="19">
        <f t="shared" si="23"/>
        <v>681722</v>
      </c>
    </row>
    <row r="98" spans="1:16" ht="27.75" customHeight="1">
      <c r="A98" s="1037"/>
      <c r="B98" s="8" t="s">
        <v>129</v>
      </c>
      <c r="C98" s="19">
        <v>167529</v>
      </c>
      <c r="D98" s="19">
        <v>119311</v>
      </c>
      <c r="E98" s="19">
        <v>70007</v>
      </c>
      <c r="F98" s="19">
        <v>38629</v>
      </c>
      <c r="G98" s="19">
        <v>59443</v>
      </c>
      <c r="H98" s="19">
        <v>120596</v>
      </c>
      <c r="I98" s="19">
        <v>200787</v>
      </c>
      <c r="J98" s="19">
        <v>210109</v>
      </c>
      <c r="K98" s="19">
        <v>119451</v>
      </c>
      <c r="L98" s="19">
        <v>49814</v>
      </c>
      <c r="M98" s="19">
        <v>68975</v>
      </c>
      <c r="N98" s="19">
        <v>141542</v>
      </c>
      <c r="O98" s="19">
        <f t="shared" si="23"/>
        <v>1366193</v>
      </c>
    </row>
    <row r="99" spans="1:16" ht="27.75" customHeight="1">
      <c r="A99" s="1037"/>
      <c r="B99" s="8" t="s">
        <v>112</v>
      </c>
      <c r="C99" s="19">
        <v>12377</v>
      </c>
      <c r="D99" s="19">
        <v>9093</v>
      </c>
      <c r="E99" s="19">
        <v>7427</v>
      </c>
      <c r="F99" s="19">
        <v>3147</v>
      </c>
      <c r="G99" s="19">
        <v>3262</v>
      </c>
      <c r="H99" s="19">
        <v>1951</v>
      </c>
      <c r="I99" s="19">
        <v>1626</v>
      </c>
      <c r="J99" s="19">
        <v>1483</v>
      </c>
      <c r="K99" s="19">
        <v>1552</v>
      </c>
      <c r="L99" s="19">
        <v>2373</v>
      </c>
      <c r="M99" s="19">
        <v>7017</v>
      </c>
      <c r="N99" s="19">
        <v>11183</v>
      </c>
      <c r="O99" s="19">
        <f t="shared" si="23"/>
        <v>62491</v>
      </c>
    </row>
    <row r="100" spans="1:16" ht="27.75" customHeight="1">
      <c r="A100" s="1037"/>
      <c r="B100" s="97" t="s">
        <v>46</v>
      </c>
      <c r="C100" s="945">
        <f t="shared" ref="C100:N100" si="24">SUM(C95:C99)</f>
        <v>572018</v>
      </c>
      <c r="D100" s="945">
        <f t="shared" si="24"/>
        <v>435911</v>
      </c>
      <c r="E100" s="945">
        <f t="shared" si="24"/>
        <v>345775</v>
      </c>
      <c r="F100" s="945">
        <f t="shared" si="24"/>
        <v>225964</v>
      </c>
      <c r="G100" s="945">
        <f t="shared" si="24"/>
        <v>223128</v>
      </c>
      <c r="H100" s="945">
        <f t="shared" si="24"/>
        <v>252759</v>
      </c>
      <c r="I100" s="945">
        <f t="shared" si="24"/>
        <v>325758</v>
      </c>
      <c r="J100" s="945">
        <f t="shared" si="24"/>
        <v>332286</v>
      </c>
      <c r="K100" s="945">
        <f t="shared" si="24"/>
        <v>243992</v>
      </c>
      <c r="L100" s="945">
        <f t="shared" si="24"/>
        <v>208713</v>
      </c>
      <c r="M100" s="945">
        <f t="shared" si="24"/>
        <v>332913</v>
      </c>
      <c r="N100" s="945">
        <f t="shared" si="24"/>
        <v>513222</v>
      </c>
      <c r="O100" s="945">
        <f t="shared" si="23"/>
        <v>4012439</v>
      </c>
    </row>
    <row r="101" spans="1:16" ht="27.75" customHeight="1">
      <c r="A101" s="1054" t="s">
        <v>48</v>
      </c>
      <c r="B101" s="1054"/>
      <c r="C101" s="38">
        <v>840564</v>
      </c>
      <c r="D101" s="38">
        <v>850066</v>
      </c>
      <c r="E101" s="38">
        <v>887332</v>
      </c>
      <c r="F101" s="38">
        <v>844070</v>
      </c>
      <c r="G101" s="38">
        <v>804767</v>
      </c>
      <c r="H101" s="38">
        <v>770807</v>
      </c>
      <c r="I101" s="38">
        <v>720736</v>
      </c>
      <c r="J101" s="38">
        <v>654556</v>
      </c>
      <c r="K101" s="38">
        <v>843687</v>
      </c>
      <c r="L101" s="38">
        <v>683592</v>
      </c>
      <c r="M101" s="38">
        <v>827463</v>
      </c>
      <c r="N101" s="38">
        <v>951609</v>
      </c>
      <c r="O101" s="38">
        <f t="shared" si="23"/>
        <v>9679249</v>
      </c>
    </row>
    <row r="102" spans="1:16" ht="27.75" customHeight="1">
      <c r="A102" s="1054" t="s">
        <v>130</v>
      </c>
      <c r="B102" s="1054"/>
      <c r="C102" s="38">
        <v>22759</v>
      </c>
      <c r="D102" s="38">
        <v>20325</v>
      </c>
      <c r="E102" s="38">
        <v>18878</v>
      </c>
      <c r="F102" s="38">
        <v>17677</v>
      </c>
      <c r="G102" s="38">
        <v>19223</v>
      </c>
      <c r="H102" s="38">
        <v>16690</v>
      </c>
      <c r="I102" s="38">
        <v>17588</v>
      </c>
      <c r="J102" s="38">
        <v>18875</v>
      </c>
      <c r="K102" s="38">
        <v>17197</v>
      </c>
      <c r="L102" s="38">
        <v>19383</v>
      </c>
      <c r="M102" s="38">
        <v>19013</v>
      </c>
      <c r="N102" s="38">
        <v>20250</v>
      </c>
      <c r="O102" s="38">
        <f t="shared" si="23"/>
        <v>227858</v>
      </c>
    </row>
    <row r="103" spans="1:16" ht="27.75" customHeight="1">
      <c r="A103" s="1054" t="s">
        <v>131</v>
      </c>
      <c r="B103" s="1054"/>
      <c r="C103" s="38">
        <v>18283</v>
      </c>
      <c r="D103" s="38">
        <v>16509</v>
      </c>
      <c r="E103" s="38">
        <v>18273</v>
      </c>
      <c r="F103" s="38">
        <v>17679</v>
      </c>
      <c r="G103" s="38">
        <v>18269</v>
      </c>
      <c r="H103" s="38">
        <v>17683</v>
      </c>
      <c r="I103" s="38">
        <v>18268</v>
      </c>
      <c r="J103" s="38">
        <v>18269</v>
      </c>
      <c r="K103" s="38">
        <v>17682</v>
      </c>
      <c r="L103" s="38">
        <v>19135</v>
      </c>
      <c r="M103" s="38">
        <v>20478</v>
      </c>
      <c r="N103" s="38">
        <v>21157</v>
      </c>
      <c r="O103" s="38">
        <f t="shared" si="23"/>
        <v>221685</v>
      </c>
    </row>
    <row r="104" spans="1:16" ht="27.75" customHeight="1">
      <c r="A104" s="1054" t="s">
        <v>132</v>
      </c>
      <c r="B104" s="1054"/>
      <c r="C104" s="38">
        <v>75095</v>
      </c>
      <c r="D104" s="38">
        <v>61442</v>
      </c>
      <c r="E104" s="38">
        <v>42953</v>
      </c>
      <c r="F104" s="38">
        <v>22987</v>
      </c>
      <c r="G104" s="38">
        <v>9030</v>
      </c>
      <c r="H104" s="38">
        <v>3999</v>
      </c>
      <c r="I104" s="38">
        <v>2396</v>
      </c>
      <c r="J104" s="38">
        <v>1756</v>
      </c>
      <c r="K104" s="38">
        <v>2061</v>
      </c>
      <c r="L104" s="38">
        <v>9390</v>
      </c>
      <c r="M104" s="38">
        <v>30418</v>
      </c>
      <c r="N104" s="38">
        <v>62039</v>
      </c>
      <c r="O104" s="38">
        <f t="shared" si="23"/>
        <v>323566</v>
      </c>
    </row>
    <row r="105" spans="1:16" ht="27.75" customHeight="1">
      <c r="A105" s="1054" t="s">
        <v>133</v>
      </c>
      <c r="B105" s="1054"/>
      <c r="C105" s="38">
        <v>9590</v>
      </c>
      <c r="D105" s="38">
        <v>697</v>
      </c>
      <c r="E105" s="38">
        <v>622</v>
      </c>
      <c r="F105" s="38">
        <v>543</v>
      </c>
      <c r="G105" s="38">
        <v>445</v>
      </c>
      <c r="H105" s="38">
        <v>608</v>
      </c>
      <c r="I105" s="38">
        <v>762</v>
      </c>
      <c r="J105" s="38">
        <v>731</v>
      </c>
      <c r="K105" s="38">
        <v>655</v>
      </c>
      <c r="L105" s="38">
        <v>17004</v>
      </c>
      <c r="M105" s="38">
        <v>484</v>
      </c>
      <c r="N105" s="38">
        <v>645</v>
      </c>
      <c r="O105" s="38">
        <f t="shared" si="23"/>
        <v>32786</v>
      </c>
    </row>
    <row r="106" spans="1:16" ht="27.75" customHeight="1">
      <c r="A106" s="1037" t="s">
        <v>113</v>
      </c>
      <c r="B106" s="7" t="s">
        <v>114</v>
      </c>
      <c r="C106" s="15">
        <v>254842</v>
      </c>
      <c r="D106" s="15">
        <v>227780</v>
      </c>
      <c r="E106" s="15">
        <v>252234</v>
      </c>
      <c r="F106" s="15">
        <v>244277</v>
      </c>
      <c r="G106" s="15">
        <v>256800</v>
      </c>
      <c r="H106" s="15">
        <v>253398</v>
      </c>
      <c r="I106" s="15">
        <v>268267</v>
      </c>
      <c r="J106" s="15">
        <v>269778</v>
      </c>
      <c r="K106" s="15">
        <v>250223</v>
      </c>
      <c r="L106" s="15">
        <v>247940</v>
      </c>
      <c r="M106" s="15">
        <v>247927</v>
      </c>
      <c r="N106" s="15">
        <v>250695</v>
      </c>
      <c r="O106" s="15">
        <f t="shared" si="23"/>
        <v>3024161</v>
      </c>
    </row>
    <row r="107" spans="1:16" ht="27.75" customHeight="1">
      <c r="A107" s="1037"/>
      <c r="B107" s="8" t="s">
        <v>128</v>
      </c>
      <c r="C107" s="19">
        <v>12931</v>
      </c>
      <c r="D107" s="19">
        <v>11558</v>
      </c>
      <c r="E107" s="19">
        <v>12799</v>
      </c>
      <c r="F107" s="19">
        <v>12395</v>
      </c>
      <c r="G107" s="19">
        <v>13030</v>
      </c>
      <c r="H107" s="19">
        <v>12858</v>
      </c>
      <c r="I107" s="19">
        <v>13612</v>
      </c>
      <c r="J107" s="19">
        <v>13689</v>
      </c>
      <c r="K107" s="19">
        <v>12697</v>
      </c>
      <c r="L107" s="19">
        <v>12581</v>
      </c>
      <c r="M107" s="19">
        <v>12580</v>
      </c>
      <c r="N107" s="19">
        <v>12720</v>
      </c>
      <c r="O107" s="19">
        <f t="shared" si="23"/>
        <v>153450</v>
      </c>
    </row>
    <row r="108" spans="1:16" ht="27.75" customHeight="1">
      <c r="A108" s="1037"/>
      <c r="B108" s="97" t="s">
        <v>46</v>
      </c>
      <c r="C108" s="945">
        <f t="shared" ref="C108:N108" si="25">SUM(C106:C107)</f>
        <v>267773</v>
      </c>
      <c r="D108" s="945">
        <f t="shared" si="25"/>
        <v>239338</v>
      </c>
      <c r="E108" s="945">
        <f t="shared" si="25"/>
        <v>265033</v>
      </c>
      <c r="F108" s="945">
        <f t="shared" si="25"/>
        <v>256672</v>
      </c>
      <c r="G108" s="945">
        <f t="shared" si="25"/>
        <v>269830</v>
      </c>
      <c r="H108" s="945">
        <f t="shared" si="25"/>
        <v>266256</v>
      </c>
      <c r="I108" s="945">
        <f t="shared" si="25"/>
        <v>281879</v>
      </c>
      <c r="J108" s="945">
        <f t="shared" si="25"/>
        <v>283467</v>
      </c>
      <c r="K108" s="945">
        <f t="shared" si="25"/>
        <v>262920</v>
      </c>
      <c r="L108" s="945">
        <f t="shared" si="25"/>
        <v>260521</v>
      </c>
      <c r="M108" s="945">
        <f t="shared" si="25"/>
        <v>260507</v>
      </c>
      <c r="N108" s="945">
        <f t="shared" si="25"/>
        <v>263415</v>
      </c>
      <c r="O108" s="945">
        <f t="shared" si="23"/>
        <v>3177611</v>
      </c>
    </row>
    <row r="109" spans="1:16" ht="27.75" customHeight="1">
      <c r="A109" s="1050" t="s">
        <v>51</v>
      </c>
      <c r="B109" s="1050"/>
      <c r="C109" s="946">
        <f t="shared" ref="C109:N109" si="26">SUM(C93,C94,C100,C101:C105,C108)</f>
        <v>7044839</v>
      </c>
      <c r="D109" s="946">
        <f t="shared" si="26"/>
        <v>5536848</v>
      </c>
      <c r="E109" s="946">
        <f t="shared" si="26"/>
        <v>4663235</v>
      </c>
      <c r="F109" s="946">
        <f t="shared" si="26"/>
        <v>2995570</v>
      </c>
      <c r="G109" s="946">
        <f t="shared" si="26"/>
        <v>2410202</v>
      </c>
      <c r="H109" s="946">
        <f t="shared" si="26"/>
        <v>1972989</v>
      </c>
      <c r="I109" s="946">
        <f t="shared" si="26"/>
        <v>1964483</v>
      </c>
      <c r="J109" s="946">
        <f t="shared" si="26"/>
        <v>1879525</v>
      </c>
      <c r="K109" s="946">
        <f t="shared" si="26"/>
        <v>2003572</v>
      </c>
      <c r="L109" s="946">
        <f t="shared" si="26"/>
        <v>2367988</v>
      </c>
      <c r="M109" s="946">
        <f t="shared" si="26"/>
        <v>4313139</v>
      </c>
      <c r="N109" s="946">
        <f t="shared" si="26"/>
        <v>6763820</v>
      </c>
      <c r="O109" s="946">
        <f t="shared" si="23"/>
        <v>43916210</v>
      </c>
      <c r="P109" s="420"/>
    </row>
    <row r="110" spans="1:16" ht="10.5" customHeight="1">
      <c r="C110" s="420"/>
      <c r="D110" s="420"/>
      <c r="E110" s="420"/>
      <c r="F110" s="420"/>
      <c r="G110" s="420"/>
      <c r="H110" s="420"/>
      <c r="I110" s="420"/>
      <c r="J110" s="420"/>
      <c r="K110" s="420"/>
      <c r="L110" s="420"/>
      <c r="M110" s="420"/>
      <c r="N110" s="420"/>
      <c r="O110" s="420"/>
    </row>
    <row r="111" spans="1:16" ht="27.75" customHeight="1">
      <c r="A111" s="1036" t="s">
        <v>138</v>
      </c>
      <c r="B111" s="7" t="s">
        <v>136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>
        <f>SUM(C111:N111)</f>
        <v>0</v>
      </c>
    </row>
    <row r="112" spans="1:16" ht="27.75" customHeight="1">
      <c r="A112" s="1037"/>
      <c r="B112" s="8" t="s">
        <v>49</v>
      </c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>
        <f>SUM(C112:N112)</f>
        <v>0</v>
      </c>
    </row>
    <row r="113" spans="1:15" ht="27.75" customHeight="1">
      <c r="A113" s="1037"/>
      <c r="B113" s="6" t="s">
        <v>45</v>
      </c>
      <c r="C113" s="23">
        <f t="shared" ref="C113:N113" si="27">SUM(C111:C112)</f>
        <v>0</v>
      </c>
      <c r="D113" s="23">
        <f t="shared" si="27"/>
        <v>0</v>
      </c>
      <c r="E113" s="23">
        <f t="shared" si="27"/>
        <v>0</v>
      </c>
      <c r="F113" s="23">
        <f t="shared" si="27"/>
        <v>0</v>
      </c>
      <c r="G113" s="23">
        <f t="shared" si="27"/>
        <v>0</v>
      </c>
      <c r="H113" s="23">
        <f t="shared" si="27"/>
        <v>0</v>
      </c>
      <c r="I113" s="23">
        <f t="shared" si="27"/>
        <v>0</v>
      </c>
      <c r="J113" s="23">
        <f t="shared" si="27"/>
        <v>0</v>
      </c>
      <c r="K113" s="23">
        <f t="shared" si="27"/>
        <v>0</v>
      </c>
      <c r="L113" s="23">
        <f t="shared" si="27"/>
        <v>0</v>
      </c>
      <c r="M113" s="23">
        <f t="shared" si="27"/>
        <v>0</v>
      </c>
      <c r="N113" s="23">
        <f t="shared" si="27"/>
        <v>0</v>
      </c>
      <c r="O113" s="23">
        <f>SUM(C113:N113)</f>
        <v>0</v>
      </c>
    </row>
    <row r="114" spans="1:15" ht="43.5" customHeight="1">
      <c r="A114" s="1056" t="s">
        <v>137</v>
      </c>
      <c r="B114" s="1056"/>
      <c r="C114" s="38">
        <f t="shared" ref="C114:N114" si="28">SUM(C109,C113)</f>
        <v>7044839</v>
      </c>
      <c r="D114" s="38">
        <f t="shared" si="28"/>
        <v>5536848</v>
      </c>
      <c r="E114" s="38">
        <f t="shared" si="28"/>
        <v>4663235</v>
      </c>
      <c r="F114" s="38">
        <f t="shared" si="28"/>
        <v>2995570</v>
      </c>
      <c r="G114" s="38">
        <f t="shared" si="28"/>
        <v>2410202</v>
      </c>
      <c r="H114" s="38">
        <f t="shared" si="28"/>
        <v>1972989</v>
      </c>
      <c r="I114" s="38">
        <f t="shared" si="28"/>
        <v>1964483</v>
      </c>
      <c r="J114" s="38">
        <f t="shared" si="28"/>
        <v>1879525</v>
      </c>
      <c r="K114" s="38">
        <f t="shared" si="28"/>
        <v>2003572</v>
      </c>
      <c r="L114" s="38">
        <f t="shared" si="28"/>
        <v>2367988</v>
      </c>
      <c r="M114" s="38">
        <f t="shared" si="28"/>
        <v>4313139</v>
      </c>
      <c r="N114" s="38">
        <f t="shared" si="28"/>
        <v>6763820</v>
      </c>
      <c r="O114" s="38">
        <f>SUM(C114:N114)</f>
        <v>43916210</v>
      </c>
    </row>
    <row r="115" spans="1:15">
      <c r="C115" s="420"/>
      <c r="D115" s="420"/>
      <c r="E115" s="420"/>
      <c r="F115" s="420"/>
      <c r="G115" s="420"/>
      <c r="H115" s="420"/>
      <c r="I115" s="420"/>
      <c r="J115" s="420"/>
      <c r="K115" s="420"/>
      <c r="L115" s="420"/>
      <c r="M115" s="420"/>
      <c r="N115" s="420"/>
      <c r="O115" s="420"/>
    </row>
    <row r="116" spans="1:15" ht="33" customHeight="1">
      <c r="A116" s="52" t="s">
        <v>151</v>
      </c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0"/>
      <c r="N116" s="420"/>
      <c r="O116" s="947" t="s">
        <v>135</v>
      </c>
    </row>
    <row r="117" spans="1:15" ht="27.75" customHeight="1">
      <c r="A117" s="1035" t="s">
        <v>1</v>
      </c>
      <c r="B117" s="1035"/>
      <c r="C117" s="948" t="s">
        <v>69</v>
      </c>
      <c r="D117" s="948" t="s">
        <v>71</v>
      </c>
      <c r="E117" s="948" t="s">
        <v>72</v>
      </c>
      <c r="F117" s="948" t="s">
        <v>73</v>
      </c>
      <c r="G117" s="948" t="s">
        <v>74</v>
      </c>
      <c r="H117" s="948" t="s">
        <v>75</v>
      </c>
      <c r="I117" s="948" t="s">
        <v>76</v>
      </c>
      <c r="J117" s="948" t="s">
        <v>77</v>
      </c>
      <c r="K117" s="948" t="s">
        <v>78</v>
      </c>
      <c r="L117" s="948" t="s">
        <v>79</v>
      </c>
      <c r="M117" s="948" t="s">
        <v>80</v>
      </c>
      <c r="N117" s="948" t="s">
        <v>81</v>
      </c>
      <c r="O117" s="948" t="s">
        <v>51</v>
      </c>
    </row>
    <row r="118" spans="1:15" ht="27.75" customHeight="1">
      <c r="A118" s="1037" t="s">
        <v>41</v>
      </c>
      <c r="B118" s="7" t="s">
        <v>106</v>
      </c>
      <c r="C118" s="15">
        <v>22751</v>
      </c>
      <c r="D118" s="15">
        <v>19941</v>
      </c>
      <c r="E118" s="15">
        <v>22148</v>
      </c>
      <c r="F118" s="15">
        <v>16479</v>
      </c>
      <c r="G118" s="15">
        <v>17802</v>
      </c>
      <c r="H118" s="15">
        <v>16952</v>
      </c>
      <c r="I118" s="15">
        <v>18273</v>
      </c>
      <c r="J118" s="15">
        <v>18119</v>
      </c>
      <c r="K118" s="15">
        <v>17217</v>
      </c>
      <c r="L118" s="15">
        <v>14470</v>
      </c>
      <c r="M118" s="15">
        <v>18530</v>
      </c>
      <c r="N118" s="15">
        <v>19815</v>
      </c>
      <c r="O118" s="15">
        <f>SUM(C118:N118)</f>
        <v>222497</v>
      </c>
    </row>
    <row r="119" spans="1:15" ht="27.75" customHeight="1">
      <c r="A119" s="1037"/>
      <c r="B119" s="8" t="s">
        <v>107</v>
      </c>
      <c r="C119" s="19">
        <v>5424834</v>
      </c>
      <c r="D119" s="19">
        <v>3789320</v>
      </c>
      <c r="E119" s="19">
        <v>2998135</v>
      </c>
      <c r="F119" s="19">
        <v>1351348</v>
      </c>
      <c r="G119" s="19">
        <v>877879</v>
      </c>
      <c r="H119" s="19">
        <v>534667</v>
      </c>
      <c r="I119" s="19">
        <v>478624</v>
      </c>
      <c r="J119" s="19">
        <v>407058</v>
      </c>
      <c r="K119" s="19">
        <v>427090</v>
      </c>
      <c r="L119" s="19">
        <v>1071818</v>
      </c>
      <c r="M119" s="19">
        <v>2810922</v>
      </c>
      <c r="N119" s="19">
        <v>5211980</v>
      </c>
      <c r="O119" s="19">
        <f>SUM(C119:N119)</f>
        <v>25383675</v>
      </c>
    </row>
    <row r="120" spans="1:15" ht="27.75" customHeight="1">
      <c r="A120" s="1037"/>
      <c r="B120" s="8" t="s">
        <v>44</v>
      </c>
      <c r="C120" s="19">
        <v>97864</v>
      </c>
      <c r="D120" s="19">
        <v>81883</v>
      </c>
      <c r="E120" s="19">
        <v>71036</v>
      </c>
      <c r="F120" s="19">
        <v>36646</v>
      </c>
      <c r="G120" s="19">
        <v>21887</v>
      </c>
      <c r="H120" s="19">
        <v>15917</v>
      </c>
      <c r="I120" s="19">
        <v>12463</v>
      </c>
      <c r="J120" s="19">
        <v>11086</v>
      </c>
      <c r="K120" s="19">
        <v>13449</v>
      </c>
      <c r="L120" s="19">
        <v>26076</v>
      </c>
      <c r="M120" s="19">
        <v>66382</v>
      </c>
      <c r="N120" s="19">
        <v>94220</v>
      </c>
      <c r="O120" s="19">
        <f t="shared" ref="O120:O137" si="29">SUM(C120:N120)</f>
        <v>548909</v>
      </c>
    </row>
    <row r="121" spans="1:15" ht="27.75" customHeight="1">
      <c r="A121" s="1037"/>
      <c r="B121" s="97" t="s">
        <v>46</v>
      </c>
      <c r="C121" s="945">
        <f t="shared" ref="C121:N121" si="30">SUM(C118:C120)</f>
        <v>5545449</v>
      </c>
      <c r="D121" s="945">
        <f t="shared" si="30"/>
        <v>3891144</v>
      </c>
      <c r="E121" s="945">
        <f t="shared" si="30"/>
        <v>3091319</v>
      </c>
      <c r="F121" s="945">
        <f t="shared" si="30"/>
        <v>1404473</v>
      </c>
      <c r="G121" s="945">
        <f t="shared" si="30"/>
        <v>917568</v>
      </c>
      <c r="H121" s="945">
        <f t="shared" si="30"/>
        <v>567536</v>
      </c>
      <c r="I121" s="945">
        <f t="shared" si="30"/>
        <v>509360</v>
      </c>
      <c r="J121" s="945">
        <f t="shared" si="30"/>
        <v>436263</v>
      </c>
      <c r="K121" s="945">
        <f t="shared" si="30"/>
        <v>457756</v>
      </c>
      <c r="L121" s="945">
        <f t="shared" si="30"/>
        <v>1112364</v>
      </c>
      <c r="M121" s="945">
        <f t="shared" si="30"/>
        <v>2895834</v>
      </c>
      <c r="N121" s="945">
        <f t="shared" si="30"/>
        <v>5326015</v>
      </c>
      <c r="O121" s="945">
        <f t="shared" si="29"/>
        <v>26155081</v>
      </c>
    </row>
    <row r="122" spans="1:15" ht="27.75" customHeight="1">
      <c r="A122" s="11" t="s">
        <v>102</v>
      </c>
      <c r="B122" s="39" t="s">
        <v>108</v>
      </c>
      <c r="C122" s="38">
        <v>162283</v>
      </c>
      <c r="D122" s="38">
        <v>139286</v>
      </c>
      <c r="E122" s="38">
        <v>157296</v>
      </c>
      <c r="F122" s="38">
        <v>136651</v>
      </c>
      <c r="G122" s="38">
        <v>136801</v>
      </c>
      <c r="H122" s="38">
        <v>126575</v>
      </c>
      <c r="I122" s="38">
        <v>131454</v>
      </c>
      <c r="J122" s="38">
        <v>125716</v>
      </c>
      <c r="K122" s="38">
        <v>120802</v>
      </c>
      <c r="L122" s="38">
        <v>127310</v>
      </c>
      <c r="M122" s="38">
        <v>146302</v>
      </c>
      <c r="N122" s="38">
        <v>169653</v>
      </c>
      <c r="O122" s="38">
        <f t="shared" si="29"/>
        <v>1680129</v>
      </c>
    </row>
    <row r="123" spans="1:15" ht="27.75" customHeight="1">
      <c r="A123" s="1037" t="s">
        <v>47</v>
      </c>
      <c r="B123" s="7" t="s">
        <v>108</v>
      </c>
      <c r="C123" s="15">
        <v>80773</v>
      </c>
      <c r="D123" s="15">
        <v>70278</v>
      </c>
      <c r="E123" s="15">
        <v>72759</v>
      </c>
      <c r="F123" s="15">
        <v>63426</v>
      </c>
      <c r="G123" s="15">
        <v>66344</v>
      </c>
      <c r="H123" s="15">
        <v>56992</v>
      </c>
      <c r="I123" s="15">
        <v>53938</v>
      </c>
      <c r="J123" s="15">
        <v>54144</v>
      </c>
      <c r="K123" s="15">
        <v>55595</v>
      </c>
      <c r="L123" s="15">
        <v>63566</v>
      </c>
      <c r="M123" s="15">
        <v>73382</v>
      </c>
      <c r="N123" s="15">
        <v>82369</v>
      </c>
      <c r="O123" s="15">
        <f t="shared" si="29"/>
        <v>793566</v>
      </c>
    </row>
    <row r="124" spans="1:15" ht="27.75" customHeight="1">
      <c r="A124" s="1037"/>
      <c r="B124" s="8" t="s">
        <v>109</v>
      </c>
      <c r="C124" s="19">
        <v>165205</v>
      </c>
      <c r="D124" s="19">
        <v>134636</v>
      </c>
      <c r="E124" s="19">
        <v>107918</v>
      </c>
      <c r="F124" s="19">
        <v>80066</v>
      </c>
      <c r="G124" s="19">
        <v>66888</v>
      </c>
      <c r="H124" s="19">
        <v>52567</v>
      </c>
      <c r="I124" s="19">
        <v>51887</v>
      </c>
      <c r="J124" s="19">
        <v>50894</v>
      </c>
      <c r="K124" s="19">
        <v>51724</v>
      </c>
      <c r="L124" s="19">
        <v>79041</v>
      </c>
      <c r="M124" s="19">
        <v>106710</v>
      </c>
      <c r="N124" s="19">
        <v>165434</v>
      </c>
      <c r="O124" s="19">
        <f t="shared" si="29"/>
        <v>1112970</v>
      </c>
    </row>
    <row r="125" spans="1:15" ht="27.75" customHeight="1">
      <c r="A125" s="1037"/>
      <c r="B125" s="8" t="s">
        <v>110</v>
      </c>
      <c r="C125" s="19">
        <v>130235</v>
      </c>
      <c r="D125" s="19">
        <v>110275</v>
      </c>
      <c r="E125" s="19">
        <v>76211</v>
      </c>
      <c r="F125" s="19">
        <v>34292</v>
      </c>
      <c r="G125" s="19">
        <v>23919</v>
      </c>
      <c r="H125" s="19">
        <v>18216</v>
      </c>
      <c r="I125" s="19">
        <v>18110</v>
      </c>
      <c r="J125" s="19">
        <v>17641</v>
      </c>
      <c r="K125" s="19">
        <v>18437</v>
      </c>
      <c r="L125" s="19">
        <v>34975</v>
      </c>
      <c r="M125" s="19">
        <v>71237</v>
      </c>
      <c r="N125" s="19">
        <v>129084</v>
      </c>
      <c r="O125" s="19">
        <f t="shared" si="29"/>
        <v>682632</v>
      </c>
    </row>
    <row r="126" spans="1:15" ht="27.75" customHeight="1">
      <c r="A126" s="1037"/>
      <c r="B126" s="8" t="s">
        <v>129</v>
      </c>
      <c r="C126" s="19">
        <v>159138</v>
      </c>
      <c r="D126" s="19">
        <v>123500</v>
      </c>
      <c r="E126" s="19">
        <v>70491</v>
      </c>
      <c r="F126" s="19">
        <v>46426</v>
      </c>
      <c r="G126" s="19">
        <v>58669</v>
      </c>
      <c r="H126" s="19">
        <v>126297</v>
      </c>
      <c r="I126" s="19">
        <v>205373</v>
      </c>
      <c r="J126" s="19">
        <v>206417</v>
      </c>
      <c r="K126" s="19">
        <v>125341</v>
      </c>
      <c r="L126" s="19">
        <v>51559</v>
      </c>
      <c r="M126" s="19">
        <v>75275</v>
      </c>
      <c r="N126" s="19">
        <v>159628</v>
      </c>
      <c r="O126" s="19">
        <f t="shared" si="29"/>
        <v>1408114</v>
      </c>
    </row>
    <row r="127" spans="1:15" ht="27.75" customHeight="1">
      <c r="A127" s="1037"/>
      <c r="B127" s="8" t="s">
        <v>112</v>
      </c>
      <c r="C127" s="19">
        <v>12068</v>
      </c>
      <c r="D127" s="19">
        <v>11040</v>
      </c>
      <c r="E127" s="19">
        <v>7540</v>
      </c>
      <c r="F127" s="19">
        <v>2612</v>
      </c>
      <c r="G127" s="19">
        <v>2260</v>
      </c>
      <c r="H127" s="19">
        <v>1521</v>
      </c>
      <c r="I127" s="19">
        <v>1417</v>
      </c>
      <c r="J127" s="19">
        <v>1396</v>
      </c>
      <c r="K127" s="19">
        <v>1224</v>
      </c>
      <c r="L127" s="19">
        <v>2612</v>
      </c>
      <c r="M127" s="19">
        <v>6515</v>
      </c>
      <c r="N127" s="19">
        <v>11994</v>
      </c>
      <c r="O127" s="19">
        <f t="shared" si="29"/>
        <v>62199</v>
      </c>
    </row>
    <row r="128" spans="1:15" ht="27.75" customHeight="1">
      <c r="A128" s="1037"/>
      <c r="B128" s="97" t="s">
        <v>46</v>
      </c>
      <c r="C128" s="945">
        <f t="shared" ref="C128:N128" si="31">SUM(C123:C127)</f>
        <v>547419</v>
      </c>
      <c r="D128" s="945">
        <f t="shared" si="31"/>
        <v>449729</v>
      </c>
      <c r="E128" s="945">
        <f t="shared" si="31"/>
        <v>334919</v>
      </c>
      <c r="F128" s="945">
        <f t="shared" si="31"/>
        <v>226822</v>
      </c>
      <c r="G128" s="945">
        <f t="shared" si="31"/>
        <v>218080</v>
      </c>
      <c r="H128" s="945">
        <f t="shared" si="31"/>
        <v>255593</v>
      </c>
      <c r="I128" s="945">
        <f t="shared" si="31"/>
        <v>330725</v>
      </c>
      <c r="J128" s="945">
        <f t="shared" si="31"/>
        <v>330492</v>
      </c>
      <c r="K128" s="945">
        <f t="shared" si="31"/>
        <v>252321</v>
      </c>
      <c r="L128" s="945">
        <f t="shared" si="31"/>
        <v>231753</v>
      </c>
      <c r="M128" s="945">
        <f t="shared" si="31"/>
        <v>333119</v>
      </c>
      <c r="N128" s="945">
        <f t="shared" si="31"/>
        <v>548509</v>
      </c>
      <c r="O128" s="945">
        <f t="shared" si="29"/>
        <v>4059481</v>
      </c>
    </row>
    <row r="129" spans="1:16" ht="27.75" customHeight="1">
      <c r="A129" s="1054" t="s">
        <v>48</v>
      </c>
      <c r="B129" s="1054"/>
      <c r="C129" s="38">
        <v>944775</v>
      </c>
      <c r="D129" s="38">
        <v>725157</v>
      </c>
      <c r="E129" s="38">
        <v>933528</v>
      </c>
      <c r="F129" s="38">
        <v>807503</v>
      </c>
      <c r="G129" s="38">
        <v>777022</v>
      </c>
      <c r="H129" s="38">
        <v>811775</v>
      </c>
      <c r="I129" s="38">
        <v>731932</v>
      </c>
      <c r="J129" s="38">
        <v>683859</v>
      </c>
      <c r="K129" s="38">
        <v>768472</v>
      </c>
      <c r="L129" s="38">
        <v>842641</v>
      </c>
      <c r="M129" s="38">
        <v>861840</v>
      </c>
      <c r="N129" s="38">
        <v>870839</v>
      </c>
      <c r="O129" s="38">
        <f t="shared" si="29"/>
        <v>9759343</v>
      </c>
    </row>
    <row r="130" spans="1:16" ht="27.75" customHeight="1">
      <c r="A130" s="1054" t="s">
        <v>130</v>
      </c>
      <c r="B130" s="1054"/>
      <c r="C130" s="38">
        <v>22502</v>
      </c>
      <c r="D130" s="38">
        <v>20096</v>
      </c>
      <c r="E130" s="38">
        <v>18666</v>
      </c>
      <c r="F130" s="38">
        <v>17477</v>
      </c>
      <c r="G130" s="38">
        <v>19007</v>
      </c>
      <c r="H130" s="38">
        <v>16502</v>
      </c>
      <c r="I130" s="38">
        <v>17389</v>
      </c>
      <c r="J130" s="38">
        <v>18662</v>
      </c>
      <c r="K130" s="38">
        <v>17003</v>
      </c>
      <c r="L130" s="38">
        <v>19164</v>
      </c>
      <c r="M130" s="38">
        <v>18798</v>
      </c>
      <c r="N130" s="38">
        <v>20022</v>
      </c>
      <c r="O130" s="38">
        <f t="shared" si="29"/>
        <v>225288</v>
      </c>
    </row>
    <row r="131" spans="1:16" ht="27.75" customHeight="1">
      <c r="A131" s="1054" t="s">
        <v>131</v>
      </c>
      <c r="B131" s="1054"/>
      <c r="C131" s="38">
        <v>22178</v>
      </c>
      <c r="D131" s="38">
        <v>20041</v>
      </c>
      <c r="E131" s="38">
        <v>22178</v>
      </c>
      <c r="F131" s="38">
        <v>21465</v>
      </c>
      <c r="G131" s="38">
        <v>22178</v>
      </c>
      <c r="H131" s="38">
        <v>21465</v>
      </c>
      <c r="I131" s="38">
        <v>22178</v>
      </c>
      <c r="J131" s="38">
        <v>22178</v>
      </c>
      <c r="K131" s="38">
        <v>21465</v>
      </c>
      <c r="L131" s="38">
        <v>22178</v>
      </c>
      <c r="M131" s="38">
        <v>21465</v>
      </c>
      <c r="N131" s="38">
        <v>58762</v>
      </c>
      <c r="O131" s="38">
        <f t="shared" si="29"/>
        <v>297731</v>
      </c>
    </row>
    <row r="132" spans="1:16" ht="27.75" customHeight="1">
      <c r="A132" s="1054" t="s">
        <v>132</v>
      </c>
      <c r="B132" s="1054"/>
      <c r="C132" s="38">
        <v>73760</v>
      </c>
      <c r="D132" s="38">
        <v>60350</v>
      </c>
      <c r="E132" s="38">
        <v>42189</v>
      </c>
      <c r="F132" s="38">
        <v>22578</v>
      </c>
      <c r="G132" s="38">
        <v>8870</v>
      </c>
      <c r="H132" s="38">
        <v>3927</v>
      </c>
      <c r="I132" s="38">
        <v>17389</v>
      </c>
      <c r="J132" s="38">
        <v>18662</v>
      </c>
      <c r="K132" s="38">
        <v>17003</v>
      </c>
      <c r="L132" s="38">
        <v>19164</v>
      </c>
      <c r="M132" s="38">
        <v>18798</v>
      </c>
      <c r="N132" s="38">
        <v>20022</v>
      </c>
      <c r="O132" s="38">
        <f t="shared" si="29"/>
        <v>322712</v>
      </c>
    </row>
    <row r="133" spans="1:16" ht="27.75" customHeight="1">
      <c r="A133" s="1054" t="s">
        <v>133</v>
      </c>
      <c r="B133" s="1054"/>
      <c r="C133" s="38">
        <v>9353</v>
      </c>
      <c r="D133" s="38">
        <v>680</v>
      </c>
      <c r="E133" s="38">
        <v>607</v>
      </c>
      <c r="F133" s="38">
        <v>529</v>
      </c>
      <c r="G133" s="38">
        <v>434</v>
      </c>
      <c r="H133" s="38">
        <v>593</v>
      </c>
      <c r="I133" s="38">
        <v>743</v>
      </c>
      <c r="J133" s="38">
        <v>713</v>
      </c>
      <c r="K133" s="38">
        <v>639</v>
      </c>
      <c r="L133" s="38">
        <v>16583</v>
      </c>
      <c r="M133" s="38">
        <v>472</v>
      </c>
      <c r="N133" s="38">
        <v>629</v>
      </c>
      <c r="O133" s="38">
        <f t="shared" si="29"/>
        <v>31975</v>
      </c>
    </row>
    <row r="134" spans="1:16" ht="27.75" customHeight="1">
      <c r="A134" s="1037" t="s">
        <v>113</v>
      </c>
      <c r="B134" s="7" t="s">
        <v>114</v>
      </c>
      <c r="C134" s="15">
        <v>243867</v>
      </c>
      <c r="D134" s="15">
        <v>217970</v>
      </c>
      <c r="E134" s="15">
        <v>241162</v>
      </c>
      <c r="F134" s="15">
        <v>233350</v>
      </c>
      <c r="G134" s="15">
        <v>245095</v>
      </c>
      <c r="H134" s="15">
        <v>241783</v>
      </c>
      <c r="I134" s="15">
        <v>255970</v>
      </c>
      <c r="J134" s="15">
        <v>258842</v>
      </c>
      <c r="K134" s="15">
        <v>239832</v>
      </c>
      <c r="L134" s="15">
        <v>237433</v>
      </c>
      <c r="M134" s="15">
        <v>237356</v>
      </c>
      <c r="N134" s="15">
        <v>241485</v>
      </c>
      <c r="O134" s="15">
        <f t="shared" si="29"/>
        <v>2894145</v>
      </c>
    </row>
    <row r="135" spans="1:16" ht="27.75" customHeight="1">
      <c r="A135" s="1037"/>
      <c r="B135" s="8" t="s">
        <v>128</v>
      </c>
      <c r="C135" s="19">
        <v>12938</v>
      </c>
      <c r="D135" s="19">
        <v>11564</v>
      </c>
      <c r="E135" s="19">
        <v>12794</v>
      </c>
      <c r="F135" s="19">
        <v>12380</v>
      </c>
      <c r="G135" s="19">
        <v>13003</v>
      </c>
      <c r="H135" s="19">
        <v>12827</v>
      </c>
      <c r="I135" s="19">
        <v>13580</v>
      </c>
      <c r="J135" s="19">
        <v>13732</v>
      </c>
      <c r="K135" s="19">
        <v>12724</v>
      </c>
      <c r="L135" s="19">
        <v>12597</v>
      </c>
      <c r="M135" s="19">
        <v>12593</v>
      </c>
      <c r="N135" s="19">
        <v>12812</v>
      </c>
      <c r="O135" s="19">
        <f t="shared" si="29"/>
        <v>153544</v>
      </c>
    </row>
    <row r="136" spans="1:16" ht="27.75" customHeight="1">
      <c r="A136" s="1037"/>
      <c r="B136" s="97" t="s">
        <v>46</v>
      </c>
      <c r="C136" s="945">
        <f t="shared" ref="C136:N136" si="32">SUM(C134:C135)</f>
        <v>256805</v>
      </c>
      <c r="D136" s="945">
        <f t="shared" si="32"/>
        <v>229534</v>
      </c>
      <c r="E136" s="945">
        <f t="shared" si="32"/>
        <v>253956</v>
      </c>
      <c r="F136" s="945">
        <f t="shared" si="32"/>
        <v>245730</v>
      </c>
      <c r="G136" s="945">
        <f t="shared" si="32"/>
        <v>258098</v>
      </c>
      <c r="H136" s="945">
        <f t="shared" si="32"/>
        <v>254610</v>
      </c>
      <c r="I136" s="945">
        <f t="shared" si="32"/>
        <v>269550</v>
      </c>
      <c r="J136" s="945">
        <f t="shared" si="32"/>
        <v>272574</v>
      </c>
      <c r="K136" s="945">
        <f t="shared" si="32"/>
        <v>252556</v>
      </c>
      <c r="L136" s="945">
        <f t="shared" si="32"/>
        <v>250030</v>
      </c>
      <c r="M136" s="945">
        <f t="shared" si="32"/>
        <v>249949</v>
      </c>
      <c r="N136" s="945">
        <f t="shared" si="32"/>
        <v>254297</v>
      </c>
      <c r="O136" s="945">
        <f t="shared" si="29"/>
        <v>3047689</v>
      </c>
    </row>
    <row r="137" spans="1:16" ht="27.75" customHeight="1">
      <c r="A137" s="1050" t="s">
        <v>51</v>
      </c>
      <c r="B137" s="1050"/>
      <c r="C137" s="946">
        <f t="shared" ref="C137:N137" si="33">SUM(C121,C122,C128,C129:C133,C136)</f>
        <v>7584524</v>
      </c>
      <c r="D137" s="946">
        <f t="shared" si="33"/>
        <v>5536017</v>
      </c>
      <c r="E137" s="946">
        <f t="shared" si="33"/>
        <v>4854658</v>
      </c>
      <c r="F137" s="946">
        <f t="shared" si="33"/>
        <v>2883228</v>
      </c>
      <c r="G137" s="946">
        <f t="shared" si="33"/>
        <v>2358058</v>
      </c>
      <c r="H137" s="946">
        <f t="shared" si="33"/>
        <v>2058576</v>
      </c>
      <c r="I137" s="946">
        <f t="shared" si="33"/>
        <v>2030720</v>
      </c>
      <c r="J137" s="946">
        <f t="shared" si="33"/>
        <v>1909119</v>
      </c>
      <c r="K137" s="946">
        <f t="shared" si="33"/>
        <v>1908017</v>
      </c>
      <c r="L137" s="946">
        <f t="shared" si="33"/>
        <v>2641187</v>
      </c>
      <c r="M137" s="946">
        <f t="shared" si="33"/>
        <v>4546577</v>
      </c>
      <c r="N137" s="946">
        <f t="shared" si="33"/>
        <v>7268748</v>
      </c>
      <c r="O137" s="946">
        <f t="shared" si="29"/>
        <v>45579429</v>
      </c>
      <c r="P137" s="420"/>
    </row>
    <row r="138" spans="1:16" ht="10.5" customHeight="1"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0"/>
      <c r="N138" s="420"/>
      <c r="O138" s="420"/>
    </row>
    <row r="139" spans="1:16" ht="27.75" customHeight="1">
      <c r="A139" s="1036" t="s">
        <v>138</v>
      </c>
      <c r="B139" s="7" t="s">
        <v>136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>
        <f>SUM(C139:N139)</f>
        <v>0</v>
      </c>
    </row>
    <row r="140" spans="1:16" ht="27.75" customHeight="1">
      <c r="A140" s="1037"/>
      <c r="B140" s="8" t="s">
        <v>49</v>
      </c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>
        <f>SUM(C140:N140)</f>
        <v>0</v>
      </c>
    </row>
    <row r="141" spans="1:16" ht="27.75" customHeight="1">
      <c r="A141" s="1037"/>
      <c r="B141" s="6" t="s">
        <v>45</v>
      </c>
      <c r="C141" s="23">
        <f t="shared" ref="C141:N141" si="34">SUM(C139:C140)</f>
        <v>0</v>
      </c>
      <c r="D141" s="23">
        <f t="shared" si="34"/>
        <v>0</v>
      </c>
      <c r="E141" s="23">
        <f t="shared" si="34"/>
        <v>0</v>
      </c>
      <c r="F141" s="23">
        <f t="shared" si="34"/>
        <v>0</v>
      </c>
      <c r="G141" s="23">
        <f t="shared" si="34"/>
        <v>0</v>
      </c>
      <c r="H141" s="23">
        <f t="shared" si="34"/>
        <v>0</v>
      </c>
      <c r="I141" s="23">
        <f t="shared" si="34"/>
        <v>0</v>
      </c>
      <c r="J141" s="23">
        <f t="shared" si="34"/>
        <v>0</v>
      </c>
      <c r="K141" s="23">
        <f t="shared" si="34"/>
        <v>0</v>
      </c>
      <c r="L141" s="23">
        <f t="shared" si="34"/>
        <v>0</v>
      </c>
      <c r="M141" s="23">
        <f t="shared" si="34"/>
        <v>0</v>
      </c>
      <c r="N141" s="23">
        <f t="shared" si="34"/>
        <v>0</v>
      </c>
      <c r="O141" s="23">
        <f>SUM(C141:N141)</f>
        <v>0</v>
      </c>
    </row>
    <row r="142" spans="1:16" ht="43.5" customHeight="1">
      <c r="A142" s="1056" t="s">
        <v>137</v>
      </c>
      <c r="B142" s="1056"/>
      <c r="C142" s="38">
        <f t="shared" ref="C142:N142" si="35">SUM(C137,C141)</f>
        <v>7584524</v>
      </c>
      <c r="D142" s="38">
        <f t="shared" si="35"/>
        <v>5536017</v>
      </c>
      <c r="E142" s="38">
        <f t="shared" si="35"/>
        <v>4854658</v>
      </c>
      <c r="F142" s="38">
        <f t="shared" si="35"/>
        <v>2883228</v>
      </c>
      <c r="G142" s="38">
        <f t="shared" si="35"/>
        <v>2358058</v>
      </c>
      <c r="H142" s="38">
        <f t="shared" si="35"/>
        <v>2058576</v>
      </c>
      <c r="I142" s="38">
        <f t="shared" si="35"/>
        <v>2030720</v>
      </c>
      <c r="J142" s="38">
        <f t="shared" si="35"/>
        <v>1909119</v>
      </c>
      <c r="K142" s="38">
        <f t="shared" si="35"/>
        <v>1908017</v>
      </c>
      <c r="L142" s="38">
        <f t="shared" si="35"/>
        <v>2641187</v>
      </c>
      <c r="M142" s="38">
        <f t="shared" si="35"/>
        <v>4546577</v>
      </c>
      <c r="N142" s="38">
        <f t="shared" si="35"/>
        <v>7268748</v>
      </c>
      <c r="O142" s="38">
        <f>SUM(C142:N142)</f>
        <v>45579429</v>
      </c>
    </row>
    <row r="143" spans="1:16" ht="15" customHeight="1"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0"/>
      <c r="N143" s="420"/>
      <c r="O143" s="420"/>
    </row>
    <row r="144" spans="1:16" ht="33.75" customHeight="1">
      <c r="A144" s="52" t="s">
        <v>152</v>
      </c>
      <c r="C144" s="420"/>
      <c r="D144" s="420"/>
      <c r="E144" s="420"/>
      <c r="F144" s="420"/>
      <c r="G144" s="420"/>
      <c r="H144" s="420"/>
      <c r="I144" s="420"/>
      <c r="J144" s="420"/>
      <c r="K144" s="420"/>
      <c r="L144" s="420"/>
      <c r="M144" s="420"/>
      <c r="N144" s="420"/>
      <c r="O144" s="947" t="s">
        <v>135</v>
      </c>
    </row>
    <row r="145" spans="1:15" ht="27.75" customHeight="1">
      <c r="A145" s="1035" t="s">
        <v>1</v>
      </c>
      <c r="B145" s="1035"/>
      <c r="C145" s="948" t="s">
        <v>69</v>
      </c>
      <c r="D145" s="948" t="s">
        <v>71</v>
      </c>
      <c r="E145" s="948" t="s">
        <v>72</v>
      </c>
      <c r="F145" s="948" t="s">
        <v>73</v>
      </c>
      <c r="G145" s="948" t="s">
        <v>74</v>
      </c>
      <c r="H145" s="948" t="s">
        <v>75</v>
      </c>
      <c r="I145" s="948" t="s">
        <v>76</v>
      </c>
      <c r="J145" s="948" t="s">
        <v>77</v>
      </c>
      <c r="K145" s="948" t="s">
        <v>78</v>
      </c>
      <c r="L145" s="948" t="s">
        <v>79</v>
      </c>
      <c r="M145" s="948" t="s">
        <v>80</v>
      </c>
      <c r="N145" s="948" t="s">
        <v>81</v>
      </c>
      <c r="O145" s="948" t="s">
        <v>51</v>
      </c>
    </row>
    <row r="146" spans="1:15" ht="27.75" customHeight="1">
      <c r="A146" s="1037" t="s">
        <v>41</v>
      </c>
      <c r="B146" s="7" t="s">
        <v>106</v>
      </c>
      <c r="C146" s="15">
        <v>21686</v>
      </c>
      <c r="D146" s="15">
        <v>19008</v>
      </c>
      <c r="E146" s="15">
        <v>21112</v>
      </c>
      <c r="F146" s="15">
        <v>15708</v>
      </c>
      <c r="G146" s="15">
        <v>16969</v>
      </c>
      <c r="H146" s="15">
        <v>16159</v>
      </c>
      <c r="I146" s="15">
        <v>17418</v>
      </c>
      <c r="J146" s="15">
        <v>17271</v>
      </c>
      <c r="K146" s="15">
        <v>16412</v>
      </c>
      <c r="L146" s="15">
        <v>13792</v>
      </c>
      <c r="M146" s="15">
        <v>17662</v>
      </c>
      <c r="N146" s="15">
        <v>18887</v>
      </c>
      <c r="O146" s="15">
        <f>SUM(C146:N146)</f>
        <v>212084</v>
      </c>
    </row>
    <row r="147" spans="1:15" ht="27.75" customHeight="1">
      <c r="A147" s="1037"/>
      <c r="B147" s="8" t="s">
        <v>107</v>
      </c>
      <c r="C147" s="19">
        <v>5495410</v>
      </c>
      <c r="D147" s="19">
        <v>3838618</v>
      </c>
      <c r="E147" s="19">
        <v>3037140</v>
      </c>
      <c r="F147" s="19">
        <v>1368928</v>
      </c>
      <c r="G147" s="19">
        <v>889300</v>
      </c>
      <c r="H147" s="19">
        <v>541623</v>
      </c>
      <c r="I147" s="19">
        <v>484851</v>
      </c>
      <c r="J147" s="19">
        <v>412353</v>
      </c>
      <c r="K147" s="19">
        <v>432646</v>
      </c>
      <c r="L147" s="19">
        <v>1085762</v>
      </c>
      <c r="M147" s="19">
        <v>2847492</v>
      </c>
      <c r="N147" s="19">
        <v>5279786</v>
      </c>
      <c r="O147" s="19">
        <f>SUM(C147:N147)</f>
        <v>25713909</v>
      </c>
    </row>
    <row r="148" spans="1:15" ht="27.75" customHeight="1">
      <c r="A148" s="1037"/>
      <c r="B148" s="8" t="s">
        <v>44</v>
      </c>
      <c r="C148" s="19">
        <v>94634</v>
      </c>
      <c r="D148" s="19">
        <v>79181</v>
      </c>
      <c r="E148" s="19">
        <v>68691</v>
      </c>
      <c r="F148" s="19">
        <v>35437</v>
      </c>
      <c r="G148" s="19">
        <v>21164</v>
      </c>
      <c r="H148" s="19">
        <v>15391</v>
      </c>
      <c r="I148" s="19">
        <v>12052</v>
      </c>
      <c r="J148" s="19">
        <v>10720</v>
      </c>
      <c r="K148" s="19">
        <v>13005</v>
      </c>
      <c r="L148" s="19">
        <v>25215</v>
      </c>
      <c r="M148" s="19">
        <v>64192</v>
      </c>
      <c r="N148" s="19">
        <v>91111</v>
      </c>
      <c r="O148" s="19">
        <f>SUM(C148:N148)</f>
        <v>530793</v>
      </c>
    </row>
    <row r="149" spans="1:15" ht="27.75" customHeight="1">
      <c r="A149" s="1037"/>
      <c r="B149" s="97" t="s">
        <v>46</v>
      </c>
      <c r="C149" s="945">
        <f t="shared" ref="C149:N149" si="36">SUM(C146:C148)</f>
        <v>5611730</v>
      </c>
      <c r="D149" s="945">
        <f t="shared" si="36"/>
        <v>3936807</v>
      </c>
      <c r="E149" s="945">
        <f t="shared" si="36"/>
        <v>3126943</v>
      </c>
      <c r="F149" s="945">
        <f t="shared" si="36"/>
        <v>1420073</v>
      </c>
      <c r="G149" s="945">
        <f t="shared" si="36"/>
        <v>927433</v>
      </c>
      <c r="H149" s="945">
        <f t="shared" si="36"/>
        <v>573173</v>
      </c>
      <c r="I149" s="945">
        <f t="shared" si="36"/>
        <v>514321</v>
      </c>
      <c r="J149" s="945">
        <f t="shared" si="36"/>
        <v>440344</v>
      </c>
      <c r="K149" s="945">
        <f t="shared" si="36"/>
        <v>462063</v>
      </c>
      <c r="L149" s="945">
        <f t="shared" si="36"/>
        <v>1124769</v>
      </c>
      <c r="M149" s="945">
        <f t="shared" si="36"/>
        <v>2929346</v>
      </c>
      <c r="N149" s="945">
        <f t="shared" si="36"/>
        <v>5389784</v>
      </c>
      <c r="O149" s="945">
        <f t="shared" ref="O149:O165" si="37">SUM(C149:N149)</f>
        <v>26456786</v>
      </c>
    </row>
    <row r="150" spans="1:15" ht="27.75" customHeight="1">
      <c r="A150" s="11" t="s">
        <v>102</v>
      </c>
      <c r="B150" s="39" t="s">
        <v>108</v>
      </c>
      <c r="C150" s="38">
        <v>164393</v>
      </c>
      <c r="D150" s="38">
        <v>141097</v>
      </c>
      <c r="E150" s="38">
        <v>159341</v>
      </c>
      <c r="F150" s="38">
        <v>138428</v>
      </c>
      <c r="G150" s="38">
        <v>138580</v>
      </c>
      <c r="H150" s="38">
        <v>128220</v>
      </c>
      <c r="I150" s="38">
        <v>133163</v>
      </c>
      <c r="J150" s="38">
        <v>127351</v>
      </c>
      <c r="K150" s="38">
        <v>122372</v>
      </c>
      <c r="L150" s="38">
        <v>128965</v>
      </c>
      <c r="M150" s="38">
        <v>148204</v>
      </c>
      <c r="N150" s="38">
        <v>171859</v>
      </c>
      <c r="O150" s="38">
        <f t="shared" si="37"/>
        <v>1701973</v>
      </c>
    </row>
    <row r="151" spans="1:15" ht="27.75" customHeight="1">
      <c r="A151" s="1037" t="s">
        <v>47</v>
      </c>
      <c r="B151" s="7" t="s">
        <v>108</v>
      </c>
      <c r="C151" s="15">
        <v>77530</v>
      </c>
      <c r="D151" s="15">
        <v>68223</v>
      </c>
      <c r="E151" s="15">
        <v>73674</v>
      </c>
      <c r="F151" s="15">
        <v>60540</v>
      </c>
      <c r="G151" s="15">
        <v>61326</v>
      </c>
      <c r="H151" s="15">
        <v>54567</v>
      </c>
      <c r="I151" s="15">
        <v>49457</v>
      </c>
      <c r="J151" s="15">
        <v>49805</v>
      </c>
      <c r="K151" s="15">
        <v>52589</v>
      </c>
      <c r="L151" s="15">
        <v>60540</v>
      </c>
      <c r="M151" s="15">
        <v>73674</v>
      </c>
      <c r="N151" s="15">
        <v>83224</v>
      </c>
      <c r="O151" s="15">
        <f t="shared" si="37"/>
        <v>765149</v>
      </c>
    </row>
    <row r="152" spans="1:15" ht="27.75" customHeight="1">
      <c r="A152" s="1037"/>
      <c r="B152" s="8" t="s">
        <v>109</v>
      </c>
      <c r="C152" s="19">
        <v>162765</v>
      </c>
      <c r="D152" s="19">
        <v>134938</v>
      </c>
      <c r="E152" s="19">
        <v>106065</v>
      </c>
      <c r="F152" s="19">
        <v>75332</v>
      </c>
      <c r="G152" s="19">
        <v>67609</v>
      </c>
      <c r="H152" s="19">
        <v>52736</v>
      </c>
      <c r="I152" s="19">
        <v>50248</v>
      </c>
      <c r="J152" s="19">
        <v>51464</v>
      </c>
      <c r="K152" s="19">
        <v>51760</v>
      </c>
      <c r="L152" s="19">
        <v>75332</v>
      </c>
      <c r="M152" s="19">
        <v>106065</v>
      </c>
      <c r="N152" s="19">
        <v>164214</v>
      </c>
      <c r="O152" s="19">
        <f t="shared" si="37"/>
        <v>1098528</v>
      </c>
    </row>
    <row r="153" spans="1:15" ht="27.75" customHeight="1">
      <c r="A153" s="1037"/>
      <c r="B153" s="8" t="s">
        <v>110</v>
      </c>
      <c r="C153" s="19">
        <v>130235</v>
      </c>
      <c r="D153" s="19">
        <v>110486</v>
      </c>
      <c r="E153" s="19">
        <v>71237</v>
      </c>
      <c r="F153" s="19">
        <v>34975</v>
      </c>
      <c r="G153" s="19">
        <v>23919</v>
      </c>
      <c r="H153" s="19">
        <v>18216</v>
      </c>
      <c r="I153" s="19">
        <v>17596</v>
      </c>
      <c r="J153" s="19">
        <v>17596</v>
      </c>
      <c r="K153" s="19">
        <v>18574</v>
      </c>
      <c r="L153" s="19">
        <v>34975</v>
      </c>
      <c r="M153" s="19">
        <v>71237</v>
      </c>
      <c r="N153" s="19">
        <v>129084</v>
      </c>
      <c r="O153" s="19">
        <f t="shared" si="37"/>
        <v>678130</v>
      </c>
    </row>
    <row r="154" spans="1:15" ht="27.75" customHeight="1">
      <c r="A154" s="1037"/>
      <c r="B154" s="8" t="s">
        <v>129</v>
      </c>
      <c r="C154" s="19">
        <v>164271</v>
      </c>
      <c r="D154" s="19">
        <v>128632</v>
      </c>
      <c r="E154" s="19">
        <v>75275</v>
      </c>
      <c r="F154" s="19">
        <v>51559</v>
      </c>
      <c r="G154" s="19">
        <v>63801</v>
      </c>
      <c r="H154" s="19">
        <v>126297</v>
      </c>
      <c r="I154" s="19">
        <v>205373</v>
      </c>
      <c r="J154" s="19">
        <v>206417</v>
      </c>
      <c r="K154" s="19">
        <v>125341</v>
      </c>
      <c r="L154" s="19">
        <v>51559</v>
      </c>
      <c r="M154" s="19">
        <v>75275</v>
      </c>
      <c r="N154" s="19">
        <v>159628</v>
      </c>
      <c r="O154" s="19">
        <f t="shared" si="37"/>
        <v>1433428</v>
      </c>
    </row>
    <row r="155" spans="1:15" ht="27.75" customHeight="1">
      <c r="A155" s="1037"/>
      <c r="B155" s="8" t="s">
        <v>112</v>
      </c>
      <c r="C155" s="19">
        <v>12045</v>
      </c>
      <c r="D155" s="19">
        <v>10990</v>
      </c>
      <c r="E155" s="19">
        <v>6515</v>
      </c>
      <c r="F155" s="19">
        <v>2612</v>
      </c>
      <c r="G155" s="19">
        <v>2260</v>
      </c>
      <c r="H155" s="19">
        <v>1521</v>
      </c>
      <c r="I155" s="19">
        <v>1417</v>
      </c>
      <c r="J155" s="19">
        <v>1408</v>
      </c>
      <c r="K155" s="19">
        <v>1184</v>
      </c>
      <c r="L155" s="19">
        <v>2612</v>
      </c>
      <c r="M155" s="19">
        <v>6688</v>
      </c>
      <c r="N155" s="19">
        <v>11994</v>
      </c>
      <c r="O155" s="19">
        <f t="shared" si="37"/>
        <v>61246</v>
      </c>
    </row>
    <row r="156" spans="1:15" ht="27.75" customHeight="1">
      <c r="A156" s="1037"/>
      <c r="B156" s="97" t="s">
        <v>46</v>
      </c>
      <c r="C156" s="945">
        <f t="shared" ref="C156:N156" si="38">SUM(C151:C155)</f>
        <v>546846</v>
      </c>
      <c r="D156" s="945">
        <f t="shared" si="38"/>
        <v>453269</v>
      </c>
      <c r="E156" s="945">
        <f t="shared" si="38"/>
        <v>332766</v>
      </c>
      <c r="F156" s="945">
        <f t="shared" si="38"/>
        <v>225018</v>
      </c>
      <c r="G156" s="945">
        <f t="shared" si="38"/>
        <v>218915</v>
      </c>
      <c r="H156" s="945">
        <f t="shared" si="38"/>
        <v>253337</v>
      </c>
      <c r="I156" s="945">
        <f t="shared" si="38"/>
        <v>324091</v>
      </c>
      <c r="J156" s="945">
        <f t="shared" si="38"/>
        <v>326690</v>
      </c>
      <c r="K156" s="945">
        <f t="shared" si="38"/>
        <v>249448</v>
      </c>
      <c r="L156" s="945">
        <f t="shared" si="38"/>
        <v>225018</v>
      </c>
      <c r="M156" s="945">
        <f t="shared" si="38"/>
        <v>332939</v>
      </c>
      <c r="N156" s="945">
        <f t="shared" si="38"/>
        <v>548144</v>
      </c>
      <c r="O156" s="945">
        <f t="shared" si="37"/>
        <v>4036481</v>
      </c>
    </row>
    <row r="157" spans="1:15" ht="27.75" customHeight="1">
      <c r="A157" s="1054" t="s">
        <v>48</v>
      </c>
      <c r="B157" s="1054"/>
      <c r="C157" s="38">
        <v>908809</v>
      </c>
      <c r="D157" s="38">
        <v>786643</v>
      </c>
      <c r="E157" s="38">
        <v>978353</v>
      </c>
      <c r="F157" s="38">
        <v>812164</v>
      </c>
      <c r="G157" s="38">
        <v>762752</v>
      </c>
      <c r="H157" s="38">
        <v>791408</v>
      </c>
      <c r="I157" s="38">
        <v>720258</v>
      </c>
      <c r="J157" s="38">
        <v>688308</v>
      </c>
      <c r="K157" s="38">
        <v>755261</v>
      </c>
      <c r="L157" s="38">
        <v>804958</v>
      </c>
      <c r="M157" s="38">
        <v>905243</v>
      </c>
      <c r="N157" s="38">
        <v>858204</v>
      </c>
      <c r="O157" s="38">
        <f t="shared" si="37"/>
        <v>9772361</v>
      </c>
    </row>
    <row r="158" spans="1:15" ht="27.75" customHeight="1">
      <c r="A158" s="1054" t="s">
        <v>130</v>
      </c>
      <c r="B158" s="1054"/>
      <c r="C158" s="38">
        <v>21715</v>
      </c>
      <c r="D158" s="38">
        <v>19393</v>
      </c>
      <c r="E158" s="38">
        <v>18012</v>
      </c>
      <c r="F158" s="38">
        <v>16866</v>
      </c>
      <c r="G158" s="38">
        <v>18341</v>
      </c>
      <c r="H158" s="38">
        <v>15924</v>
      </c>
      <c r="I158" s="38">
        <v>16781</v>
      </c>
      <c r="J158" s="38">
        <v>18009</v>
      </c>
      <c r="K158" s="38">
        <v>16408</v>
      </c>
      <c r="L158" s="38">
        <v>18493</v>
      </c>
      <c r="M158" s="38">
        <v>18140</v>
      </c>
      <c r="N158" s="38">
        <v>19321</v>
      </c>
      <c r="O158" s="38">
        <f t="shared" si="37"/>
        <v>217403</v>
      </c>
    </row>
    <row r="159" spans="1:15" ht="27.75" customHeight="1">
      <c r="A159" s="1054" t="s">
        <v>131</v>
      </c>
      <c r="B159" s="1054"/>
      <c r="C159" s="38">
        <v>58960</v>
      </c>
      <c r="D159" s="38">
        <v>53263</v>
      </c>
      <c r="E159" s="38">
        <v>144035</v>
      </c>
      <c r="F159" s="38">
        <v>139392</v>
      </c>
      <c r="G159" s="38">
        <v>144035</v>
      </c>
      <c r="H159" s="38">
        <v>139392</v>
      </c>
      <c r="I159" s="38">
        <v>144035</v>
      </c>
      <c r="J159" s="38">
        <v>144035</v>
      </c>
      <c r="K159" s="38">
        <v>139392</v>
      </c>
      <c r="L159" s="38">
        <v>144035</v>
      </c>
      <c r="M159" s="38">
        <v>139392</v>
      </c>
      <c r="N159" s="38">
        <v>144035</v>
      </c>
      <c r="O159" s="38">
        <f t="shared" si="37"/>
        <v>1534001</v>
      </c>
    </row>
    <row r="160" spans="1:15" ht="27.75" customHeight="1">
      <c r="A160" s="1054" t="s">
        <v>132</v>
      </c>
      <c r="B160" s="1054"/>
      <c r="C160" s="38">
        <v>69260</v>
      </c>
      <c r="D160" s="38">
        <v>56668</v>
      </c>
      <c r="E160" s="38">
        <v>39615</v>
      </c>
      <c r="F160" s="38">
        <v>21201</v>
      </c>
      <c r="G160" s="38">
        <v>8329</v>
      </c>
      <c r="H160" s="38">
        <v>3688</v>
      </c>
      <c r="I160" s="38">
        <v>2210</v>
      </c>
      <c r="J160" s="38">
        <v>1619</v>
      </c>
      <c r="K160" s="38">
        <v>1901</v>
      </c>
      <c r="L160" s="38">
        <v>8661</v>
      </c>
      <c r="M160" s="38">
        <v>28054</v>
      </c>
      <c r="N160" s="38">
        <v>57219</v>
      </c>
      <c r="O160" s="38">
        <f t="shared" si="37"/>
        <v>298425</v>
      </c>
    </row>
    <row r="161" spans="1:16" ht="27.75" customHeight="1">
      <c r="A161" s="1054" t="s">
        <v>133</v>
      </c>
      <c r="B161" s="1054"/>
      <c r="C161" s="38">
        <v>9896</v>
      </c>
      <c r="D161" s="38">
        <v>720</v>
      </c>
      <c r="E161" s="38">
        <v>642</v>
      </c>
      <c r="F161" s="38">
        <v>560</v>
      </c>
      <c r="G161" s="38">
        <v>460</v>
      </c>
      <c r="H161" s="38">
        <v>627</v>
      </c>
      <c r="I161" s="38">
        <v>786</v>
      </c>
      <c r="J161" s="38">
        <v>754</v>
      </c>
      <c r="K161" s="38">
        <v>676</v>
      </c>
      <c r="L161" s="38">
        <v>17545</v>
      </c>
      <c r="M161" s="38">
        <v>499</v>
      </c>
      <c r="N161" s="38">
        <v>666</v>
      </c>
      <c r="O161" s="38">
        <f t="shared" si="37"/>
        <v>33831</v>
      </c>
    </row>
    <row r="162" spans="1:16" ht="27.75" customHeight="1">
      <c r="A162" s="1037" t="s">
        <v>113</v>
      </c>
      <c r="B162" s="7" t="s">
        <v>114</v>
      </c>
      <c r="C162" s="15">
        <v>233408</v>
      </c>
      <c r="D162" s="15">
        <v>208622</v>
      </c>
      <c r="E162" s="15">
        <v>230620</v>
      </c>
      <c r="F162" s="15">
        <v>222953</v>
      </c>
      <c r="G162" s="15">
        <v>233967</v>
      </c>
      <c r="H162" s="15">
        <v>230743</v>
      </c>
      <c r="I162" s="15">
        <v>244282</v>
      </c>
      <c r="J162" s="15">
        <v>249417</v>
      </c>
      <c r="K162" s="15">
        <v>229915</v>
      </c>
      <c r="L162" s="15">
        <v>227414</v>
      </c>
      <c r="M162" s="15">
        <v>225895</v>
      </c>
      <c r="N162" s="15">
        <v>229824</v>
      </c>
      <c r="O162" s="15">
        <f t="shared" si="37"/>
        <v>2767060</v>
      </c>
    </row>
    <row r="163" spans="1:16" ht="27.75" customHeight="1">
      <c r="A163" s="1037"/>
      <c r="B163" s="8" t="s">
        <v>128</v>
      </c>
      <c r="C163" s="19">
        <v>12878</v>
      </c>
      <c r="D163" s="19">
        <v>11511</v>
      </c>
      <c r="E163" s="19">
        <v>12725</v>
      </c>
      <c r="F163" s="19">
        <v>12302</v>
      </c>
      <c r="G163" s="19">
        <v>12909</v>
      </c>
      <c r="H163" s="19">
        <v>12731</v>
      </c>
      <c r="I163" s="19">
        <v>13478</v>
      </c>
      <c r="J163" s="19">
        <v>13762</v>
      </c>
      <c r="K163" s="19">
        <v>12686</v>
      </c>
      <c r="L163" s="19">
        <v>12548</v>
      </c>
      <c r="M163" s="19">
        <v>12464</v>
      </c>
      <c r="N163" s="19">
        <v>12681</v>
      </c>
      <c r="O163" s="19">
        <f t="shared" si="37"/>
        <v>152675</v>
      </c>
    </row>
    <row r="164" spans="1:16" ht="27.75" customHeight="1">
      <c r="A164" s="1037"/>
      <c r="B164" s="97" t="s">
        <v>46</v>
      </c>
      <c r="C164" s="945">
        <f t="shared" ref="C164:N164" si="39">SUM(C162:C163)</f>
        <v>246286</v>
      </c>
      <c r="D164" s="945">
        <f t="shared" si="39"/>
        <v>220133</v>
      </c>
      <c r="E164" s="945">
        <f t="shared" si="39"/>
        <v>243345</v>
      </c>
      <c r="F164" s="945">
        <f t="shared" si="39"/>
        <v>235255</v>
      </c>
      <c r="G164" s="945">
        <f t="shared" si="39"/>
        <v>246876</v>
      </c>
      <c r="H164" s="945">
        <f t="shared" si="39"/>
        <v>243474</v>
      </c>
      <c r="I164" s="945">
        <f t="shared" si="39"/>
        <v>257760</v>
      </c>
      <c r="J164" s="945">
        <f t="shared" si="39"/>
        <v>263179</v>
      </c>
      <c r="K164" s="945">
        <f t="shared" si="39"/>
        <v>242601</v>
      </c>
      <c r="L164" s="945">
        <f t="shared" si="39"/>
        <v>239962</v>
      </c>
      <c r="M164" s="945">
        <f t="shared" si="39"/>
        <v>238359</v>
      </c>
      <c r="N164" s="945">
        <f t="shared" si="39"/>
        <v>242505</v>
      </c>
      <c r="O164" s="945">
        <f t="shared" si="37"/>
        <v>2919735</v>
      </c>
    </row>
    <row r="165" spans="1:16" ht="27.75" customHeight="1">
      <c r="A165" s="1050" t="s">
        <v>51</v>
      </c>
      <c r="B165" s="1050"/>
      <c r="C165" s="946">
        <f t="shared" ref="C165:N165" si="40">SUM(C149,C150,C156,C157:C161,C164)</f>
        <v>7637895</v>
      </c>
      <c r="D165" s="946">
        <f t="shared" si="40"/>
        <v>5667993</v>
      </c>
      <c r="E165" s="946">
        <f t="shared" si="40"/>
        <v>5043052</v>
      </c>
      <c r="F165" s="946">
        <f t="shared" si="40"/>
        <v>3008957</v>
      </c>
      <c r="G165" s="946">
        <f t="shared" si="40"/>
        <v>2465721</v>
      </c>
      <c r="H165" s="946">
        <f t="shared" si="40"/>
        <v>2149243</v>
      </c>
      <c r="I165" s="946">
        <f t="shared" si="40"/>
        <v>2113405</v>
      </c>
      <c r="J165" s="946">
        <f t="shared" si="40"/>
        <v>2010289</v>
      </c>
      <c r="K165" s="946">
        <f t="shared" si="40"/>
        <v>1990122</v>
      </c>
      <c r="L165" s="946">
        <f t="shared" si="40"/>
        <v>2712406</v>
      </c>
      <c r="M165" s="946">
        <f t="shared" si="40"/>
        <v>4740176</v>
      </c>
      <c r="N165" s="946">
        <f t="shared" si="40"/>
        <v>7431737</v>
      </c>
      <c r="O165" s="946">
        <f t="shared" si="37"/>
        <v>46970996</v>
      </c>
      <c r="P165" s="420"/>
    </row>
    <row r="166" spans="1:16" ht="10.5" customHeight="1"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0"/>
      <c r="N166" s="420"/>
      <c r="O166" s="420"/>
    </row>
    <row r="167" spans="1:16" ht="27.75" customHeight="1">
      <c r="A167" s="1036" t="s">
        <v>138</v>
      </c>
      <c r="B167" s="7" t="s">
        <v>136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>
        <f>SUM(C167:N167)</f>
        <v>0</v>
      </c>
    </row>
    <row r="168" spans="1:16" ht="27.75" customHeight="1">
      <c r="A168" s="1037"/>
      <c r="B168" s="8" t="s">
        <v>49</v>
      </c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>
        <f>SUM(C168:N168)</f>
        <v>0</v>
      </c>
    </row>
    <row r="169" spans="1:16" ht="27.75" customHeight="1">
      <c r="A169" s="1037"/>
      <c r="B169" s="6" t="s">
        <v>45</v>
      </c>
      <c r="C169" s="23">
        <f t="shared" ref="C169:N169" si="41">SUM(C167:C168)</f>
        <v>0</v>
      </c>
      <c r="D169" s="23">
        <f t="shared" si="41"/>
        <v>0</v>
      </c>
      <c r="E169" s="23">
        <f t="shared" si="41"/>
        <v>0</v>
      </c>
      <c r="F169" s="23">
        <f t="shared" si="41"/>
        <v>0</v>
      </c>
      <c r="G169" s="23">
        <f t="shared" si="41"/>
        <v>0</v>
      </c>
      <c r="H169" s="23">
        <f t="shared" si="41"/>
        <v>0</v>
      </c>
      <c r="I169" s="23">
        <f t="shared" si="41"/>
        <v>0</v>
      </c>
      <c r="J169" s="23">
        <f t="shared" si="41"/>
        <v>0</v>
      </c>
      <c r="K169" s="23">
        <f t="shared" si="41"/>
        <v>0</v>
      </c>
      <c r="L169" s="23">
        <f t="shared" si="41"/>
        <v>0</v>
      </c>
      <c r="M169" s="23">
        <f t="shared" si="41"/>
        <v>0</v>
      </c>
      <c r="N169" s="23">
        <f t="shared" si="41"/>
        <v>0</v>
      </c>
      <c r="O169" s="23">
        <f>SUM(C169:N169)</f>
        <v>0</v>
      </c>
    </row>
    <row r="170" spans="1:16" ht="43.5" customHeight="1">
      <c r="A170" s="1056" t="s">
        <v>137</v>
      </c>
      <c r="B170" s="1056"/>
      <c r="C170" s="38">
        <f t="shared" ref="C170:N170" si="42">SUM(C165,C169)</f>
        <v>7637895</v>
      </c>
      <c r="D170" s="38">
        <f t="shared" si="42"/>
        <v>5667993</v>
      </c>
      <c r="E170" s="38">
        <f t="shared" si="42"/>
        <v>5043052</v>
      </c>
      <c r="F170" s="38">
        <f t="shared" si="42"/>
        <v>3008957</v>
      </c>
      <c r="G170" s="38">
        <f t="shared" si="42"/>
        <v>2465721</v>
      </c>
      <c r="H170" s="38">
        <f t="shared" si="42"/>
        <v>2149243</v>
      </c>
      <c r="I170" s="38">
        <f t="shared" si="42"/>
        <v>2113405</v>
      </c>
      <c r="J170" s="38">
        <f t="shared" si="42"/>
        <v>2010289</v>
      </c>
      <c r="K170" s="38">
        <f t="shared" si="42"/>
        <v>1990122</v>
      </c>
      <c r="L170" s="38">
        <f t="shared" si="42"/>
        <v>2712406</v>
      </c>
      <c r="M170" s="38">
        <f t="shared" si="42"/>
        <v>4740176</v>
      </c>
      <c r="N170" s="38">
        <f t="shared" si="42"/>
        <v>7431737</v>
      </c>
      <c r="O170" s="38">
        <f>SUM(C170:N170)</f>
        <v>46970996</v>
      </c>
    </row>
  </sheetData>
  <mergeCells count="72">
    <mergeCell ref="A34:A37"/>
    <mergeCell ref="A6:A9"/>
    <mergeCell ref="A17:B17"/>
    <mergeCell ref="A18:B18"/>
    <mergeCell ref="A19:B19"/>
    <mergeCell ref="A20:B20"/>
    <mergeCell ref="A21:B21"/>
    <mergeCell ref="A22:A24"/>
    <mergeCell ref="A11:A16"/>
    <mergeCell ref="A25:B25"/>
    <mergeCell ref="A5:B5"/>
    <mergeCell ref="A30:B30"/>
    <mergeCell ref="A27:A29"/>
    <mergeCell ref="A33:B33"/>
    <mergeCell ref="A62:A65"/>
    <mergeCell ref="A39:A44"/>
    <mergeCell ref="A45:B45"/>
    <mergeCell ref="A46:B46"/>
    <mergeCell ref="A47:B47"/>
    <mergeCell ref="A48:B48"/>
    <mergeCell ref="A49:B49"/>
    <mergeCell ref="A50:A52"/>
    <mergeCell ref="A53:B53"/>
    <mergeCell ref="A55:A57"/>
    <mergeCell ref="A58:B58"/>
    <mergeCell ref="A61:B61"/>
    <mergeCell ref="A90:A93"/>
    <mergeCell ref="A67:A72"/>
    <mergeCell ref="A73:B73"/>
    <mergeCell ref="A74:B74"/>
    <mergeCell ref="A75:B75"/>
    <mergeCell ref="A76:B76"/>
    <mergeCell ref="A77:B77"/>
    <mergeCell ref="A78:A80"/>
    <mergeCell ref="A81:B81"/>
    <mergeCell ref="A83:A85"/>
    <mergeCell ref="A86:B86"/>
    <mergeCell ref="A89:B89"/>
    <mergeCell ref="A118:A121"/>
    <mergeCell ref="A95:A100"/>
    <mergeCell ref="A101:B101"/>
    <mergeCell ref="A102:B102"/>
    <mergeCell ref="A103:B103"/>
    <mergeCell ref="A104:B104"/>
    <mergeCell ref="A105:B105"/>
    <mergeCell ref="A106:A108"/>
    <mergeCell ref="A109:B109"/>
    <mergeCell ref="A111:A113"/>
    <mergeCell ref="A114:B114"/>
    <mergeCell ref="A117:B117"/>
    <mergeCell ref="A146:A149"/>
    <mergeCell ref="A123:A128"/>
    <mergeCell ref="A129:B129"/>
    <mergeCell ref="A130:B130"/>
    <mergeCell ref="A131:B131"/>
    <mergeCell ref="A132:B132"/>
    <mergeCell ref="A133:B133"/>
    <mergeCell ref="A134:A136"/>
    <mergeCell ref="A137:B137"/>
    <mergeCell ref="A139:A141"/>
    <mergeCell ref="A142:B142"/>
    <mergeCell ref="A145:B145"/>
    <mergeCell ref="A162:A164"/>
    <mergeCell ref="A165:B165"/>
    <mergeCell ref="A167:A169"/>
    <mergeCell ref="A170:B170"/>
    <mergeCell ref="A151:A156"/>
    <mergeCell ref="A157:B157"/>
    <mergeCell ref="A158:B158"/>
    <mergeCell ref="A159:B159"/>
    <mergeCell ref="A160:B160"/>
    <mergeCell ref="A161:B161"/>
  </mergeCells>
  <phoneticPr fontId="4" type="noConversion"/>
  <conditionalFormatting sqref="C6:O30">
    <cfRule type="expression" dxfId="5" priority="6">
      <formula>IF(C6-TRUNC(C6)&lt;&gt;0,TRUE,FALSE)</formula>
    </cfRule>
  </conditionalFormatting>
  <conditionalFormatting sqref="C34:O58">
    <cfRule type="expression" dxfId="4" priority="5">
      <formula>IF(C34-TRUNC(C34)&lt;&gt;0,TRUE,FALSE)</formula>
    </cfRule>
  </conditionalFormatting>
  <conditionalFormatting sqref="C62:O86">
    <cfRule type="expression" dxfId="3" priority="4">
      <formula>IF(C62-TRUNC(C62)&lt;&gt;0,TRUE,FALSE)</formula>
    </cfRule>
  </conditionalFormatting>
  <conditionalFormatting sqref="C90:O114">
    <cfRule type="expression" dxfId="2" priority="3">
      <formula>IF(C90-TRUNC(C90)&lt;&gt;0,TRUE,FALSE)</formula>
    </cfRule>
  </conditionalFormatting>
  <conditionalFormatting sqref="C118:O142">
    <cfRule type="expression" dxfId="1" priority="2">
      <formula>IF(C118-TRUNC(C118)&lt;&gt;0,TRUE,FALSE)</formula>
    </cfRule>
  </conditionalFormatting>
  <conditionalFormatting sqref="C146:O170">
    <cfRule type="expression" dxfId="0" priority="1">
      <formula>IF(C146-TRUNC(C146)&lt;&gt;0,TRUE,FALSE)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12" scale="67" fitToHeight="9" orientation="landscape" r:id="rId1"/>
  <rowBreaks count="5" manualBreakCount="5">
    <brk id="31" max="16383" man="1"/>
    <brk id="59" max="16383" man="1"/>
    <brk id="87" max="16383" man="1"/>
    <brk id="115" max="16383" man="1"/>
    <brk id="14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83"/>
  <sheetViews>
    <sheetView topLeftCell="A35" workbookViewId="0">
      <selection activeCell="O7" sqref="O7"/>
    </sheetView>
  </sheetViews>
  <sheetFormatPr defaultRowHeight="16.5"/>
  <cols>
    <col min="1" max="1" width="22.375" bestFit="1" customWidth="1"/>
    <col min="2" max="2" width="35" customWidth="1"/>
    <col min="6" max="6" width="10.875" customWidth="1"/>
    <col min="22" max="22" width="16.125" bestFit="1" customWidth="1"/>
  </cols>
  <sheetData>
    <row r="1" spans="1:21" ht="26.25">
      <c r="A1" s="535" t="s">
        <v>235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1" ht="12" customHeight="1" thickBot="1">
      <c r="T2" t="s">
        <v>154</v>
      </c>
    </row>
    <row r="3" spans="1:21">
      <c r="A3" s="115" t="s">
        <v>155</v>
      </c>
      <c r="B3" s="116" t="s">
        <v>2</v>
      </c>
      <c r="C3" s="117" t="s">
        <v>3</v>
      </c>
      <c r="D3" s="118"/>
      <c r="E3" s="116" t="s">
        <v>156</v>
      </c>
      <c r="F3" s="119" t="s">
        <v>8</v>
      </c>
      <c r="G3" s="120" t="s">
        <v>157</v>
      </c>
      <c r="H3" s="121"/>
      <c r="I3" s="121"/>
      <c r="J3" s="121"/>
      <c r="K3" s="122"/>
      <c r="L3" s="123"/>
      <c r="M3" s="124"/>
      <c r="N3" s="125" t="s">
        <v>158</v>
      </c>
      <c r="O3" s="121"/>
      <c r="P3" s="121"/>
      <c r="Q3" s="121"/>
      <c r="R3" s="121"/>
      <c r="S3" s="122"/>
      <c r="T3" s="124"/>
      <c r="U3" s="126" t="s">
        <v>3</v>
      </c>
    </row>
    <row r="4" spans="1:21" ht="17.25" thickBot="1">
      <c r="A4" s="127"/>
      <c r="B4" s="128"/>
      <c r="C4" s="128" t="s">
        <v>6</v>
      </c>
      <c r="D4" s="128" t="s">
        <v>7</v>
      </c>
      <c r="E4" s="128" t="s">
        <v>159</v>
      </c>
      <c r="F4" s="129"/>
      <c r="G4" s="130" t="s">
        <v>68</v>
      </c>
      <c r="H4" s="131" t="s">
        <v>70</v>
      </c>
      <c r="I4" s="131" t="s">
        <v>72</v>
      </c>
      <c r="J4" s="131" t="s">
        <v>73</v>
      </c>
      <c r="K4" s="131" t="s">
        <v>74</v>
      </c>
      <c r="L4" s="131" t="s">
        <v>75</v>
      </c>
      <c r="M4" s="132" t="s">
        <v>160</v>
      </c>
      <c r="N4" s="133" t="s">
        <v>76</v>
      </c>
      <c r="O4" s="131" t="s">
        <v>77</v>
      </c>
      <c r="P4" s="131" t="s">
        <v>78</v>
      </c>
      <c r="Q4" s="131" t="s">
        <v>79</v>
      </c>
      <c r="R4" s="131" t="s">
        <v>80</v>
      </c>
      <c r="S4" s="131" t="s">
        <v>81</v>
      </c>
      <c r="T4" s="132" t="s">
        <v>160</v>
      </c>
      <c r="U4" s="132" t="s">
        <v>51</v>
      </c>
    </row>
    <row r="5" spans="1:21">
      <c r="A5" s="134"/>
      <c r="B5" s="3" t="s">
        <v>161</v>
      </c>
      <c r="C5" s="135">
        <v>4570</v>
      </c>
      <c r="D5" s="135">
        <f>U5</f>
        <v>6247</v>
      </c>
      <c r="E5" s="136">
        <f t="shared" ref="E5:E69" si="0">IFERROR(D5/C5*100,"")</f>
        <v>136.69584245076587</v>
      </c>
      <c r="F5" s="137"/>
      <c r="G5" s="138">
        <v>363</v>
      </c>
      <c r="H5" s="135">
        <v>478</v>
      </c>
      <c r="I5" s="135">
        <v>210</v>
      </c>
      <c r="J5" s="135">
        <v>805</v>
      </c>
      <c r="K5" s="135">
        <v>561</v>
      </c>
      <c r="L5" s="135">
        <v>670</v>
      </c>
      <c r="M5" s="139">
        <f>SUM(G5:L5)</f>
        <v>3087</v>
      </c>
      <c r="N5" s="138">
        <v>926</v>
      </c>
      <c r="O5" s="135">
        <v>341</v>
      </c>
      <c r="P5" s="135">
        <v>393</v>
      </c>
      <c r="Q5" s="135">
        <v>500</v>
      </c>
      <c r="R5" s="135">
        <v>500</v>
      </c>
      <c r="S5" s="135">
        <v>500</v>
      </c>
      <c r="T5" s="139">
        <f t="shared" ref="T5:T70" si="1">SUM(N5:S5)</f>
        <v>3160</v>
      </c>
      <c r="U5" s="139">
        <f>M5+T5</f>
        <v>6247</v>
      </c>
    </row>
    <row r="6" spans="1:21">
      <c r="A6" s="140" t="s">
        <v>162</v>
      </c>
      <c r="B6" s="5" t="s">
        <v>163</v>
      </c>
      <c r="C6" s="141">
        <v>6400</v>
      </c>
      <c r="D6" s="141">
        <f>U6</f>
        <v>6400</v>
      </c>
      <c r="E6" s="142">
        <f t="shared" si="0"/>
        <v>100</v>
      </c>
      <c r="F6" s="143"/>
      <c r="G6" s="144">
        <v>521</v>
      </c>
      <c r="H6" s="141">
        <v>663</v>
      </c>
      <c r="I6" s="141">
        <v>275</v>
      </c>
      <c r="J6" s="141">
        <v>370</v>
      </c>
      <c r="K6" s="141">
        <v>473</v>
      </c>
      <c r="L6" s="141">
        <v>437</v>
      </c>
      <c r="M6" s="145">
        <f t="shared" ref="M6:M72" si="2">SUM(G6:L6)</f>
        <v>2739</v>
      </c>
      <c r="N6" s="144">
        <v>348</v>
      </c>
      <c r="O6" s="141">
        <v>556</v>
      </c>
      <c r="P6" s="141">
        <v>138</v>
      </c>
      <c r="Q6" s="141">
        <v>873</v>
      </c>
      <c r="R6" s="141">
        <v>873</v>
      </c>
      <c r="S6" s="141">
        <v>873</v>
      </c>
      <c r="T6" s="145">
        <f t="shared" si="1"/>
        <v>3661</v>
      </c>
      <c r="U6" s="145">
        <f>M6+T6</f>
        <v>6400</v>
      </c>
    </row>
    <row r="7" spans="1:21">
      <c r="A7" s="146" t="s">
        <v>12</v>
      </c>
      <c r="B7" s="147" t="s">
        <v>11</v>
      </c>
      <c r="C7" s="148">
        <f>SUM(C5:C6)</f>
        <v>10970</v>
      </c>
      <c r="D7" s="148">
        <f>SUM(D5:D6)</f>
        <v>12647</v>
      </c>
      <c r="E7" s="149">
        <f t="shared" si="0"/>
        <v>115.28714676390155</v>
      </c>
      <c r="F7" s="150"/>
      <c r="G7" s="151">
        <f t="shared" ref="G7:L7" si="3">SUM(G5:G6)</f>
        <v>884</v>
      </c>
      <c r="H7" s="148">
        <f t="shared" si="3"/>
        <v>1141</v>
      </c>
      <c r="I7" s="148">
        <f t="shared" si="3"/>
        <v>485</v>
      </c>
      <c r="J7" s="148">
        <f t="shared" si="3"/>
        <v>1175</v>
      </c>
      <c r="K7" s="148">
        <f t="shared" si="3"/>
        <v>1034</v>
      </c>
      <c r="L7" s="148">
        <f t="shared" si="3"/>
        <v>1107</v>
      </c>
      <c r="M7" s="152">
        <f t="shared" si="2"/>
        <v>5826</v>
      </c>
      <c r="N7" s="151">
        <f t="shared" ref="N7:S7" si="4">SUM(N5:N6)</f>
        <v>1274</v>
      </c>
      <c r="O7" s="148">
        <f t="shared" si="4"/>
        <v>897</v>
      </c>
      <c r="P7" s="148">
        <f t="shared" si="4"/>
        <v>531</v>
      </c>
      <c r="Q7" s="148">
        <f t="shared" si="4"/>
        <v>1373</v>
      </c>
      <c r="R7" s="148">
        <f t="shared" si="4"/>
        <v>1373</v>
      </c>
      <c r="S7" s="148">
        <f t="shared" si="4"/>
        <v>1373</v>
      </c>
      <c r="T7" s="152">
        <f t="shared" si="1"/>
        <v>6821</v>
      </c>
      <c r="U7" s="152">
        <f>SUM(U5:U6)</f>
        <v>12647</v>
      </c>
    </row>
    <row r="8" spans="1:21" hidden="1">
      <c r="A8" s="134"/>
      <c r="B8" s="3"/>
      <c r="C8" s="135"/>
      <c r="D8" s="135">
        <f>U8</f>
        <v>0</v>
      </c>
      <c r="E8" s="136" t="str">
        <f t="shared" si="0"/>
        <v/>
      </c>
      <c r="F8" s="153"/>
      <c r="G8" s="138"/>
      <c r="H8" s="135"/>
      <c r="I8" s="135"/>
      <c r="J8" s="135"/>
      <c r="K8" s="135"/>
      <c r="L8" s="135"/>
      <c r="M8" s="139">
        <f t="shared" si="2"/>
        <v>0</v>
      </c>
      <c r="N8" s="138"/>
      <c r="O8" s="135"/>
      <c r="P8" s="135"/>
      <c r="Q8" s="135"/>
      <c r="R8" s="135"/>
      <c r="S8" s="135"/>
      <c r="T8" s="139">
        <f t="shared" si="1"/>
        <v>0</v>
      </c>
      <c r="U8" s="139">
        <f>M8+T8</f>
        <v>0</v>
      </c>
    </row>
    <row r="9" spans="1:21" hidden="1">
      <c r="A9" s="140" t="s">
        <v>164</v>
      </c>
      <c r="B9" s="5"/>
      <c r="C9" s="141"/>
      <c r="D9" s="141">
        <f>U9</f>
        <v>0</v>
      </c>
      <c r="E9" s="142" t="str">
        <f t="shared" si="0"/>
        <v/>
      </c>
      <c r="F9" s="143"/>
      <c r="G9" s="144"/>
      <c r="H9" s="141"/>
      <c r="I9" s="141"/>
      <c r="J9" s="141"/>
      <c r="K9" s="141"/>
      <c r="L9" s="141"/>
      <c r="M9" s="145">
        <f t="shared" si="2"/>
        <v>0</v>
      </c>
      <c r="N9" s="144"/>
      <c r="O9" s="141"/>
      <c r="P9" s="141"/>
      <c r="Q9" s="141"/>
      <c r="R9" s="141"/>
      <c r="S9" s="141"/>
      <c r="T9" s="145">
        <f t="shared" si="1"/>
        <v>0</v>
      </c>
      <c r="U9" s="145">
        <f>M9+T9</f>
        <v>0</v>
      </c>
    </row>
    <row r="10" spans="1:21" hidden="1">
      <c r="A10" s="154" t="s">
        <v>13</v>
      </c>
      <c r="B10" s="147" t="s">
        <v>11</v>
      </c>
      <c r="C10" s="148">
        <f>SUM(C8:C9)</f>
        <v>0</v>
      </c>
      <c r="D10" s="148">
        <f>SUM(D8:D9)</f>
        <v>0</v>
      </c>
      <c r="E10" s="149" t="str">
        <f t="shared" si="0"/>
        <v/>
      </c>
      <c r="F10" s="150"/>
      <c r="G10" s="151">
        <f t="shared" ref="G10:L10" si="5">SUM(G8:G9)</f>
        <v>0</v>
      </c>
      <c r="H10" s="148">
        <f t="shared" si="5"/>
        <v>0</v>
      </c>
      <c r="I10" s="148">
        <f t="shared" si="5"/>
        <v>0</v>
      </c>
      <c r="J10" s="148">
        <f t="shared" si="5"/>
        <v>0</v>
      </c>
      <c r="K10" s="148">
        <f t="shared" si="5"/>
        <v>0</v>
      </c>
      <c r="L10" s="148">
        <f t="shared" si="5"/>
        <v>0</v>
      </c>
      <c r="M10" s="152">
        <f t="shared" si="2"/>
        <v>0</v>
      </c>
      <c r="N10" s="151">
        <f t="shared" ref="N10:S10" si="6">SUM(N8:N9)</f>
        <v>0</v>
      </c>
      <c r="O10" s="148">
        <f t="shared" si="6"/>
        <v>0</v>
      </c>
      <c r="P10" s="148">
        <f t="shared" si="6"/>
        <v>0</v>
      </c>
      <c r="Q10" s="148">
        <f t="shared" si="6"/>
        <v>0</v>
      </c>
      <c r="R10" s="148">
        <f t="shared" si="6"/>
        <v>0</v>
      </c>
      <c r="S10" s="148">
        <f t="shared" si="6"/>
        <v>0</v>
      </c>
      <c r="T10" s="152">
        <f t="shared" si="1"/>
        <v>0</v>
      </c>
      <c r="U10" s="152">
        <f>SUM(U8:U9)</f>
        <v>0</v>
      </c>
    </row>
    <row r="11" spans="1:21">
      <c r="A11" s="134"/>
      <c r="B11" s="3" t="s">
        <v>165</v>
      </c>
      <c r="C11" s="135">
        <v>3612</v>
      </c>
      <c r="D11" s="135">
        <f>U11</f>
        <v>2472</v>
      </c>
      <c r="E11" s="136">
        <f t="shared" si="0"/>
        <v>68.438538205980066</v>
      </c>
      <c r="F11" s="137"/>
      <c r="G11" s="138"/>
      <c r="H11" s="135">
        <v>89</v>
      </c>
      <c r="I11" s="135"/>
      <c r="J11" s="135"/>
      <c r="K11" s="135">
        <v>99</v>
      </c>
      <c r="L11" s="135">
        <v>458</v>
      </c>
      <c r="M11" s="139">
        <f t="shared" si="2"/>
        <v>646</v>
      </c>
      <c r="N11" s="138">
        <v>120</v>
      </c>
      <c r="O11" s="135">
        <v>287</v>
      </c>
      <c r="P11" s="135">
        <v>67</v>
      </c>
      <c r="Q11" s="135">
        <f>346</f>
        <v>346</v>
      </c>
      <c r="R11" s="135">
        <f>352+352</f>
        <v>704</v>
      </c>
      <c r="S11" s="135">
        <v>302</v>
      </c>
      <c r="T11" s="139">
        <f t="shared" si="1"/>
        <v>1826</v>
      </c>
      <c r="U11" s="139">
        <f>M11+T11</f>
        <v>2472</v>
      </c>
    </row>
    <row r="12" spans="1:21">
      <c r="A12" s="140" t="s">
        <v>166</v>
      </c>
      <c r="B12" s="5" t="s">
        <v>167</v>
      </c>
      <c r="C12" s="141">
        <v>4700</v>
      </c>
      <c r="D12" s="141">
        <f>U12</f>
        <v>4700</v>
      </c>
      <c r="E12" s="142">
        <f t="shared" si="0"/>
        <v>100</v>
      </c>
      <c r="F12" s="143"/>
      <c r="G12" s="144">
        <v>226</v>
      </c>
      <c r="H12" s="141">
        <v>358</v>
      </c>
      <c r="I12" s="141">
        <v>362</v>
      </c>
      <c r="J12" s="141">
        <v>360</v>
      </c>
      <c r="K12" s="141">
        <v>240</v>
      </c>
      <c r="L12" s="141">
        <v>496</v>
      </c>
      <c r="M12" s="145">
        <f t="shared" si="2"/>
        <v>2042</v>
      </c>
      <c r="N12" s="144">
        <v>666</v>
      </c>
      <c r="O12" s="141">
        <v>216</v>
      </c>
      <c r="P12" s="141">
        <v>702</v>
      </c>
      <c r="Q12" s="141">
        <v>358</v>
      </c>
      <c r="R12" s="141">
        <v>358</v>
      </c>
      <c r="S12" s="141">
        <v>358</v>
      </c>
      <c r="T12" s="145">
        <f t="shared" si="1"/>
        <v>2658</v>
      </c>
      <c r="U12" s="145">
        <f>M12+T12</f>
        <v>4700</v>
      </c>
    </row>
    <row r="13" spans="1:21">
      <c r="A13" s="154" t="s">
        <v>14</v>
      </c>
      <c r="B13" s="147" t="s">
        <v>11</v>
      </c>
      <c r="C13" s="155">
        <f>SUM(C11:C12)</f>
        <v>8312</v>
      </c>
      <c r="D13" s="155">
        <f>SUM(D11:D12)</f>
        <v>7172</v>
      </c>
      <c r="E13" s="156">
        <f t="shared" si="0"/>
        <v>86.28488931665062</v>
      </c>
      <c r="F13" s="157"/>
      <c r="G13" s="158">
        <f t="shared" ref="G13:L13" si="7">SUM(G11:G12)</f>
        <v>226</v>
      </c>
      <c r="H13" s="155">
        <f t="shared" si="7"/>
        <v>447</v>
      </c>
      <c r="I13" s="155">
        <f t="shared" si="7"/>
        <v>362</v>
      </c>
      <c r="J13" s="155">
        <f t="shared" si="7"/>
        <v>360</v>
      </c>
      <c r="K13" s="155">
        <f t="shared" si="7"/>
        <v>339</v>
      </c>
      <c r="L13" s="155">
        <f t="shared" si="7"/>
        <v>954</v>
      </c>
      <c r="M13" s="159">
        <f t="shared" si="2"/>
        <v>2688</v>
      </c>
      <c r="N13" s="158">
        <f t="shared" ref="N13:S13" si="8">SUM(N11:N12)</f>
        <v>786</v>
      </c>
      <c r="O13" s="155">
        <f t="shared" si="8"/>
        <v>503</v>
      </c>
      <c r="P13" s="155">
        <f t="shared" si="8"/>
        <v>769</v>
      </c>
      <c r="Q13" s="155">
        <f t="shared" si="8"/>
        <v>704</v>
      </c>
      <c r="R13" s="155">
        <f t="shared" si="8"/>
        <v>1062</v>
      </c>
      <c r="S13" s="155">
        <f t="shared" si="8"/>
        <v>660</v>
      </c>
      <c r="T13" s="159">
        <f t="shared" si="1"/>
        <v>4484</v>
      </c>
      <c r="U13" s="159">
        <f>SUM(U11:U12)</f>
        <v>7172</v>
      </c>
    </row>
    <row r="14" spans="1:21">
      <c r="A14" s="134"/>
      <c r="B14" s="3" t="s">
        <v>168</v>
      </c>
      <c r="C14" s="135">
        <v>75</v>
      </c>
      <c r="D14" s="135">
        <f>U14</f>
        <v>40</v>
      </c>
      <c r="E14" s="136">
        <f t="shared" si="0"/>
        <v>53.333333333333336</v>
      </c>
      <c r="F14" s="137"/>
      <c r="G14" s="138">
        <v>5</v>
      </c>
      <c r="H14" s="135">
        <v>5</v>
      </c>
      <c r="I14" s="135"/>
      <c r="J14" s="135"/>
      <c r="K14" s="135"/>
      <c r="L14" s="135"/>
      <c r="M14" s="139">
        <f t="shared" si="2"/>
        <v>10</v>
      </c>
      <c r="N14" s="138"/>
      <c r="O14" s="135"/>
      <c r="P14" s="135"/>
      <c r="Q14" s="135">
        <v>10</v>
      </c>
      <c r="R14" s="135">
        <v>10</v>
      </c>
      <c r="S14" s="135">
        <v>10</v>
      </c>
      <c r="T14" s="139">
        <f t="shared" si="1"/>
        <v>30</v>
      </c>
      <c r="U14" s="139">
        <f>M14+T14</f>
        <v>40</v>
      </c>
    </row>
    <row r="15" spans="1:21">
      <c r="A15" s="140" t="s">
        <v>169</v>
      </c>
      <c r="B15" s="4" t="s">
        <v>170</v>
      </c>
      <c r="C15" s="160">
        <v>360</v>
      </c>
      <c r="D15" s="160">
        <f>U15</f>
        <v>360</v>
      </c>
      <c r="E15" s="161">
        <f t="shared" si="0"/>
        <v>100</v>
      </c>
      <c r="F15" s="162"/>
      <c r="G15" s="163">
        <v>32</v>
      </c>
      <c r="H15" s="160">
        <v>13</v>
      </c>
      <c r="I15" s="160">
        <v>31</v>
      </c>
      <c r="J15" s="160">
        <v>27</v>
      </c>
      <c r="K15" s="160">
        <v>27</v>
      </c>
      <c r="L15" s="160">
        <v>29</v>
      </c>
      <c r="M15" s="164">
        <f t="shared" si="2"/>
        <v>159</v>
      </c>
      <c r="N15" s="163">
        <v>26</v>
      </c>
      <c r="O15" s="160">
        <v>36</v>
      </c>
      <c r="P15" s="160">
        <v>15</v>
      </c>
      <c r="Q15" s="160">
        <v>41</v>
      </c>
      <c r="R15" s="160">
        <v>41</v>
      </c>
      <c r="S15" s="160">
        <v>42</v>
      </c>
      <c r="T15" s="164">
        <f t="shared" si="1"/>
        <v>201</v>
      </c>
      <c r="U15" s="164">
        <f>M15+T15</f>
        <v>360</v>
      </c>
    </row>
    <row r="16" spans="1:21">
      <c r="A16" s="154" t="s">
        <v>16</v>
      </c>
      <c r="B16" s="147" t="s">
        <v>11</v>
      </c>
      <c r="C16" s="148">
        <f>SUM(C14:C15)</f>
        <v>435</v>
      </c>
      <c r="D16" s="148">
        <f>SUM(D14:D15)</f>
        <v>400</v>
      </c>
      <c r="E16" s="149">
        <f t="shared" si="0"/>
        <v>91.954022988505741</v>
      </c>
      <c r="F16" s="150"/>
      <c r="G16" s="151">
        <f t="shared" ref="G16:L16" si="9">SUM(G14:G15)</f>
        <v>37</v>
      </c>
      <c r="H16" s="148">
        <f t="shared" si="9"/>
        <v>18</v>
      </c>
      <c r="I16" s="148">
        <f t="shared" si="9"/>
        <v>31</v>
      </c>
      <c r="J16" s="148">
        <f t="shared" si="9"/>
        <v>27</v>
      </c>
      <c r="K16" s="148">
        <f t="shared" si="9"/>
        <v>27</v>
      </c>
      <c r="L16" s="148">
        <f t="shared" si="9"/>
        <v>29</v>
      </c>
      <c r="M16" s="152">
        <f t="shared" si="2"/>
        <v>169</v>
      </c>
      <c r="N16" s="151">
        <f t="shared" ref="N16:S16" si="10">SUM(N14:N15)</f>
        <v>26</v>
      </c>
      <c r="O16" s="148">
        <f t="shared" si="10"/>
        <v>36</v>
      </c>
      <c r="P16" s="148">
        <f t="shared" si="10"/>
        <v>15</v>
      </c>
      <c r="Q16" s="148">
        <f t="shared" si="10"/>
        <v>51</v>
      </c>
      <c r="R16" s="148">
        <f t="shared" si="10"/>
        <v>51</v>
      </c>
      <c r="S16" s="148">
        <f t="shared" si="10"/>
        <v>52</v>
      </c>
      <c r="T16" s="152">
        <f t="shared" si="1"/>
        <v>231</v>
      </c>
      <c r="U16" s="152">
        <f>SUM(U14:U15)</f>
        <v>400</v>
      </c>
    </row>
    <row r="17" spans="1:21">
      <c r="A17" s="134"/>
      <c r="B17" s="3" t="s">
        <v>171</v>
      </c>
      <c r="C17" s="135">
        <v>5020</v>
      </c>
      <c r="D17" s="135">
        <f>U17</f>
        <v>1796</v>
      </c>
      <c r="E17" s="136">
        <f t="shared" si="0"/>
        <v>35.776892430278885</v>
      </c>
      <c r="F17" s="137"/>
      <c r="G17" s="138"/>
      <c r="H17" s="135"/>
      <c r="I17" s="135">
        <v>803</v>
      </c>
      <c r="J17" s="135"/>
      <c r="K17" s="135"/>
      <c r="L17" s="135"/>
      <c r="M17" s="139">
        <f t="shared" si="2"/>
        <v>803</v>
      </c>
      <c r="N17" s="138">
        <v>193</v>
      </c>
      <c r="O17" s="135"/>
      <c r="P17" s="135"/>
      <c r="Q17" s="135">
        <v>500</v>
      </c>
      <c r="R17" s="135"/>
      <c r="S17" s="135">
        <v>300</v>
      </c>
      <c r="T17" s="139">
        <f t="shared" si="1"/>
        <v>993</v>
      </c>
      <c r="U17" s="139">
        <f>M17+T17</f>
        <v>1796</v>
      </c>
    </row>
    <row r="18" spans="1:21">
      <c r="A18" s="140" t="s">
        <v>172</v>
      </c>
      <c r="B18" s="4" t="s">
        <v>173</v>
      </c>
      <c r="C18" s="160">
        <v>920</v>
      </c>
      <c r="D18" s="160">
        <f>U18</f>
        <v>49</v>
      </c>
      <c r="E18" s="161">
        <f t="shared" si="0"/>
        <v>5.3260869565217392</v>
      </c>
      <c r="F18" s="162"/>
      <c r="G18" s="163"/>
      <c r="H18" s="160">
        <v>49</v>
      </c>
      <c r="I18" s="160"/>
      <c r="J18" s="160"/>
      <c r="K18" s="160"/>
      <c r="L18" s="160"/>
      <c r="M18" s="164">
        <f t="shared" si="2"/>
        <v>49</v>
      </c>
      <c r="N18" s="163"/>
      <c r="O18" s="160"/>
      <c r="P18" s="160"/>
      <c r="Q18" s="160"/>
      <c r="R18" s="160"/>
      <c r="S18" s="160"/>
      <c r="T18" s="164">
        <f t="shared" si="1"/>
        <v>0</v>
      </c>
      <c r="U18" s="164">
        <f>M18+T18</f>
        <v>49</v>
      </c>
    </row>
    <row r="19" spans="1:21">
      <c r="A19" s="154" t="s">
        <v>17</v>
      </c>
      <c r="B19" s="147" t="s">
        <v>11</v>
      </c>
      <c r="C19" s="148">
        <f>SUM(C17:C18)</f>
        <v>5940</v>
      </c>
      <c r="D19" s="148">
        <f>SUM(D17:D18)</f>
        <v>1845</v>
      </c>
      <c r="E19" s="149">
        <f t="shared" si="0"/>
        <v>31.060606060606062</v>
      </c>
      <c r="F19" s="150"/>
      <c r="G19" s="151">
        <f t="shared" ref="G19:L19" si="11">SUM(G17:G18)</f>
        <v>0</v>
      </c>
      <c r="H19" s="148">
        <f t="shared" si="11"/>
        <v>49</v>
      </c>
      <c r="I19" s="148">
        <f t="shared" si="11"/>
        <v>803</v>
      </c>
      <c r="J19" s="148">
        <f t="shared" si="11"/>
        <v>0</v>
      </c>
      <c r="K19" s="148">
        <f t="shared" si="11"/>
        <v>0</v>
      </c>
      <c r="L19" s="148">
        <f t="shared" si="11"/>
        <v>0</v>
      </c>
      <c r="M19" s="152">
        <f t="shared" si="2"/>
        <v>852</v>
      </c>
      <c r="N19" s="151">
        <f t="shared" ref="N19:S19" si="12">SUM(N17:N18)</f>
        <v>193</v>
      </c>
      <c r="O19" s="148">
        <f t="shared" si="12"/>
        <v>0</v>
      </c>
      <c r="P19" s="148">
        <f t="shared" si="12"/>
        <v>0</v>
      </c>
      <c r="Q19" s="148">
        <f t="shared" si="12"/>
        <v>500</v>
      </c>
      <c r="R19" s="148">
        <f t="shared" si="12"/>
        <v>0</v>
      </c>
      <c r="S19" s="148">
        <f t="shared" si="12"/>
        <v>300</v>
      </c>
      <c r="T19" s="152">
        <f t="shared" si="1"/>
        <v>993</v>
      </c>
      <c r="U19" s="152">
        <f>SUM(U17:U18)</f>
        <v>1845</v>
      </c>
    </row>
    <row r="20" spans="1:21" hidden="1">
      <c r="A20" s="134"/>
      <c r="B20" s="3"/>
      <c r="C20" s="135"/>
      <c r="D20" s="135">
        <f>U20</f>
        <v>0</v>
      </c>
      <c r="E20" s="136" t="str">
        <f t="shared" si="0"/>
        <v/>
      </c>
      <c r="F20" s="137"/>
      <c r="G20" s="138"/>
      <c r="H20" s="135"/>
      <c r="I20" s="135"/>
      <c r="J20" s="135"/>
      <c r="K20" s="135"/>
      <c r="L20" s="135"/>
      <c r="M20" s="139">
        <f t="shared" si="2"/>
        <v>0</v>
      </c>
      <c r="N20" s="138"/>
      <c r="O20" s="135"/>
      <c r="P20" s="135"/>
      <c r="Q20" s="135"/>
      <c r="R20" s="135"/>
      <c r="S20" s="135"/>
      <c r="T20" s="139">
        <f t="shared" si="1"/>
        <v>0</v>
      </c>
      <c r="U20" s="139">
        <f>M20+T20</f>
        <v>0</v>
      </c>
    </row>
    <row r="21" spans="1:21" hidden="1">
      <c r="A21" s="140" t="s">
        <v>174</v>
      </c>
      <c r="B21" s="5"/>
      <c r="C21" s="141"/>
      <c r="D21" s="141">
        <f>U21</f>
        <v>0</v>
      </c>
      <c r="E21" s="142" t="str">
        <f t="shared" si="0"/>
        <v/>
      </c>
      <c r="F21" s="143"/>
      <c r="G21" s="144"/>
      <c r="H21" s="141"/>
      <c r="I21" s="141"/>
      <c r="J21" s="141"/>
      <c r="K21" s="141"/>
      <c r="L21" s="141"/>
      <c r="M21" s="145">
        <f t="shared" si="2"/>
        <v>0</v>
      </c>
      <c r="N21" s="144"/>
      <c r="O21" s="141"/>
      <c r="P21" s="141"/>
      <c r="Q21" s="141"/>
      <c r="R21" s="141"/>
      <c r="S21" s="141"/>
      <c r="T21" s="145">
        <f t="shared" si="1"/>
        <v>0</v>
      </c>
      <c r="U21" s="145">
        <f>M21+T21</f>
        <v>0</v>
      </c>
    </row>
    <row r="22" spans="1:21" hidden="1">
      <c r="A22" s="154" t="s">
        <v>18</v>
      </c>
      <c r="B22" s="147" t="s">
        <v>11</v>
      </c>
      <c r="C22" s="148">
        <f>SUM(C20:C21)</f>
        <v>0</v>
      </c>
      <c r="D22" s="148">
        <f>SUM(D20:D21)</f>
        <v>0</v>
      </c>
      <c r="E22" s="149" t="str">
        <f t="shared" si="0"/>
        <v/>
      </c>
      <c r="F22" s="150"/>
      <c r="G22" s="151">
        <f t="shared" ref="G22:L22" si="13">SUM(G20:G21)</f>
        <v>0</v>
      </c>
      <c r="H22" s="148">
        <f t="shared" si="13"/>
        <v>0</v>
      </c>
      <c r="I22" s="148">
        <f t="shared" si="13"/>
        <v>0</v>
      </c>
      <c r="J22" s="148">
        <f t="shared" si="13"/>
        <v>0</v>
      </c>
      <c r="K22" s="148">
        <f t="shared" si="13"/>
        <v>0</v>
      </c>
      <c r="L22" s="148">
        <f t="shared" si="13"/>
        <v>0</v>
      </c>
      <c r="M22" s="152">
        <f t="shared" si="2"/>
        <v>0</v>
      </c>
      <c r="N22" s="151">
        <f t="shared" ref="N22:S22" si="14">SUM(N20:N21)</f>
        <v>0</v>
      </c>
      <c r="O22" s="148">
        <f t="shared" si="14"/>
        <v>0</v>
      </c>
      <c r="P22" s="148">
        <f t="shared" si="14"/>
        <v>0</v>
      </c>
      <c r="Q22" s="148">
        <f t="shared" si="14"/>
        <v>0</v>
      </c>
      <c r="R22" s="148">
        <f t="shared" si="14"/>
        <v>0</v>
      </c>
      <c r="S22" s="148">
        <f t="shared" si="14"/>
        <v>0</v>
      </c>
      <c r="T22" s="152">
        <f t="shared" si="1"/>
        <v>0</v>
      </c>
      <c r="U22" s="152">
        <f>SUM(U20:U21)</f>
        <v>0</v>
      </c>
    </row>
    <row r="23" spans="1:21">
      <c r="A23" s="134"/>
      <c r="B23" s="3" t="s">
        <v>175</v>
      </c>
      <c r="C23" s="135">
        <v>1500</v>
      </c>
      <c r="D23" s="135">
        <f>U23</f>
        <v>1330</v>
      </c>
      <c r="E23" s="136">
        <f t="shared" si="0"/>
        <v>88.666666666666671</v>
      </c>
      <c r="F23" s="137"/>
      <c r="G23" s="138"/>
      <c r="H23" s="135"/>
      <c r="I23" s="135"/>
      <c r="J23" s="135"/>
      <c r="K23" s="135"/>
      <c r="L23" s="135"/>
      <c r="M23" s="139">
        <f t="shared" si="2"/>
        <v>0</v>
      </c>
      <c r="N23" s="138"/>
      <c r="O23" s="135">
        <v>1330</v>
      </c>
      <c r="P23" s="135"/>
      <c r="Q23" s="135"/>
      <c r="R23" s="135"/>
      <c r="S23" s="135"/>
      <c r="T23" s="139">
        <f t="shared" si="1"/>
        <v>1330</v>
      </c>
      <c r="U23" s="139">
        <f>M23+T23</f>
        <v>1330</v>
      </c>
    </row>
    <row r="24" spans="1:21">
      <c r="A24" s="140" t="s">
        <v>176</v>
      </c>
      <c r="B24" s="4" t="s">
        <v>177</v>
      </c>
      <c r="C24" s="160"/>
      <c r="D24" s="160">
        <f>U24</f>
        <v>100</v>
      </c>
      <c r="E24" s="161" t="str">
        <f t="shared" si="0"/>
        <v/>
      </c>
      <c r="F24" s="162"/>
      <c r="G24" s="163">
        <v>10</v>
      </c>
      <c r="H24" s="160"/>
      <c r="I24" s="160">
        <v>90</v>
      </c>
      <c r="J24" s="160"/>
      <c r="K24" s="160"/>
      <c r="L24" s="160"/>
      <c r="M24" s="164">
        <f>SUM(G24:L24)</f>
        <v>100</v>
      </c>
      <c r="N24" s="163"/>
      <c r="O24" s="160"/>
      <c r="P24" s="160"/>
      <c r="Q24" s="160"/>
      <c r="R24" s="160"/>
      <c r="S24" s="160"/>
      <c r="T24" s="164">
        <f t="shared" si="1"/>
        <v>0</v>
      </c>
      <c r="U24" s="164">
        <f>M24+T24</f>
        <v>100</v>
      </c>
    </row>
    <row r="25" spans="1:21">
      <c r="A25" s="140"/>
      <c r="B25" s="4" t="s">
        <v>178</v>
      </c>
      <c r="C25" s="160">
        <v>450</v>
      </c>
      <c r="D25" s="160">
        <f>U25</f>
        <v>450</v>
      </c>
      <c r="E25" s="161">
        <f t="shared" si="0"/>
        <v>100</v>
      </c>
      <c r="F25" s="162"/>
      <c r="G25" s="163"/>
      <c r="H25" s="160"/>
      <c r="I25" s="160"/>
      <c r="J25" s="160"/>
      <c r="K25" s="160"/>
      <c r="L25" s="160"/>
      <c r="M25" s="164">
        <f t="shared" si="2"/>
        <v>0</v>
      </c>
      <c r="N25" s="163"/>
      <c r="O25" s="160"/>
      <c r="P25" s="160">
        <v>450</v>
      </c>
      <c r="Q25" s="160"/>
      <c r="R25" s="160"/>
      <c r="S25" s="160"/>
      <c r="T25" s="164">
        <f t="shared" si="1"/>
        <v>450</v>
      </c>
      <c r="U25" s="164">
        <f>M25+T25</f>
        <v>450</v>
      </c>
    </row>
    <row r="26" spans="1:21">
      <c r="A26" s="154" t="s">
        <v>19</v>
      </c>
      <c r="B26" s="147" t="s">
        <v>11</v>
      </c>
      <c r="C26" s="148">
        <f>SUM(C23:C25)</f>
        <v>1950</v>
      </c>
      <c r="D26" s="148">
        <f>SUM(D23:D25)</f>
        <v>1880</v>
      </c>
      <c r="E26" s="149">
        <f t="shared" si="0"/>
        <v>96.410256410256409</v>
      </c>
      <c r="F26" s="150"/>
      <c r="G26" s="151">
        <f t="shared" ref="G26:L26" si="15">SUM(G23:G25)</f>
        <v>10</v>
      </c>
      <c r="H26" s="148">
        <f t="shared" si="15"/>
        <v>0</v>
      </c>
      <c r="I26" s="148">
        <f t="shared" si="15"/>
        <v>90</v>
      </c>
      <c r="J26" s="148">
        <f t="shared" si="15"/>
        <v>0</v>
      </c>
      <c r="K26" s="148">
        <f t="shared" si="15"/>
        <v>0</v>
      </c>
      <c r="L26" s="148">
        <f t="shared" si="15"/>
        <v>0</v>
      </c>
      <c r="M26" s="152">
        <f t="shared" si="2"/>
        <v>100</v>
      </c>
      <c r="N26" s="151">
        <f t="shared" ref="N26:S26" si="16">SUM(N23:N25)</f>
        <v>0</v>
      </c>
      <c r="O26" s="148">
        <f t="shared" si="16"/>
        <v>1330</v>
      </c>
      <c r="P26" s="148">
        <f t="shared" si="16"/>
        <v>450</v>
      </c>
      <c r="Q26" s="148">
        <f t="shared" si="16"/>
        <v>0</v>
      </c>
      <c r="R26" s="148">
        <f t="shared" si="16"/>
        <v>0</v>
      </c>
      <c r="S26" s="148">
        <f t="shared" si="16"/>
        <v>0</v>
      </c>
      <c r="T26" s="152">
        <f t="shared" si="1"/>
        <v>1780</v>
      </c>
      <c r="U26" s="152">
        <f>SUM(U23:U25)</f>
        <v>1880</v>
      </c>
    </row>
    <row r="27" spans="1:21">
      <c r="A27" s="134"/>
      <c r="B27" s="3" t="s">
        <v>179</v>
      </c>
      <c r="C27" s="135"/>
      <c r="D27" s="135">
        <f>U27</f>
        <v>171</v>
      </c>
      <c r="E27" s="136" t="str">
        <f t="shared" si="0"/>
        <v/>
      </c>
      <c r="F27" s="165"/>
      <c r="G27" s="138"/>
      <c r="H27" s="135"/>
      <c r="I27" s="135"/>
      <c r="J27" s="135"/>
      <c r="K27" s="135"/>
      <c r="L27" s="135">
        <v>171</v>
      </c>
      <c r="M27" s="139">
        <f t="shared" si="2"/>
        <v>171</v>
      </c>
      <c r="N27" s="138"/>
      <c r="O27" s="135"/>
      <c r="P27" s="135"/>
      <c r="Q27" s="135"/>
      <c r="R27" s="135"/>
      <c r="S27" s="135"/>
      <c r="T27" s="139">
        <v>0</v>
      </c>
      <c r="U27" s="139">
        <f>M27+T27</f>
        <v>171</v>
      </c>
    </row>
    <row r="28" spans="1:21">
      <c r="A28" s="140" t="s">
        <v>180</v>
      </c>
      <c r="B28" s="5"/>
      <c r="C28" s="141"/>
      <c r="D28" s="141">
        <f>U28</f>
        <v>0</v>
      </c>
      <c r="E28" s="142" t="str">
        <f t="shared" si="0"/>
        <v/>
      </c>
      <c r="F28" s="143"/>
      <c r="G28" s="144"/>
      <c r="H28" s="141"/>
      <c r="I28" s="141"/>
      <c r="J28" s="141"/>
      <c r="K28" s="141"/>
      <c r="L28" s="141"/>
      <c r="M28" s="145">
        <f t="shared" si="2"/>
        <v>0</v>
      </c>
      <c r="N28" s="144"/>
      <c r="O28" s="141"/>
      <c r="P28" s="141"/>
      <c r="Q28" s="141"/>
      <c r="R28" s="141"/>
      <c r="S28" s="141"/>
      <c r="T28" s="145">
        <f t="shared" si="1"/>
        <v>0</v>
      </c>
      <c r="U28" s="145">
        <f>M28+T28</f>
        <v>0</v>
      </c>
    </row>
    <row r="29" spans="1:21">
      <c r="A29" s="154" t="s">
        <v>20</v>
      </c>
      <c r="B29" s="147" t="s">
        <v>11</v>
      </c>
      <c r="C29" s="148">
        <f>SUM(C27:C28)</f>
        <v>0</v>
      </c>
      <c r="D29" s="148">
        <f>SUM(D27:D28)</f>
        <v>171</v>
      </c>
      <c r="E29" s="149" t="str">
        <f t="shared" si="0"/>
        <v/>
      </c>
      <c r="F29" s="150"/>
      <c r="G29" s="151">
        <f t="shared" ref="G29:L29" si="17">SUM(G27:G28)</f>
        <v>0</v>
      </c>
      <c r="H29" s="148">
        <f t="shared" si="17"/>
        <v>0</v>
      </c>
      <c r="I29" s="148">
        <f t="shared" si="17"/>
        <v>0</v>
      </c>
      <c r="J29" s="148">
        <f t="shared" si="17"/>
        <v>0</v>
      </c>
      <c r="K29" s="148">
        <f t="shared" si="17"/>
        <v>0</v>
      </c>
      <c r="L29" s="148">
        <f t="shared" si="17"/>
        <v>171</v>
      </c>
      <c r="M29" s="152">
        <f t="shared" si="2"/>
        <v>171</v>
      </c>
      <c r="N29" s="151">
        <f t="shared" ref="N29:S29" si="18">SUM(N27:N28)</f>
        <v>0</v>
      </c>
      <c r="O29" s="148">
        <f t="shared" si="18"/>
        <v>0</v>
      </c>
      <c r="P29" s="148">
        <f t="shared" si="18"/>
        <v>0</v>
      </c>
      <c r="Q29" s="148">
        <f t="shared" si="18"/>
        <v>0</v>
      </c>
      <c r="R29" s="148">
        <f t="shared" si="18"/>
        <v>0</v>
      </c>
      <c r="S29" s="148">
        <f t="shared" si="18"/>
        <v>0</v>
      </c>
      <c r="T29" s="152">
        <f t="shared" si="1"/>
        <v>0</v>
      </c>
      <c r="U29" s="152">
        <f>SUM(U27:U28)</f>
        <v>171</v>
      </c>
    </row>
    <row r="30" spans="1:21">
      <c r="A30" s="134"/>
      <c r="B30" s="3" t="s">
        <v>181</v>
      </c>
      <c r="C30" s="135">
        <v>2000</v>
      </c>
      <c r="D30" s="135">
        <f>U30</f>
        <v>2000</v>
      </c>
      <c r="E30" s="136">
        <f t="shared" si="0"/>
        <v>100</v>
      </c>
      <c r="F30" s="137"/>
      <c r="G30" s="138"/>
      <c r="H30" s="135"/>
      <c r="I30" s="135">
        <v>131</v>
      </c>
      <c r="J30" s="135"/>
      <c r="K30" s="135">
        <v>32</v>
      </c>
      <c r="L30" s="135"/>
      <c r="M30" s="139">
        <f t="shared" si="2"/>
        <v>163</v>
      </c>
      <c r="N30" s="138"/>
      <c r="O30" s="135">
        <v>143</v>
      </c>
      <c r="P30" s="135">
        <v>403</v>
      </c>
      <c r="Q30" s="135">
        <v>430</v>
      </c>
      <c r="R30" s="135">
        <v>430</v>
      </c>
      <c r="S30" s="135">
        <v>431</v>
      </c>
      <c r="T30" s="139">
        <f t="shared" si="1"/>
        <v>1837</v>
      </c>
      <c r="U30" s="139">
        <f>M30+T30</f>
        <v>2000</v>
      </c>
    </row>
    <row r="31" spans="1:21">
      <c r="A31" s="140" t="s">
        <v>182</v>
      </c>
      <c r="B31" s="4" t="s">
        <v>183</v>
      </c>
      <c r="C31" s="160"/>
      <c r="D31" s="160">
        <f>U31</f>
        <v>0</v>
      </c>
      <c r="E31" s="161" t="str">
        <f t="shared" si="0"/>
        <v/>
      </c>
      <c r="F31" s="162"/>
      <c r="G31" s="163"/>
      <c r="H31" s="160"/>
      <c r="I31" s="160"/>
      <c r="J31" s="160"/>
      <c r="K31" s="160"/>
      <c r="L31" s="160"/>
      <c r="M31" s="164">
        <f t="shared" si="2"/>
        <v>0</v>
      </c>
      <c r="N31" s="163"/>
      <c r="O31" s="160"/>
      <c r="P31" s="160"/>
      <c r="Q31" s="160"/>
      <c r="R31" s="160"/>
      <c r="S31" s="160"/>
      <c r="T31" s="164">
        <f t="shared" si="1"/>
        <v>0</v>
      </c>
      <c r="U31" s="164">
        <f>M31+T31</f>
        <v>0</v>
      </c>
    </row>
    <row r="32" spans="1:21">
      <c r="A32" s="154" t="s">
        <v>184</v>
      </c>
      <c r="B32" s="147" t="s">
        <v>11</v>
      </c>
      <c r="C32" s="148">
        <f>SUM(C30:C31)</f>
        <v>2000</v>
      </c>
      <c r="D32" s="148">
        <f>SUM(D30:D31)</f>
        <v>2000</v>
      </c>
      <c r="E32" s="149">
        <f t="shared" si="0"/>
        <v>100</v>
      </c>
      <c r="F32" s="150"/>
      <c r="G32" s="151">
        <f t="shared" ref="G32:L32" si="19">SUM(G30:G31)</f>
        <v>0</v>
      </c>
      <c r="H32" s="148">
        <f t="shared" si="19"/>
        <v>0</v>
      </c>
      <c r="I32" s="148">
        <f t="shared" si="19"/>
        <v>131</v>
      </c>
      <c r="J32" s="148">
        <f t="shared" si="19"/>
        <v>0</v>
      </c>
      <c r="K32" s="148">
        <f t="shared" si="19"/>
        <v>32</v>
      </c>
      <c r="L32" s="148">
        <f t="shared" si="19"/>
        <v>0</v>
      </c>
      <c r="M32" s="152">
        <f t="shared" si="2"/>
        <v>163</v>
      </c>
      <c r="N32" s="151">
        <f t="shared" ref="N32:S32" si="20">SUM(N30:N31)</f>
        <v>0</v>
      </c>
      <c r="O32" s="148">
        <f t="shared" si="20"/>
        <v>143</v>
      </c>
      <c r="P32" s="148">
        <f t="shared" si="20"/>
        <v>403</v>
      </c>
      <c r="Q32" s="148">
        <f t="shared" si="20"/>
        <v>430</v>
      </c>
      <c r="R32" s="148">
        <f t="shared" si="20"/>
        <v>430</v>
      </c>
      <c r="S32" s="148">
        <f t="shared" si="20"/>
        <v>431</v>
      </c>
      <c r="T32" s="152">
        <f t="shared" si="1"/>
        <v>1837</v>
      </c>
      <c r="U32" s="152">
        <f>SUM(U30:U31)</f>
        <v>2000</v>
      </c>
    </row>
    <row r="33" spans="1:21">
      <c r="A33" s="134"/>
      <c r="B33" s="3" t="s">
        <v>185</v>
      </c>
      <c r="C33" s="166">
        <v>5500</v>
      </c>
      <c r="D33" s="135">
        <f>U33</f>
        <v>4989</v>
      </c>
      <c r="E33" s="136">
        <f t="shared" si="0"/>
        <v>90.709090909090904</v>
      </c>
      <c r="F33" s="137"/>
      <c r="G33" s="138"/>
      <c r="H33" s="135"/>
      <c r="I33" s="135"/>
      <c r="J33" s="135"/>
      <c r="K33" s="135">
        <v>4989</v>
      </c>
      <c r="L33" s="135"/>
      <c r="M33" s="139">
        <f t="shared" si="2"/>
        <v>4989</v>
      </c>
      <c r="N33" s="138"/>
      <c r="O33" s="135"/>
      <c r="P33" s="135"/>
      <c r="Q33" s="135"/>
      <c r="R33" s="135"/>
      <c r="S33" s="135"/>
      <c r="T33" s="139">
        <f t="shared" si="1"/>
        <v>0</v>
      </c>
      <c r="U33" s="139">
        <f>M33+T33</f>
        <v>4989</v>
      </c>
    </row>
    <row r="34" spans="1:21">
      <c r="A34" s="140"/>
      <c r="B34" s="169" t="s">
        <v>501</v>
      </c>
      <c r="C34" s="931">
        <v>10000</v>
      </c>
      <c r="D34" s="224">
        <v>10000</v>
      </c>
      <c r="E34" s="225">
        <f t="shared" si="0"/>
        <v>100</v>
      </c>
      <c r="F34" s="356"/>
      <c r="G34" s="381"/>
      <c r="H34" s="224"/>
      <c r="I34" s="224"/>
      <c r="J34" s="224"/>
      <c r="K34" s="224"/>
      <c r="L34" s="224"/>
      <c r="M34" s="231">
        <f t="shared" si="2"/>
        <v>0</v>
      </c>
      <c r="N34" s="381"/>
      <c r="O34" s="224"/>
      <c r="P34" s="224"/>
      <c r="Q34" s="224">
        <v>10000</v>
      </c>
      <c r="R34" s="224"/>
      <c r="S34" s="224"/>
      <c r="T34" s="231">
        <f t="shared" ref="T34" si="21">SUM(N34:S34)</f>
        <v>10000</v>
      </c>
      <c r="U34" s="231">
        <f>M34+T34</f>
        <v>10000</v>
      </c>
    </row>
    <row r="35" spans="1:21">
      <c r="A35" s="140" t="s">
        <v>186</v>
      </c>
      <c r="B35" s="4" t="s">
        <v>503</v>
      </c>
      <c r="C35" s="160">
        <v>7000</v>
      </c>
      <c r="D35" s="160">
        <v>7000</v>
      </c>
      <c r="E35" s="161">
        <f t="shared" si="0"/>
        <v>100</v>
      </c>
      <c r="F35" s="162"/>
      <c r="G35" s="163"/>
      <c r="H35" s="160"/>
      <c r="I35" s="160"/>
      <c r="J35" s="160"/>
      <c r="K35" s="160"/>
      <c r="L35" s="160"/>
      <c r="M35" s="164">
        <f t="shared" si="2"/>
        <v>0</v>
      </c>
      <c r="N35" s="163"/>
      <c r="O35" s="160"/>
      <c r="P35" s="160"/>
      <c r="Q35" s="160">
        <v>7000</v>
      </c>
      <c r="R35" s="160"/>
      <c r="S35" s="160"/>
      <c r="T35" s="164">
        <f t="shared" si="1"/>
        <v>7000</v>
      </c>
      <c r="U35" s="164">
        <f>M35+T35</f>
        <v>7000</v>
      </c>
    </row>
    <row r="36" spans="1:21">
      <c r="A36" s="154" t="s">
        <v>22</v>
      </c>
      <c r="B36" s="147" t="s">
        <v>11</v>
      </c>
      <c r="C36" s="148">
        <f>SUM(C33:C35)</f>
        <v>22500</v>
      </c>
      <c r="D36" s="148">
        <f>SUM(D33:D35)</f>
        <v>21989</v>
      </c>
      <c r="E36" s="149">
        <f t="shared" si="0"/>
        <v>97.728888888888889</v>
      </c>
      <c r="F36" s="150"/>
      <c r="G36" s="151">
        <f t="shared" ref="G36:L36" si="22">SUM(G33:G35)</f>
        <v>0</v>
      </c>
      <c r="H36" s="148">
        <f t="shared" si="22"/>
        <v>0</v>
      </c>
      <c r="I36" s="148">
        <f t="shared" si="22"/>
        <v>0</v>
      </c>
      <c r="J36" s="148">
        <f t="shared" si="22"/>
        <v>0</v>
      </c>
      <c r="K36" s="148">
        <f t="shared" si="22"/>
        <v>4989</v>
      </c>
      <c r="L36" s="148">
        <f t="shared" si="22"/>
        <v>0</v>
      </c>
      <c r="M36" s="152">
        <f t="shared" si="2"/>
        <v>4989</v>
      </c>
      <c r="N36" s="151">
        <f t="shared" ref="N36:S36" si="23">SUM(N33:N35)</f>
        <v>0</v>
      </c>
      <c r="O36" s="148">
        <f t="shared" si="23"/>
        <v>0</v>
      </c>
      <c r="P36" s="148">
        <f t="shared" si="23"/>
        <v>0</v>
      </c>
      <c r="Q36" s="148">
        <f t="shared" si="23"/>
        <v>17000</v>
      </c>
      <c r="R36" s="148">
        <f t="shared" si="23"/>
        <v>0</v>
      </c>
      <c r="S36" s="148">
        <f t="shared" si="23"/>
        <v>0</v>
      </c>
      <c r="T36" s="152">
        <f t="shared" si="1"/>
        <v>17000</v>
      </c>
      <c r="U36" s="152">
        <f>SUM(U33:U35)</f>
        <v>21989</v>
      </c>
    </row>
    <row r="37" spans="1:21">
      <c r="A37" s="167"/>
      <c r="B37" s="3" t="s">
        <v>188</v>
      </c>
      <c r="C37" s="135">
        <v>2240</v>
      </c>
      <c r="D37" s="135">
        <f>U37</f>
        <v>237</v>
      </c>
      <c r="E37" s="136">
        <f t="shared" si="0"/>
        <v>10.580357142857142</v>
      </c>
      <c r="F37" s="137"/>
      <c r="G37" s="138">
        <v>22</v>
      </c>
      <c r="H37" s="135">
        <v>32</v>
      </c>
      <c r="I37" s="135">
        <v>47</v>
      </c>
      <c r="J37" s="135">
        <v>6</v>
      </c>
      <c r="K37" s="135">
        <v>15</v>
      </c>
      <c r="L37" s="135">
        <v>14</v>
      </c>
      <c r="M37" s="139">
        <f t="shared" si="2"/>
        <v>136</v>
      </c>
      <c r="N37" s="138">
        <v>13</v>
      </c>
      <c r="O37" s="135">
        <v>8</v>
      </c>
      <c r="P37" s="135">
        <v>5</v>
      </c>
      <c r="Q37" s="135">
        <v>25</v>
      </c>
      <c r="R37" s="135">
        <v>25</v>
      </c>
      <c r="S37" s="135">
        <v>25</v>
      </c>
      <c r="T37" s="139">
        <f t="shared" si="1"/>
        <v>101</v>
      </c>
      <c r="U37" s="139">
        <f>M37+T37</f>
        <v>237</v>
      </c>
    </row>
    <row r="38" spans="1:21">
      <c r="A38" s="168" t="s">
        <v>189</v>
      </c>
      <c r="B38" s="169" t="s">
        <v>190</v>
      </c>
      <c r="C38" s="141">
        <v>2000</v>
      </c>
      <c r="D38" s="141">
        <f>U38</f>
        <v>2000</v>
      </c>
      <c r="E38" s="142">
        <f t="shared" si="0"/>
        <v>100</v>
      </c>
      <c r="F38" s="143"/>
      <c r="G38" s="144"/>
      <c r="H38" s="141"/>
      <c r="I38" s="141"/>
      <c r="J38" s="141">
        <v>71</v>
      </c>
      <c r="K38" s="141">
        <v>96</v>
      </c>
      <c r="L38" s="141">
        <v>126</v>
      </c>
      <c r="M38" s="145">
        <f t="shared" si="2"/>
        <v>293</v>
      </c>
      <c r="N38" s="144">
        <v>126</v>
      </c>
      <c r="O38" s="141">
        <v>124</v>
      </c>
      <c r="P38" s="141">
        <v>121</v>
      </c>
      <c r="Q38" s="141">
        <v>445</v>
      </c>
      <c r="R38" s="141">
        <v>445</v>
      </c>
      <c r="S38" s="141">
        <v>446</v>
      </c>
      <c r="T38" s="145">
        <f t="shared" si="1"/>
        <v>1707</v>
      </c>
      <c r="U38" s="145">
        <f>M38+T38</f>
        <v>2000</v>
      </c>
    </row>
    <row r="39" spans="1:21">
      <c r="A39" s="154" t="s">
        <v>23</v>
      </c>
      <c r="B39" s="147" t="s">
        <v>11</v>
      </c>
      <c r="C39" s="155">
        <f>SUM(C37:C38)</f>
        <v>4240</v>
      </c>
      <c r="D39" s="155">
        <f>SUM(D37:D38)</f>
        <v>2237</v>
      </c>
      <c r="E39" s="156">
        <f t="shared" si="0"/>
        <v>52.759433962264147</v>
      </c>
      <c r="F39" s="157"/>
      <c r="G39" s="158">
        <f t="shared" ref="G39:L39" si="24">SUM(G37:G38)</f>
        <v>22</v>
      </c>
      <c r="H39" s="155">
        <f t="shared" si="24"/>
        <v>32</v>
      </c>
      <c r="I39" s="155">
        <f t="shared" si="24"/>
        <v>47</v>
      </c>
      <c r="J39" s="155">
        <f t="shared" si="24"/>
        <v>77</v>
      </c>
      <c r="K39" s="155">
        <f t="shared" si="24"/>
        <v>111</v>
      </c>
      <c r="L39" s="155">
        <f t="shared" si="24"/>
        <v>140</v>
      </c>
      <c r="M39" s="159">
        <f t="shared" si="2"/>
        <v>429</v>
      </c>
      <c r="N39" s="158">
        <f t="shared" ref="N39:S39" si="25">SUM(N37:N38)</f>
        <v>139</v>
      </c>
      <c r="O39" s="155">
        <f t="shared" si="25"/>
        <v>132</v>
      </c>
      <c r="P39" s="155">
        <f t="shared" si="25"/>
        <v>126</v>
      </c>
      <c r="Q39" s="155">
        <f t="shared" si="25"/>
        <v>470</v>
      </c>
      <c r="R39" s="155">
        <f t="shared" si="25"/>
        <v>470</v>
      </c>
      <c r="S39" s="155">
        <f t="shared" si="25"/>
        <v>471</v>
      </c>
      <c r="T39" s="159">
        <f t="shared" si="1"/>
        <v>1808</v>
      </c>
      <c r="U39" s="159">
        <f>SUM(U37:U38)</f>
        <v>2237</v>
      </c>
    </row>
    <row r="40" spans="1:21" hidden="1">
      <c r="A40" s="134"/>
      <c r="B40" s="3"/>
      <c r="C40" s="135"/>
      <c r="D40" s="135">
        <f>U40</f>
        <v>0</v>
      </c>
      <c r="E40" s="136" t="str">
        <f t="shared" si="0"/>
        <v/>
      </c>
      <c r="F40" s="137"/>
      <c r="G40" s="138"/>
      <c r="H40" s="135"/>
      <c r="I40" s="135"/>
      <c r="J40" s="135"/>
      <c r="K40" s="135"/>
      <c r="L40" s="135"/>
      <c r="M40" s="139">
        <f t="shared" si="2"/>
        <v>0</v>
      </c>
      <c r="N40" s="138"/>
      <c r="O40" s="135"/>
      <c r="P40" s="135"/>
      <c r="Q40" s="135"/>
      <c r="R40" s="135"/>
      <c r="S40" s="135"/>
      <c r="T40" s="139">
        <f t="shared" si="1"/>
        <v>0</v>
      </c>
      <c r="U40" s="139">
        <f>M40+T40</f>
        <v>0</v>
      </c>
    </row>
    <row r="41" spans="1:21" hidden="1">
      <c r="A41" s="140" t="s">
        <v>191</v>
      </c>
      <c r="B41" s="170"/>
      <c r="C41" s="171"/>
      <c r="D41" s="171">
        <f>U41</f>
        <v>0</v>
      </c>
      <c r="E41" s="172" t="str">
        <f t="shared" si="0"/>
        <v/>
      </c>
      <c r="F41" s="173"/>
      <c r="G41" s="174"/>
      <c r="H41" s="171"/>
      <c r="I41" s="171"/>
      <c r="J41" s="171"/>
      <c r="K41" s="171"/>
      <c r="L41" s="171"/>
      <c r="M41" s="175">
        <f t="shared" si="2"/>
        <v>0</v>
      </c>
      <c r="N41" s="174"/>
      <c r="O41" s="171"/>
      <c r="P41" s="171"/>
      <c r="Q41" s="171"/>
      <c r="R41" s="171"/>
      <c r="S41" s="171"/>
      <c r="T41" s="175">
        <f t="shared" si="1"/>
        <v>0</v>
      </c>
      <c r="U41" s="175">
        <f>M41+T41</f>
        <v>0</v>
      </c>
    </row>
    <row r="42" spans="1:21" hidden="1">
      <c r="A42" s="154" t="s">
        <v>24</v>
      </c>
      <c r="B42" s="147" t="s">
        <v>11</v>
      </c>
      <c r="C42" s="148">
        <f>SUM(C40:C41)</f>
        <v>0</v>
      </c>
      <c r="D42" s="148">
        <f>SUM(D40:D41)</f>
        <v>0</v>
      </c>
      <c r="E42" s="149" t="str">
        <f t="shared" si="0"/>
        <v/>
      </c>
      <c r="F42" s="150"/>
      <c r="G42" s="151">
        <f t="shared" ref="G42:L42" si="26">SUM(G40:G41)</f>
        <v>0</v>
      </c>
      <c r="H42" s="148">
        <f t="shared" si="26"/>
        <v>0</v>
      </c>
      <c r="I42" s="148">
        <f t="shared" si="26"/>
        <v>0</v>
      </c>
      <c r="J42" s="148">
        <f t="shared" si="26"/>
        <v>0</v>
      </c>
      <c r="K42" s="148">
        <f t="shared" si="26"/>
        <v>0</v>
      </c>
      <c r="L42" s="148">
        <f t="shared" si="26"/>
        <v>0</v>
      </c>
      <c r="M42" s="152">
        <f t="shared" si="2"/>
        <v>0</v>
      </c>
      <c r="N42" s="151">
        <f t="shared" ref="N42:S42" si="27">SUM(N40:N41)</f>
        <v>0</v>
      </c>
      <c r="O42" s="148">
        <f t="shared" si="27"/>
        <v>0</v>
      </c>
      <c r="P42" s="148">
        <f t="shared" si="27"/>
        <v>0</v>
      </c>
      <c r="Q42" s="148">
        <f t="shared" si="27"/>
        <v>0</v>
      </c>
      <c r="R42" s="148">
        <f t="shared" si="27"/>
        <v>0</v>
      </c>
      <c r="S42" s="148">
        <f t="shared" si="27"/>
        <v>0</v>
      </c>
      <c r="T42" s="152">
        <f t="shared" si="1"/>
        <v>0</v>
      </c>
      <c r="U42" s="152">
        <f>SUM(U40:U41)</f>
        <v>0</v>
      </c>
    </row>
    <row r="43" spans="1:21" hidden="1">
      <c r="A43" s="134"/>
      <c r="B43" s="3"/>
      <c r="C43" s="135"/>
      <c r="D43" s="135">
        <f>U43</f>
        <v>0</v>
      </c>
      <c r="E43" s="136" t="str">
        <f t="shared" si="0"/>
        <v/>
      </c>
      <c r="F43" s="137"/>
      <c r="G43" s="138"/>
      <c r="H43" s="135"/>
      <c r="I43" s="135"/>
      <c r="J43" s="135"/>
      <c r="K43" s="135"/>
      <c r="L43" s="135"/>
      <c r="M43" s="139">
        <f t="shared" si="2"/>
        <v>0</v>
      </c>
      <c r="N43" s="138"/>
      <c r="O43" s="135"/>
      <c r="P43" s="135"/>
      <c r="Q43" s="135"/>
      <c r="R43" s="135"/>
      <c r="S43" s="135"/>
      <c r="T43" s="139">
        <f t="shared" si="1"/>
        <v>0</v>
      </c>
      <c r="U43" s="139">
        <f>M43+T43</f>
        <v>0</v>
      </c>
    </row>
    <row r="44" spans="1:21" hidden="1">
      <c r="A44" s="140" t="s">
        <v>192</v>
      </c>
      <c r="B44" s="4"/>
      <c r="C44" s="160"/>
      <c r="D44" s="160">
        <f>U44</f>
        <v>0</v>
      </c>
      <c r="E44" s="161" t="str">
        <f t="shared" si="0"/>
        <v/>
      </c>
      <c r="F44" s="162"/>
      <c r="G44" s="163"/>
      <c r="H44" s="160"/>
      <c r="I44" s="160"/>
      <c r="J44" s="160"/>
      <c r="K44" s="160"/>
      <c r="L44" s="160"/>
      <c r="M44" s="164">
        <f t="shared" si="2"/>
        <v>0</v>
      </c>
      <c r="N44" s="163"/>
      <c r="O44" s="160"/>
      <c r="P44" s="160"/>
      <c r="Q44" s="160"/>
      <c r="R44" s="160"/>
      <c r="S44" s="160"/>
      <c r="T44" s="164">
        <f t="shared" si="1"/>
        <v>0</v>
      </c>
      <c r="U44" s="164">
        <f>M44+T44</f>
        <v>0</v>
      </c>
    </row>
    <row r="45" spans="1:21" hidden="1">
      <c r="A45" s="154" t="s">
        <v>25</v>
      </c>
      <c r="B45" s="147" t="s">
        <v>11</v>
      </c>
      <c r="C45" s="148">
        <f>SUM(C43:C44)</f>
        <v>0</v>
      </c>
      <c r="D45" s="148">
        <f>SUM(D43:D44)</f>
        <v>0</v>
      </c>
      <c r="E45" s="149" t="str">
        <f t="shared" si="0"/>
        <v/>
      </c>
      <c r="F45" s="150"/>
      <c r="G45" s="151">
        <f t="shared" ref="G45:L45" si="28">SUM(G43:G44)</f>
        <v>0</v>
      </c>
      <c r="H45" s="148">
        <f t="shared" si="28"/>
        <v>0</v>
      </c>
      <c r="I45" s="148">
        <f t="shared" si="28"/>
        <v>0</v>
      </c>
      <c r="J45" s="148">
        <f t="shared" si="28"/>
        <v>0</v>
      </c>
      <c r="K45" s="148">
        <f t="shared" si="28"/>
        <v>0</v>
      </c>
      <c r="L45" s="148">
        <f t="shared" si="28"/>
        <v>0</v>
      </c>
      <c r="M45" s="152">
        <f t="shared" si="2"/>
        <v>0</v>
      </c>
      <c r="N45" s="151">
        <f t="shared" ref="N45:S45" si="29">SUM(N43:N44)</f>
        <v>0</v>
      </c>
      <c r="O45" s="148">
        <f t="shared" si="29"/>
        <v>0</v>
      </c>
      <c r="P45" s="148">
        <f t="shared" si="29"/>
        <v>0</v>
      </c>
      <c r="Q45" s="148">
        <f t="shared" si="29"/>
        <v>0</v>
      </c>
      <c r="R45" s="148">
        <f t="shared" si="29"/>
        <v>0</v>
      </c>
      <c r="S45" s="148">
        <f t="shared" si="29"/>
        <v>0</v>
      </c>
      <c r="T45" s="152">
        <f t="shared" si="1"/>
        <v>0</v>
      </c>
      <c r="U45" s="152">
        <f>SUM(U43:U44)</f>
        <v>0</v>
      </c>
    </row>
    <row r="46" spans="1:21" ht="15.75" customHeight="1">
      <c r="A46" s="168"/>
      <c r="B46" s="3" t="s">
        <v>185</v>
      </c>
      <c r="C46" s="135">
        <v>5690</v>
      </c>
      <c r="D46" s="135">
        <f>U46</f>
        <v>5624</v>
      </c>
      <c r="E46" s="176">
        <f t="shared" si="0"/>
        <v>98.84007029876976</v>
      </c>
      <c r="F46" s="165"/>
      <c r="G46" s="138"/>
      <c r="H46" s="135">
        <v>570</v>
      </c>
      <c r="I46" s="135"/>
      <c r="J46" s="135">
        <v>273</v>
      </c>
      <c r="K46" s="135"/>
      <c r="L46" s="135">
        <v>290</v>
      </c>
      <c r="M46" s="139">
        <f t="shared" si="2"/>
        <v>1133</v>
      </c>
      <c r="N46" s="138"/>
      <c r="O46" s="135">
        <v>591</v>
      </c>
      <c r="P46" s="135"/>
      <c r="Q46" s="135">
        <f>560+820</f>
        <v>1380</v>
      </c>
      <c r="R46" s="135">
        <f>690+770+500</f>
        <v>1960</v>
      </c>
      <c r="S46" s="135">
        <v>560</v>
      </c>
      <c r="T46" s="139">
        <f t="shared" si="1"/>
        <v>4491</v>
      </c>
      <c r="U46" s="139">
        <f>M46+T46</f>
        <v>5624</v>
      </c>
    </row>
    <row r="47" spans="1:21">
      <c r="A47" s="168" t="s">
        <v>193</v>
      </c>
      <c r="B47" s="5" t="s">
        <v>187</v>
      </c>
      <c r="C47" s="141">
        <v>940</v>
      </c>
      <c r="D47" s="141">
        <f>U47</f>
        <v>950</v>
      </c>
      <c r="E47" s="142">
        <f t="shared" si="0"/>
        <v>101.06382978723406</v>
      </c>
      <c r="F47" s="143"/>
      <c r="G47" s="144"/>
      <c r="H47" s="141"/>
      <c r="I47" s="141"/>
      <c r="J47" s="141"/>
      <c r="K47" s="141">
        <v>270</v>
      </c>
      <c r="L47" s="141"/>
      <c r="M47" s="145">
        <f t="shared" si="2"/>
        <v>270</v>
      </c>
      <c r="N47" s="144"/>
      <c r="O47" s="141">
        <v>124</v>
      </c>
      <c r="P47" s="141"/>
      <c r="Q47" s="141">
        <v>300</v>
      </c>
      <c r="R47" s="141">
        <v>256</v>
      </c>
      <c r="S47" s="141"/>
      <c r="T47" s="145">
        <f t="shared" si="1"/>
        <v>680</v>
      </c>
      <c r="U47" s="145">
        <f>M47+T47</f>
        <v>950</v>
      </c>
    </row>
    <row r="48" spans="1:21">
      <c r="A48" s="154" t="s">
        <v>26</v>
      </c>
      <c r="B48" s="177" t="s">
        <v>11</v>
      </c>
      <c r="C48" s="155">
        <f>SUM(C46:C47)</f>
        <v>6630</v>
      </c>
      <c r="D48" s="155">
        <f>SUM(D46:D47)</f>
        <v>6574</v>
      </c>
      <c r="E48" s="156">
        <f t="shared" si="0"/>
        <v>99.1553544494721</v>
      </c>
      <c r="F48" s="157"/>
      <c r="G48" s="158">
        <f t="shared" ref="G48:L48" si="30">SUM(G46:G47)</f>
        <v>0</v>
      </c>
      <c r="H48" s="155">
        <f t="shared" si="30"/>
        <v>570</v>
      </c>
      <c r="I48" s="155">
        <f t="shared" si="30"/>
        <v>0</v>
      </c>
      <c r="J48" s="155">
        <f t="shared" si="30"/>
        <v>273</v>
      </c>
      <c r="K48" s="155">
        <f t="shared" si="30"/>
        <v>270</v>
      </c>
      <c r="L48" s="155">
        <f t="shared" si="30"/>
        <v>290</v>
      </c>
      <c r="M48" s="159">
        <f t="shared" si="2"/>
        <v>1403</v>
      </c>
      <c r="N48" s="158">
        <f t="shared" ref="N48:S48" si="31">SUM(N46:N47)</f>
        <v>0</v>
      </c>
      <c r="O48" s="155">
        <f t="shared" si="31"/>
        <v>715</v>
      </c>
      <c r="P48" s="155">
        <f t="shared" si="31"/>
        <v>0</v>
      </c>
      <c r="Q48" s="155">
        <f t="shared" si="31"/>
        <v>1680</v>
      </c>
      <c r="R48" s="155">
        <f t="shared" si="31"/>
        <v>2216</v>
      </c>
      <c r="S48" s="155">
        <f t="shared" si="31"/>
        <v>560</v>
      </c>
      <c r="T48" s="159">
        <f t="shared" si="1"/>
        <v>5171</v>
      </c>
      <c r="U48" s="159">
        <f>SUM(U46:U47)</f>
        <v>6574</v>
      </c>
    </row>
    <row r="49" spans="1:21" hidden="1">
      <c r="A49" s="134"/>
      <c r="B49" s="3"/>
      <c r="C49" s="135"/>
      <c r="D49" s="135">
        <f>U49</f>
        <v>0</v>
      </c>
      <c r="E49" s="136" t="str">
        <f t="shared" si="0"/>
        <v/>
      </c>
      <c r="F49" s="137"/>
      <c r="G49" s="138"/>
      <c r="H49" s="135"/>
      <c r="I49" s="135"/>
      <c r="J49" s="135"/>
      <c r="K49" s="135"/>
      <c r="L49" s="135"/>
      <c r="M49" s="139">
        <f t="shared" si="2"/>
        <v>0</v>
      </c>
      <c r="N49" s="138"/>
      <c r="O49" s="135"/>
      <c r="P49" s="135"/>
      <c r="Q49" s="135"/>
      <c r="R49" s="135"/>
      <c r="S49" s="135"/>
      <c r="T49" s="139">
        <f t="shared" si="1"/>
        <v>0</v>
      </c>
      <c r="U49" s="139">
        <f>M49+T49</f>
        <v>0</v>
      </c>
    </row>
    <row r="50" spans="1:21" hidden="1">
      <c r="A50" s="140" t="s">
        <v>194</v>
      </c>
      <c r="B50" s="5"/>
      <c r="C50" s="141"/>
      <c r="D50" s="141">
        <f>U50</f>
        <v>0</v>
      </c>
      <c r="E50" s="142" t="str">
        <f t="shared" si="0"/>
        <v/>
      </c>
      <c r="F50" s="143"/>
      <c r="G50" s="144"/>
      <c r="H50" s="141"/>
      <c r="I50" s="141"/>
      <c r="J50" s="141"/>
      <c r="K50" s="141"/>
      <c r="L50" s="141"/>
      <c r="M50" s="145">
        <f t="shared" si="2"/>
        <v>0</v>
      </c>
      <c r="N50" s="144"/>
      <c r="O50" s="141"/>
      <c r="P50" s="141"/>
      <c r="Q50" s="141"/>
      <c r="R50" s="141"/>
      <c r="S50" s="141"/>
      <c r="T50" s="145">
        <f t="shared" si="1"/>
        <v>0</v>
      </c>
      <c r="U50" s="145">
        <f>M50+T50</f>
        <v>0</v>
      </c>
    </row>
    <row r="51" spans="1:21" hidden="1">
      <c r="A51" s="154" t="s">
        <v>27</v>
      </c>
      <c r="B51" s="147" t="s">
        <v>11</v>
      </c>
      <c r="C51" s="148">
        <f>SUM(C49:C50)</f>
        <v>0</v>
      </c>
      <c r="D51" s="148">
        <f>SUM(D49:D50)</f>
        <v>0</v>
      </c>
      <c r="E51" s="149" t="str">
        <f t="shared" si="0"/>
        <v/>
      </c>
      <c r="F51" s="150"/>
      <c r="G51" s="151">
        <f t="shared" ref="G51:L51" si="32">SUM(G49:G50)</f>
        <v>0</v>
      </c>
      <c r="H51" s="148">
        <f t="shared" si="32"/>
        <v>0</v>
      </c>
      <c r="I51" s="148">
        <f t="shared" si="32"/>
        <v>0</v>
      </c>
      <c r="J51" s="148">
        <f t="shared" si="32"/>
        <v>0</v>
      </c>
      <c r="K51" s="148">
        <f t="shared" si="32"/>
        <v>0</v>
      </c>
      <c r="L51" s="148">
        <f t="shared" si="32"/>
        <v>0</v>
      </c>
      <c r="M51" s="152">
        <f t="shared" si="2"/>
        <v>0</v>
      </c>
      <c r="N51" s="151">
        <f t="shared" ref="N51:S51" si="33">SUM(N49:N50)</f>
        <v>0</v>
      </c>
      <c r="O51" s="148">
        <f t="shared" si="33"/>
        <v>0</v>
      </c>
      <c r="P51" s="148">
        <f t="shared" si="33"/>
        <v>0</v>
      </c>
      <c r="Q51" s="148">
        <f t="shared" si="33"/>
        <v>0</v>
      </c>
      <c r="R51" s="148">
        <f t="shared" si="33"/>
        <v>0</v>
      </c>
      <c r="S51" s="148">
        <f t="shared" si="33"/>
        <v>0</v>
      </c>
      <c r="T51" s="152">
        <f t="shared" si="1"/>
        <v>0</v>
      </c>
      <c r="U51" s="152">
        <f>SUM(U49:U50)</f>
        <v>0</v>
      </c>
    </row>
    <row r="52" spans="1:21">
      <c r="A52" s="167"/>
      <c r="B52" s="3" t="s">
        <v>195</v>
      </c>
      <c r="C52" s="135">
        <v>20000</v>
      </c>
      <c r="D52" s="135">
        <f>U52</f>
        <v>4193</v>
      </c>
      <c r="E52" s="136">
        <f t="shared" si="0"/>
        <v>20.965</v>
      </c>
      <c r="F52" s="137"/>
      <c r="G52" s="138"/>
      <c r="H52" s="135">
        <v>1446</v>
      </c>
      <c r="I52" s="135">
        <v>1247</v>
      </c>
      <c r="J52" s="135"/>
      <c r="K52" s="135"/>
      <c r="L52" s="135"/>
      <c r="M52" s="139">
        <f t="shared" si="2"/>
        <v>2693</v>
      </c>
      <c r="N52" s="138"/>
      <c r="O52" s="135"/>
      <c r="P52" s="135"/>
      <c r="Q52" s="135"/>
      <c r="R52" s="135">
        <v>1500</v>
      </c>
      <c r="S52" s="135"/>
      <c r="T52" s="139">
        <f t="shared" si="1"/>
        <v>1500</v>
      </c>
      <c r="U52" s="139">
        <f>M52+T52</f>
        <v>4193</v>
      </c>
    </row>
    <row r="53" spans="1:21">
      <c r="A53" s="168" t="s">
        <v>196</v>
      </c>
      <c r="B53" s="178"/>
      <c r="C53" s="179"/>
      <c r="D53" s="179">
        <f>U53</f>
        <v>0</v>
      </c>
      <c r="E53" s="180" t="str">
        <f t="shared" si="0"/>
        <v/>
      </c>
      <c r="F53" s="181"/>
      <c r="G53" s="182"/>
      <c r="H53" s="179"/>
      <c r="I53" s="179"/>
      <c r="J53" s="179"/>
      <c r="K53" s="179"/>
      <c r="L53" s="179"/>
      <c r="M53" s="183">
        <f t="shared" si="2"/>
        <v>0</v>
      </c>
      <c r="N53" s="182"/>
      <c r="O53" s="179"/>
      <c r="P53" s="179"/>
      <c r="Q53" s="179"/>
      <c r="R53" s="179"/>
      <c r="S53" s="179"/>
      <c r="T53" s="183">
        <f t="shared" si="1"/>
        <v>0</v>
      </c>
      <c r="U53" s="183">
        <f>M53+T53</f>
        <v>0</v>
      </c>
    </row>
    <row r="54" spans="1:21">
      <c r="A54" s="154" t="s">
        <v>28</v>
      </c>
      <c r="B54" s="177" t="s">
        <v>11</v>
      </c>
      <c r="C54" s="155">
        <f>SUM(C52:C53)</f>
        <v>20000</v>
      </c>
      <c r="D54" s="155">
        <f>SUM(D52:D53)</f>
        <v>4193</v>
      </c>
      <c r="E54" s="156">
        <f t="shared" si="0"/>
        <v>20.965</v>
      </c>
      <c r="F54" s="157"/>
      <c r="G54" s="158">
        <f t="shared" ref="G54:L54" si="34">SUM(G52:G53)</f>
        <v>0</v>
      </c>
      <c r="H54" s="155">
        <f t="shared" si="34"/>
        <v>1446</v>
      </c>
      <c r="I54" s="155">
        <f t="shared" si="34"/>
        <v>1247</v>
      </c>
      <c r="J54" s="155">
        <f t="shared" si="34"/>
        <v>0</v>
      </c>
      <c r="K54" s="155">
        <f t="shared" si="34"/>
        <v>0</v>
      </c>
      <c r="L54" s="155">
        <f t="shared" si="34"/>
        <v>0</v>
      </c>
      <c r="M54" s="159">
        <f t="shared" si="2"/>
        <v>2693</v>
      </c>
      <c r="N54" s="158">
        <f t="shared" ref="N54:S54" si="35">SUM(N52:N53)</f>
        <v>0</v>
      </c>
      <c r="O54" s="155">
        <f t="shared" si="35"/>
        <v>0</v>
      </c>
      <c r="P54" s="155">
        <f t="shared" si="35"/>
        <v>0</v>
      </c>
      <c r="Q54" s="155">
        <f t="shared" si="35"/>
        <v>0</v>
      </c>
      <c r="R54" s="155">
        <f t="shared" si="35"/>
        <v>1500</v>
      </c>
      <c r="S54" s="155">
        <f t="shared" si="35"/>
        <v>0</v>
      </c>
      <c r="T54" s="159">
        <f t="shared" si="1"/>
        <v>1500</v>
      </c>
      <c r="U54" s="159">
        <f>SUM(U52:U53)</f>
        <v>4193</v>
      </c>
    </row>
    <row r="55" spans="1:21">
      <c r="A55" s="134"/>
      <c r="B55" s="3" t="s">
        <v>197</v>
      </c>
      <c r="C55" s="135">
        <v>69</v>
      </c>
      <c r="D55" s="135">
        <f>U55</f>
        <v>0</v>
      </c>
      <c r="E55" s="136">
        <f t="shared" si="0"/>
        <v>0</v>
      </c>
      <c r="F55" s="137"/>
      <c r="G55" s="138"/>
      <c r="H55" s="135"/>
      <c r="I55" s="135"/>
      <c r="J55" s="135"/>
      <c r="K55" s="135"/>
      <c r="L55" s="135"/>
      <c r="M55" s="139">
        <f t="shared" si="2"/>
        <v>0</v>
      </c>
      <c r="N55" s="138"/>
      <c r="O55" s="135"/>
      <c r="P55" s="135"/>
      <c r="Q55" s="135"/>
      <c r="R55" s="135"/>
      <c r="S55" s="135"/>
      <c r="T55" s="139">
        <f t="shared" si="1"/>
        <v>0</v>
      </c>
      <c r="U55" s="139">
        <f>M55+T55</f>
        <v>0</v>
      </c>
    </row>
    <row r="56" spans="1:21">
      <c r="A56" s="140" t="s">
        <v>198</v>
      </c>
      <c r="B56" s="5"/>
      <c r="C56" s="141"/>
      <c r="D56" s="141">
        <f>U56</f>
        <v>0</v>
      </c>
      <c r="E56" s="142" t="str">
        <f t="shared" si="0"/>
        <v/>
      </c>
      <c r="F56" s="143"/>
      <c r="G56" s="144"/>
      <c r="H56" s="141"/>
      <c r="I56" s="141"/>
      <c r="J56" s="141"/>
      <c r="K56" s="141"/>
      <c r="L56" s="141"/>
      <c r="M56" s="145">
        <f t="shared" si="2"/>
        <v>0</v>
      </c>
      <c r="N56" s="144"/>
      <c r="O56" s="141"/>
      <c r="P56" s="141"/>
      <c r="Q56" s="141"/>
      <c r="R56" s="141"/>
      <c r="S56" s="141"/>
      <c r="T56" s="145">
        <f t="shared" si="1"/>
        <v>0</v>
      </c>
      <c r="U56" s="145">
        <f>M56+T56</f>
        <v>0</v>
      </c>
    </row>
    <row r="57" spans="1:21" ht="17.25" thickBot="1">
      <c r="A57" s="154" t="s">
        <v>29</v>
      </c>
      <c r="B57" s="147" t="s">
        <v>11</v>
      </c>
      <c r="C57" s="148">
        <f>SUM(C55:C56)</f>
        <v>69</v>
      </c>
      <c r="D57" s="148">
        <f>SUM(D55:D56)</f>
        <v>0</v>
      </c>
      <c r="E57" s="149">
        <f t="shared" si="0"/>
        <v>0</v>
      </c>
      <c r="F57" s="150"/>
      <c r="G57" s="151">
        <f t="shared" ref="G57:L57" si="36">SUM(G55:G56)</f>
        <v>0</v>
      </c>
      <c r="H57" s="148">
        <f t="shared" si="36"/>
        <v>0</v>
      </c>
      <c r="I57" s="148">
        <f t="shared" si="36"/>
        <v>0</v>
      </c>
      <c r="J57" s="148">
        <f t="shared" si="36"/>
        <v>0</v>
      </c>
      <c r="K57" s="148">
        <f t="shared" si="36"/>
        <v>0</v>
      </c>
      <c r="L57" s="148">
        <f t="shared" si="36"/>
        <v>0</v>
      </c>
      <c r="M57" s="152">
        <f t="shared" si="2"/>
        <v>0</v>
      </c>
      <c r="N57" s="151">
        <f t="shared" ref="N57:S57" si="37">SUM(N55:N56)</f>
        <v>0</v>
      </c>
      <c r="O57" s="148">
        <f t="shared" si="37"/>
        <v>0</v>
      </c>
      <c r="P57" s="148">
        <f t="shared" si="37"/>
        <v>0</v>
      </c>
      <c r="Q57" s="148">
        <f t="shared" si="37"/>
        <v>0</v>
      </c>
      <c r="R57" s="148">
        <f t="shared" si="37"/>
        <v>0</v>
      </c>
      <c r="S57" s="148">
        <f t="shared" si="37"/>
        <v>0</v>
      </c>
      <c r="T57" s="152">
        <f t="shared" si="1"/>
        <v>0</v>
      </c>
      <c r="U57" s="152">
        <f>SUM(U55:U56)</f>
        <v>0</v>
      </c>
    </row>
    <row r="58" spans="1:21" ht="17.25" hidden="1" thickBot="1">
      <c r="A58" s="134"/>
      <c r="B58" s="3"/>
      <c r="C58" s="135"/>
      <c r="D58" s="135">
        <f>U58</f>
        <v>0</v>
      </c>
      <c r="E58" s="136" t="str">
        <f t="shared" si="0"/>
        <v/>
      </c>
      <c r="F58" s="137"/>
      <c r="G58" s="138"/>
      <c r="H58" s="135"/>
      <c r="I58" s="135"/>
      <c r="J58" s="135"/>
      <c r="K58" s="135"/>
      <c r="L58" s="135"/>
      <c r="M58" s="139">
        <f t="shared" si="2"/>
        <v>0</v>
      </c>
      <c r="N58" s="138"/>
      <c r="O58" s="135"/>
      <c r="P58" s="135"/>
      <c r="Q58" s="135"/>
      <c r="R58" s="135"/>
      <c r="S58" s="135"/>
      <c r="T58" s="139">
        <f t="shared" si="1"/>
        <v>0</v>
      </c>
      <c r="U58" s="139">
        <f>M58+T58</f>
        <v>0</v>
      </c>
    </row>
    <row r="59" spans="1:21" ht="17.25" hidden="1" thickBot="1">
      <c r="A59" s="140" t="s">
        <v>199</v>
      </c>
      <c r="B59" s="5"/>
      <c r="C59" s="141"/>
      <c r="D59" s="141">
        <f>U59</f>
        <v>0</v>
      </c>
      <c r="E59" s="142" t="str">
        <f t="shared" si="0"/>
        <v/>
      </c>
      <c r="F59" s="143"/>
      <c r="G59" s="144"/>
      <c r="H59" s="141"/>
      <c r="I59" s="141"/>
      <c r="J59" s="141"/>
      <c r="K59" s="141"/>
      <c r="L59" s="141"/>
      <c r="M59" s="145">
        <f t="shared" si="2"/>
        <v>0</v>
      </c>
      <c r="N59" s="144"/>
      <c r="O59" s="141"/>
      <c r="P59" s="141"/>
      <c r="Q59" s="141"/>
      <c r="R59" s="141"/>
      <c r="S59" s="141"/>
      <c r="T59" s="145">
        <f t="shared" si="1"/>
        <v>0</v>
      </c>
      <c r="U59" s="145">
        <f>M59+T59</f>
        <v>0</v>
      </c>
    </row>
    <row r="60" spans="1:21" ht="17.25" hidden="1" thickBot="1">
      <c r="A60" s="154" t="s">
        <v>30</v>
      </c>
      <c r="B60" s="147" t="s">
        <v>11</v>
      </c>
      <c r="C60" s="148">
        <f>SUM(C58:C59)</f>
        <v>0</v>
      </c>
      <c r="D60" s="148">
        <f>SUM(D58:D59)</f>
        <v>0</v>
      </c>
      <c r="E60" s="149" t="str">
        <f t="shared" si="0"/>
        <v/>
      </c>
      <c r="F60" s="150"/>
      <c r="G60" s="151">
        <f t="shared" ref="G60:L60" si="38">SUM(G58:G59)</f>
        <v>0</v>
      </c>
      <c r="H60" s="148">
        <f t="shared" si="38"/>
        <v>0</v>
      </c>
      <c r="I60" s="148">
        <f t="shared" si="38"/>
        <v>0</v>
      </c>
      <c r="J60" s="148">
        <f t="shared" si="38"/>
        <v>0</v>
      </c>
      <c r="K60" s="148">
        <f t="shared" si="38"/>
        <v>0</v>
      </c>
      <c r="L60" s="148">
        <f t="shared" si="38"/>
        <v>0</v>
      </c>
      <c r="M60" s="152">
        <f t="shared" si="2"/>
        <v>0</v>
      </c>
      <c r="N60" s="151">
        <f t="shared" ref="N60:S60" si="39">SUM(N58:N59)</f>
        <v>0</v>
      </c>
      <c r="O60" s="148">
        <f t="shared" si="39"/>
        <v>0</v>
      </c>
      <c r="P60" s="148">
        <f t="shared" si="39"/>
        <v>0</v>
      </c>
      <c r="Q60" s="148">
        <f t="shared" si="39"/>
        <v>0</v>
      </c>
      <c r="R60" s="148">
        <f t="shared" si="39"/>
        <v>0</v>
      </c>
      <c r="S60" s="148">
        <f t="shared" si="39"/>
        <v>0</v>
      </c>
      <c r="T60" s="152">
        <f t="shared" si="1"/>
        <v>0</v>
      </c>
      <c r="U60" s="152">
        <f>SUM(U58:U59)</f>
        <v>0</v>
      </c>
    </row>
    <row r="61" spans="1:21" ht="17.25" hidden="1" thickBot="1">
      <c r="A61" s="134"/>
      <c r="B61" s="3"/>
      <c r="C61" s="135"/>
      <c r="D61" s="135">
        <f>U61</f>
        <v>0</v>
      </c>
      <c r="E61" s="136" t="str">
        <f t="shared" si="0"/>
        <v/>
      </c>
      <c r="F61" s="137"/>
      <c r="G61" s="138"/>
      <c r="H61" s="135"/>
      <c r="I61" s="135"/>
      <c r="J61" s="135"/>
      <c r="K61" s="135"/>
      <c r="L61" s="135"/>
      <c r="M61" s="139">
        <f t="shared" si="2"/>
        <v>0</v>
      </c>
      <c r="N61" s="138"/>
      <c r="O61" s="135"/>
      <c r="P61" s="135"/>
      <c r="Q61" s="135"/>
      <c r="R61" s="135"/>
      <c r="S61" s="135"/>
      <c r="T61" s="139">
        <f t="shared" si="1"/>
        <v>0</v>
      </c>
      <c r="U61" s="139">
        <f>M61+T61</f>
        <v>0</v>
      </c>
    </row>
    <row r="62" spans="1:21" ht="17.25" hidden="1" thickBot="1">
      <c r="A62" s="140" t="s">
        <v>200</v>
      </c>
      <c r="B62" s="5"/>
      <c r="C62" s="141"/>
      <c r="D62" s="141">
        <f>U62</f>
        <v>0</v>
      </c>
      <c r="E62" s="142" t="str">
        <f t="shared" si="0"/>
        <v/>
      </c>
      <c r="F62" s="143"/>
      <c r="G62" s="144"/>
      <c r="H62" s="141"/>
      <c r="I62" s="141"/>
      <c r="J62" s="141"/>
      <c r="K62" s="141"/>
      <c r="L62" s="141"/>
      <c r="M62" s="145">
        <f t="shared" si="2"/>
        <v>0</v>
      </c>
      <c r="N62" s="144"/>
      <c r="O62" s="141"/>
      <c r="P62" s="141"/>
      <c r="Q62" s="141"/>
      <c r="R62" s="141"/>
      <c r="S62" s="141"/>
      <c r="T62" s="145">
        <f t="shared" si="1"/>
        <v>0</v>
      </c>
      <c r="U62" s="145">
        <f>M62+T62</f>
        <v>0</v>
      </c>
    </row>
    <row r="63" spans="1:21" ht="17.25" hidden="1" thickBot="1">
      <c r="A63" s="154" t="s">
        <v>31</v>
      </c>
      <c r="B63" s="147" t="s">
        <v>11</v>
      </c>
      <c r="C63" s="148">
        <f>SUM(C61:C62)</f>
        <v>0</v>
      </c>
      <c r="D63" s="148">
        <f>SUM(D61:D62)</f>
        <v>0</v>
      </c>
      <c r="E63" s="149" t="str">
        <f t="shared" si="0"/>
        <v/>
      </c>
      <c r="F63" s="150"/>
      <c r="G63" s="151">
        <f t="shared" ref="G63:L63" si="40">SUM(G61:G62)</f>
        <v>0</v>
      </c>
      <c r="H63" s="148">
        <f t="shared" si="40"/>
        <v>0</v>
      </c>
      <c r="I63" s="148">
        <f t="shared" si="40"/>
        <v>0</v>
      </c>
      <c r="J63" s="148">
        <f t="shared" si="40"/>
        <v>0</v>
      </c>
      <c r="K63" s="148">
        <f t="shared" si="40"/>
        <v>0</v>
      </c>
      <c r="L63" s="148">
        <f t="shared" si="40"/>
        <v>0</v>
      </c>
      <c r="M63" s="152">
        <f t="shared" si="2"/>
        <v>0</v>
      </c>
      <c r="N63" s="151">
        <f t="shared" ref="N63:S63" si="41">SUM(N61:N62)</f>
        <v>0</v>
      </c>
      <c r="O63" s="148">
        <f t="shared" si="41"/>
        <v>0</v>
      </c>
      <c r="P63" s="148">
        <f t="shared" si="41"/>
        <v>0</v>
      </c>
      <c r="Q63" s="148">
        <f t="shared" si="41"/>
        <v>0</v>
      </c>
      <c r="R63" s="148">
        <f t="shared" si="41"/>
        <v>0</v>
      </c>
      <c r="S63" s="148">
        <f t="shared" si="41"/>
        <v>0</v>
      </c>
      <c r="T63" s="152">
        <f t="shared" si="1"/>
        <v>0</v>
      </c>
      <c r="U63" s="152">
        <f>SUM(U61:U62)</f>
        <v>0</v>
      </c>
    </row>
    <row r="64" spans="1:21" ht="17.25" hidden="1" thickBot="1">
      <c r="A64" s="134"/>
      <c r="B64" s="3"/>
      <c r="C64" s="135"/>
      <c r="D64" s="135">
        <f>U64</f>
        <v>0</v>
      </c>
      <c r="E64" s="136" t="str">
        <f t="shared" si="0"/>
        <v/>
      </c>
      <c r="F64" s="137"/>
      <c r="G64" s="138"/>
      <c r="H64" s="135"/>
      <c r="I64" s="135"/>
      <c r="J64" s="135"/>
      <c r="K64" s="135"/>
      <c r="L64" s="135"/>
      <c r="M64" s="139">
        <f t="shared" si="2"/>
        <v>0</v>
      </c>
      <c r="N64" s="138"/>
      <c r="O64" s="135"/>
      <c r="P64" s="135"/>
      <c r="Q64" s="135"/>
      <c r="R64" s="135"/>
      <c r="S64" s="135"/>
      <c r="T64" s="139">
        <f t="shared" si="1"/>
        <v>0</v>
      </c>
      <c r="U64" s="139">
        <f>M64+T64</f>
        <v>0</v>
      </c>
    </row>
    <row r="65" spans="1:22" ht="17.25" hidden="1" thickBot="1">
      <c r="A65" s="140" t="s">
        <v>201</v>
      </c>
      <c r="B65" s="5"/>
      <c r="C65" s="141"/>
      <c r="D65" s="141">
        <f>U65</f>
        <v>0</v>
      </c>
      <c r="E65" s="142" t="str">
        <f t="shared" si="0"/>
        <v/>
      </c>
      <c r="F65" s="143"/>
      <c r="G65" s="144"/>
      <c r="H65" s="141"/>
      <c r="I65" s="141"/>
      <c r="J65" s="141"/>
      <c r="K65" s="141"/>
      <c r="L65" s="141"/>
      <c r="M65" s="145">
        <f t="shared" si="2"/>
        <v>0</v>
      </c>
      <c r="N65" s="144"/>
      <c r="O65" s="141"/>
      <c r="P65" s="141"/>
      <c r="Q65" s="141"/>
      <c r="R65" s="141"/>
      <c r="S65" s="141"/>
      <c r="T65" s="145">
        <f t="shared" si="1"/>
        <v>0</v>
      </c>
      <c r="U65" s="145">
        <f>M65+T65</f>
        <v>0</v>
      </c>
    </row>
    <row r="66" spans="1:22" ht="17.25" hidden="1" thickBot="1">
      <c r="A66" s="154" t="s">
        <v>32</v>
      </c>
      <c r="B66" s="147" t="s">
        <v>11</v>
      </c>
      <c r="C66" s="148">
        <f>SUM(C64:C65)</f>
        <v>0</v>
      </c>
      <c r="D66" s="148">
        <f>SUM(D64:D65)</f>
        <v>0</v>
      </c>
      <c r="E66" s="149" t="str">
        <f t="shared" si="0"/>
        <v/>
      </c>
      <c r="F66" s="150"/>
      <c r="G66" s="151">
        <f t="shared" ref="G66:L66" si="42">SUM(G64:G65)</f>
        <v>0</v>
      </c>
      <c r="H66" s="148">
        <f t="shared" si="42"/>
        <v>0</v>
      </c>
      <c r="I66" s="148">
        <f t="shared" si="42"/>
        <v>0</v>
      </c>
      <c r="J66" s="148">
        <f t="shared" si="42"/>
        <v>0</v>
      </c>
      <c r="K66" s="148">
        <f t="shared" si="42"/>
        <v>0</v>
      </c>
      <c r="L66" s="148">
        <f t="shared" si="42"/>
        <v>0</v>
      </c>
      <c r="M66" s="152">
        <f t="shared" si="2"/>
        <v>0</v>
      </c>
      <c r="N66" s="151">
        <f t="shared" ref="N66:S66" si="43">SUM(N64:N65)</f>
        <v>0</v>
      </c>
      <c r="O66" s="148">
        <f t="shared" si="43"/>
        <v>0</v>
      </c>
      <c r="P66" s="148">
        <f t="shared" si="43"/>
        <v>0</v>
      </c>
      <c r="Q66" s="148">
        <f t="shared" si="43"/>
        <v>0</v>
      </c>
      <c r="R66" s="148">
        <f t="shared" si="43"/>
        <v>0</v>
      </c>
      <c r="S66" s="148">
        <f t="shared" si="43"/>
        <v>0</v>
      </c>
      <c r="T66" s="152">
        <f t="shared" si="1"/>
        <v>0</v>
      </c>
      <c r="U66" s="152">
        <f>SUM(U64:U65)</f>
        <v>0</v>
      </c>
    </row>
    <row r="67" spans="1:22" ht="17.25" hidden="1" thickBot="1">
      <c r="A67" s="134"/>
      <c r="B67" s="3"/>
      <c r="C67" s="135"/>
      <c r="D67" s="135">
        <f>U67</f>
        <v>0</v>
      </c>
      <c r="E67" s="136" t="str">
        <f t="shared" si="0"/>
        <v/>
      </c>
      <c r="F67" s="137"/>
      <c r="G67" s="138"/>
      <c r="H67" s="135"/>
      <c r="I67" s="135"/>
      <c r="J67" s="135"/>
      <c r="K67" s="135"/>
      <c r="L67" s="135"/>
      <c r="M67" s="139">
        <f t="shared" si="2"/>
        <v>0</v>
      </c>
      <c r="N67" s="138"/>
      <c r="O67" s="135"/>
      <c r="P67" s="135"/>
      <c r="Q67" s="135"/>
      <c r="R67" s="135"/>
      <c r="S67" s="135"/>
      <c r="T67" s="139">
        <f t="shared" si="1"/>
        <v>0</v>
      </c>
      <c r="U67" s="139">
        <f>M67+T67</f>
        <v>0</v>
      </c>
    </row>
    <row r="68" spans="1:22" ht="17.25" hidden="1" thickBot="1">
      <c r="A68" s="140" t="s">
        <v>202</v>
      </c>
      <c r="B68" s="5"/>
      <c r="C68" s="141"/>
      <c r="D68" s="141">
        <f>U68</f>
        <v>0</v>
      </c>
      <c r="E68" s="142" t="str">
        <f t="shared" si="0"/>
        <v/>
      </c>
      <c r="F68" s="143"/>
      <c r="G68" s="144"/>
      <c r="H68" s="141"/>
      <c r="I68" s="141"/>
      <c r="J68" s="141"/>
      <c r="K68" s="141"/>
      <c r="L68" s="141"/>
      <c r="M68" s="145">
        <f t="shared" si="2"/>
        <v>0</v>
      </c>
      <c r="N68" s="144"/>
      <c r="O68" s="141"/>
      <c r="P68" s="141"/>
      <c r="Q68" s="141"/>
      <c r="R68" s="141"/>
      <c r="S68" s="141"/>
      <c r="T68" s="145">
        <f t="shared" si="1"/>
        <v>0</v>
      </c>
      <c r="U68" s="145">
        <f>M68+T68</f>
        <v>0</v>
      </c>
    </row>
    <row r="69" spans="1:22" ht="17.25" hidden="1" thickBot="1">
      <c r="A69" s="184" t="s">
        <v>33</v>
      </c>
      <c r="B69" s="185" t="s">
        <v>11</v>
      </c>
      <c r="C69" s="186">
        <f>SUM(C67:C68)</f>
        <v>0</v>
      </c>
      <c r="D69" s="186">
        <f>SUM(D67:D68)</f>
        <v>0</v>
      </c>
      <c r="E69" s="187" t="str">
        <f t="shared" si="0"/>
        <v/>
      </c>
      <c r="F69" s="188"/>
      <c r="G69" s="189">
        <f t="shared" ref="G69:L69" si="44">SUM(G67:G68)</f>
        <v>0</v>
      </c>
      <c r="H69" s="186">
        <f t="shared" si="44"/>
        <v>0</v>
      </c>
      <c r="I69" s="186">
        <f t="shared" si="44"/>
        <v>0</v>
      </c>
      <c r="J69" s="186">
        <f t="shared" si="44"/>
        <v>0</v>
      </c>
      <c r="K69" s="186">
        <f t="shared" si="44"/>
        <v>0</v>
      </c>
      <c r="L69" s="186">
        <f t="shared" si="44"/>
        <v>0</v>
      </c>
      <c r="M69" s="190">
        <f t="shared" si="2"/>
        <v>0</v>
      </c>
      <c r="N69" s="189">
        <f t="shared" ref="N69:S69" si="45">SUM(N67:N68)</f>
        <v>0</v>
      </c>
      <c r="O69" s="186">
        <f t="shared" si="45"/>
        <v>0</v>
      </c>
      <c r="P69" s="186">
        <f t="shared" si="45"/>
        <v>0</v>
      </c>
      <c r="Q69" s="186">
        <f t="shared" si="45"/>
        <v>0</v>
      </c>
      <c r="R69" s="186">
        <f t="shared" si="45"/>
        <v>0</v>
      </c>
      <c r="S69" s="186">
        <f t="shared" si="45"/>
        <v>0</v>
      </c>
      <c r="T69" s="190">
        <f t="shared" si="1"/>
        <v>0</v>
      </c>
      <c r="U69" s="190">
        <f>SUM(U67:U68)</f>
        <v>0</v>
      </c>
    </row>
    <row r="70" spans="1:22" ht="17.25" thickTop="1">
      <c r="A70" s="191"/>
      <c r="B70" s="192" t="s">
        <v>34</v>
      </c>
      <c r="C70" s="193">
        <v>18000</v>
      </c>
      <c r="D70" s="193">
        <f>U70</f>
        <v>10560</v>
      </c>
      <c r="E70" s="194">
        <f t="shared" ref="E70:E77" si="46">IFERROR(D70/C70*100,"")</f>
        <v>58.666666666666664</v>
      </c>
      <c r="F70" s="195"/>
      <c r="G70" s="196">
        <v>933</v>
      </c>
      <c r="H70" s="197">
        <v>937</v>
      </c>
      <c r="I70" s="197">
        <v>1155</v>
      </c>
      <c r="J70" s="197">
        <v>960</v>
      </c>
      <c r="K70" s="197">
        <v>1177</v>
      </c>
      <c r="L70" s="197">
        <v>1024</v>
      </c>
      <c r="M70" s="198">
        <f t="shared" si="2"/>
        <v>6186</v>
      </c>
      <c r="N70" s="199">
        <v>554</v>
      </c>
      <c r="O70" s="193">
        <v>657</v>
      </c>
      <c r="P70" s="193">
        <v>763</v>
      </c>
      <c r="Q70" s="193">
        <v>800</v>
      </c>
      <c r="R70" s="193">
        <v>800</v>
      </c>
      <c r="S70" s="193">
        <v>800</v>
      </c>
      <c r="T70" s="200">
        <f t="shared" si="1"/>
        <v>4374</v>
      </c>
      <c r="U70" s="200">
        <f>M70+T70</f>
        <v>10560</v>
      </c>
    </row>
    <row r="71" spans="1:22">
      <c r="A71" s="201" t="s">
        <v>203</v>
      </c>
      <c r="B71" s="202" t="s">
        <v>36</v>
      </c>
      <c r="C71" s="203"/>
      <c r="D71" s="203">
        <f>U71</f>
        <v>1061</v>
      </c>
      <c r="E71" s="204" t="str">
        <f t="shared" si="46"/>
        <v/>
      </c>
      <c r="F71" s="205"/>
      <c r="G71" s="206">
        <v>391</v>
      </c>
      <c r="H71" s="207"/>
      <c r="I71" s="207"/>
      <c r="J71" s="207">
        <v>518</v>
      </c>
      <c r="K71" s="207"/>
      <c r="L71" s="207"/>
      <c r="M71" s="208">
        <f t="shared" si="2"/>
        <v>909</v>
      </c>
      <c r="N71" s="209">
        <v>152</v>
      </c>
      <c r="O71" s="203">
        <v>0</v>
      </c>
      <c r="P71" s="203">
        <v>0</v>
      </c>
      <c r="Q71" s="203"/>
      <c r="R71" s="203"/>
      <c r="S71" s="203"/>
      <c r="T71" s="210">
        <f t="shared" ref="T71:T76" si="47">SUM(N71:S71)</f>
        <v>152</v>
      </c>
      <c r="U71" s="210">
        <f>M71+T71</f>
        <v>1061</v>
      </c>
    </row>
    <row r="72" spans="1:22">
      <c r="A72" s="201"/>
      <c r="B72" s="211" t="s">
        <v>37</v>
      </c>
      <c r="C72" s="141"/>
      <c r="D72" s="141">
        <f>U72</f>
        <v>0</v>
      </c>
      <c r="E72" s="142" t="str">
        <f t="shared" si="46"/>
        <v/>
      </c>
      <c r="F72" s="212"/>
      <c r="G72" s="213"/>
      <c r="H72" s="214"/>
      <c r="I72" s="214"/>
      <c r="J72" s="214"/>
      <c r="K72" s="214"/>
      <c r="L72" s="214"/>
      <c r="M72" s="215">
        <f t="shared" si="2"/>
        <v>0</v>
      </c>
      <c r="N72" s="216"/>
      <c r="O72" s="141"/>
      <c r="P72" s="141"/>
      <c r="Q72" s="141"/>
      <c r="R72" s="141"/>
      <c r="S72" s="141"/>
      <c r="T72" s="145">
        <f t="shared" si="47"/>
        <v>0</v>
      </c>
      <c r="U72" s="145">
        <f>M72+T72</f>
        <v>0</v>
      </c>
    </row>
    <row r="73" spans="1:22">
      <c r="A73" s="217" t="s">
        <v>35</v>
      </c>
      <c r="B73" s="147" t="s">
        <v>11</v>
      </c>
      <c r="C73" s="218">
        <f>SUM(C70:C72)</f>
        <v>18000</v>
      </c>
      <c r="D73" s="218">
        <f>SUM(D70:D72)</f>
        <v>11621</v>
      </c>
      <c r="E73" s="219">
        <f t="shared" si="46"/>
        <v>64.561111111111117</v>
      </c>
      <c r="F73" s="220"/>
      <c r="G73" s="158">
        <f t="shared" ref="G73:L73" si="48">SUM(G70:G72)</f>
        <v>1324</v>
      </c>
      <c r="H73" s="155">
        <f t="shared" si="48"/>
        <v>937</v>
      </c>
      <c r="I73" s="155">
        <f t="shared" si="48"/>
        <v>1155</v>
      </c>
      <c r="J73" s="155">
        <f t="shared" si="48"/>
        <v>1478</v>
      </c>
      <c r="K73" s="155">
        <f t="shared" si="48"/>
        <v>1177</v>
      </c>
      <c r="L73" s="155">
        <f t="shared" si="48"/>
        <v>1024</v>
      </c>
      <c r="M73" s="159">
        <f>SUM(G73:L73)</f>
        <v>7095</v>
      </c>
      <c r="N73" s="221">
        <f t="shared" ref="N73:S73" si="49">SUM(N70:N72)</f>
        <v>706</v>
      </c>
      <c r="O73" s="218">
        <f t="shared" si="49"/>
        <v>657</v>
      </c>
      <c r="P73" s="218">
        <f t="shared" si="49"/>
        <v>763</v>
      </c>
      <c r="Q73" s="218">
        <f t="shared" si="49"/>
        <v>800</v>
      </c>
      <c r="R73" s="218">
        <f t="shared" si="49"/>
        <v>800</v>
      </c>
      <c r="S73" s="218">
        <f t="shared" si="49"/>
        <v>800</v>
      </c>
      <c r="T73" s="222">
        <f t="shared" si="47"/>
        <v>4526</v>
      </c>
      <c r="U73" s="222">
        <f>SUM(U70:U72)</f>
        <v>11621</v>
      </c>
    </row>
    <row r="74" spans="1:22">
      <c r="A74" s="201"/>
      <c r="B74" s="223"/>
      <c r="C74" s="224"/>
      <c r="D74" s="224">
        <f>U74</f>
        <v>0</v>
      </c>
      <c r="E74" s="225" t="str">
        <f t="shared" si="46"/>
        <v/>
      </c>
      <c r="F74" s="226"/>
      <c r="G74" s="227"/>
      <c r="H74" s="228"/>
      <c r="I74" s="228"/>
      <c r="J74" s="228"/>
      <c r="K74" s="228"/>
      <c r="L74" s="228"/>
      <c r="M74" s="229">
        <f>SUM(G74:L74)</f>
        <v>0</v>
      </c>
      <c r="N74" s="230"/>
      <c r="O74" s="224"/>
      <c r="P74" s="224"/>
      <c r="Q74" s="224"/>
      <c r="R74" s="224"/>
      <c r="S74" s="224"/>
      <c r="T74" s="231">
        <f t="shared" si="47"/>
        <v>0</v>
      </c>
      <c r="U74" s="231">
        <f>M74+T74</f>
        <v>0</v>
      </c>
    </row>
    <row r="75" spans="1:22">
      <c r="A75" s="201" t="s">
        <v>204</v>
      </c>
      <c r="B75" s="211"/>
      <c r="C75" s="141"/>
      <c r="D75" s="141">
        <f>U75</f>
        <v>0</v>
      </c>
      <c r="E75" s="142" t="str">
        <f t="shared" si="46"/>
        <v/>
      </c>
      <c r="F75" s="212"/>
      <c r="G75" s="213"/>
      <c r="H75" s="214"/>
      <c r="I75" s="214"/>
      <c r="J75" s="214"/>
      <c r="K75" s="214"/>
      <c r="L75" s="214"/>
      <c r="M75" s="215">
        <f>SUM(G75:L75)</f>
        <v>0</v>
      </c>
      <c r="N75" s="216"/>
      <c r="O75" s="141"/>
      <c r="P75" s="141"/>
      <c r="Q75" s="141"/>
      <c r="R75" s="141"/>
      <c r="S75" s="141"/>
      <c r="T75" s="145">
        <f t="shared" si="47"/>
        <v>0</v>
      </c>
      <c r="U75" s="145">
        <f>M75+T75</f>
        <v>0</v>
      </c>
    </row>
    <row r="76" spans="1:22" ht="17.25" thickBot="1">
      <c r="A76" s="232" t="s">
        <v>38</v>
      </c>
      <c r="B76" s="233" t="s">
        <v>11</v>
      </c>
      <c r="C76" s="234">
        <f>SUM(C74:C75)</f>
        <v>0</v>
      </c>
      <c r="D76" s="234">
        <f>SUM(D74:D75)</f>
        <v>0</v>
      </c>
      <c r="E76" s="235" t="str">
        <f t="shared" si="46"/>
        <v/>
      </c>
      <c r="F76" s="236"/>
      <c r="G76" s="237">
        <f t="shared" ref="G76:L76" si="50">SUM(G74:G75)</f>
        <v>0</v>
      </c>
      <c r="H76" s="238">
        <f t="shared" si="50"/>
        <v>0</v>
      </c>
      <c r="I76" s="238">
        <f t="shared" si="50"/>
        <v>0</v>
      </c>
      <c r="J76" s="238">
        <f t="shared" si="50"/>
        <v>0</v>
      </c>
      <c r="K76" s="238">
        <f t="shared" si="50"/>
        <v>0</v>
      </c>
      <c r="L76" s="238">
        <f t="shared" si="50"/>
        <v>0</v>
      </c>
      <c r="M76" s="239">
        <f>SUM(G76:L76)</f>
        <v>0</v>
      </c>
      <c r="N76" s="240">
        <f t="shared" ref="N76:S76" si="51">SUM(N74:N75)</f>
        <v>0</v>
      </c>
      <c r="O76" s="234">
        <f t="shared" si="51"/>
        <v>0</v>
      </c>
      <c r="P76" s="234">
        <f t="shared" si="51"/>
        <v>0</v>
      </c>
      <c r="Q76" s="234">
        <f t="shared" si="51"/>
        <v>0</v>
      </c>
      <c r="R76" s="234">
        <f t="shared" si="51"/>
        <v>0</v>
      </c>
      <c r="S76" s="234">
        <f t="shared" si="51"/>
        <v>0</v>
      </c>
      <c r="T76" s="241">
        <f t="shared" si="47"/>
        <v>0</v>
      </c>
      <c r="U76" s="241">
        <f>SUM(U74:U75)</f>
        <v>0</v>
      </c>
    </row>
    <row r="77" spans="1:22" ht="17.25" thickBot="1">
      <c r="A77" s="242" t="s">
        <v>205</v>
      </c>
      <c r="B77" s="243"/>
      <c r="C77" s="244">
        <f>C7+C10+C13+C16+C19+C22+C26+C29+C32+C36+C39+C42+C45+C48+C51+C54+C57+C60+C63+C66+C69+C76-C73</f>
        <v>65046</v>
      </c>
      <c r="D77" s="244">
        <f>D7+D10+D13+D16+D19+D22+D26+D29+D32+D36+D39+D42+D45+D48+D51+D54+D57+D60+D63+D66+D69+D76-D73</f>
        <v>49487</v>
      </c>
      <c r="E77" s="245">
        <f t="shared" si="46"/>
        <v>76.080004919595368</v>
      </c>
      <c r="F77" s="246"/>
      <c r="G77" s="247">
        <f t="shared" ref="G77:U77" si="52">G7+G10+G13+G16+G19+G22+G26+G29+G32+G36+G39+G42+G45+G48+G51+G54+G57+G60+G63+G66+G69+G76-G73</f>
        <v>-145</v>
      </c>
      <c r="H77" s="244">
        <f t="shared" si="52"/>
        <v>2766</v>
      </c>
      <c r="I77" s="244">
        <f t="shared" si="52"/>
        <v>2041</v>
      </c>
      <c r="J77" s="244">
        <f t="shared" si="52"/>
        <v>434</v>
      </c>
      <c r="K77" s="244">
        <f t="shared" si="52"/>
        <v>5625</v>
      </c>
      <c r="L77" s="244">
        <f t="shared" si="52"/>
        <v>1667</v>
      </c>
      <c r="M77" s="248">
        <f t="shared" si="52"/>
        <v>12388</v>
      </c>
      <c r="N77" s="247">
        <f t="shared" si="52"/>
        <v>1712</v>
      </c>
      <c r="O77" s="244">
        <f t="shared" si="52"/>
        <v>3099</v>
      </c>
      <c r="P77" s="244">
        <f t="shared" si="52"/>
        <v>1531</v>
      </c>
      <c r="Q77" s="244">
        <f t="shared" si="52"/>
        <v>21408</v>
      </c>
      <c r="R77" s="244">
        <f t="shared" si="52"/>
        <v>6302</v>
      </c>
      <c r="S77" s="244">
        <f t="shared" si="52"/>
        <v>3047</v>
      </c>
      <c r="T77" s="248">
        <f t="shared" si="52"/>
        <v>37099</v>
      </c>
      <c r="U77" s="248">
        <f t="shared" si="52"/>
        <v>49487</v>
      </c>
      <c r="V77" s="249">
        <f>D77+D73</f>
        <v>61108</v>
      </c>
    </row>
    <row r="81" spans="3:22">
      <c r="C81" s="249">
        <f>SUM(C54,C46,C37,C33,C29,C26,C19,C14,C11,C5,C57)</f>
        <v>49646</v>
      </c>
      <c r="D81" s="249">
        <f>SUM(D54,D46,D37,D33,D29,D26,D19,D14,D11,D5)</f>
        <v>27698</v>
      </c>
      <c r="U81" s="249">
        <f>SUM(U54,U46,U37,U33,U29,U26,U19,U14,U11,U5,U57)</f>
        <v>27698</v>
      </c>
      <c r="V81" t="s">
        <v>206</v>
      </c>
    </row>
    <row r="82" spans="3:22">
      <c r="C82" s="249">
        <f>SUM(C6,C12,C15,C30,C35,C38,C47)</f>
        <v>23400</v>
      </c>
      <c r="D82" s="249">
        <f>SUM(D6,D12,D15,D30,D35,D38,D47)</f>
        <v>23410</v>
      </c>
      <c r="U82" s="249">
        <f>SUM(U6,U12,U15,U30,U35,U38,U47)</f>
        <v>23410</v>
      </c>
      <c r="V82" t="s">
        <v>207</v>
      </c>
    </row>
    <row r="83" spans="3:22">
      <c r="U83" s="249">
        <f>U82-11621</f>
        <v>11789</v>
      </c>
    </row>
  </sheetData>
  <phoneticPr fontId="4" type="noConversion"/>
  <pageMargins left="0.7" right="0.7" top="0.75" bottom="0.75" header="0.3" footer="0.3"/>
  <pageSetup paperSize="12" scale="6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X81"/>
  <sheetViews>
    <sheetView view="pageBreakPreview" topLeftCell="B1" zoomScale="60" zoomScaleNormal="100" workbookViewId="0">
      <selection activeCell="O7" sqref="O7"/>
    </sheetView>
  </sheetViews>
  <sheetFormatPr defaultRowHeight="16.5"/>
  <cols>
    <col min="1" max="1" width="18.625" customWidth="1"/>
    <col min="2" max="2" width="37.625" customWidth="1"/>
    <col min="3" max="5" width="9.75" bestFit="1" customWidth="1"/>
    <col min="6" max="6" width="10.5" bestFit="1" customWidth="1"/>
    <col min="7" max="7" width="10.875" customWidth="1"/>
    <col min="8" max="13" width="9.125" bestFit="1" customWidth="1"/>
    <col min="14" max="14" width="9.75" bestFit="1" customWidth="1"/>
    <col min="15" max="18" width="9.125" bestFit="1" customWidth="1"/>
    <col min="19" max="19" width="9.75" bestFit="1" customWidth="1"/>
    <col min="20" max="20" width="9.125" bestFit="1" customWidth="1"/>
    <col min="21" max="21" width="9.75" bestFit="1" customWidth="1"/>
    <col min="22" max="22" width="10.375" customWidth="1"/>
  </cols>
  <sheetData>
    <row r="1" spans="1:24" ht="26.25">
      <c r="A1" s="535" t="s">
        <v>236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</row>
    <row r="2" spans="1:24" ht="15.75" customHeight="1" thickBot="1">
      <c r="V2" t="s">
        <v>208</v>
      </c>
    </row>
    <row r="3" spans="1:24" ht="22.5" customHeight="1">
      <c r="A3" s="115" t="s">
        <v>155</v>
      </c>
      <c r="B3" s="116" t="s">
        <v>2</v>
      </c>
      <c r="C3" s="250" t="s">
        <v>209</v>
      </c>
      <c r="D3" s="251"/>
      <c r="E3" s="252" t="s">
        <v>4</v>
      </c>
      <c r="F3" s="116" t="s">
        <v>209</v>
      </c>
      <c r="G3" s="119" t="s">
        <v>8</v>
      </c>
      <c r="H3" s="120" t="s">
        <v>157</v>
      </c>
      <c r="I3" s="121"/>
      <c r="J3" s="121"/>
      <c r="K3" s="121"/>
      <c r="L3" s="122"/>
      <c r="M3" s="123"/>
      <c r="N3" s="124"/>
      <c r="O3" s="125" t="s">
        <v>158</v>
      </c>
      <c r="P3" s="121"/>
      <c r="Q3" s="121"/>
      <c r="R3" s="121"/>
      <c r="S3" s="121"/>
      <c r="T3" s="122"/>
      <c r="U3" s="124"/>
      <c r="V3" s="126" t="s">
        <v>4</v>
      </c>
    </row>
    <row r="4" spans="1:24" ht="22.5" customHeight="1" thickBot="1">
      <c r="A4" s="127"/>
      <c r="B4" s="128"/>
      <c r="C4" s="253" t="s">
        <v>6</v>
      </c>
      <c r="D4" s="253" t="s">
        <v>7</v>
      </c>
      <c r="E4" s="128" t="s">
        <v>6</v>
      </c>
      <c r="F4" s="128" t="s">
        <v>159</v>
      </c>
      <c r="G4" s="129"/>
      <c r="H4" s="130" t="s">
        <v>68</v>
      </c>
      <c r="I4" s="131" t="s">
        <v>70</v>
      </c>
      <c r="J4" s="131" t="s">
        <v>72</v>
      </c>
      <c r="K4" s="131" t="s">
        <v>73</v>
      </c>
      <c r="L4" s="131" t="s">
        <v>74</v>
      </c>
      <c r="M4" s="131" t="s">
        <v>75</v>
      </c>
      <c r="N4" s="132" t="s">
        <v>160</v>
      </c>
      <c r="O4" s="133" t="s">
        <v>76</v>
      </c>
      <c r="P4" s="131" t="s">
        <v>77</v>
      </c>
      <c r="Q4" s="131" t="s">
        <v>78</v>
      </c>
      <c r="R4" s="131" t="s">
        <v>79</v>
      </c>
      <c r="S4" s="131" t="s">
        <v>80</v>
      </c>
      <c r="T4" s="131" t="s">
        <v>81</v>
      </c>
      <c r="U4" s="132" t="s">
        <v>160</v>
      </c>
      <c r="V4" s="132" t="s">
        <v>51</v>
      </c>
    </row>
    <row r="5" spans="1:24" ht="22.5" customHeight="1">
      <c r="A5" s="134"/>
      <c r="B5" s="3" t="s">
        <v>161</v>
      </c>
      <c r="C5" s="135">
        <f>'4-1. 24년 기타경비 실적'!C5</f>
        <v>4570</v>
      </c>
      <c r="D5" s="135">
        <f>'4-1. 24년 기타경비 실적'!D5</f>
        <v>6247</v>
      </c>
      <c r="E5" s="135">
        <f>V5</f>
        <v>6432</v>
      </c>
      <c r="F5" s="254">
        <f>IFERROR(E5/D5*100,"")</f>
        <v>102.96142148231151</v>
      </c>
      <c r="G5" s="137"/>
      <c r="H5" s="138">
        <v>536</v>
      </c>
      <c r="I5" s="135">
        <v>536</v>
      </c>
      <c r="J5" s="135">
        <v>536</v>
      </c>
      <c r="K5" s="135">
        <v>536</v>
      </c>
      <c r="L5" s="135">
        <v>536</v>
      </c>
      <c r="M5" s="135">
        <v>536</v>
      </c>
      <c r="N5" s="139">
        <f>SUM(H5:M5)</f>
        <v>3216</v>
      </c>
      <c r="O5" s="138">
        <v>536</v>
      </c>
      <c r="P5" s="135">
        <v>536</v>
      </c>
      <c r="Q5" s="135">
        <v>536</v>
      </c>
      <c r="R5" s="135">
        <v>536</v>
      </c>
      <c r="S5" s="135">
        <v>536</v>
      </c>
      <c r="T5" s="135">
        <v>536</v>
      </c>
      <c r="U5" s="139">
        <f t="shared" ref="U5:U70" si="0">SUM(O5:T5)</f>
        <v>3216</v>
      </c>
      <c r="V5" s="139">
        <f>N5+U5</f>
        <v>6432</v>
      </c>
      <c r="X5" s="255">
        <f>D5*1.03/12</f>
        <v>536.20083333333332</v>
      </c>
    </row>
    <row r="6" spans="1:24" ht="22.5" customHeight="1">
      <c r="A6" s="140" t="s">
        <v>162</v>
      </c>
      <c r="B6" s="5" t="s">
        <v>163</v>
      </c>
      <c r="C6" s="141">
        <f>'4-1. 24년 기타경비 실적'!C6</f>
        <v>6400</v>
      </c>
      <c r="D6" s="141">
        <f>'4-1. 24년 기타경비 실적'!D6</f>
        <v>6400</v>
      </c>
      <c r="E6" s="141">
        <f>V6</f>
        <v>6588</v>
      </c>
      <c r="F6" s="256">
        <f t="shared" ref="F6:F70" si="1">IFERROR(E6/D6*100,"")</f>
        <v>102.9375</v>
      </c>
      <c r="G6" s="143"/>
      <c r="H6" s="144">
        <v>549</v>
      </c>
      <c r="I6" s="141">
        <v>549</v>
      </c>
      <c r="J6" s="141">
        <v>549</v>
      </c>
      <c r="K6" s="141">
        <v>549</v>
      </c>
      <c r="L6" s="141">
        <v>549</v>
      </c>
      <c r="M6" s="141">
        <v>549</v>
      </c>
      <c r="N6" s="145">
        <f t="shared" ref="N6:N70" si="2">SUM(H6:M6)</f>
        <v>3294</v>
      </c>
      <c r="O6" s="144">
        <v>549</v>
      </c>
      <c r="P6" s="141">
        <v>549</v>
      </c>
      <c r="Q6" s="141">
        <v>549</v>
      </c>
      <c r="R6" s="141">
        <v>549</v>
      </c>
      <c r="S6" s="141">
        <v>549</v>
      </c>
      <c r="T6" s="141">
        <v>549</v>
      </c>
      <c r="U6" s="145">
        <f t="shared" si="0"/>
        <v>3294</v>
      </c>
      <c r="V6" s="145">
        <f>N6+U6</f>
        <v>6588</v>
      </c>
      <c r="X6" s="255">
        <f>D6*1.03/12</f>
        <v>549.33333333333337</v>
      </c>
    </row>
    <row r="7" spans="1:24" ht="22.5" customHeight="1">
      <c r="A7" s="146" t="s">
        <v>12</v>
      </c>
      <c r="B7" s="147" t="s">
        <v>11</v>
      </c>
      <c r="C7" s="148">
        <f>SUM(C5:C6)</f>
        <v>10970</v>
      </c>
      <c r="D7" s="148">
        <f>SUM(D5:D6)</f>
        <v>12647</v>
      </c>
      <c r="E7" s="148">
        <f>SUM(E5:E6)</f>
        <v>13020</v>
      </c>
      <c r="F7" s="257">
        <f t="shared" si="1"/>
        <v>102.94931604333044</v>
      </c>
      <c r="G7" s="150"/>
      <c r="H7" s="151">
        <f t="shared" ref="H7:M7" si="3">SUM(H5:H6)</f>
        <v>1085</v>
      </c>
      <c r="I7" s="148">
        <f t="shared" si="3"/>
        <v>1085</v>
      </c>
      <c r="J7" s="148">
        <f t="shared" si="3"/>
        <v>1085</v>
      </c>
      <c r="K7" s="148">
        <f t="shared" si="3"/>
        <v>1085</v>
      </c>
      <c r="L7" s="148">
        <f t="shared" si="3"/>
        <v>1085</v>
      </c>
      <c r="M7" s="148">
        <f t="shared" si="3"/>
        <v>1085</v>
      </c>
      <c r="N7" s="152">
        <f t="shared" si="2"/>
        <v>6510</v>
      </c>
      <c r="O7" s="151">
        <f t="shared" ref="O7:T7" si="4">SUM(O5:O6)</f>
        <v>1085</v>
      </c>
      <c r="P7" s="148">
        <f t="shared" si="4"/>
        <v>1085</v>
      </c>
      <c r="Q7" s="148">
        <f t="shared" si="4"/>
        <v>1085</v>
      </c>
      <c r="R7" s="148">
        <f t="shared" si="4"/>
        <v>1085</v>
      </c>
      <c r="S7" s="148">
        <f t="shared" si="4"/>
        <v>1085</v>
      </c>
      <c r="T7" s="148">
        <f t="shared" si="4"/>
        <v>1085</v>
      </c>
      <c r="U7" s="152">
        <f t="shared" si="0"/>
        <v>6510</v>
      </c>
      <c r="V7" s="152">
        <f>SUM(V5:V6)</f>
        <v>13020</v>
      </c>
    </row>
    <row r="8" spans="1:24" ht="22.5" hidden="1" customHeight="1">
      <c r="A8" s="134"/>
      <c r="B8" s="3"/>
      <c r="C8" s="135"/>
      <c r="D8" s="135"/>
      <c r="E8" s="135">
        <f>V8</f>
        <v>0</v>
      </c>
      <c r="F8" s="254" t="str">
        <f t="shared" si="1"/>
        <v/>
      </c>
      <c r="G8" s="137"/>
      <c r="H8" s="138"/>
      <c r="I8" s="135"/>
      <c r="J8" s="135"/>
      <c r="K8" s="135"/>
      <c r="L8" s="135"/>
      <c r="M8" s="135"/>
      <c r="N8" s="139">
        <f t="shared" si="2"/>
        <v>0</v>
      </c>
      <c r="O8" s="138"/>
      <c r="P8" s="135"/>
      <c r="Q8" s="135"/>
      <c r="R8" s="135"/>
      <c r="S8" s="135"/>
      <c r="T8" s="135"/>
      <c r="U8" s="139">
        <f t="shared" si="0"/>
        <v>0</v>
      </c>
      <c r="V8" s="139">
        <f>N8+U8</f>
        <v>0</v>
      </c>
    </row>
    <row r="9" spans="1:24" ht="22.5" hidden="1" customHeight="1">
      <c r="A9" s="140" t="s">
        <v>164</v>
      </c>
      <c r="B9" s="5"/>
      <c r="C9" s="141"/>
      <c r="D9" s="141"/>
      <c r="E9" s="141">
        <f>V9</f>
        <v>0</v>
      </c>
      <c r="F9" s="256" t="str">
        <f t="shared" si="1"/>
        <v/>
      </c>
      <c r="G9" s="143"/>
      <c r="H9" s="144"/>
      <c r="I9" s="141"/>
      <c r="J9" s="141"/>
      <c r="K9" s="141"/>
      <c r="L9" s="141"/>
      <c r="M9" s="141"/>
      <c r="N9" s="145">
        <f t="shared" si="2"/>
        <v>0</v>
      </c>
      <c r="O9" s="144"/>
      <c r="P9" s="141"/>
      <c r="Q9" s="141"/>
      <c r="R9" s="141"/>
      <c r="S9" s="141"/>
      <c r="T9" s="141"/>
      <c r="U9" s="145">
        <f t="shared" si="0"/>
        <v>0</v>
      </c>
      <c r="V9" s="145">
        <f>N9+U9</f>
        <v>0</v>
      </c>
    </row>
    <row r="10" spans="1:24" ht="22.5" hidden="1" customHeight="1">
      <c r="A10" s="154" t="s">
        <v>13</v>
      </c>
      <c r="B10" s="147" t="s">
        <v>11</v>
      </c>
      <c r="C10" s="148">
        <f>SUM(C8:C9)</f>
        <v>0</v>
      </c>
      <c r="D10" s="148">
        <f>SUM(D8:D9)</f>
        <v>0</v>
      </c>
      <c r="E10" s="148">
        <f>SUM(E8:E9)</f>
        <v>0</v>
      </c>
      <c r="F10" s="257" t="str">
        <f t="shared" si="1"/>
        <v/>
      </c>
      <c r="G10" s="150"/>
      <c r="H10" s="151">
        <f t="shared" ref="H10:T10" si="5">SUM(H8:H9)</f>
        <v>0</v>
      </c>
      <c r="I10" s="148">
        <f t="shared" si="5"/>
        <v>0</v>
      </c>
      <c r="J10" s="148">
        <f t="shared" si="5"/>
        <v>0</v>
      </c>
      <c r="K10" s="148">
        <f t="shared" si="5"/>
        <v>0</v>
      </c>
      <c r="L10" s="148">
        <f t="shared" si="5"/>
        <v>0</v>
      </c>
      <c r="M10" s="148">
        <f t="shared" si="5"/>
        <v>0</v>
      </c>
      <c r="N10" s="152">
        <f t="shared" si="2"/>
        <v>0</v>
      </c>
      <c r="O10" s="151">
        <f t="shared" si="5"/>
        <v>0</v>
      </c>
      <c r="P10" s="148">
        <f t="shared" si="5"/>
        <v>0</v>
      </c>
      <c r="Q10" s="148">
        <f t="shared" si="5"/>
        <v>0</v>
      </c>
      <c r="R10" s="148">
        <f t="shared" si="5"/>
        <v>0</v>
      </c>
      <c r="S10" s="148">
        <f t="shared" si="5"/>
        <v>0</v>
      </c>
      <c r="T10" s="148">
        <f t="shared" si="5"/>
        <v>0</v>
      </c>
      <c r="U10" s="152">
        <f t="shared" si="0"/>
        <v>0</v>
      </c>
      <c r="V10" s="152">
        <f>SUM(V8:V9)</f>
        <v>0</v>
      </c>
    </row>
    <row r="11" spans="1:24" ht="22.5" customHeight="1">
      <c r="A11" s="134"/>
      <c r="B11" s="3" t="s">
        <v>165</v>
      </c>
      <c r="C11" s="135">
        <f>'4-1. 24년 기타경비 실적'!C11</f>
        <v>3612</v>
      </c>
      <c r="D11" s="135">
        <f>'4-1. 24년 기타경비 실적'!D11</f>
        <v>2472</v>
      </c>
      <c r="E11" s="135">
        <f>V11</f>
        <v>3380</v>
      </c>
      <c r="F11" s="254">
        <f t="shared" si="1"/>
        <v>136.73139158576052</v>
      </c>
      <c r="G11" s="137"/>
      <c r="H11" s="138"/>
      <c r="I11" s="135">
        <v>100</v>
      </c>
      <c r="J11" s="135"/>
      <c r="K11" s="135">
        <v>200</v>
      </c>
      <c r="L11" s="135"/>
      <c r="M11" s="135">
        <f>352+300</f>
        <v>652</v>
      </c>
      <c r="N11" s="139">
        <f t="shared" si="2"/>
        <v>952</v>
      </c>
      <c r="O11" s="138">
        <v>150</v>
      </c>
      <c r="P11" s="135">
        <f>300</f>
        <v>300</v>
      </c>
      <c r="Q11" s="135">
        <f>352</f>
        <v>352</v>
      </c>
      <c r="R11" s="135">
        <f>352+352</f>
        <v>704</v>
      </c>
      <c r="S11" s="135">
        <v>352</v>
      </c>
      <c r="T11" s="135">
        <v>570</v>
      </c>
      <c r="U11" s="139">
        <f t="shared" si="0"/>
        <v>2428</v>
      </c>
      <c r="V11" s="139">
        <f>N11+U11</f>
        <v>3380</v>
      </c>
    </row>
    <row r="12" spans="1:24" ht="22.5" customHeight="1">
      <c r="A12" s="140" t="s">
        <v>166</v>
      </c>
      <c r="B12" s="5" t="s">
        <v>167</v>
      </c>
      <c r="C12" s="141">
        <f>'4-1. 24년 기타경비 실적'!C12</f>
        <v>4700</v>
      </c>
      <c r="D12" s="141">
        <f>'4-1. 24년 기타경비 실적'!D12</f>
        <v>4700</v>
      </c>
      <c r="E12" s="141">
        <f>V12</f>
        <v>4704</v>
      </c>
      <c r="F12" s="256">
        <f t="shared" si="1"/>
        <v>100.08510638297872</v>
      </c>
      <c r="G12" s="143"/>
      <c r="H12" s="144">
        <v>392</v>
      </c>
      <c r="I12" s="141">
        <v>392</v>
      </c>
      <c r="J12" s="141">
        <v>392</v>
      </c>
      <c r="K12" s="141">
        <v>392</v>
      </c>
      <c r="L12" s="141">
        <v>392</v>
      </c>
      <c r="M12" s="141">
        <v>392</v>
      </c>
      <c r="N12" s="145">
        <f t="shared" si="2"/>
        <v>2352</v>
      </c>
      <c r="O12" s="144">
        <v>392</v>
      </c>
      <c r="P12" s="141">
        <v>392</v>
      </c>
      <c r="Q12" s="141">
        <v>392</v>
      </c>
      <c r="R12" s="141">
        <v>392</v>
      </c>
      <c r="S12" s="141">
        <v>392</v>
      </c>
      <c r="T12" s="141">
        <v>392</v>
      </c>
      <c r="U12" s="145">
        <f t="shared" si="0"/>
        <v>2352</v>
      </c>
      <c r="V12" s="145">
        <f>N12+U12</f>
        <v>4704</v>
      </c>
    </row>
    <row r="13" spans="1:24" ht="22.5" customHeight="1">
      <c r="A13" s="154" t="s">
        <v>14</v>
      </c>
      <c r="B13" s="147" t="s">
        <v>11</v>
      </c>
      <c r="C13" s="155">
        <f>SUM(C11:C12)</f>
        <v>8312</v>
      </c>
      <c r="D13" s="155">
        <f>SUM(D11:D12)</f>
        <v>7172</v>
      </c>
      <c r="E13" s="155">
        <f>SUM(E11:E12)</f>
        <v>8084</v>
      </c>
      <c r="F13" s="258">
        <f t="shared" si="1"/>
        <v>112.71611823759062</v>
      </c>
      <c r="G13" s="157"/>
      <c r="H13" s="158">
        <f t="shared" ref="H13:T13" si="6">SUM(H11:H12)</f>
        <v>392</v>
      </c>
      <c r="I13" s="155">
        <f t="shared" si="6"/>
        <v>492</v>
      </c>
      <c r="J13" s="155">
        <f t="shared" si="6"/>
        <v>392</v>
      </c>
      <c r="K13" s="155">
        <f t="shared" si="6"/>
        <v>592</v>
      </c>
      <c r="L13" s="155">
        <f t="shared" si="6"/>
        <v>392</v>
      </c>
      <c r="M13" s="155">
        <f t="shared" si="6"/>
        <v>1044</v>
      </c>
      <c r="N13" s="159">
        <f t="shared" si="2"/>
        <v>3304</v>
      </c>
      <c r="O13" s="158">
        <f t="shared" si="6"/>
        <v>542</v>
      </c>
      <c r="P13" s="155">
        <f t="shared" si="6"/>
        <v>692</v>
      </c>
      <c r="Q13" s="155">
        <f t="shared" si="6"/>
        <v>744</v>
      </c>
      <c r="R13" s="155">
        <f t="shared" si="6"/>
        <v>1096</v>
      </c>
      <c r="S13" s="155">
        <f t="shared" si="6"/>
        <v>744</v>
      </c>
      <c r="T13" s="155">
        <f t="shared" si="6"/>
        <v>962</v>
      </c>
      <c r="U13" s="159">
        <f t="shared" si="0"/>
        <v>4780</v>
      </c>
      <c r="V13" s="159">
        <f>SUM(V11:V12)</f>
        <v>8084</v>
      </c>
    </row>
    <row r="14" spans="1:24" ht="22.5" customHeight="1">
      <c r="A14" s="134"/>
      <c r="B14" s="3" t="s">
        <v>168</v>
      </c>
      <c r="C14" s="135">
        <f>'4-1. 24년 기타경비 실적'!C14</f>
        <v>75</v>
      </c>
      <c r="D14" s="135">
        <f>'4-1. 24년 기타경비 실적'!D14</f>
        <v>40</v>
      </c>
      <c r="E14" s="135">
        <f>V14</f>
        <v>120</v>
      </c>
      <c r="F14" s="254">
        <f t="shared" si="1"/>
        <v>300</v>
      </c>
      <c r="G14" s="137"/>
      <c r="H14" s="138">
        <v>10</v>
      </c>
      <c r="I14" s="135">
        <v>10</v>
      </c>
      <c r="J14" s="135">
        <v>10</v>
      </c>
      <c r="K14" s="135">
        <v>10</v>
      </c>
      <c r="L14" s="135">
        <v>10</v>
      </c>
      <c r="M14" s="135">
        <v>10</v>
      </c>
      <c r="N14" s="139">
        <f t="shared" si="2"/>
        <v>60</v>
      </c>
      <c r="O14" s="138">
        <v>10</v>
      </c>
      <c r="P14" s="135">
        <v>10</v>
      </c>
      <c r="Q14" s="135">
        <v>10</v>
      </c>
      <c r="R14" s="135">
        <v>10</v>
      </c>
      <c r="S14" s="135">
        <v>10</v>
      </c>
      <c r="T14" s="135">
        <v>10</v>
      </c>
      <c r="U14" s="139">
        <f t="shared" si="0"/>
        <v>60</v>
      </c>
      <c r="V14" s="139">
        <f>N14+U14</f>
        <v>120</v>
      </c>
    </row>
    <row r="15" spans="1:24" ht="22.5" customHeight="1">
      <c r="A15" s="140" t="s">
        <v>169</v>
      </c>
      <c r="B15" s="4" t="s">
        <v>170</v>
      </c>
      <c r="C15" s="160">
        <f>'4-1. 24년 기타경비 실적'!C15</f>
        <v>360</v>
      </c>
      <c r="D15" s="160">
        <f>'4-1. 24년 기타경비 실적'!D15</f>
        <v>360</v>
      </c>
      <c r="E15" s="160">
        <f>V15</f>
        <v>360</v>
      </c>
      <c r="F15" s="259">
        <f t="shared" si="1"/>
        <v>100</v>
      </c>
      <c r="G15" s="162"/>
      <c r="H15" s="163">
        <v>30</v>
      </c>
      <c r="I15" s="160">
        <v>30</v>
      </c>
      <c r="J15" s="160">
        <v>30</v>
      </c>
      <c r="K15" s="160">
        <v>30</v>
      </c>
      <c r="L15" s="160">
        <v>30</v>
      </c>
      <c r="M15" s="160">
        <v>30</v>
      </c>
      <c r="N15" s="164">
        <f t="shared" si="2"/>
        <v>180</v>
      </c>
      <c r="O15" s="163">
        <v>30</v>
      </c>
      <c r="P15" s="160">
        <v>30</v>
      </c>
      <c r="Q15" s="160">
        <v>30</v>
      </c>
      <c r="R15" s="160">
        <v>30</v>
      </c>
      <c r="S15" s="160">
        <v>30</v>
      </c>
      <c r="T15" s="160">
        <v>30</v>
      </c>
      <c r="U15" s="164">
        <f t="shared" si="0"/>
        <v>180</v>
      </c>
      <c r="V15" s="164">
        <f>N15+U15</f>
        <v>360</v>
      </c>
    </row>
    <row r="16" spans="1:24" ht="22.5" customHeight="1">
      <c r="A16" s="154" t="s">
        <v>16</v>
      </c>
      <c r="B16" s="147" t="s">
        <v>11</v>
      </c>
      <c r="C16" s="148">
        <f>SUM(C14:C15)</f>
        <v>435</v>
      </c>
      <c r="D16" s="148">
        <f>SUM(D14:D15)</f>
        <v>400</v>
      </c>
      <c r="E16" s="148">
        <f>SUM(E14:E15)</f>
        <v>480</v>
      </c>
      <c r="F16" s="257">
        <f t="shared" si="1"/>
        <v>120</v>
      </c>
      <c r="G16" s="150"/>
      <c r="H16" s="151">
        <f t="shared" ref="H16:T16" si="7">SUM(H14:H15)</f>
        <v>40</v>
      </c>
      <c r="I16" s="148">
        <f t="shared" si="7"/>
        <v>40</v>
      </c>
      <c r="J16" s="148">
        <f t="shared" si="7"/>
        <v>40</v>
      </c>
      <c r="K16" s="148">
        <f t="shared" si="7"/>
        <v>40</v>
      </c>
      <c r="L16" s="148">
        <f t="shared" si="7"/>
        <v>40</v>
      </c>
      <c r="M16" s="148">
        <f t="shared" si="7"/>
        <v>40</v>
      </c>
      <c r="N16" s="152">
        <f t="shared" si="2"/>
        <v>240</v>
      </c>
      <c r="O16" s="151">
        <f t="shared" si="7"/>
        <v>40</v>
      </c>
      <c r="P16" s="148">
        <f t="shared" si="7"/>
        <v>40</v>
      </c>
      <c r="Q16" s="148">
        <f t="shared" si="7"/>
        <v>40</v>
      </c>
      <c r="R16" s="148">
        <f t="shared" si="7"/>
        <v>40</v>
      </c>
      <c r="S16" s="148">
        <f t="shared" si="7"/>
        <v>40</v>
      </c>
      <c r="T16" s="148">
        <f t="shared" si="7"/>
        <v>40</v>
      </c>
      <c r="U16" s="152">
        <f t="shared" si="0"/>
        <v>240</v>
      </c>
      <c r="V16" s="152">
        <f>SUM(V14:V15)</f>
        <v>480</v>
      </c>
    </row>
    <row r="17" spans="1:22" ht="22.5" customHeight="1">
      <c r="A17" s="134"/>
      <c r="B17" s="3" t="s">
        <v>171</v>
      </c>
      <c r="C17" s="135">
        <f>'4-1. 24년 기타경비 실적'!C17</f>
        <v>5020</v>
      </c>
      <c r="D17" s="135">
        <f>'4-1. 24년 기타경비 실적'!D17</f>
        <v>1796</v>
      </c>
      <c r="E17" s="135">
        <f>V17</f>
        <v>2400</v>
      </c>
      <c r="F17" s="254">
        <f t="shared" si="1"/>
        <v>133.630289532294</v>
      </c>
      <c r="G17" s="137"/>
      <c r="H17" s="138"/>
      <c r="I17" s="135">
        <v>600</v>
      </c>
      <c r="J17" s="135"/>
      <c r="K17" s="135"/>
      <c r="L17" s="135">
        <v>600</v>
      </c>
      <c r="M17" s="135"/>
      <c r="N17" s="139">
        <f t="shared" si="2"/>
        <v>1200</v>
      </c>
      <c r="O17" s="138"/>
      <c r="P17" s="135">
        <v>600</v>
      </c>
      <c r="Q17" s="135"/>
      <c r="R17" s="135"/>
      <c r="S17" s="135">
        <v>600</v>
      </c>
      <c r="T17" s="135"/>
      <c r="U17" s="139">
        <f t="shared" si="0"/>
        <v>1200</v>
      </c>
      <c r="V17" s="139">
        <f>N17+U17</f>
        <v>2400</v>
      </c>
    </row>
    <row r="18" spans="1:22" ht="22.5" customHeight="1">
      <c r="A18" s="140" t="s">
        <v>172</v>
      </c>
      <c r="B18" s="4" t="s">
        <v>173</v>
      </c>
      <c r="C18" s="160">
        <f>'4-1. 24년 기타경비 실적'!C18</f>
        <v>920</v>
      </c>
      <c r="D18" s="160">
        <f>'4-1. 24년 기타경비 실적'!D18</f>
        <v>49</v>
      </c>
      <c r="E18" s="160">
        <f>V18</f>
        <v>100</v>
      </c>
      <c r="F18" s="259">
        <f t="shared" si="1"/>
        <v>204.08163265306123</v>
      </c>
      <c r="G18" s="162"/>
      <c r="H18" s="163"/>
      <c r="I18" s="160"/>
      <c r="J18" s="160">
        <v>50</v>
      </c>
      <c r="K18" s="160"/>
      <c r="L18" s="160"/>
      <c r="M18" s="160"/>
      <c r="N18" s="164">
        <f t="shared" si="2"/>
        <v>50</v>
      </c>
      <c r="O18" s="163"/>
      <c r="P18" s="160"/>
      <c r="Q18" s="160">
        <v>50</v>
      </c>
      <c r="R18" s="160"/>
      <c r="S18" s="160"/>
      <c r="T18" s="160"/>
      <c r="U18" s="164">
        <f t="shared" si="0"/>
        <v>50</v>
      </c>
      <c r="V18" s="164">
        <f>N18+U18</f>
        <v>100</v>
      </c>
    </row>
    <row r="19" spans="1:22" ht="22.5" customHeight="1">
      <c r="A19" s="154" t="s">
        <v>17</v>
      </c>
      <c r="B19" s="147" t="s">
        <v>11</v>
      </c>
      <c r="C19" s="148">
        <f>SUM(C17:C18)</f>
        <v>5940</v>
      </c>
      <c r="D19" s="148">
        <f>SUM(D17:D18)</f>
        <v>1845</v>
      </c>
      <c r="E19" s="148">
        <f>SUM(E17:E18)</f>
        <v>2500</v>
      </c>
      <c r="F19" s="257">
        <f t="shared" si="1"/>
        <v>135.50135501355015</v>
      </c>
      <c r="G19" s="150"/>
      <c r="H19" s="151">
        <f t="shared" ref="H19:T19" si="8">SUM(H17:H18)</f>
        <v>0</v>
      </c>
      <c r="I19" s="148">
        <f t="shared" si="8"/>
        <v>600</v>
      </c>
      <c r="J19" s="148">
        <f t="shared" si="8"/>
        <v>50</v>
      </c>
      <c r="K19" s="148">
        <f t="shared" si="8"/>
        <v>0</v>
      </c>
      <c r="L19" s="148">
        <f t="shared" si="8"/>
        <v>600</v>
      </c>
      <c r="M19" s="148">
        <f t="shared" si="8"/>
        <v>0</v>
      </c>
      <c r="N19" s="152">
        <f t="shared" si="2"/>
        <v>1250</v>
      </c>
      <c r="O19" s="151">
        <f t="shared" si="8"/>
        <v>0</v>
      </c>
      <c r="P19" s="148">
        <f t="shared" si="8"/>
        <v>600</v>
      </c>
      <c r="Q19" s="148">
        <f t="shared" si="8"/>
        <v>50</v>
      </c>
      <c r="R19" s="148">
        <f t="shared" si="8"/>
        <v>0</v>
      </c>
      <c r="S19" s="148">
        <f t="shared" si="8"/>
        <v>600</v>
      </c>
      <c r="T19" s="148">
        <f t="shared" si="8"/>
        <v>0</v>
      </c>
      <c r="U19" s="152">
        <f t="shared" si="0"/>
        <v>1250</v>
      </c>
      <c r="V19" s="152">
        <f>SUM(V17:V18)</f>
        <v>2500</v>
      </c>
    </row>
    <row r="20" spans="1:22" ht="22.5" hidden="1" customHeight="1">
      <c r="A20" s="134"/>
      <c r="B20" s="3"/>
      <c r="C20" s="135"/>
      <c r="D20" s="135"/>
      <c r="E20" s="135">
        <f>V20</f>
        <v>0</v>
      </c>
      <c r="F20" s="254" t="str">
        <f t="shared" si="1"/>
        <v/>
      </c>
      <c r="G20" s="137"/>
      <c r="H20" s="138"/>
      <c r="I20" s="135"/>
      <c r="J20" s="135"/>
      <c r="K20" s="135"/>
      <c r="L20" s="135"/>
      <c r="M20" s="135"/>
      <c r="N20" s="139">
        <f t="shared" si="2"/>
        <v>0</v>
      </c>
      <c r="O20" s="138"/>
      <c r="P20" s="135"/>
      <c r="Q20" s="135"/>
      <c r="R20" s="135"/>
      <c r="S20" s="135"/>
      <c r="T20" s="135"/>
      <c r="U20" s="139">
        <f t="shared" si="0"/>
        <v>0</v>
      </c>
      <c r="V20" s="139">
        <f>N20+U20</f>
        <v>0</v>
      </c>
    </row>
    <row r="21" spans="1:22" ht="22.5" hidden="1" customHeight="1">
      <c r="A21" s="140" t="s">
        <v>174</v>
      </c>
      <c r="B21" s="5"/>
      <c r="C21" s="141"/>
      <c r="D21" s="141"/>
      <c r="E21" s="141">
        <f>V21</f>
        <v>0</v>
      </c>
      <c r="F21" s="256" t="str">
        <f t="shared" si="1"/>
        <v/>
      </c>
      <c r="G21" s="143"/>
      <c r="H21" s="144"/>
      <c r="I21" s="141"/>
      <c r="J21" s="141"/>
      <c r="K21" s="141"/>
      <c r="L21" s="141"/>
      <c r="M21" s="141"/>
      <c r="N21" s="145">
        <f t="shared" si="2"/>
        <v>0</v>
      </c>
      <c r="O21" s="144"/>
      <c r="P21" s="141"/>
      <c r="Q21" s="141"/>
      <c r="R21" s="141"/>
      <c r="S21" s="141"/>
      <c r="T21" s="141"/>
      <c r="U21" s="145">
        <f t="shared" si="0"/>
        <v>0</v>
      </c>
      <c r="V21" s="145">
        <f>N21+U21</f>
        <v>0</v>
      </c>
    </row>
    <row r="22" spans="1:22" ht="22.5" hidden="1" customHeight="1">
      <c r="A22" s="154" t="s">
        <v>18</v>
      </c>
      <c r="B22" s="147" t="s">
        <v>11</v>
      </c>
      <c r="C22" s="148">
        <f>SUM(C20:C21)</f>
        <v>0</v>
      </c>
      <c r="D22" s="148">
        <f>SUM(D20:D21)</f>
        <v>0</v>
      </c>
      <c r="E22" s="148">
        <f>SUM(E20:E21)</f>
        <v>0</v>
      </c>
      <c r="F22" s="257" t="str">
        <f t="shared" si="1"/>
        <v/>
      </c>
      <c r="G22" s="150"/>
      <c r="H22" s="151">
        <f t="shared" ref="H22:T22" si="9">SUM(H20:H21)</f>
        <v>0</v>
      </c>
      <c r="I22" s="148">
        <f t="shared" si="9"/>
        <v>0</v>
      </c>
      <c r="J22" s="148">
        <f t="shared" si="9"/>
        <v>0</v>
      </c>
      <c r="K22" s="148">
        <f t="shared" si="9"/>
        <v>0</v>
      </c>
      <c r="L22" s="148">
        <f t="shared" si="9"/>
        <v>0</v>
      </c>
      <c r="M22" s="148">
        <f t="shared" si="9"/>
        <v>0</v>
      </c>
      <c r="N22" s="152">
        <f t="shared" si="2"/>
        <v>0</v>
      </c>
      <c r="O22" s="151">
        <f t="shared" si="9"/>
        <v>0</v>
      </c>
      <c r="P22" s="148">
        <f t="shared" si="9"/>
        <v>0</v>
      </c>
      <c r="Q22" s="148">
        <f t="shared" si="9"/>
        <v>0</v>
      </c>
      <c r="R22" s="148">
        <f t="shared" si="9"/>
        <v>0</v>
      </c>
      <c r="S22" s="148">
        <f t="shared" si="9"/>
        <v>0</v>
      </c>
      <c r="T22" s="148">
        <f t="shared" si="9"/>
        <v>0</v>
      </c>
      <c r="U22" s="152">
        <f t="shared" si="0"/>
        <v>0</v>
      </c>
      <c r="V22" s="152">
        <f>SUM(V20:V21)</f>
        <v>0</v>
      </c>
    </row>
    <row r="23" spans="1:22" ht="22.5" customHeight="1">
      <c r="A23" s="134"/>
      <c r="B23" s="3" t="s">
        <v>175</v>
      </c>
      <c r="C23" s="135">
        <f>'4-1. 24년 기타경비 실적'!C23</f>
        <v>1500</v>
      </c>
      <c r="D23" s="135">
        <f>'4-1. 24년 기타경비 실적'!D23</f>
        <v>1330</v>
      </c>
      <c r="E23" s="135">
        <f>V23</f>
        <v>1500</v>
      </c>
      <c r="F23" s="254">
        <f t="shared" si="1"/>
        <v>112.78195488721805</v>
      </c>
      <c r="G23" s="137"/>
      <c r="H23" s="138"/>
      <c r="I23" s="135"/>
      <c r="J23" s="135"/>
      <c r="K23" s="135"/>
      <c r="L23" s="135"/>
      <c r="M23" s="135"/>
      <c r="N23" s="139">
        <f t="shared" si="2"/>
        <v>0</v>
      </c>
      <c r="O23" s="138"/>
      <c r="P23" s="135">
        <v>1500</v>
      </c>
      <c r="Q23" s="135"/>
      <c r="R23" s="135"/>
      <c r="S23" s="135"/>
      <c r="T23" s="135"/>
      <c r="U23" s="139">
        <f t="shared" si="0"/>
        <v>1500</v>
      </c>
      <c r="V23" s="139">
        <f>N23+U23</f>
        <v>1500</v>
      </c>
    </row>
    <row r="24" spans="1:22" ht="22.5" customHeight="1">
      <c r="A24" s="140" t="s">
        <v>176</v>
      </c>
      <c r="B24" s="4" t="s">
        <v>177</v>
      </c>
      <c r="C24" s="160">
        <f>'4-1. 24년 기타경비 실적'!C24</f>
        <v>0</v>
      </c>
      <c r="D24" s="160">
        <f>'4-1. 24년 기타경비 실적'!D24</f>
        <v>100</v>
      </c>
      <c r="E24" s="160">
        <f>V24</f>
        <v>0</v>
      </c>
      <c r="F24" s="259">
        <f t="shared" si="1"/>
        <v>0</v>
      </c>
      <c r="G24" s="162"/>
      <c r="H24" s="163"/>
      <c r="I24" s="160"/>
      <c r="J24" s="160"/>
      <c r="K24" s="160"/>
      <c r="L24" s="160"/>
      <c r="M24" s="160"/>
      <c r="N24" s="164">
        <f t="shared" si="2"/>
        <v>0</v>
      </c>
      <c r="O24" s="163"/>
      <c r="P24" s="160"/>
      <c r="Q24" s="160"/>
      <c r="R24" s="160"/>
      <c r="S24" s="160"/>
      <c r="T24" s="160"/>
      <c r="U24" s="164">
        <f t="shared" si="0"/>
        <v>0</v>
      </c>
      <c r="V24" s="164">
        <f>N24+U24</f>
        <v>0</v>
      </c>
    </row>
    <row r="25" spans="1:22" ht="22.5" customHeight="1">
      <c r="A25" s="140"/>
      <c r="B25" s="4" t="s">
        <v>178</v>
      </c>
      <c r="C25" s="160">
        <f>'4-1. 24년 기타경비 실적'!C25</f>
        <v>450</v>
      </c>
      <c r="D25" s="160">
        <f>'4-1. 24년 기타경비 실적'!D25</f>
        <v>450</v>
      </c>
      <c r="E25" s="160">
        <f>V25</f>
        <v>450</v>
      </c>
      <c r="F25" s="259">
        <f t="shared" si="1"/>
        <v>100</v>
      </c>
      <c r="G25" s="162"/>
      <c r="H25" s="163"/>
      <c r="I25" s="160"/>
      <c r="J25" s="160"/>
      <c r="K25" s="160"/>
      <c r="L25" s="160"/>
      <c r="M25" s="160"/>
      <c r="N25" s="164">
        <f t="shared" si="2"/>
        <v>0</v>
      </c>
      <c r="O25" s="163"/>
      <c r="P25" s="160"/>
      <c r="Q25" s="160">
        <v>450</v>
      </c>
      <c r="R25" s="160"/>
      <c r="S25" s="160"/>
      <c r="T25" s="160"/>
      <c r="U25" s="164">
        <f t="shared" si="0"/>
        <v>450</v>
      </c>
      <c r="V25" s="164">
        <f>N25+U25</f>
        <v>450</v>
      </c>
    </row>
    <row r="26" spans="1:22" ht="22.5" customHeight="1">
      <c r="A26" s="154" t="s">
        <v>19</v>
      </c>
      <c r="B26" s="147" t="s">
        <v>11</v>
      </c>
      <c r="C26" s="148">
        <f>SUM(C23:C25)</f>
        <v>1950</v>
      </c>
      <c r="D26" s="148">
        <f>SUM(D23:D25)</f>
        <v>1880</v>
      </c>
      <c r="E26" s="148">
        <f>SUM(E23:E25)</f>
        <v>1950</v>
      </c>
      <c r="F26" s="257">
        <f t="shared" si="1"/>
        <v>103.72340425531914</v>
      </c>
      <c r="G26" s="150"/>
      <c r="H26" s="151">
        <f t="shared" ref="H26:T26" si="10">SUM(H23:H25)</f>
        <v>0</v>
      </c>
      <c r="I26" s="148">
        <f t="shared" si="10"/>
        <v>0</v>
      </c>
      <c r="J26" s="148">
        <f t="shared" si="10"/>
        <v>0</v>
      </c>
      <c r="K26" s="148">
        <f t="shared" si="10"/>
        <v>0</v>
      </c>
      <c r="L26" s="148">
        <f t="shared" si="10"/>
        <v>0</v>
      </c>
      <c r="M26" s="148">
        <f t="shared" si="10"/>
        <v>0</v>
      </c>
      <c r="N26" s="152">
        <f t="shared" si="2"/>
        <v>0</v>
      </c>
      <c r="O26" s="151">
        <f t="shared" si="10"/>
        <v>0</v>
      </c>
      <c r="P26" s="148">
        <f t="shared" si="10"/>
        <v>1500</v>
      </c>
      <c r="Q26" s="148">
        <f t="shared" si="10"/>
        <v>450</v>
      </c>
      <c r="R26" s="148">
        <f t="shared" si="10"/>
        <v>0</v>
      </c>
      <c r="S26" s="148">
        <f t="shared" si="10"/>
        <v>0</v>
      </c>
      <c r="T26" s="148">
        <f t="shared" si="10"/>
        <v>0</v>
      </c>
      <c r="U26" s="152">
        <f t="shared" si="0"/>
        <v>1950</v>
      </c>
      <c r="V26" s="152">
        <f>SUM(V23:V25)</f>
        <v>1950</v>
      </c>
    </row>
    <row r="27" spans="1:22" ht="22.5" customHeight="1">
      <c r="A27" s="134" t="s">
        <v>180</v>
      </c>
      <c r="B27" s="3" t="s">
        <v>179</v>
      </c>
      <c r="C27" s="135">
        <f>'4-1. 24년 기타경비 실적'!C27</f>
        <v>0</v>
      </c>
      <c r="D27" s="135">
        <f>'4-1. 24년 기타경비 실적'!D27</f>
        <v>171</v>
      </c>
      <c r="E27" s="135">
        <f>V27</f>
        <v>0</v>
      </c>
      <c r="F27" s="254">
        <f t="shared" si="1"/>
        <v>0</v>
      </c>
      <c r="G27" s="137"/>
      <c r="H27" s="138"/>
      <c r="I27" s="135"/>
      <c r="J27" s="135"/>
      <c r="K27" s="135"/>
      <c r="L27" s="135"/>
      <c r="M27" s="135"/>
      <c r="N27" s="139">
        <f t="shared" si="2"/>
        <v>0</v>
      </c>
      <c r="O27" s="138"/>
      <c r="P27" s="135"/>
      <c r="Q27" s="135"/>
      <c r="R27" s="135"/>
      <c r="S27" s="135"/>
      <c r="T27" s="135"/>
      <c r="U27" s="139">
        <f t="shared" si="0"/>
        <v>0</v>
      </c>
      <c r="V27" s="139">
        <f>N27+U27</f>
        <v>0</v>
      </c>
    </row>
    <row r="28" spans="1:22" ht="22.5" hidden="1" customHeight="1">
      <c r="A28" s="140" t="s">
        <v>180</v>
      </c>
      <c r="B28" s="5"/>
      <c r="C28" s="141">
        <f>'4-1. 24년 기타경비 실적'!C28</f>
        <v>0</v>
      </c>
      <c r="D28" s="141">
        <f>'4-1. 24년 기타경비 실적'!D28</f>
        <v>0</v>
      </c>
      <c r="E28" s="141">
        <f>V28</f>
        <v>0</v>
      </c>
      <c r="F28" s="256" t="str">
        <f t="shared" si="1"/>
        <v/>
      </c>
      <c r="G28" s="143"/>
      <c r="H28" s="144"/>
      <c r="I28" s="141"/>
      <c r="J28" s="141"/>
      <c r="K28" s="141"/>
      <c r="L28" s="141"/>
      <c r="M28" s="141"/>
      <c r="N28" s="145">
        <f t="shared" si="2"/>
        <v>0</v>
      </c>
      <c r="O28" s="144"/>
      <c r="P28" s="141"/>
      <c r="Q28" s="141"/>
      <c r="R28" s="141"/>
      <c r="S28" s="141"/>
      <c r="T28" s="141"/>
      <c r="U28" s="145">
        <f t="shared" si="0"/>
        <v>0</v>
      </c>
      <c r="V28" s="145">
        <f>N28+U28</f>
        <v>0</v>
      </c>
    </row>
    <row r="29" spans="1:22" ht="22.5" customHeight="1">
      <c r="A29" s="154" t="s">
        <v>20</v>
      </c>
      <c r="B29" s="147" t="s">
        <v>11</v>
      </c>
      <c r="C29" s="148">
        <f>SUM(C27:C28)</f>
        <v>0</v>
      </c>
      <c r="D29" s="148">
        <f>SUM(D27:D28)</f>
        <v>171</v>
      </c>
      <c r="E29" s="148">
        <f>SUM(E27:E28)</f>
        <v>0</v>
      </c>
      <c r="F29" s="257">
        <f t="shared" si="1"/>
        <v>0</v>
      </c>
      <c r="G29" s="150"/>
      <c r="H29" s="151">
        <f t="shared" ref="H29:T29" si="11">SUM(H27:H28)</f>
        <v>0</v>
      </c>
      <c r="I29" s="148">
        <f t="shared" si="11"/>
        <v>0</v>
      </c>
      <c r="J29" s="148">
        <f t="shared" si="11"/>
        <v>0</v>
      </c>
      <c r="K29" s="148">
        <f t="shared" si="11"/>
        <v>0</v>
      </c>
      <c r="L29" s="148">
        <f t="shared" si="11"/>
        <v>0</v>
      </c>
      <c r="M29" s="148">
        <f t="shared" si="11"/>
        <v>0</v>
      </c>
      <c r="N29" s="152">
        <f t="shared" si="2"/>
        <v>0</v>
      </c>
      <c r="O29" s="151">
        <f t="shared" si="11"/>
        <v>0</v>
      </c>
      <c r="P29" s="148">
        <f t="shared" si="11"/>
        <v>0</v>
      </c>
      <c r="Q29" s="148">
        <f t="shared" si="11"/>
        <v>0</v>
      </c>
      <c r="R29" s="148">
        <f t="shared" si="11"/>
        <v>0</v>
      </c>
      <c r="S29" s="148">
        <f t="shared" si="11"/>
        <v>0</v>
      </c>
      <c r="T29" s="148">
        <f t="shared" si="11"/>
        <v>0</v>
      </c>
      <c r="U29" s="152">
        <f t="shared" si="0"/>
        <v>0</v>
      </c>
      <c r="V29" s="152">
        <f>SUM(V27:V28)</f>
        <v>0</v>
      </c>
    </row>
    <row r="30" spans="1:22" ht="22.5" customHeight="1">
      <c r="A30" s="134" t="s">
        <v>182</v>
      </c>
      <c r="B30" s="3" t="s">
        <v>181</v>
      </c>
      <c r="C30" s="135">
        <f>'4-1. 24년 기타경비 실적'!C30</f>
        <v>2000</v>
      </c>
      <c r="D30" s="135">
        <f>'4-1. 24년 기타경비 실적'!D30</f>
        <v>2000</v>
      </c>
      <c r="E30" s="135">
        <f>V30</f>
        <v>1500</v>
      </c>
      <c r="F30" s="254">
        <f t="shared" si="1"/>
        <v>75</v>
      </c>
      <c r="G30" s="137"/>
      <c r="H30" s="138"/>
      <c r="I30" s="135">
        <v>200</v>
      </c>
      <c r="J30" s="135">
        <v>250</v>
      </c>
      <c r="K30" s="135">
        <v>200</v>
      </c>
      <c r="L30" s="135"/>
      <c r="M30" s="135">
        <v>200</v>
      </c>
      <c r="N30" s="139">
        <f t="shared" si="2"/>
        <v>850</v>
      </c>
      <c r="O30" s="138"/>
      <c r="P30" s="135">
        <v>200</v>
      </c>
      <c r="Q30" s="135">
        <v>250</v>
      </c>
      <c r="R30" s="135"/>
      <c r="S30" s="135">
        <v>200</v>
      </c>
      <c r="T30" s="135"/>
      <c r="U30" s="139">
        <f t="shared" si="0"/>
        <v>650</v>
      </c>
      <c r="V30" s="139">
        <f>N30+U30</f>
        <v>1500</v>
      </c>
    </row>
    <row r="31" spans="1:22" ht="22.5" hidden="1" customHeight="1">
      <c r="A31" s="140" t="s">
        <v>182</v>
      </c>
      <c r="B31" s="4"/>
      <c r="C31" s="160">
        <f>'4-1. 24년 기타경비 실적'!C31</f>
        <v>0</v>
      </c>
      <c r="D31" s="160">
        <f>'4-1. 24년 기타경비 실적'!D31</f>
        <v>0</v>
      </c>
      <c r="E31" s="160">
        <f>V31</f>
        <v>0</v>
      </c>
      <c r="F31" s="259" t="str">
        <f t="shared" si="1"/>
        <v/>
      </c>
      <c r="G31" s="162"/>
      <c r="H31" s="163"/>
      <c r="I31" s="160"/>
      <c r="J31" s="160"/>
      <c r="K31" s="160"/>
      <c r="L31" s="160"/>
      <c r="M31" s="160"/>
      <c r="N31" s="164">
        <f t="shared" si="2"/>
        <v>0</v>
      </c>
      <c r="O31" s="163"/>
      <c r="P31" s="160"/>
      <c r="Q31" s="160"/>
      <c r="R31" s="160"/>
      <c r="S31" s="160"/>
      <c r="T31" s="160"/>
      <c r="U31" s="164">
        <f t="shared" si="0"/>
        <v>0</v>
      </c>
      <c r="V31" s="164">
        <f>N31+U31</f>
        <v>0</v>
      </c>
    </row>
    <row r="32" spans="1:22" ht="22.5" customHeight="1">
      <c r="A32" s="154" t="s">
        <v>184</v>
      </c>
      <c r="B32" s="147" t="s">
        <v>11</v>
      </c>
      <c r="C32" s="148">
        <f>SUM(C30:C31)</f>
        <v>2000</v>
      </c>
      <c r="D32" s="148">
        <f>SUM(D30:D31)</f>
        <v>2000</v>
      </c>
      <c r="E32" s="148">
        <f>SUM(E30:E31)</f>
        <v>1500</v>
      </c>
      <c r="F32" s="257">
        <f t="shared" si="1"/>
        <v>75</v>
      </c>
      <c r="G32" s="150"/>
      <c r="H32" s="151">
        <f t="shared" ref="H32:T32" si="12">SUM(H30:H31)</f>
        <v>0</v>
      </c>
      <c r="I32" s="148">
        <f t="shared" si="12"/>
        <v>200</v>
      </c>
      <c r="J32" s="148">
        <f t="shared" si="12"/>
        <v>250</v>
      </c>
      <c r="K32" s="148">
        <f t="shared" si="12"/>
        <v>200</v>
      </c>
      <c r="L32" s="148">
        <f t="shared" si="12"/>
        <v>0</v>
      </c>
      <c r="M32" s="148">
        <f t="shared" si="12"/>
        <v>200</v>
      </c>
      <c r="N32" s="152">
        <f t="shared" si="2"/>
        <v>850</v>
      </c>
      <c r="O32" s="151">
        <f t="shared" si="12"/>
        <v>0</v>
      </c>
      <c r="P32" s="148">
        <f t="shared" si="12"/>
        <v>200</v>
      </c>
      <c r="Q32" s="148">
        <f t="shared" si="12"/>
        <v>250</v>
      </c>
      <c r="R32" s="148">
        <f t="shared" si="12"/>
        <v>0</v>
      </c>
      <c r="S32" s="148">
        <f t="shared" si="12"/>
        <v>200</v>
      </c>
      <c r="T32" s="148">
        <f t="shared" si="12"/>
        <v>0</v>
      </c>
      <c r="U32" s="152">
        <f t="shared" si="0"/>
        <v>650</v>
      </c>
      <c r="V32" s="152">
        <f>SUM(V30:V31)</f>
        <v>1500</v>
      </c>
    </row>
    <row r="33" spans="1:22" ht="22.5" customHeight="1">
      <c r="A33" s="134"/>
      <c r="B33" s="3" t="s">
        <v>185</v>
      </c>
      <c r="C33" s="135">
        <f>'4-1. 24년 기타경비 실적'!C33</f>
        <v>5500</v>
      </c>
      <c r="D33" s="135">
        <f>'4-1. 24년 기타경비 실적'!D33</f>
        <v>4989</v>
      </c>
      <c r="E33" s="135">
        <f>V33</f>
        <v>5500</v>
      </c>
      <c r="F33" s="254">
        <f t="shared" si="1"/>
        <v>110.24253357386249</v>
      </c>
      <c r="G33" s="137"/>
      <c r="H33" s="138"/>
      <c r="I33" s="135"/>
      <c r="J33" s="135">
        <v>5500</v>
      </c>
      <c r="K33" s="135"/>
      <c r="L33" s="135"/>
      <c r="M33" s="135"/>
      <c r="N33" s="139">
        <f t="shared" si="2"/>
        <v>5500</v>
      </c>
      <c r="O33" s="138"/>
      <c r="P33" s="135"/>
      <c r="Q33" s="135"/>
      <c r="R33" s="135"/>
      <c r="S33" s="135"/>
      <c r="T33" s="135"/>
      <c r="U33" s="139">
        <f t="shared" si="0"/>
        <v>0</v>
      </c>
      <c r="V33" s="139">
        <f>N33+U33</f>
        <v>5500</v>
      </c>
    </row>
    <row r="34" spans="1:22" ht="22.5" customHeight="1">
      <c r="A34" s="140"/>
      <c r="B34" s="169" t="s">
        <v>500</v>
      </c>
      <c r="C34" s="224">
        <f>'4-1. 24년 기타경비 실적'!C34</f>
        <v>10000</v>
      </c>
      <c r="D34" s="224">
        <f>'4-1. 24년 기타경비 실적'!D34</f>
        <v>10000</v>
      </c>
      <c r="E34" s="224">
        <f>V34</f>
        <v>10000</v>
      </c>
      <c r="F34" s="261">
        <f t="shared" si="1"/>
        <v>100</v>
      </c>
      <c r="G34" s="356"/>
      <c r="H34" s="381"/>
      <c r="I34" s="224"/>
      <c r="J34" s="224"/>
      <c r="K34" s="224"/>
      <c r="L34" s="224"/>
      <c r="M34" s="224"/>
      <c r="N34" s="231">
        <f t="shared" si="2"/>
        <v>0</v>
      </c>
      <c r="O34" s="381"/>
      <c r="P34" s="224"/>
      <c r="Q34" s="224"/>
      <c r="R34" s="224"/>
      <c r="S34" s="224">
        <v>10000</v>
      </c>
      <c r="T34" s="224"/>
      <c r="U34" s="231">
        <f t="shared" ref="U34" si="13">SUM(O34:T34)</f>
        <v>10000</v>
      </c>
      <c r="V34" s="231">
        <f>N34+U34</f>
        <v>10000</v>
      </c>
    </row>
    <row r="35" spans="1:22" ht="22.5" customHeight="1">
      <c r="A35" s="140" t="s">
        <v>186</v>
      </c>
      <c r="B35" s="4" t="s">
        <v>502</v>
      </c>
      <c r="C35" s="160">
        <f>'4-1. 24년 기타경비 실적'!C35</f>
        <v>7000</v>
      </c>
      <c r="D35" s="160">
        <f>'4-1. 24년 기타경비 실적'!D35</f>
        <v>7000</v>
      </c>
      <c r="E35" s="160">
        <f>V35</f>
        <v>7000</v>
      </c>
      <c r="F35" s="260">
        <f t="shared" si="1"/>
        <v>100</v>
      </c>
      <c r="G35" s="162"/>
      <c r="H35" s="163"/>
      <c r="I35" s="160"/>
      <c r="J35" s="160"/>
      <c r="K35" s="160"/>
      <c r="L35" s="160"/>
      <c r="M35" s="160"/>
      <c r="N35" s="164">
        <f>SUM(H35:M35)</f>
        <v>0</v>
      </c>
      <c r="O35" s="163"/>
      <c r="P35" s="160"/>
      <c r="Q35" s="160"/>
      <c r="R35" s="160"/>
      <c r="S35" s="160">
        <v>7000</v>
      </c>
      <c r="T35" s="160"/>
      <c r="U35" s="164">
        <f t="shared" si="0"/>
        <v>7000</v>
      </c>
      <c r="V35" s="164">
        <f>N35+U35</f>
        <v>7000</v>
      </c>
    </row>
    <row r="36" spans="1:22" ht="22.5" customHeight="1">
      <c r="A36" s="154" t="s">
        <v>22</v>
      </c>
      <c r="B36" s="147" t="s">
        <v>11</v>
      </c>
      <c r="C36" s="148">
        <f>SUM(C33:C35)</f>
        <v>22500</v>
      </c>
      <c r="D36" s="148">
        <f>SUM(D33:D35)</f>
        <v>21989</v>
      </c>
      <c r="E36" s="148">
        <f>SUM(E33:E35)</f>
        <v>22500</v>
      </c>
      <c r="F36" s="257">
        <f t="shared" si="1"/>
        <v>102.32388921733595</v>
      </c>
      <c r="G36" s="150"/>
      <c r="H36" s="151">
        <f t="shared" ref="H36:M36" si="14">SUM(H33:H35)</f>
        <v>0</v>
      </c>
      <c r="I36" s="148">
        <f t="shared" si="14"/>
        <v>0</v>
      </c>
      <c r="J36" s="148">
        <f t="shared" si="14"/>
        <v>5500</v>
      </c>
      <c r="K36" s="148">
        <f t="shared" si="14"/>
        <v>0</v>
      </c>
      <c r="L36" s="148">
        <f t="shared" si="14"/>
        <v>0</v>
      </c>
      <c r="M36" s="148">
        <f t="shared" si="14"/>
        <v>0</v>
      </c>
      <c r="N36" s="152">
        <f t="shared" si="2"/>
        <v>5500</v>
      </c>
      <c r="O36" s="151">
        <f t="shared" ref="O36:T36" si="15">SUM(O33:O35)</f>
        <v>0</v>
      </c>
      <c r="P36" s="148">
        <f t="shared" si="15"/>
        <v>0</v>
      </c>
      <c r="Q36" s="148">
        <f t="shared" si="15"/>
        <v>0</v>
      </c>
      <c r="R36" s="148">
        <f t="shared" si="15"/>
        <v>0</v>
      </c>
      <c r="S36" s="148">
        <f t="shared" si="15"/>
        <v>17000</v>
      </c>
      <c r="T36" s="148">
        <f t="shared" si="15"/>
        <v>0</v>
      </c>
      <c r="U36" s="152">
        <f t="shared" si="0"/>
        <v>17000</v>
      </c>
      <c r="V36" s="152">
        <f>SUM(V33:V35)</f>
        <v>22500</v>
      </c>
    </row>
    <row r="37" spans="1:22" ht="22.5" customHeight="1">
      <c r="A37" s="167"/>
      <c r="B37" s="3" t="s">
        <v>188</v>
      </c>
      <c r="C37" s="135">
        <f>'4-1. 24년 기타경비 실적'!C37</f>
        <v>2240</v>
      </c>
      <c r="D37" s="135">
        <f>'4-1. 24년 기타경비 실적'!D37</f>
        <v>237</v>
      </c>
      <c r="E37" s="135">
        <f>V37</f>
        <v>240</v>
      </c>
      <c r="F37" s="254">
        <f t="shared" si="1"/>
        <v>101.26582278481013</v>
      </c>
      <c r="G37" s="137"/>
      <c r="H37" s="138">
        <v>20</v>
      </c>
      <c r="I37" s="135">
        <v>20</v>
      </c>
      <c r="J37" s="135">
        <v>20</v>
      </c>
      <c r="K37" s="135">
        <v>20</v>
      </c>
      <c r="L37" s="135">
        <v>20</v>
      </c>
      <c r="M37" s="135">
        <v>20</v>
      </c>
      <c r="N37" s="139">
        <f t="shared" si="2"/>
        <v>120</v>
      </c>
      <c r="O37" s="138">
        <v>20</v>
      </c>
      <c r="P37" s="135">
        <v>20</v>
      </c>
      <c r="Q37" s="135">
        <v>20</v>
      </c>
      <c r="R37" s="135">
        <v>20</v>
      </c>
      <c r="S37" s="135">
        <v>20</v>
      </c>
      <c r="T37" s="135">
        <v>20</v>
      </c>
      <c r="U37" s="139">
        <f t="shared" si="0"/>
        <v>120</v>
      </c>
      <c r="V37" s="139">
        <f>N37+U37</f>
        <v>240</v>
      </c>
    </row>
    <row r="38" spans="1:22" ht="22.5" customHeight="1">
      <c r="A38" s="168" t="s">
        <v>189</v>
      </c>
      <c r="B38" s="169" t="s">
        <v>190</v>
      </c>
      <c r="C38" s="141">
        <f>'4-1. 24년 기타경비 실적'!C38</f>
        <v>2000</v>
      </c>
      <c r="D38" s="141">
        <f>'4-1. 24년 기타경비 실적'!D38</f>
        <v>2000</v>
      </c>
      <c r="E38" s="141">
        <f>V38</f>
        <v>2500</v>
      </c>
      <c r="F38" s="256">
        <f t="shared" si="1"/>
        <v>125</v>
      </c>
      <c r="G38" s="143"/>
      <c r="H38" s="144">
        <v>208</v>
      </c>
      <c r="I38" s="141">
        <v>208</v>
      </c>
      <c r="J38" s="141">
        <v>208</v>
      </c>
      <c r="K38" s="141">
        <v>208</v>
      </c>
      <c r="L38" s="141">
        <v>208</v>
      </c>
      <c r="M38" s="141">
        <v>210</v>
      </c>
      <c r="N38" s="145">
        <f t="shared" si="2"/>
        <v>1250</v>
      </c>
      <c r="O38" s="144">
        <v>208</v>
      </c>
      <c r="P38" s="141">
        <v>208</v>
      </c>
      <c r="Q38" s="141">
        <v>208</v>
      </c>
      <c r="R38" s="141">
        <v>208</v>
      </c>
      <c r="S38" s="141">
        <v>208</v>
      </c>
      <c r="T38" s="141">
        <v>210</v>
      </c>
      <c r="U38" s="145">
        <f t="shared" si="0"/>
        <v>1250</v>
      </c>
      <c r="V38" s="145">
        <f>N38+U38</f>
        <v>2500</v>
      </c>
    </row>
    <row r="39" spans="1:22" ht="22.5" customHeight="1">
      <c r="A39" s="154" t="s">
        <v>23</v>
      </c>
      <c r="B39" s="147" t="s">
        <v>11</v>
      </c>
      <c r="C39" s="155">
        <f>SUM(C37:C38)</f>
        <v>4240</v>
      </c>
      <c r="D39" s="155">
        <f>SUM(D37:D38)</f>
        <v>2237</v>
      </c>
      <c r="E39" s="155">
        <f>SUM(E37:E38)</f>
        <v>2740</v>
      </c>
      <c r="F39" s="258">
        <f t="shared" si="1"/>
        <v>122.48547161376844</v>
      </c>
      <c r="G39" s="157"/>
      <c r="H39" s="158">
        <f t="shared" ref="H39:T39" si="16">SUM(H37:H38)</f>
        <v>228</v>
      </c>
      <c r="I39" s="155">
        <f t="shared" si="16"/>
        <v>228</v>
      </c>
      <c r="J39" s="155">
        <f t="shared" si="16"/>
        <v>228</v>
      </c>
      <c r="K39" s="155">
        <f t="shared" si="16"/>
        <v>228</v>
      </c>
      <c r="L39" s="155">
        <f t="shared" si="16"/>
        <v>228</v>
      </c>
      <c r="M39" s="155">
        <f t="shared" si="16"/>
        <v>230</v>
      </c>
      <c r="N39" s="159">
        <f t="shared" si="2"/>
        <v>1370</v>
      </c>
      <c r="O39" s="158">
        <f t="shared" si="16"/>
        <v>228</v>
      </c>
      <c r="P39" s="155">
        <f t="shared" si="16"/>
        <v>228</v>
      </c>
      <c r="Q39" s="155">
        <f t="shared" si="16"/>
        <v>228</v>
      </c>
      <c r="R39" s="155">
        <f t="shared" si="16"/>
        <v>228</v>
      </c>
      <c r="S39" s="155">
        <f t="shared" si="16"/>
        <v>228</v>
      </c>
      <c r="T39" s="155">
        <f t="shared" si="16"/>
        <v>230</v>
      </c>
      <c r="U39" s="159">
        <f t="shared" si="0"/>
        <v>1370</v>
      </c>
      <c r="V39" s="159">
        <f>SUM(V37:V38)</f>
        <v>2740</v>
      </c>
    </row>
    <row r="40" spans="1:22" ht="22.5" hidden="1" customHeight="1">
      <c r="A40" s="134"/>
      <c r="B40" s="3"/>
      <c r="C40" s="135"/>
      <c r="D40" s="135"/>
      <c r="E40" s="135">
        <f>V40</f>
        <v>0</v>
      </c>
      <c r="F40" s="254" t="str">
        <f t="shared" si="1"/>
        <v/>
      </c>
      <c r="G40" s="137"/>
      <c r="H40" s="138"/>
      <c r="I40" s="135"/>
      <c r="J40" s="135"/>
      <c r="K40" s="135"/>
      <c r="L40" s="135"/>
      <c r="M40" s="135"/>
      <c r="N40" s="139">
        <f t="shared" si="2"/>
        <v>0</v>
      </c>
      <c r="O40" s="138"/>
      <c r="P40" s="135"/>
      <c r="Q40" s="135"/>
      <c r="R40" s="135"/>
      <c r="S40" s="135"/>
      <c r="T40" s="135"/>
      <c r="U40" s="139">
        <f t="shared" si="0"/>
        <v>0</v>
      </c>
      <c r="V40" s="139">
        <f>N40+U40</f>
        <v>0</v>
      </c>
    </row>
    <row r="41" spans="1:22" ht="22.5" hidden="1" customHeight="1">
      <c r="A41" s="140" t="s">
        <v>191</v>
      </c>
      <c r="B41" s="170"/>
      <c r="C41" s="171"/>
      <c r="D41" s="171"/>
      <c r="E41" s="171">
        <f>V41</f>
        <v>0</v>
      </c>
      <c r="F41" s="261" t="str">
        <f t="shared" si="1"/>
        <v/>
      </c>
      <c r="G41" s="173"/>
      <c r="H41" s="174"/>
      <c r="I41" s="171"/>
      <c r="J41" s="171"/>
      <c r="K41" s="171"/>
      <c r="L41" s="171"/>
      <c r="M41" s="171"/>
      <c r="N41" s="175">
        <f t="shared" si="2"/>
        <v>0</v>
      </c>
      <c r="O41" s="174"/>
      <c r="P41" s="171"/>
      <c r="Q41" s="171"/>
      <c r="R41" s="171"/>
      <c r="S41" s="171"/>
      <c r="T41" s="171"/>
      <c r="U41" s="175">
        <f t="shared" si="0"/>
        <v>0</v>
      </c>
      <c r="V41" s="175">
        <f>N41+U41</f>
        <v>0</v>
      </c>
    </row>
    <row r="42" spans="1:22" ht="22.5" hidden="1" customHeight="1">
      <c r="A42" s="154" t="s">
        <v>24</v>
      </c>
      <c r="B42" s="147" t="s">
        <v>11</v>
      </c>
      <c r="C42" s="148">
        <f>SUM(C40:C41)</f>
        <v>0</v>
      </c>
      <c r="D42" s="148">
        <f>SUM(D40:D41)</f>
        <v>0</v>
      </c>
      <c r="E42" s="148">
        <f>SUM(E40:E41)</f>
        <v>0</v>
      </c>
      <c r="F42" s="257" t="str">
        <f t="shared" si="1"/>
        <v/>
      </c>
      <c r="G42" s="150"/>
      <c r="H42" s="151">
        <f t="shared" ref="H42:T42" si="17">SUM(H40:H41)</f>
        <v>0</v>
      </c>
      <c r="I42" s="148">
        <f t="shared" si="17"/>
        <v>0</v>
      </c>
      <c r="J42" s="148">
        <f t="shared" si="17"/>
        <v>0</v>
      </c>
      <c r="K42" s="148">
        <f t="shared" si="17"/>
        <v>0</v>
      </c>
      <c r="L42" s="148">
        <f t="shared" si="17"/>
        <v>0</v>
      </c>
      <c r="M42" s="148">
        <f t="shared" si="17"/>
        <v>0</v>
      </c>
      <c r="N42" s="152">
        <f t="shared" si="2"/>
        <v>0</v>
      </c>
      <c r="O42" s="151">
        <f t="shared" si="17"/>
        <v>0</v>
      </c>
      <c r="P42" s="148">
        <f t="shared" si="17"/>
        <v>0</v>
      </c>
      <c r="Q42" s="148">
        <f t="shared" si="17"/>
        <v>0</v>
      </c>
      <c r="R42" s="148">
        <f t="shared" si="17"/>
        <v>0</v>
      </c>
      <c r="S42" s="148">
        <f t="shared" si="17"/>
        <v>0</v>
      </c>
      <c r="T42" s="148">
        <f t="shared" si="17"/>
        <v>0</v>
      </c>
      <c r="U42" s="152">
        <f t="shared" si="0"/>
        <v>0</v>
      </c>
      <c r="V42" s="152">
        <f>SUM(V40:V41)</f>
        <v>0</v>
      </c>
    </row>
    <row r="43" spans="1:22" ht="22.5" hidden="1" customHeight="1">
      <c r="A43" s="134"/>
      <c r="B43" s="3"/>
      <c r="C43" s="135"/>
      <c r="D43" s="135"/>
      <c r="E43" s="135">
        <f>V43</f>
        <v>0</v>
      </c>
      <c r="F43" s="254" t="str">
        <f t="shared" si="1"/>
        <v/>
      </c>
      <c r="G43" s="137"/>
      <c r="H43" s="138"/>
      <c r="I43" s="135"/>
      <c r="J43" s="135"/>
      <c r="K43" s="135"/>
      <c r="L43" s="135"/>
      <c r="M43" s="135"/>
      <c r="N43" s="139">
        <f t="shared" si="2"/>
        <v>0</v>
      </c>
      <c r="O43" s="138"/>
      <c r="P43" s="135"/>
      <c r="Q43" s="135"/>
      <c r="R43" s="135"/>
      <c r="S43" s="135"/>
      <c r="T43" s="135"/>
      <c r="U43" s="139">
        <f t="shared" si="0"/>
        <v>0</v>
      </c>
      <c r="V43" s="139">
        <f>N43+U43</f>
        <v>0</v>
      </c>
    </row>
    <row r="44" spans="1:22" ht="22.5" hidden="1" customHeight="1">
      <c r="A44" s="140" t="s">
        <v>192</v>
      </c>
      <c r="B44" s="4"/>
      <c r="C44" s="160"/>
      <c r="D44" s="160"/>
      <c r="E44" s="160">
        <f>V44</f>
        <v>0</v>
      </c>
      <c r="F44" s="259" t="str">
        <f t="shared" si="1"/>
        <v/>
      </c>
      <c r="G44" s="162"/>
      <c r="H44" s="163"/>
      <c r="I44" s="160"/>
      <c r="J44" s="160"/>
      <c r="K44" s="160"/>
      <c r="L44" s="160"/>
      <c r="M44" s="160"/>
      <c r="N44" s="164">
        <f t="shared" si="2"/>
        <v>0</v>
      </c>
      <c r="O44" s="163"/>
      <c r="P44" s="160"/>
      <c r="Q44" s="160"/>
      <c r="R44" s="160"/>
      <c r="S44" s="160"/>
      <c r="T44" s="160"/>
      <c r="U44" s="164">
        <f t="shared" si="0"/>
        <v>0</v>
      </c>
      <c r="V44" s="164">
        <f>N44+U44</f>
        <v>0</v>
      </c>
    </row>
    <row r="45" spans="1:22" ht="22.5" hidden="1" customHeight="1">
      <c r="A45" s="154" t="s">
        <v>25</v>
      </c>
      <c r="B45" s="147" t="s">
        <v>11</v>
      </c>
      <c r="C45" s="148">
        <f>SUM(C43:C44)</f>
        <v>0</v>
      </c>
      <c r="D45" s="148">
        <f>SUM(D43:D44)</f>
        <v>0</v>
      </c>
      <c r="E45" s="148">
        <f>SUM(E43:E44)</f>
        <v>0</v>
      </c>
      <c r="F45" s="257" t="str">
        <f t="shared" si="1"/>
        <v/>
      </c>
      <c r="G45" s="150"/>
      <c r="H45" s="151">
        <f t="shared" ref="H45:T45" si="18">SUM(H43:H44)</f>
        <v>0</v>
      </c>
      <c r="I45" s="148">
        <f t="shared" si="18"/>
        <v>0</v>
      </c>
      <c r="J45" s="148">
        <f t="shared" si="18"/>
        <v>0</v>
      </c>
      <c r="K45" s="148">
        <f t="shared" si="18"/>
        <v>0</v>
      </c>
      <c r="L45" s="148">
        <f t="shared" si="18"/>
        <v>0</v>
      </c>
      <c r="M45" s="148">
        <f t="shared" si="18"/>
        <v>0</v>
      </c>
      <c r="N45" s="152">
        <f t="shared" si="2"/>
        <v>0</v>
      </c>
      <c r="O45" s="151">
        <f t="shared" si="18"/>
        <v>0</v>
      </c>
      <c r="P45" s="148">
        <f t="shared" si="18"/>
        <v>0</v>
      </c>
      <c r="Q45" s="148">
        <f t="shared" si="18"/>
        <v>0</v>
      </c>
      <c r="R45" s="148">
        <f t="shared" si="18"/>
        <v>0</v>
      </c>
      <c r="S45" s="148">
        <f t="shared" si="18"/>
        <v>0</v>
      </c>
      <c r="T45" s="148">
        <f t="shared" si="18"/>
        <v>0</v>
      </c>
      <c r="U45" s="152">
        <f t="shared" si="0"/>
        <v>0</v>
      </c>
      <c r="V45" s="152">
        <f>SUM(V43:V44)</f>
        <v>0</v>
      </c>
    </row>
    <row r="46" spans="1:22" ht="22.5" customHeight="1">
      <c r="A46" s="168"/>
      <c r="B46" s="3" t="s">
        <v>185</v>
      </c>
      <c r="C46" s="135">
        <f>'4-1. 24년 기타경비 실적'!C46</f>
        <v>5690</v>
      </c>
      <c r="D46" s="135">
        <f>'4-1. 24년 기타경비 실적'!D46</f>
        <v>5624</v>
      </c>
      <c r="E46" s="135">
        <f>V46</f>
        <v>6431</v>
      </c>
      <c r="F46" s="262">
        <f t="shared" si="1"/>
        <v>114.34921763869133</v>
      </c>
      <c r="G46" s="137"/>
      <c r="H46" s="138"/>
      <c r="I46" s="135">
        <v>620</v>
      </c>
      <c r="J46" s="135"/>
      <c r="K46" s="135"/>
      <c r="L46" s="135"/>
      <c r="M46" s="135">
        <v>1110</v>
      </c>
      <c r="N46" s="139">
        <f t="shared" si="2"/>
        <v>1730</v>
      </c>
      <c r="O46" s="138"/>
      <c r="P46" s="135">
        <v>641</v>
      </c>
      <c r="Q46" s="135">
        <v>770</v>
      </c>
      <c r="R46" s="135">
        <v>1110</v>
      </c>
      <c r="S46" s="135">
        <v>1190</v>
      </c>
      <c r="T46" s="135">
        <v>990</v>
      </c>
      <c r="U46" s="139">
        <f t="shared" si="0"/>
        <v>4701</v>
      </c>
      <c r="V46" s="139">
        <f>N46+U46</f>
        <v>6431</v>
      </c>
    </row>
    <row r="47" spans="1:22" ht="22.5" customHeight="1">
      <c r="A47" s="168" t="s">
        <v>193</v>
      </c>
      <c r="B47" s="5" t="s">
        <v>187</v>
      </c>
      <c r="C47" s="141">
        <f>'4-1. 24년 기타경비 실적'!C47</f>
        <v>940</v>
      </c>
      <c r="D47" s="141">
        <f>'4-1. 24년 기타경비 실적'!D47</f>
        <v>950</v>
      </c>
      <c r="E47" s="141">
        <f>V47</f>
        <v>950</v>
      </c>
      <c r="F47" s="256">
        <f t="shared" si="1"/>
        <v>100</v>
      </c>
      <c r="G47" s="143"/>
      <c r="H47" s="144"/>
      <c r="I47" s="141"/>
      <c r="J47" s="141"/>
      <c r="K47" s="141"/>
      <c r="L47" s="141">
        <v>350</v>
      </c>
      <c r="M47" s="141"/>
      <c r="N47" s="145">
        <f t="shared" si="2"/>
        <v>350</v>
      </c>
      <c r="O47" s="144"/>
      <c r="P47" s="141">
        <v>300</v>
      </c>
      <c r="Q47" s="141"/>
      <c r="R47" s="141"/>
      <c r="S47" s="141">
        <v>300</v>
      </c>
      <c r="T47" s="141"/>
      <c r="U47" s="145">
        <f>SUM(O47:T47)</f>
        <v>600</v>
      </c>
      <c r="V47" s="145">
        <f>N47+U47</f>
        <v>950</v>
      </c>
    </row>
    <row r="48" spans="1:22" ht="22.5" customHeight="1">
      <c r="A48" s="154" t="s">
        <v>26</v>
      </c>
      <c r="B48" s="177" t="s">
        <v>11</v>
      </c>
      <c r="C48" s="155">
        <f>SUM(C46:C47)</f>
        <v>6630</v>
      </c>
      <c r="D48" s="155">
        <f>SUM(D46:D47)</f>
        <v>6574</v>
      </c>
      <c r="E48" s="155">
        <f>SUM(E46:E47)</f>
        <v>7381</v>
      </c>
      <c r="F48" s="258">
        <f t="shared" si="1"/>
        <v>112.27563127471858</v>
      </c>
      <c r="G48" s="157"/>
      <c r="H48" s="158">
        <f t="shared" ref="H48:M48" si="19">SUM(H46:H47)</f>
        <v>0</v>
      </c>
      <c r="I48" s="155">
        <f t="shared" si="19"/>
        <v>620</v>
      </c>
      <c r="J48" s="155">
        <f t="shared" si="19"/>
        <v>0</v>
      </c>
      <c r="K48" s="155">
        <f t="shared" si="19"/>
        <v>0</v>
      </c>
      <c r="L48" s="155">
        <f t="shared" si="19"/>
        <v>350</v>
      </c>
      <c r="M48" s="155">
        <f t="shared" si="19"/>
        <v>1110</v>
      </c>
      <c r="N48" s="159">
        <f t="shared" si="2"/>
        <v>2080</v>
      </c>
      <c r="O48" s="158">
        <f t="shared" ref="O48:T48" si="20">SUM(O46:O47)</f>
        <v>0</v>
      </c>
      <c r="P48" s="155">
        <f t="shared" si="20"/>
        <v>941</v>
      </c>
      <c r="Q48" s="155">
        <f t="shared" si="20"/>
        <v>770</v>
      </c>
      <c r="R48" s="155">
        <f t="shared" si="20"/>
        <v>1110</v>
      </c>
      <c r="S48" s="155">
        <f t="shared" si="20"/>
        <v>1490</v>
      </c>
      <c r="T48" s="155">
        <f t="shared" si="20"/>
        <v>990</v>
      </c>
      <c r="U48" s="159">
        <f t="shared" si="0"/>
        <v>5301</v>
      </c>
      <c r="V48" s="159">
        <f>SUM(V46:V47)</f>
        <v>7381</v>
      </c>
    </row>
    <row r="49" spans="1:22" ht="22.5" hidden="1" customHeight="1">
      <c r="A49" s="134"/>
      <c r="B49" s="3"/>
      <c r="C49" s="135"/>
      <c r="D49" s="135"/>
      <c r="E49" s="135">
        <f>V49</f>
        <v>0</v>
      </c>
      <c r="F49" s="254" t="str">
        <f t="shared" si="1"/>
        <v/>
      </c>
      <c r="G49" s="137"/>
      <c r="H49" s="138"/>
      <c r="I49" s="135"/>
      <c r="J49" s="135"/>
      <c r="K49" s="135"/>
      <c r="L49" s="135"/>
      <c r="M49" s="135"/>
      <c r="N49" s="139">
        <f t="shared" si="2"/>
        <v>0</v>
      </c>
      <c r="O49" s="138"/>
      <c r="P49" s="135"/>
      <c r="Q49" s="135"/>
      <c r="R49" s="135"/>
      <c r="S49" s="135"/>
      <c r="T49" s="135"/>
      <c r="U49" s="139">
        <f t="shared" si="0"/>
        <v>0</v>
      </c>
      <c r="V49" s="139">
        <f>N49+U49</f>
        <v>0</v>
      </c>
    </row>
    <row r="50" spans="1:22" ht="22.5" hidden="1" customHeight="1">
      <c r="A50" s="140" t="s">
        <v>194</v>
      </c>
      <c r="B50" s="178"/>
      <c r="C50" s="141"/>
      <c r="D50" s="141"/>
      <c r="E50" s="141">
        <f>V50</f>
        <v>0</v>
      </c>
      <c r="F50" s="263" t="str">
        <f t="shared" si="1"/>
        <v/>
      </c>
      <c r="G50" s="181"/>
      <c r="H50" s="144"/>
      <c r="I50" s="141"/>
      <c r="J50" s="141"/>
      <c r="K50" s="141"/>
      <c r="L50" s="141"/>
      <c r="M50" s="141"/>
      <c r="N50" s="145">
        <f t="shared" si="2"/>
        <v>0</v>
      </c>
      <c r="O50" s="144"/>
      <c r="P50" s="141"/>
      <c r="Q50" s="141"/>
      <c r="R50" s="141"/>
      <c r="S50" s="141"/>
      <c r="T50" s="141"/>
      <c r="U50" s="145">
        <f t="shared" si="0"/>
        <v>0</v>
      </c>
      <c r="V50" s="145">
        <f>N50+U50</f>
        <v>0</v>
      </c>
    </row>
    <row r="51" spans="1:22" ht="22.5" hidden="1" customHeight="1">
      <c r="A51" s="154" t="s">
        <v>27</v>
      </c>
      <c r="B51" s="177" t="s">
        <v>11</v>
      </c>
      <c r="C51" s="148">
        <f>SUM(C49:C50)</f>
        <v>0</v>
      </c>
      <c r="D51" s="148">
        <f>SUM(D49:D50)</f>
        <v>0</v>
      </c>
      <c r="E51" s="148">
        <f>SUM(E49:E50)</f>
        <v>0</v>
      </c>
      <c r="F51" s="258" t="str">
        <f t="shared" si="1"/>
        <v/>
      </c>
      <c r="G51" s="157"/>
      <c r="H51" s="151">
        <f t="shared" ref="H51:T51" si="21">SUM(H49:H50)</f>
        <v>0</v>
      </c>
      <c r="I51" s="148">
        <f t="shared" si="21"/>
        <v>0</v>
      </c>
      <c r="J51" s="148">
        <f t="shared" si="21"/>
        <v>0</v>
      </c>
      <c r="K51" s="148">
        <f t="shared" si="21"/>
        <v>0</v>
      </c>
      <c r="L51" s="148">
        <f t="shared" si="21"/>
        <v>0</v>
      </c>
      <c r="M51" s="148">
        <f t="shared" si="21"/>
        <v>0</v>
      </c>
      <c r="N51" s="152">
        <f t="shared" si="2"/>
        <v>0</v>
      </c>
      <c r="O51" s="151">
        <f t="shared" si="21"/>
        <v>0</v>
      </c>
      <c r="P51" s="148">
        <f t="shared" si="21"/>
        <v>0</v>
      </c>
      <c r="Q51" s="148">
        <f t="shared" si="21"/>
        <v>0</v>
      </c>
      <c r="R51" s="148">
        <f t="shared" si="21"/>
        <v>0</v>
      </c>
      <c r="S51" s="148">
        <f t="shared" si="21"/>
        <v>0</v>
      </c>
      <c r="T51" s="148">
        <f t="shared" si="21"/>
        <v>0</v>
      </c>
      <c r="U51" s="152">
        <f t="shared" si="0"/>
        <v>0</v>
      </c>
      <c r="V51" s="152">
        <f>SUM(V49:V50)</f>
        <v>0</v>
      </c>
    </row>
    <row r="52" spans="1:22" ht="22.5" customHeight="1">
      <c r="A52" s="167" t="s">
        <v>196</v>
      </c>
      <c r="B52" s="3" t="s">
        <v>195</v>
      </c>
      <c r="C52" s="135">
        <f>'4-1. 24년 기타경비 실적'!C52</f>
        <v>20000</v>
      </c>
      <c r="D52" s="135">
        <f>'4-1. 24년 기타경비 실적'!D52</f>
        <v>4193</v>
      </c>
      <c r="E52" s="135">
        <f>V52</f>
        <v>10000</v>
      </c>
      <c r="F52" s="254">
        <f t="shared" si="1"/>
        <v>238.49272597185785</v>
      </c>
      <c r="G52" s="137"/>
      <c r="H52" s="138"/>
      <c r="I52" s="135"/>
      <c r="J52" s="135">
        <v>2500</v>
      </c>
      <c r="K52" s="135"/>
      <c r="L52" s="135"/>
      <c r="M52" s="135">
        <v>2500</v>
      </c>
      <c r="N52" s="139">
        <f t="shared" si="2"/>
        <v>5000</v>
      </c>
      <c r="O52" s="138"/>
      <c r="P52" s="135"/>
      <c r="Q52" s="135">
        <v>2500</v>
      </c>
      <c r="R52" s="135"/>
      <c r="S52" s="135"/>
      <c r="T52" s="135">
        <v>2500</v>
      </c>
      <c r="U52" s="139">
        <f t="shared" si="0"/>
        <v>5000</v>
      </c>
      <c r="V52" s="139">
        <f>N52+U52</f>
        <v>10000</v>
      </c>
    </row>
    <row r="53" spans="1:22" ht="22.5" hidden="1" customHeight="1">
      <c r="A53" s="168" t="s">
        <v>196</v>
      </c>
      <c r="B53" s="5"/>
      <c r="C53" s="179"/>
      <c r="D53" s="179"/>
      <c r="E53" s="179">
        <f>V53</f>
        <v>0</v>
      </c>
      <c r="F53" s="256" t="str">
        <f t="shared" si="1"/>
        <v/>
      </c>
      <c r="G53" s="143"/>
      <c r="H53" s="182"/>
      <c r="I53" s="179"/>
      <c r="J53" s="179"/>
      <c r="K53" s="179"/>
      <c r="L53" s="179"/>
      <c r="M53" s="179"/>
      <c r="N53" s="183">
        <f t="shared" si="2"/>
        <v>0</v>
      </c>
      <c r="O53" s="182"/>
      <c r="P53" s="179"/>
      <c r="Q53" s="179"/>
      <c r="R53" s="179"/>
      <c r="S53" s="179"/>
      <c r="T53" s="179"/>
      <c r="U53" s="183">
        <f t="shared" si="0"/>
        <v>0</v>
      </c>
      <c r="V53" s="183">
        <f>N53+U53</f>
        <v>0</v>
      </c>
    </row>
    <row r="54" spans="1:22" ht="22.5" customHeight="1">
      <c r="A54" s="154" t="s">
        <v>28</v>
      </c>
      <c r="B54" s="147" t="s">
        <v>11</v>
      </c>
      <c r="C54" s="155">
        <f>SUM(C52:C53)</f>
        <v>20000</v>
      </c>
      <c r="D54" s="155">
        <f>SUM(D52:D53)</f>
        <v>4193</v>
      </c>
      <c r="E54" s="155">
        <f>SUM(E52:E53)</f>
        <v>10000</v>
      </c>
      <c r="F54" s="257">
        <f t="shared" si="1"/>
        <v>238.49272597185785</v>
      </c>
      <c r="G54" s="150"/>
      <c r="H54" s="158">
        <f t="shared" ref="H54:T54" si="22">SUM(H52:H53)</f>
        <v>0</v>
      </c>
      <c r="I54" s="155">
        <f t="shared" si="22"/>
        <v>0</v>
      </c>
      <c r="J54" s="155">
        <f t="shared" si="22"/>
        <v>2500</v>
      </c>
      <c r="K54" s="155">
        <f t="shared" si="22"/>
        <v>0</v>
      </c>
      <c r="L54" s="155">
        <f t="shared" si="22"/>
        <v>0</v>
      </c>
      <c r="M54" s="155">
        <f t="shared" si="22"/>
        <v>2500</v>
      </c>
      <c r="N54" s="159">
        <f t="shared" si="2"/>
        <v>5000</v>
      </c>
      <c r="O54" s="158">
        <f t="shared" si="22"/>
        <v>0</v>
      </c>
      <c r="P54" s="155">
        <f t="shared" si="22"/>
        <v>0</v>
      </c>
      <c r="Q54" s="155">
        <f t="shared" si="22"/>
        <v>2500</v>
      </c>
      <c r="R54" s="155">
        <f t="shared" si="22"/>
        <v>0</v>
      </c>
      <c r="S54" s="155">
        <f t="shared" si="22"/>
        <v>0</v>
      </c>
      <c r="T54" s="155">
        <f t="shared" si="22"/>
        <v>2500</v>
      </c>
      <c r="U54" s="159">
        <f t="shared" si="0"/>
        <v>5000</v>
      </c>
      <c r="V54" s="159">
        <f>SUM(V52:V53)</f>
        <v>10000</v>
      </c>
    </row>
    <row r="55" spans="1:22" ht="22.5" customHeight="1">
      <c r="A55" s="134" t="s">
        <v>198</v>
      </c>
      <c r="B55" s="3" t="s">
        <v>197</v>
      </c>
      <c r="C55" s="135">
        <f>'4-1. 24년 기타경비 실적'!C55</f>
        <v>69</v>
      </c>
      <c r="D55" s="135">
        <f>'4-1. 24년 기타경비 실적'!D55</f>
        <v>0</v>
      </c>
      <c r="E55" s="135">
        <f>V55</f>
        <v>0</v>
      </c>
      <c r="F55" s="254" t="str">
        <f t="shared" si="1"/>
        <v/>
      </c>
      <c r="G55" s="137"/>
      <c r="H55" s="138"/>
      <c r="I55" s="135"/>
      <c r="J55" s="135"/>
      <c r="K55" s="135"/>
      <c r="L55" s="135"/>
      <c r="M55" s="135"/>
      <c r="N55" s="139">
        <f t="shared" si="2"/>
        <v>0</v>
      </c>
      <c r="O55" s="138"/>
      <c r="P55" s="135"/>
      <c r="Q55" s="135"/>
      <c r="R55" s="135"/>
      <c r="S55" s="135"/>
      <c r="T55" s="135"/>
      <c r="U55" s="139">
        <f t="shared" si="0"/>
        <v>0</v>
      </c>
      <c r="V55" s="139">
        <f>N55+U55</f>
        <v>0</v>
      </c>
    </row>
    <row r="56" spans="1:22" ht="22.5" hidden="1" customHeight="1">
      <c r="A56" s="140" t="s">
        <v>198</v>
      </c>
      <c r="B56" s="5"/>
      <c r="C56" s="141"/>
      <c r="D56" s="141"/>
      <c r="E56" s="141">
        <f>V56</f>
        <v>0</v>
      </c>
      <c r="F56" s="256" t="str">
        <f t="shared" si="1"/>
        <v/>
      </c>
      <c r="G56" s="143"/>
      <c r="H56" s="144"/>
      <c r="I56" s="141"/>
      <c r="J56" s="141"/>
      <c r="K56" s="141"/>
      <c r="L56" s="141"/>
      <c r="M56" s="141"/>
      <c r="N56" s="145">
        <f t="shared" si="2"/>
        <v>0</v>
      </c>
      <c r="O56" s="144"/>
      <c r="P56" s="141"/>
      <c r="Q56" s="141"/>
      <c r="R56" s="141"/>
      <c r="S56" s="141"/>
      <c r="T56" s="141"/>
      <c r="U56" s="145">
        <f t="shared" si="0"/>
        <v>0</v>
      </c>
      <c r="V56" s="145">
        <f>N56+U56</f>
        <v>0</v>
      </c>
    </row>
    <row r="57" spans="1:22" ht="22.5" customHeight="1" thickBot="1">
      <c r="A57" s="154" t="s">
        <v>29</v>
      </c>
      <c r="B57" s="147" t="s">
        <v>11</v>
      </c>
      <c r="C57" s="148">
        <f>SUM(C55:C56)</f>
        <v>69</v>
      </c>
      <c r="D57" s="148">
        <f>SUM(D55:D56)</f>
        <v>0</v>
      </c>
      <c r="E57" s="148">
        <f>SUM(E55:E56)</f>
        <v>0</v>
      </c>
      <c r="F57" s="257" t="str">
        <f t="shared" si="1"/>
        <v/>
      </c>
      <c r="G57" s="150"/>
      <c r="H57" s="151">
        <f t="shared" ref="H57:M57" si="23">SUM(H55:H56)</f>
        <v>0</v>
      </c>
      <c r="I57" s="148">
        <f t="shared" si="23"/>
        <v>0</v>
      </c>
      <c r="J57" s="148">
        <f t="shared" si="23"/>
        <v>0</v>
      </c>
      <c r="K57" s="148">
        <f t="shared" si="23"/>
        <v>0</v>
      </c>
      <c r="L57" s="148">
        <f t="shared" si="23"/>
        <v>0</v>
      </c>
      <c r="M57" s="148">
        <f t="shared" si="23"/>
        <v>0</v>
      </c>
      <c r="N57" s="152">
        <f t="shared" si="2"/>
        <v>0</v>
      </c>
      <c r="O57" s="151">
        <f t="shared" ref="O57:T57" si="24">SUM(O55:O56)</f>
        <v>0</v>
      </c>
      <c r="P57" s="148">
        <f t="shared" si="24"/>
        <v>0</v>
      </c>
      <c r="Q57" s="148">
        <f t="shared" si="24"/>
        <v>0</v>
      </c>
      <c r="R57" s="148">
        <f t="shared" si="24"/>
        <v>0</v>
      </c>
      <c r="S57" s="148">
        <f t="shared" si="24"/>
        <v>0</v>
      </c>
      <c r="T57" s="148">
        <f t="shared" si="24"/>
        <v>0</v>
      </c>
      <c r="U57" s="152">
        <f t="shared" si="0"/>
        <v>0</v>
      </c>
      <c r="V57" s="152">
        <f>SUM(V55:V56)</f>
        <v>0</v>
      </c>
    </row>
    <row r="58" spans="1:22" ht="22.5" hidden="1" customHeight="1">
      <c r="A58" s="134"/>
      <c r="B58" s="3"/>
      <c r="C58" s="135"/>
      <c r="D58" s="135"/>
      <c r="E58" s="135">
        <f>V58</f>
        <v>0</v>
      </c>
      <c r="F58" s="254" t="str">
        <f t="shared" si="1"/>
        <v/>
      </c>
      <c r="G58" s="137"/>
      <c r="H58" s="138"/>
      <c r="I58" s="135"/>
      <c r="J58" s="135"/>
      <c r="K58" s="135"/>
      <c r="L58" s="135"/>
      <c r="M58" s="135"/>
      <c r="N58" s="139">
        <f t="shared" si="2"/>
        <v>0</v>
      </c>
      <c r="O58" s="138"/>
      <c r="P58" s="135"/>
      <c r="Q58" s="135"/>
      <c r="R58" s="135"/>
      <c r="S58" s="135"/>
      <c r="T58" s="135"/>
      <c r="U58" s="139">
        <f t="shared" si="0"/>
        <v>0</v>
      </c>
      <c r="V58" s="139">
        <f>N58+U58</f>
        <v>0</v>
      </c>
    </row>
    <row r="59" spans="1:22" ht="22.5" hidden="1" customHeight="1">
      <c r="A59" s="140" t="s">
        <v>199</v>
      </c>
      <c r="B59" s="5"/>
      <c r="C59" s="141"/>
      <c r="D59" s="141"/>
      <c r="E59" s="141">
        <f>V59</f>
        <v>0</v>
      </c>
      <c r="F59" s="256" t="str">
        <f t="shared" si="1"/>
        <v/>
      </c>
      <c r="G59" s="143"/>
      <c r="H59" s="144"/>
      <c r="I59" s="141"/>
      <c r="J59" s="141"/>
      <c r="K59" s="141"/>
      <c r="L59" s="141"/>
      <c r="M59" s="141"/>
      <c r="N59" s="145">
        <f t="shared" si="2"/>
        <v>0</v>
      </c>
      <c r="O59" s="144"/>
      <c r="P59" s="141"/>
      <c r="Q59" s="141"/>
      <c r="R59" s="141"/>
      <c r="S59" s="141"/>
      <c r="T59" s="141"/>
      <c r="U59" s="145">
        <f t="shared" si="0"/>
        <v>0</v>
      </c>
      <c r="V59" s="145">
        <f>N59+U59</f>
        <v>0</v>
      </c>
    </row>
    <row r="60" spans="1:22" ht="22.5" hidden="1" customHeight="1">
      <c r="A60" s="154" t="s">
        <v>30</v>
      </c>
      <c r="B60" s="147" t="s">
        <v>11</v>
      </c>
      <c r="C60" s="148">
        <f>SUM(C58:C59)</f>
        <v>0</v>
      </c>
      <c r="D60" s="148">
        <f>SUM(D58:D59)</f>
        <v>0</v>
      </c>
      <c r="E60" s="148">
        <f>SUM(E58:E59)</f>
        <v>0</v>
      </c>
      <c r="F60" s="257" t="str">
        <f t="shared" si="1"/>
        <v/>
      </c>
      <c r="G60" s="150"/>
      <c r="H60" s="151">
        <f t="shared" ref="H60:T60" si="25">SUM(H58:H59)</f>
        <v>0</v>
      </c>
      <c r="I60" s="148">
        <f t="shared" si="25"/>
        <v>0</v>
      </c>
      <c r="J60" s="148">
        <f t="shared" si="25"/>
        <v>0</v>
      </c>
      <c r="K60" s="148">
        <f t="shared" si="25"/>
        <v>0</v>
      </c>
      <c r="L60" s="148">
        <f t="shared" si="25"/>
        <v>0</v>
      </c>
      <c r="M60" s="148">
        <f t="shared" si="25"/>
        <v>0</v>
      </c>
      <c r="N60" s="152">
        <f t="shared" si="2"/>
        <v>0</v>
      </c>
      <c r="O60" s="151">
        <f t="shared" si="25"/>
        <v>0</v>
      </c>
      <c r="P60" s="148">
        <f t="shared" si="25"/>
        <v>0</v>
      </c>
      <c r="Q60" s="148">
        <f t="shared" si="25"/>
        <v>0</v>
      </c>
      <c r="R60" s="148">
        <f t="shared" si="25"/>
        <v>0</v>
      </c>
      <c r="S60" s="148">
        <f t="shared" si="25"/>
        <v>0</v>
      </c>
      <c r="T60" s="148">
        <f t="shared" si="25"/>
        <v>0</v>
      </c>
      <c r="U60" s="152">
        <f t="shared" si="0"/>
        <v>0</v>
      </c>
      <c r="V60" s="152">
        <f>SUM(V58:V59)</f>
        <v>0</v>
      </c>
    </row>
    <row r="61" spans="1:22" ht="22.5" hidden="1" customHeight="1">
      <c r="A61" s="134"/>
      <c r="B61" s="3"/>
      <c r="C61" s="135"/>
      <c r="D61" s="135"/>
      <c r="E61" s="135">
        <f>V61</f>
        <v>0</v>
      </c>
      <c r="F61" s="254" t="str">
        <f t="shared" si="1"/>
        <v/>
      </c>
      <c r="G61" s="137"/>
      <c r="H61" s="138"/>
      <c r="I61" s="135"/>
      <c r="J61" s="135"/>
      <c r="K61" s="135"/>
      <c r="L61" s="135"/>
      <c r="M61" s="135"/>
      <c r="N61" s="139">
        <f t="shared" si="2"/>
        <v>0</v>
      </c>
      <c r="O61" s="138"/>
      <c r="P61" s="135"/>
      <c r="Q61" s="135"/>
      <c r="R61" s="135"/>
      <c r="S61" s="135"/>
      <c r="T61" s="135"/>
      <c r="U61" s="139">
        <f t="shared" si="0"/>
        <v>0</v>
      </c>
      <c r="V61" s="139">
        <f>N61+U61</f>
        <v>0</v>
      </c>
    </row>
    <row r="62" spans="1:22" ht="22.5" hidden="1" customHeight="1">
      <c r="A62" s="140" t="s">
        <v>200</v>
      </c>
      <c r="B62" s="5"/>
      <c r="C62" s="141"/>
      <c r="D62" s="141"/>
      <c r="E62" s="141">
        <f>V62</f>
        <v>0</v>
      </c>
      <c r="F62" s="256" t="str">
        <f t="shared" si="1"/>
        <v/>
      </c>
      <c r="G62" s="143"/>
      <c r="H62" s="144"/>
      <c r="I62" s="141"/>
      <c r="J62" s="141"/>
      <c r="K62" s="141"/>
      <c r="L62" s="141"/>
      <c r="M62" s="141"/>
      <c r="N62" s="145">
        <f t="shared" si="2"/>
        <v>0</v>
      </c>
      <c r="O62" s="144"/>
      <c r="P62" s="141"/>
      <c r="Q62" s="141"/>
      <c r="R62" s="141"/>
      <c r="S62" s="141"/>
      <c r="T62" s="141"/>
      <c r="U62" s="145">
        <f t="shared" si="0"/>
        <v>0</v>
      </c>
      <c r="V62" s="145">
        <f>N62+U62</f>
        <v>0</v>
      </c>
    </row>
    <row r="63" spans="1:22" ht="22.5" hidden="1" customHeight="1">
      <c r="A63" s="154" t="s">
        <v>31</v>
      </c>
      <c r="B63" s="147" t="s">
        <v>11</v>
      </c>
      <c r="C63" s="148">
        <f>SUM(C61:C62)</f>
        <v>0</v>
      </c>
      <c r="D63" s="148">
        <f>SUM(D61:D62)</f>
        <v>0</v>
      </c>
      <c r="E63" s="148">
        <f>SUM(E61:E62)</f>
        <v>0</v>
      </c>
      <c r="F63" s="257" t="str">
        <f t="shared" si="1"/>
        <v/>
      </c>
      <c r="G63" s="150"/>
      <c r="H63" s="151">
        <f t="shared" ref="H63:T63" si="26">SUM(H61:H62)</f>
        <v>0</v>
      </c>
      <c r="I63" s="148">
        <f t="shared" si="26"/>
        <v>0</v>
      </c>
      <c r="J63" s="148">
        <f t="shared" si="26"/>
        <v>0</v>
      </c>
      <c r="K63" s="148">
        <f t="shared" si="26"/>
        <v>0</v>
      </c>
      <c r="L63" s="148">
        <f t="shared" si="26"/>
        <v>0</v>
      </c>
      <c r="M63" s="148">
        <f t="shared" si="26"/>
        <v>0</v>
      </c>
      <c r="N63" s="152">
        <f t="shared" si="2"/>
        <v>0</v>
      </c>
      <c r="O63" s="151">
        <f t="shared" si="26"/>
        <v>0</v>
      </c>
      <c r="P63" s="148">
        <f t="shared" si="26"/>
        <v>0</v>
      </c>
      <c r="Q63" s="148">
        <f t="shared" si="26"/>
        <v>0</v>
      </c>
      <c r="R63" s="148">
        <f t="shared" si="26"/>
        <v>0</v>
      </c>
      <c r="S63" s="148">
        <f t="shared" si="26"/>
        <v>0</v>
      </c>
      <c r="T63" s="148">
        <f t="shared" si="26"/>
        <v>0</v>
      </c>
      <c r="U63" s="152">
        <f t="shared" si="0"/>
        <v>0</v>
      </c>
      <c r="V63" s="152">
        <f>SUM(V61:V62)</f>
        <v>0</v>
      </c>
    </row>
    <row r="64" spans="1:22" ht="22.5" hidden="1" customHeight="1">
      <c r="A64" s="134"/>
      <c r="B64" s="3"/>
      <c r="C64" s="135"/>
      <c r="D64" s="135"/>
      <c r="E64" s="135">
        <f>V64</f>
        <v>0</v>
      </c>
      <c r="F64" s="254" t="str">
        <f t="shared" si="1"/>
        <v/>
      </c>
      <c r="G64" s="137"/>
      <c r="H64" s="138"/>
      <c r="I64" s="135"/>
      <c r="J64" s="135"/>
      <c r="K64" s="135"/>
      <c r="L64" s="135"/>
      <c r="M64" s="135"/>
      <c r="N64" s="139">
        <f t="shared" si="2"/>
        <v>0</v>
      </c>
      <c r="O64" s="138"/>
      <c r="P64" s="135"/>
      <c r="Q64" s="135"/>
      <c r="R64" s="135"/>
      <c r="S64" s="135"/>
      <c r="T64" s="135"/>
      <c r="U64" s="139">
        <f t="shared" si="0"/>
        <v>0</v>
      </c>
      <c r="V64" s="139">
        <f>N64+U64</f>
        <v>0</v>
      </c>
    </row>
    <row r="65" spans="1:23" ht="22.5" hidden="1" customHeight="1">
      <c r="A65" s="140" t="s">
        <v>201</v>
      </c>
      <c r="B65" s="5"/>
      <c r="C65" s="141"/>
      <c r="D65" s="141"/>
      <c r="E65" s="141">
        <f>V65</f>
        <v>0</v>
      </c>
      <c r="F65" s="256" t="str">
        <f t="shared" si="1"/>
        <v/>
      </c>
      <c r="G65" s="143"/>
      <c r="H65" s="144"/>
      <c r="I65" s="141"/>
      <c r="J65" s="141"/>
      <c r="K65" s="141"/>
      <c r="L65" s="141"/>
      <c r="M65" s="141"/>
      <c r="N65" s="145">
        <f t="shared" si="2"/>
        <v>0</v>
      </c>
      <c r="O65" s="144"/>
      <c r="P65" s="141"/>
      <c r="Q65" s="141"/>
      <c r="R65" s="141"/>
      <c r="S65" s="141"/>
      <c r="T65" s="141"/>
      <c r="U65" s="145">
        <f t="shared" si="0"/>
        <v>0</v>
      </c>
      <c r="V65" s="145">
        <f>N65+U65</f>
        <v>0</v>
      </c>
    </row>
    <row r="66" spans="1:23" ht="22.5" hidden="1" customHeight="1">
      <c r="A66" s="154" t="s">
        <v>32</v>
      </c>
      <c r="B66" s="147" t="s">
        <v>11</v>
      </c>
      <c r="C66" s="148">
        <f>SUM(C64:C65)</f>
        <v>0</v>
      </c>
      <c r="D66" s="148">
        <f>SUM(D64:D65)</f>
        <v>0</v>
      </c>
      <c r="E66" s="148">
        <f>SUM(E64:E65)</f>
        <v>0</v>
      </c>
      <c r="F66" s="257" t="str">
        <f t="shared" si="1"/>
        <v/>
      </c>
      <c r="G66" s="150"/>
      <c r="H66" s="151">
        <f t="shared" ref="H66:T66" si="27">SUM(H64:H65)</f>
        <v>0</v>
      </c>
      <c r="I66" s="148">
        <f t="shared" si="27"/>
        <v>0</v>
      </c>
      <c r="J66" s="148">
        <f t="shared" si="27"/>
        <v>0</v>
      </c>
      <c r="K66" s="148">
        <f t="shared" si="27"/>
        <v>0</v>
      </c>
      <c r="L66" s="148">
        <f t="shared" si="27"/>
        <v>0</v>
      </c>
      <c r="M66" s="148">
        <f t="shared" si="27"/>
        <v>0</v>
      </c>
      <c r="N66" s="152">
        <f t="shared" si="2"/>
        <v>0</v>
      </c>
      <c r="O66" s="151">
        <f t="shared" si="27"/>
        <v>0</v>
      </c>
      <c r="P66" s="148">
        <f t="shared" si="27"/>
        <v>0</v>
      </c>
      <c r="Q66" s="148">
        <f t="shared" si="27"/>
        <v>0</v>
      </c>
      <c r="R66" s="148">
        <f t="shared" si="27"/>
        <v>0</v>
      </c>
      <c r="S66" s="148">
        <f t="shared" si="27"/>
        <v>0</v>
      </c>
      <c r="T66" s="148">
        <f t="shared" si="27"/>
        <v>0</v>
      </c>
      <c r="U66" s="152">
        <f t="shared" si="0"/>
        <v>0</v>
      </c>
      <c r="V66" s="152">
        <f>SUM(V64:V65)</f>
        <v>0</v>
      </c>
    </row>
    <row r="67" spans="1:23" ht="22.5" hidden="1" customHeight="1">
      <c r="A67" s="134"/>
      <c r="B67" s="3"/>
      <c r="C67" s="135"/>
      <c r="D67" s="135"/>
      <c r="E67" s="135">
        <f>V67</f>
        <v>0</v>
      </c>
      <c r="F67" s="254" t="str">
        <f t="shared" si="1"/>
        <v/>
      </c>
      <c r="G67" s="137"/>
      <c r="H67" s="138"/>
      <c r="I67" s="135"/>
      <c r="J67" s="135"/>
      <c r="K67" s="135"/>
      <c r="L67" s="135"/>
      <c r="M67" s="135"/>
      <c r="N67" s="139">
        <f t="shared" si="2"/>
        <v>0</v>
      </c>
      <c r="O67" s="138"/>
      <c r="P67" s="135"/>
      <c r="Q67" s="135"/>
      <c r="R67" s="135"/>
      <c r="S67" s="135"/>
      <c r="T67" s="135"/>
      <c r="U67" s="139">
        <f t="shared" si="0"/>
        <v>0</v>
      </c>
      <c r="V67" s="139">
        <f>N67+U67</f>
        <v>0</v>
      </c>
    </row>
    <row r="68" spans="1:23" ht="22.5" hidden="1" customHeight="1">
      <c r="A68" s="140" t="s">
        <v>202</v>
      </c>
      <c r="B68" s="5"/>
      <c r="C68" s="141"/>
      <c r="D68" s="141"/>
      <c r="E68" s="141">
        <f>V68</f>
        <v>0</v>
      </c>
      <c r="F68" s="256" t="str">
        <f t="shared" si="1"/>
        <v/>
      </c>
      <c r="G68" s="143"/>
      <c r="H68" s="144"/>
      <c r="I68" s="141"/>
      <c r="J68" s="141"/>
      <c r="K68" s="141"/>
      <c r="L68" s="141"/>
      <c r="M68" s="141"/>
      <c r="N68" s="145">
        <f t="shared" si="2"/>
        <v>0</v>
      </c>
      <c r="O68" s="144"/>
      <c r="P68" s="141"/>
      <c r="Q68" s="141"/>
      <c r="R68" s="141"/>
      <c r="S68" s="141"/>
      <c r="T68" s="141"/>
      <c r="U68" s="145">
        <f t="shared" si="0"/>
        <v>0</v>
      </c>
      <c r="V68" s="145">
        <f>N68+U68</f>
        <v>0</v>
      </c>
    </row>
    <row r="69" spans="1:23" ht="22.5" hidden="1" customHeight="1" thickBot="1">
      <c r="A69" s="184" t="s">
        <v>33</v>
      </c>
      <c r="B69" s="185" t="s">
        <v>11</v>
      </c>
      <c r="C69" s="186">
        <f>SUM(C67:C68)</f>
        <v>0</v>
      </c>
      <c r="D69" s="186">
        <f>SUM(D67:D68)</f>
        <v>0</v>
      </c>
      <c r="E69" s="186">
        <f>SUM(E67:E68)</f>
        <v>0</v>
      </c>
      <c r="F69" s="264" t="str">
        <f t="shared" si="1"/>
        <v/>
      </c>
      <c r="G69" s="188"/>
      <c r="H69" s="189">
        <f t="shared" ref="H69:T69" si="28">SUM(H67:H68)</f>
        <v>0</v>
      </c>
      <c r="I69" s="186">
        <f t="shared" si="28"/>
        <v>0</v>
      </c>
      <c r="J69" s="186">
        <f t="shared" si="28"/>
        <v>0</v>
      </c>
      <c r="K69" s="186">
        <f t="shared" si="28"/>
        <v>0</v>
      </c>
      <c r="L69" s="186">
        <f t="shared" si="28"/>
        <v>0</v>
      </c>
      <c r="M69" s="186">
        <f t="shared" si="28"/>
        <v>0</v>
      </c>
      <c r="N69" s="190">
        <f t="shared" si="2"/>
        <v>0</v>
      </c>
      <c r="O69" s="189">
        <f t="shared" si="28"/>
        <v>0</v>
      </c>
      <c r="P69" s="186">
        <f t="shared" si="28"/>
        <v>0</v>
      </c>
      <c r="Q69" s="186">
        <f t="shared" si="28"/>
        <v>0</v>
      </c>
      <c r="R69" s="186">
        <f t="shared" si="28"/>
        <v>0</v>
      </c>
      <c r="S69" s="186">
        <f t="shared" si="28"/>
        <v>0</v>
      </c>
      <c r="T69" s="186">
        <f t="shared" si="28"/>
        <v>0</v>
      </c>
      <c r="U69" s="190">
        <f t="shared" si="0"/>
        <v>0</v>
      </c>
      <c r="V69" s="190">
        <f>SUM(V67:V68)</f>
        <v>0</v>
      </c>
    </row>
    <row r="70" spans="1:23" ht="22.5" customHeight="1" thickTop="1">
      <c r="A70" s="191"/>
      <c r="B70" s="265" t="s">
        <v>34</v>
      </c>
      <c r="C70" s="193">
        <f>'4-1. 24년 기타경비 실적'!C70</f>
        <v>18000</v>
      </c>
      <c r="D70" s="193">
        <f>'4-1. 24년 기타경비 실적'!D70</f>
        <v>10560</v>
      </c>
      <c r="E70" s="193">
        <f>V70</f>
        <v>9600</v>
      </c>
      <c r="F70" s="266">
        <f t="shared" si="1"/>
        <v>90.909090909090907</v>
      </c>
      <c r="G70" s="267"/>
      <c r="H70" s="268">
        <v>800</v>
      </c>
      <c r="I70" s="269">
        <v>800</v>
      </c>
      <c r="J70" s="269">
        <v>800</v>
      </c>
      <c r="K70" s="269">
        <v>800</v>
      </c>
      <c r="L70" s="269">
        <v>800</v>
      </c>
      <c r="M70" s="269">
        <v>800</v>
      </c>
      <c r="N70" s="198">
        <f t="shared" si="2"/>
        <v>4800</v>
      </c>
      <c r="O70" s="199">
        <v>800</v>
      </c>
      <c r="P70" s="193">
        <v>800</v>
      </c>
      <c r="Q70" s="193">
        <v>800</v>
      </c>
      <c r="R70" s="193">
        <v>800</v>
      </c>
      <c r="S70" s="193">
        <v>800</v>
      </c>
      <c r="T70" s="193">
        <v>800</v>
      </c>
      <c r="U70" s="200">
        <f t="shared" si="0"/>
        <v>4800</v>
      </c>
      <c r="V70" s="200">
        <f>N70+U70</f>
        <v>9600</v>
      </c>
    </row>
    <row r="71" spans="1:23" ht="22.5" customHeight="1">
      <c r="A71" s="201" t="s">
        <v>203</v>
      </c>
      <c r="B71" s="211" t="s">
        <v>36</v>
      </c>
      <c r="C71" s="141">
        <f>'4-1. 24년 기타경비 실적'!C71</f>
        <v>0</v>
      </c>
      <c r="D71" s="141">
        <f>'4-1. 24년 기타경비 실적'!D71</f>
        <v>1061</v>
      </c>
      <c r="E71" s="141">
        <f>V71</f>
        <v>960</v>
      </c>
      <c r="F71" s="256">
        <f t="shared" ref="F71:F76" si="29">IFERROR(E71/D71*100,"")</f>
        <v>90.480678605089537</v>
      </c>
      <c r="G71" s="212"/>
      <c r="H71" s="270">
        <v>240</v>
      </c>
      <c r="I71" s="271"/>
      <c r="J71" s="271"/>
      <c r="K71" s="271">
        <v>240</v>
      </c>
      <c r="L71" s="271"/>
      <c r="M71" s="271"/>
      <c r="N71" s="215">
        <f t="shared" ref="N71:N76" si="30">SUM(H71:M71)</f>
        <v>480</v>
      </c>
      <c r="O71" s="216">
        <v>240</v>
      </c>
      <c r="P71" s="141"/>
      <c r="Q71" s="141"/>
      <c r="R71" s="141">
        <v>240</v>
      </c>
      <c r="S71" s="141"/>
      <c r="T71" s="141"/>
      <c r="U71" s="145">
        <f t="shared" ref="U71:U76" si="31">SUM(O71:T71)</f>
        <v>480</v>
      </c>
      <c r="V71" s="145">
        <f>N71+U71</f>
        <v>960</v>
      </c>
    </row>
    <row r="72" spans="1:23" ht="22.5" customHeight="1">
      <c r="A72" s="217" t="s">
        <v>35</v>
      </c>
      <c r="B72" s="177" t="s">
        <v>11</v>
      </c>
      <c r="C72" s="218">
        <f>SUM(C70:C71)</f>
        <v>18000</v>
      </c>
      <c r="D72" s="218">
        <f>SUM(D70:D71)</f>
        <v>11621</v>
      </c>
      <c r="E72" s="218">
        <f>SUM(E70:E71)</f>
        <v>10560</v>
      </c>
      <c r="F72" s="272">
        <f t="shared" si="29"/>
        <v>90.86997676619913</v>
      </c>
      <c r="G72" s="220"/>
      <c r="H72" s="273">
        <f t="shared" ref="H72:M72" si="32">SUM(H70:H71)</f>
        <v>1040</v>
      </c>
      <c r="I72" s="274">
        <f t="shared" si="32"/>
        <v>800</v>
      </c>
      <c r="J72" s="274">
        <f t="shared" si="32"/>
        <v>800</v>
      </c>
      <c r="K72" s="274">
        <f t="shared" si="32"/>
        <v>1040</v>
      </c>
      <c r="L72" s="274">
        <f t="shared" si="32"/>
        <v>800</v>
      </c>
      <c r="M72" s="274">
        <f t="shared" si="32"/>
        <v>800</v>
      </c>
      <c r="N72" s="159">
        <f t="shared" si="30"/>
        <v>5280</v>
      </c>
      <c r="O72" s="221">
        <f t="shared" ref="O72:T72" si="33">SUM(O70:O71)</f>
        <v>1040</v>
      </c>
      <c r="P72" s="218">
        <f t="shared" si="33"/>
        <v>800</v>
      </c>
      <c r="Q72" s="218">
        <f t="shared" si="33"/>
        <v>800</v>
      </c>
      <c r="R72" s="218">
        <f t="shared" si="33"/>
        <v>1040</v>
      </c>
      <c r="S72" s="218">
        <f t="shared" si="33"/>
        <v>800</v>
      </c>
      <c r="T72" s="218">
        <f t="shared" si="33"/>
        <v>800</v>
      </c>
      <c r="U72" s="222">
        <f t="shared" si="31"/>
        <v>5280</v>
      </c>
      <c r="V72" s="222">
        <f>SUM(V70:V71)</f>
        <v>10560</v>
      </c>
    </row>
    <row r="73" spans="1:23" ht="22.5" customHeight="1">
      <c r="A73" s="201" t="s">
        <v>210</v>
      </c>
      <c r="B73" s="275"/>
      <c r="C73" s="276"/>
      <c r="D73" s="276"/>
      <c r="E73" s="276">
        <f>V73</f>
        <v>0</v>
      </c>
      <c r="F73" s="277" t="str">
        <f t="shared" si="29"/>
        <v/>
      </c>
      <c r="G73" s="278"/>
      <c r="H73" s="279"/>
      <c r="I73" s="280"/>
      <c r="J73" s="280"/>
      <c r="K73" s="280"/>
      <c r="L73" s="280"/>
      <c r="M73" s="280"/>
      <c r="N73" s="281">
        <f t="shared" si="30"/>
        <v>0</v>
      </c>
      <c r="O73" s="282"/>
      <c r="P73" s="276"/>
      <c r="Q73" s="276"/>
      <c r="R73" s="276"/>
      <c r="S73" s="276"/>
      <c r="T73" s="276"/>
      <c r="U73" s="283">
        <f t="shared" si="31"/>
        <v>0</v>
      </c>
      <c r="V73" s="283">
        <f>N73+U73</f>
        <v>0</v>
      </c>
    </row>
    <row r="74" spans="1:23" ht="22.5" hidden="1" customHeight="1">
      <c r="A74" s="201" t="s">
        <v>204</v>
      </c>
      <c r="B74" s="284"/>
      <c r="C74" s="179"/>
      <c r="D74" s="179"/>
      <c r="E74" s="179">
        <f>V74</f>
        <v>0</v>
      </c>
      <c r="F74" s="263" t="str">
        <f t="shared" si="29"/>
        <v/>
      </c>
      <c r="G74" s="285"/>
      <c r="H74" s="286"/>
      <c r="I74" s="287"/>
      <c r="J74" s="287"/>
      <c r="K74" s="287"/>
      <c r="L74" s="287"/>
      <c r="M74" s="287"/>
      <c r="N74" s="288">
        <f t="shared" si="30"/>
        <v>0</v>
      </c>
      <c r="O74" s="289"/>
      <c r="P74" s="179"/>
      <c r="Q74" s="179"/>
      <c r="R74" s="179"/>
      <c r="S74" s="179"/>
      <c r="T74" s="179"/>
      <c r="U74" s="183">
        <f t="shared" si="31"/>
        <v>0</v>
      </c>
      <c r="V74" s="183">
        <f>N74+U74</f>
        <v>0</v>
      </c>
    </row>
    <row r="75" spans="1:23" ht="22.5" customHeight="1" thickBot="1">
      <c r="A75" s="232" t="s">
        <v>38</v>
      </c>
      <c r="B75" s="290" t="s">
        <v>11</v>
      </c>
      <c r="C75" s="234">
        <f>SUM(C73:C74)</f>
        <v>0</v>
      </c>
      <c r="D75" s="234">
        <f>SUM(D73:D74)</f>
        <v>0</v>
      </c>
      <c r="E75" s="234">
        <f>SUM(E73:E74)</f>
        <v>0</v>
      </c>
      <c r="F75" s="291" t="str">
        <f t="shared" si="29"/>
        <v/>
      </c>
      <c r="G75" s="236"/>
      <c r="H75" s="237">
        <f t="shared" ref="H75:T75" si="34">SUM(H73:H74)</f>
        <v>0</v>
      </c>
      <c r="I75" s="238">
        <f t="shared" si="34"/>
        <v>0</v>
      </c>
      <c r="J75" s="238">
        <f t="shared" si="34"/>
        <v>0</v>
      </c>
      <c r="K75" s="238">
        <f t="shared" si="34"/>
        <v>0</v>
      </c>
      <c r="L75" s="238">
        <f t="shared" si="34"/>
        <v>0</v>
      </c>
      <c r="M75" s="238">
        <f t="shared" si="34"/>
        <v>0</v>
      </c>
      <c r="N75" s="239">
        <f t="shared" si="30"/>
        <v>0</v>
      </c>
      <c r="O75" s="240">
        <f t="shared" si="34"/>
        <v>0</v>
      </c>
      <c r="P75" s="234">
        <f t="shared" si="34"/>
        <v>0</v>
      </c>
      <c r="Q75" s="234">
        <f t="shared" si="34"/>
        <v>0</v>
      </c>
      <c r="R75" s="234">
        <f t="shared" si="34"/>
        <v>0</v>
      </c>
      <c r="S75" s="234">
        <f t="shared" si="34"/>
        <v>0</v>
      </c>
      <c r="T75" s="234">
        <f t="shared" si="34"/>
        <v>0</v>
      </c>
      <c r="U75" s="241">
        <f t="shared" si="31"/>
        <v>0</v>
      </c>
      <c r="V75" s="241">
        <f>SUM(V73:V74)</f>
        <v>0</v>
      </c>
    </row>
    <row r="76" spans="1:23" ht="22.5" customHeight="1" thickBot="1">
      <c r="A76" s="292" t="s">
        <v>39</v>
      </c>
      <c r="B76" s="243"/>
      <c r="C76" s="244">
        <f>C7+C10+C13+C16+C19+C22+C26+C29+C32+C36+C39+C42+C45+C48+C51+C54+C57+C60+C63+C66+C69+C74-C72</f>
        <v>65046</v>
      </c>
      <c r="D76" s="244">
        <f>D7+D10+D13+D16+D19+D22+D26+D29+D32+D36+D39+D42+D45+D48+D51+D54+D57+D60+D63+D66+D69+D74-D72</f>
        <v>49487</v>
      </c>
      <c r="E76" s="244">
        <f>E7+E10+E13+E16+E19+E22+E26+E29+E32+E36+E39+E42+E45+E48+E51+E54+E57+E60+E63+E66+E69+E74-E72</f>
        <v>59595</v>
      </c>
      <c r="F76" s="293">
        <f t="shared" si="29"/>
        <v>120.42556631034414</v>
      </c>
      <c r="G76" s="246"/>
      <c r="H76" s="247">
        <f t="shared" ref="H76:M76" si="35">H7+H10+H13+H16+H19+H22+H26+H29+H32+H36+H39+H42+H45+H48+H51+H54+H57+H60+H63+H66+H69+H74-H72</f>
        <v>705</v>
      </c>
      <c r="I76" s="244">
        <f t="shared" si="35"/>
        <v>2465</v>
      </c>
      <c r="J76" s="244">
        <f t="shared" si="35"/>
        <v>9245</v>
      </c>
      <c r="K76" s="244">
        <f t="shared" si="35"/>
        <v>1105</v>
      </c>
      <c r="L76" s="244">
        <f t="shared" si="35"/>
        <v>1895</v>
      </c>
      <c r="M76" s="244">
        <f t="shared" si="35"/>
        <v>5409</v>
      </c>
      <c r="N76" s="248">
        <f t="shared" si="30"/>
        <v>20824</v>
      </c>
      <c r="O76" s="247">
        <f t="shared" ref="O76:T76" si="36">O7+O10+O13+O16+O19+O22+O26+O29+O32+O36+O39+O42+O45+O48+O51+O54+O57+O60+O63+O66+O69+O74-O72</f>
        <v>855</v>
      </c>
      <c r="P76" s="244">
        <f t="shared" si="36"/>
        <v>4486</v>
      </c>
      <c r="Q76" s="244">
        <f t="shared" si="36"/>
        <v>5317</v>
      </c>
      <c r="R76" s="244">
        <f t="shared" si="36"/>
        <v>2519</v>
      </c>
      <c r="S76" s="244">
        <f t="shared" si="36"/>
        <v>20587</v>
      </c>
      <c r="T76" s="244">
        <f t="shared" si="36"/>
        <v>5007</v>
      </c>
      <c r="U76" s="248">
        <f t="shared" si="31"/>
        <v>38771</v>
      </c>
      <c r="V76" s="248">
        <f>V7+V10+V13+V16+V19+V22+V26+V29+V32+V36+V39+V42+V45+V48+V51+V54+V57+V60+V63+V66+V69+V74-V72</f>
        <v>59595</v>
      </c>
    </row>
    <row r="78" spans="1:23">
      <c r="C78" s="249">
        <f>C76+C72</f>
        <v>83046</v>
      </c>
      <c r="D78" s="249">
        <f>D76+D72</f>
        <v>61108</v>
      </c>
      <c r="E78" s="249">
        <f>E76+E72</f>
        <v>70155</v>
      </c>
      <c r="F78">
        <f>E78/D78</f>
        <v>1.1480493552399031</v>
      </c>
      <c r="V78" s="249">
        <f>V76+V72</f>
        <v>70155</v>
      </c>
    </row>
    <row r="79" spans="1:23">
      <c r="B79" s="294"/>
    </row>
    <row r="80" spans="1:23">
      <c r="U80">
        <f>V80/'4-1. 24년 기타경비 실적'!U81</f>
        <v>1.3196981731532962</v>
      </c>
      <c r="V80" s="249">
        <f>SUM(V5,V11,V14,V19,V26,V33,V37,V46,V52)</f>
        <v>36553</v>
      </c>
      <c r="W80" t="s">
        <v>211</v>
      </c>
    </row>
    <row r="81" spans="21:23">
      <c r="U81">
        <f>V81/'4-1. 24년 기타경비 실적'!U82</f>
        <v>1.0082016232379325</v>
      </c>
      <c r="V81" s="249">
        <f>SUM(V6,V12,V15,V30,V35,V38,V47)</f>
        <v>23602</v>
      </c>
      <c r="W81" t="s">
        <v>207</v>
      </c>
    </row>
  </sheetData>
  <phoneticPr fontId="4" type="noConversion"/>
  <pageMargins left="0.7" right="0.7" top="0.75" bottom="0.75" header="0.3" footer="0.3"/>
  <pageSetup paperSize="12" scale="61" fitToHeight="0" orientation="landscape" r:id="rId1"/>
  <rowBreaks count="1" manualBreakCount="1">
    <brk id="76" max="2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11</vt:i4>
      </vt:variant>
    </vt:vector>
  </HeadingPairs>
  <TitlesOfParts>
    <vt:vector size="24" baseType="lpstr">
      <vt:lpstr>표지1</vt:lpstr>
      <vt:lpstr>1. 25년 사업계획 총현황</vt:lpstr>
      <vt:lpstr>2-1 공급전(총괄)</vt:lpstr>
      <vt:lpstr>2-2 공급전 상세</vt:lpstr>
      <vt:lpstr>3-1 공급량(총괄)</vt:lpstr>
      <vt:lpstr>3-1 공급량(총괄) (2)</vt:lpstr>
      <vt:lpstr>3-2 공급량상세</vt:lpstr>
      <vt:lpstr>4-1. 24년 기타경비 실적</vt:lpstr>
      <vt:lpstr>4-2. 25년 기타경비 계획</vt:lpstr>
      <vt:lpstr>4-3. 기타경비(중장기)</vt:lpstr>
      <vt:lpstr>5-1. 시설분담금_종합</vt:lpstr>
      <vt:lpstr>5-2. 시설분담금 상세</vt:lpstr>
      <vt:lpstr>참고1_공동주택현황</vt:lpstr>
      <vt:lpstr>'1. 25년 사업계획 총현황'!Print_Area</vt:lpstr>
      <vt:lpstr>'2-1 공급전(총괄)'!Print_Area</vt:lpstr>
      <vt:lpstr>'2-2 공급전 상세'!Print_Area</vt:lpstr>
      <vt:lpstr>'3-1 공급량(총괄)'!Print_Area</vt:lpstr>
      <vt:lpstr>'3-2 공급량상세'!Print_Area</vt:lpstr>
      <vt:lpstr>'4-1. 24년 기타경비 실적'!Print_Area</vt:lpstr>
      <vt:lpstr>'4-2. 25년 기타경비 계획'!Print_Area</vt:lpstr>
      <vt:lpstr>'4-3. 기타경비(중장기)'!Print_Area</vt:lpstr>
      <vt:lpstr>'5-1. 시설분담금_종합'!Print_Area</vt:lpstr>
      <vt:lpstr>'5-2. 시설분담금 상세'!Print_Area</vt:lpstr>
      <vt:lpstr>표지1!Print_Area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최 한엽</cp:lastModifiedBy>
  <cp:lastPrinted>2024-10-22T02:28:10Z</cp:lastPrinted>
  <dcterms:created xsi:type="dcterms:W3CDTF">2024-10-11T23:21:57Z</dcterms:created>
  <dcterms:modified xsi:type="dcterms:W3CDTF">2025-09-19T00:32:59Z</dcterms:modified>
</cp:coreProperties>
</file>