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bo\Downloads\"/>
    </mc:Choice>
  </mc:AlternateContent>
  <xr:revisionPtr revIDLastSave="0" documentId="8_{8F192D3C-25FD-47E9-A4B4-255CE4B49AE1}" xr6:coauthVersionLast="47" xr6:coauthVersionMax="47" xr10:uidLastSave="{00000000-0000-0000-0000-000000000000}"/>
  <bookViews>
    <workbookView xWindow="-108" yWindow="-108" windowWidth="23256" windowHeight="12456" tabRatio="732" activeTab="7" xr2:uid="{4E129FBE-2C14-42C1-BB30-90B776421B1E}"/>
  </bookViews>
  <sheets>
    <sheet name="Income Statement" sheetId="1" r:id="rId1"/>
    <sheet name="Cashflow Statement" sheetId="2" r:id="rId2"/>
    <sheet name="Balance Sheet" sheetId="3" r:id="rId3"/>
    <sheet name="Depr' Schedule" sheetId="4" r:id="rId4"/>
    <sheet name="OWC" sheetId="5" r:id="rId5"/>
    <sheet name="Debt Schedule" sheetId="6" r:id="rId6"/>
    <sheet name="---&gt; Valuation" sheetId="7" r:id="rId7"/>
    <sheet name="DCF Analysis" sheetId="8" r:id="rId8"/>
    <sheet name="Comparable Companies Analysis" sheetId="9" state="hidden" r:id="rId9"/>
    <sheet name="Amazon" sheetId="25" state="hidden" r:id="rId10"/>
    <sheet name="EBAY" sheetId="12" state="hidden" r:id="rId11"/>
    <sheet name="ETSY" sheetId="24" state="hidden" r:id="rId12"/>
    <sheet name="Walmart " sheetId="26" state="hidden" r:id="rId13"/>
    <sheet name="Target" sheetId="30" state="hidden" r:id="rId14"/>
    <sheet name="Google" sheetId="28" state="hidden" r:id="rId15"/>
    <sheet name="Netflix" sheetId="29" state="hidden" r:id="rId16"/>
    <sheet name="Precendent Transaction Analysis" sheetId="10" state="hidden" r:id="rId17"/>
    <sheet name="Football Field (Summary)" sheetId="11" state="hidden" r:id="rId18"/>
  </sheets>
  <calcPr calcId="191029" iterate="1" iterateCount="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J15" i="1" s="1"/>
  <c r="G27" i="2"/>
  <c r="H27" i="2" s="1"/>
  <c r="H19" i="1"/>
  <c r="I19" i="1" s="1"/>
  <c r="J19" i="1" s="1"/>
  <c r="K19" i="1" s="1"/>
  <c r="I52" i="8"/>
  <c r="I50" i="8"/>
  <c r="K50" i="8" s="1"/>
  <c r="I27" i="8"/>
  <c r="F33" i="8" s="1"/>
  <c r="F21" i="8" s="1"/>
  <c r="H21" i="8" s="1"/>
  <c r="I29" i="8"/>
  <c r="I30" i="8" s="1"/>
  <c r="I37" i="8" s="1"/>
  <c r="F30" i="8"/>
  <c r="H20" i="8"/>
  <c r="I20" i="8" s="1"/>
  <c r="H12" i="8"/>
  <c r="I12" i="8"/>
  <c r="J12" i="8"/>
  <c r="K12" i="8"/>
  <c r="G12" i="8"/>
  <c r="F22" i="3"/>
  <c r="G22" i="3" s="1"/>
  <c r="H22" i="3" s="1"/>
  <c r="I22" i="3" s="1"/>
  <c r="J22" i="3" s="1"/>
  <c r="G12" i="2"/>
  <c r="H12" i="2"/>
  <c r="I12" i="2"/>
  <c r="J12" i="2"/>
  <c r="K12" i="2"/>
  <c r="F45" i="3"/>
  <c r="G45" i="3" s="1"/>
  <c r="H45" i="3" s="1"/>
  <c r="I45" i="3" s="1"/>
  <c r="J45" i="3" s="1"/>
  <c r="M23" i="3"/>
  <c r="S23" i="3"/>
  <c r="L23" i="3"/>
  <c r="F30" i="3"/>
  <c r="G30" i="3"/>
  <c r="H30" i="3"/>
  <c r="I30" i="3"/>
  <c r="J30" i="3"/>
  <c r="G47" i="3"/>
  <c r="H47" i="3" s="1"/>
  <c r="I47" i="3" s="1"/>
  <c r="J47" i="3" s="1"/>
  <c r="F47" i="3"/>
  <c r="F44" i="3"/>
  <c r="G44" i="3" s="1"/>
  <c r="H44" i="3" s="1"/>
  <c r="I44" i="3" s="1"/>
  <c r="J44" i="3" s="1"/>
  <c r="F43" i="3"/>
  <c r="G43" i="3" s="1"/>
  <c r="H43" i="3" s="1"/>
  <c r="I43" i="3" s="1"/>
  <c r="J43" i="3" s="1"/>
  <c r="H42" i="1"/>
  <c r="I42" i="1"/>
  <c r="J42" i="1"/>
  <c r="K42" i="1"/>
  <c r="G42" i="1"/>
  <c r="H56" i="6"/>
  <c r="I56" i="6"/>
  <c r="J56" i="6"/>
  <c r="K56" i="6"/>
  <c r="H35" i="6"/>
  <c r="I35" i="6"/>
  <c r="J35" i="6"/>
  <c r="K35" i="6"/>
  <c r="G35" i="6"/>
  <c r="G56" i="6"/>
  <c r="I50" i="6"/>
  <c r="I51" i="6" s="1"/>
  <c r="J50" i="6"/>
  <c r="J51" i="6" s="1"/>
  <c r="K50" i="6"/>
  <c r="K51" i="6" s="1"/>
  <c r="G50" i="6"/>
  <c r="G51" i="6" s="1"/>
  <c r="H47" i="6"/>
  <c r="H50" i="6" s="1"/>
  <c r="H51" i="6" s="1"/>
  <c r="I47" i="6"/>
  <c r="J47" i="6"/>
  <c r="K47" i="6"/>
  <c r="G47" i="6"/>
  <c r="H39" i="6"/>
  <c r="I39" i="6"/>
  <c r="I42" i="6" s="1"/>
  <c r="I43" i="6" s="1"/>
  <c r="J39" i="6"/>
  <c r="K39" i="6"/>
  <c r="K42" i="6" s="1"/>
  <c r="K43" i="6" s="1"/>
  <c r="G39" i="6"/>
  <c r="G42" i="6" s="1"/>
  <c r="G43" i="6" s="1"/>
  <c r="J42" i="6"/>
  <c r="J43" i="6" s="1"/>
  <c r="H42" i="6"/>
  <c r="H43" i="6" s="1"/>
  <c r="F39" i="3"/>
  <c r="F38" i="3"/>
  <c r="G38" i="3" s="1"/>
  <c r="H38" i="3" s="1"/>
  <c r="I38" i="3" s="1"/>
  <c r="J38" i="3" s="1"/>
  <c r="F37" i="3"/>
  <c r="G37" i="3" s="1"/>
  <c r="H37" i="3" s="1"/>
  <c r="I37" i="3" s="1"/>
  <c r="J37" i="3" s="1"/>
  <c r="G36" i="3"/>
  <c r="H36" i="3"/>
  <c r="I36" i="3" s="1"/>
  <c r="J36" i="3" s="1"/>
  <c r="F36" i="3"/>
  <c r="G35" i="3"/>
  <c r="I31" i="6" s="1"/>
  <c r="I34" i="6" s="1"/>
  <c r="H35" i="3"/>
  <c r="I35" i="3" s="1"/>
  <c r="F27" i="3"/>
  <c r="G27" i="3" s="1"/>
  <c r="F35" i="3"/>
  <c r="H31" i="6"/>
  <c r="H34" i="6" s="1"/>
  <c r="G31" i="6"/>
  <c r="G34" i="6" s="1"/>
  <c r="G26" i="6"/>
  <c r="G27" i="6" s="1"/>
  <c r="H23" i="6"/>
  <c r="H26" i="6" s="1"/>
  <c r="H27" i="6" s="1"/>
  <c r="I23" i="6"/>
  <c r="I26" i="6" s="1"/>
  <c r="I27" i="6" s="1"/>
  <c r="J23" i="6"/>
  <c r="J26" i="6" s="1"/>
  <c r="J27" i="6" s="1"/>
  <c r="K23" i="6"/>
  <c r="K26" i="6" s="1"/>
  <c r="K27" i="6" s="1"/>
  <c r="G23" i="6"/>
  <c r="G19" i="6"/>
  <c r="H15" i="6"/>
  <c r="H18" i="6" s="1"/>
  <c r="H19" i="6" s="1"/>
  <c r="G15" i="6"/>
  <c r="G18" i="6" s="1"/>
  <c r="F58" i="6"/>
  <c r="G10" i="6" s="1"/>
  <c r="G31" i="3"/>
  <c r="H31" i="3" s="1"/>
  <c r="I31" i="3" s="1"/>
  <c r="J31" i="3" s="1"/>
  <c r="F31" i="3"/>
  <c r="E14" i="5"/>
  <c r="F14" i="5"/>
  <c r="F15" i="5"/>
  <c r="G15" i="5"/>
  <c r="H15" i="5"/>
  <c r="I15" i="5"/>
  <c r="J15" i="5"/>
  <c r="K15" i="5" s="1"/>
  <c r="H17" i="4"/>
  <c r="I17" i="4"/>
  <c r="J17" i="4"/>
  <c r="K17" i="4"/>
  <c r="G17" i="4"/>
  <c r="G8" i="4"/>
  <c r="F21" i="3"/>
  <c r="G21" i="3" s="1"/>
  <c r="H21" i="3" s="1"/>
  <c r="I21" i="3" s="1"/>
  <c r="J21" i="3" s="1"/>
  <c r="F20" i="3"/>
  <c r="G20" i="3" s="1"/>
  <c r="H20" i="3" s="1"/>
  <c r="I20" i="3" s="1"/>
  <c r="J20" i="3" s="1"/>
  <c r="F19" i="3"/>
  <c r="G19" i="3" s="1"/>
  <c r="H19" i="3" s="1"/>
  <c r="I19" i="3" s="1"/>
  <c r="J19" i="3" s="1"/>
  <c r="F12" i="3"/>
  <c r="G12" i="3" s="1"/>
  <c r="H12" i="3" s="1"/>
  <c r="I12" i="3" s="1"/>
  <c r="J12" i="3" s="1"/>
  <c r="H44" i="2"/>
  <c r="K44" i="2" s="1"/>
  <c r="I44" i="2"/>
  <c r="G44" i="2"/>
  <c r="J44" i="2" s="1"/>
  <c r="G43" i="2"/>
  <c r="H43" i="2"/>
  <c r="I43" i="2"/>
  <c r="J43" i="2"/>
  <c r="K43" i="2"/>
  <c r="G31" i="2"/>
  <c r="H31" i="2" s="1"/>
  <c r="I31" i="2" s="1"/>
  <c r="J31" i="2" s="1"/>
  <c r="K31" i="2" s="1"/>
  <c r="H30" i="2"/>
  <c r="K30" i="2"/>
  <c r="G30" i="2"/>
  <c r="J30" i="2" s="1"/>
  <c r="E27" i="2"/>
  <c r="F27" i="2"/>
  <c r="D27" i="2"/>
  <c r="F21" i="5"/>
  <c r="E21" i="5"/>
  <c r="F22" i="5" s="1"/>
  <c r="G22" i="5" s="1"/>
  <c r="F19" i="5"/>
  <c r="E19" i="5"/>
  <c r="F20" i="5" s="1"/>
  <c r="G20" i="5" s="1"/>
  <c r="H20" i="5" s="1"/>
  <c r="I20" i="5" s="1"/>
  <c r="J20" i="5" s="1"/>
  <c r="K20" i="5" s="1"/>
  <c r="F12" i="5"/>
  <c r="E12" i="5"/>
  <c r="F13" i="5" s="1"/>
  <c r="G13" i="5" s="1"/>
  <c r="H13" i="5" s="1"/>
  <c r="I13" i="5" s="1"/>
  <c r="J13" i="5" s="1"/>
  <c r="K13" i="5" s="1"/>
  <c r="K15" i="1" l="1"/>
  <c r="I27" i="2"/>
  <c r="G21" i="8"/>
  <c r="I21" i="8"/>
  <c r="J20" i="8"/>
  <c r="J21" i="8" s="1"/>
  <c r="G39" i="3"/>
  <c r="J35" i="3"/>
  <c r="K31" i="6"/>
  <c r="K34" i="6" s="1"/>
  <c r="J31" i="6"/>
  <c r="J34" i="6" s="1"/>
  <c r="H27" i="3"/>
  <c r="I15" i="6"/>
  <c r="I18" i="6" s="1"/>
  <c r="I19" i="6" s="1"/>
  <c r="F24" i="5"/>
  <c r="H22" i="5"/>
  <c r="E24" i="5"/>
  <c r="J27" i="2" l="1"/>
  <c r="K27" i="2" s="1"/>
  <c r="K20" i="8"/>
  <c r="K21" i="8" s="1"/>
  <c r="H39" i="3"/>
  <c r="J15" i="6"/>
  <c r="J18" i="6" s="1"/>
  <c r="J19" i="6" s="1"/>
  <c r="I27" i="3"/>
  <c r="I22" i="5"/>
  <c r="I39" i="3" l="1"/>
  <c r="K15" i="6"/>
  <c r="K18" i="6" s="1"/>
  <c r="K19" i="6" s="1"/>
  <c r="J27" i="3"/>
  <c r="J22" i="5"/>
  <c r="J39" i="3" l="1"/>
  <c r="K22" i="5"/>
  <c r="E50" i="3" l="1"/>
  <c r="D50" i="3"/>
  <c r="F10" i="5"/>
  <c r="F16" i="5" s="1"/>
  <c r="F26" i="5" s="1"/>
  <c r="E10" i="5"/>
  <c r="G15" i="2"/>
  <c r="H15" i="2" s="1"/>
  <c r="H14" i="2"/>
  <c r="I14" i="2"/>
  <c r="K14" i="2"/>
  <c r="G14" i="2"/>
  <c r="J14" i="2" s="1"/>
  <c r="E65" i="1"/>
  <c r="F65" i="1"/>
  <c r="D65" i="1"/>
  <c r="H64" i="1"/>
  <c r="I64" i="1"/>
  <c r="K64" i="1"/>
  <c r="G64" i="1"/>
  <c r="J64" i="1" s="1"/>
  <c r="G61" i="1"/>
  <c r="H61" i="1"/>
  <c r="I61" i="1"/>
  <c r="J61" i="1"/>
  <c r="K61" i="1"/>
  <c r="D37" i="1"/>
  <c r="D31" i="1"/>
  <c r="H39" i="1"/>
  <c r="I39" i="1"/>
  <c r="K39" i="1"/>
  <c r="G39" i="1"/>
  <c r="J39" i="1" s="1"/>
  <c r="E28" i="1"/>
  <c r="F28" i="1"/>
  <c r="E26" i="1"/>
  <c r="F26" i="1"/>
  <c r="E19" i="1"/>
  <c r="F19" i="1"/>
  <c r="D19" i="1"/>
  <c r="G14" i="1"/>
  <c r="F13" i="1"/>
  <c r="E13" i="1"/>
  <c r="F11" i="1"/>
  <c r="E11" i="1"/>
  <c r="E40" i="3"/>
  <c r="D40" i="3"/>
  <c r="E23" i="3"/>
  <c r="D23" i="3"/>
  <c r="E48" i="3"/>
  <c r="D48" i="3"/>
  <c r="D32" i="3"/>
  <c r="E32" i="3"/>
  <c r="D53" i="3"/>
  <c r="E15" i="3"/>
  <c r="D15" i="3"/>
  <c r="E32" i="2"/>
  <c r="F32" i="2"/>
  <c r="D32" i="2"/>
  <c r="E22" i="2"/>
  <c r="F22" i="2"/>
  <c r="D22" i="2"/>
  <c r="E43" i="2"/>
  <c r="F43" i="2"/>
  <c r="D43" i="2"/>
  <c r="E61" i="1"/>
  <c r="F61" i="1"/>
  <c r="D61" i="1"/>
  <c r="E44" i="1"/>
  <c r="F44" i="1"/>
  <c r="D44" i="1"/>
  <c r="D28" i="1"/>
  <c r="E14" i="1"/>
  <c r="E21" i="1" s="1"/>
  <c r="F14" i="1"/>
  <c r="F21" i="1" s="1"/>
  <c r="F22" i="1" s="1"/>
  <c r="D14" i="1"/>
  <c r="D21" i="1" s="1"/>
  <c r="D30" i="1" s="1"/>
  <c r="D36" i="1" s="1"/>
  <c r="I2" i="8"/>
  <c r="F78" i="30"/>
  <c r="F70" i="30"/>
  <c r="J62" i="30"/>
  <c r="J58" i="30" s="1"/>
  <c r="J61" i="30"/>
  <c r="J57" i="30"/>
  <c r="J54" i="30"/>
  <c r="J53" i="30"/>
  <c r="J50" i="30"/>
  <c r="J43" i="30"/>
  <c r="J40" i="30"/>
  <c r="J41" i="30"/>
  <c r="J38" i="30"/>
  <c r="J37" i="30"/>
  <c r="J35" i="30"/>
  <c r="J30" i="30"/>
  <c r="J28" i="30"/>
  <c r="J27" i="30"/>
  <c r="J24" i="30"/>
  <c r="J25" i="30"/>
  <c r="J22" i="30"/>
  <c r="J21" i="30"/>
  <c r="J18" i="30"/>
  <c r="J19" i="30"/>
  <c r="J16" i="30"/>
  <c r="J15" i="30"/>
  <c r="J12" i="30"/>
  <c r="J13" i="30"/>
  <c r="J9" i="30"/>
  <c r="I62" i="30"/>
  <c r="I61" i="30"/>
  <c r="I40" i="30"/>
  <c r="I35" i="30"/>
  <c r="I30" i="30"/>
  <c r="I25" i="30"/>
  <c r="I24" i="30"/>
  <c r="I21" i="30"/>
  <c r="I19" i="30"/>
  <c r="I18" i="30"/>
  <c r="I16" i="30"/>
  <c r="I15" i="30"/>
  <c r="I13" i="30"/>
  <c r="I12" i="30"/>
  <c r="I9" i="30"/>
  <c r="G19" i="30"/>
  <c r="H19" i="30"/>
  <c r="G21" i="30"/>
  <c r="G22" i="30" s="1"/>
  <c r="H21" i="30"/>
  <c r="H27" i="30" s="1"/>
  <c r="G25" i="30"/>
  <c r="H25" i="30"/>
  <c r="G27" i="30"/>
  <c r="G28" i="30" s="1"/>
  <c r="G16" i="30"/>
  <c r="H16" i="30"/>
  <c r="G15" i="30"/>
  <c r="H15" i="30"/>
  <c r="H13" i="30"/>
  <c r="G13" i="30"/>
  <c r="E58" i="30"/>
  <c r="D58" i="30"/>
  <c r="E57" i="30"/>
  <c r="D57" i="30"/>
  <c r="E54" i="30"/>
  <c r="D54" i="30"/>
  <c r="E53" i="30"/>
  <c r="D53" i="30"/>
  <c r="E50" i="30"/>
  <c r="D50" i="30"/>
  <c r="E43" i="30"/>
  <c r="D43" i="30"/>
  <c r="D41" i="30"/>
  <c r="E41" i="30"/>
  <c r="E38" i="30"/>
  <c r="D38" i="30"/>
  <c r="D37" i="30"/>
  <c r="E37" i="30"/>
  <c r="D28" i="30"/>
  <c r="E28" i="30"/>
  <c r="E27" i="30"/>
  <c r="D27" i="30"/>
  <c r="E25" i="30"/>
  <c r="D25" i="30"/>
  <c r="D22" i="30"/>
  <c r="D21" i="30"/>
  <c r="E21" i="30"/>
  <c r="E22" i="30" s="1"/>
  <c r="D19" i="30"/>
  <c r="E19" i="30"/>
  <c r="E16" i="30"/>
  <c r="D16" i="30"/>
  <c r="E15" i="30"/>
  <c r="F15" i="30"/>
  <c r="F21" i="30" s="1"/>
  <c r="D15" i="30"/>
  <c r="E13" i="30"/>
  <c r="D13" i="30"/>
  <c r="I40" i="26"/>
  <c r="F25" i="30"/>
  <c r="F19" i="30"/>
  <c r="F13" i="30"/>
  <c r="I35" i="26"/>
  <c r="J35" i="26" s="1"/>
  <c r="I30" i="26"/>
  <c r="J30" i="26" s="1"/>
  <c r="I24" i="26"/>
  <c r="I18" i="26"/>
  <c r="I12" i="26"/>
  <c r="I9" i="26"/>
  <c r="J9" i="26" s="1"/>
  <c r="E70" i="29"/>
  <c r="E70" i="28"/>
  <c r="F70" i="26"/>
  <c r="E70" i="25"/>
  <c r="F78" i="26"/>
  <c r="F67" i="26"/>
  <c r="J62" i="26" s="1"/>
  <c r="J61" i="26"/>
  <c r="J25" i="26"/>
  <c r="J19" i="26"/>
  <c r="I62" i="26"/>
  <c r="I61" i="26"/>
  <c r="I45" i="26"/>
  <c r="H25" i="26"/>
  <c r="E25" i="26"/>
  <c r="H19" i="26"/>
  <c r="E19" i="26"/>
  <c r="H15" i="26"/>
  <c r="H21" i="26" s="1"/>
  <c r="E15" i="26"/>
  <c r="E16" i="26" s="1"/>
  <c r="H13" i="26"/>
  <c r="E13" i="26"/>
  <c r="G12" i="26"/>
  <c r="G15" i="26" s="1"/>
  <c r="D12" i="26"/>
  <c r="D15" i="26" s="1"/>
  <c r="D16" i="26" s="1"/>
  <c r="G25" i="26"/>
  <c r="G19" i="26"/>
  <c r="D25" i="26"/>
  <c r="D19" i="26"/>
  <c r="F12" i="26"/>
  <c r="F15" i="26" s="1"/>
  <c r="F16" i="26" s="1"/>
  <c r="F25" i="26"/>
  <c r="F19" i="26"/>
  <c r="E78" i="25"/>
  <c r="H61" i="25"/>
  <c r="H45" i="25"/>
  <c r="H40" i="25"/>
  <c r="H34" i="25"/>
  <c r="H33" i="25"/>
  <c r="H30" i="25"/>
  <c r="G45" i="25"/>
  <c r="G40" i="25"/>
  <c r="G35" i="25"/>
  <c r="G34" i="25"/>
  <c r="G33" i="25"/>
  <c r="G30" i="25"/>
  <c r="G24" i="25"/>
  <c r="G25" i="25" s="1"/>
  <c r="G12" i="25"/>
  <c r="G13" i="25" s="1"/>
  <c r="G9" i="25"/>
  <c r="G62" i="25"/>
  <c r="G61" i="25"/>
  <c r="F18" i="25"/>
  <c r="F21" i="25" s="1"/>
  <c r="F22" i="25" s="1"/>
  <c r="D18" i="25"/>
  <c r="F35" i="25"/>
  <c r="D35" i="25"/>
  <c r="F16" i="25"/>
  <c r="F15" i="25"/>
  <c r="F13" i="25"/>
  <c r="F25" i="25"/>
  <c r="D25" i="25"/>
  <c r="D19" i="25"/>
  <c r="D13" i="25"/>
  <c r="D16" i="25"/>
  <c r="D15" i="25"/>
  <c r="D21" i="25" s="1"/>
  <c r="D22" i="25" s="1"/>
  <c r="E18" i="25"/>
  <c r="E21" i="25" s="1"/>
  <c r="E27" i="25" s="1"/>
  <c r="E25" i="25"/>
  <c r="H25" i="25" s="1"/>
  <c r="E15" i="25"/>
  <c r="E16" i="25" s="1"/>
  <c r="E13" i="25"/>
  <c r="H13" i="25" s="1"/>
  <c r="E35" i="25"/>
  <c r="E71" i="29"/>
  <c r="E78" i="29" s="1"/>
  <c r="E72" i="29"/>
  <c r="E77" i="29"/>
  <c r="D18" i="29"/>
  <c r="D12" i="29"/>
  <c r="D24" i="29"/>
  <c r="H62" i="29"/>
  <c r="H61" i="29"/>
  <c r="D62" i="29"/>
  <c r="D61" i="29"/>
  <c r="D40" i="29"/>
  <c r="D35" i="29"/>
  <c r="D33" i="29"/>
  <c r="D34" i="29"/>
  <c r="D9" i="29"/>
  <c r="G18" i="1" l="1"/>
  <c r="G19" i="5" s="1"/>
  <c r="G12" i="5"/>
  <c r="G17" i="2" s="1"/>
  <c r="F14" i="3" s="1"/>
  <c r="G26" i="2"/>
  <c r="F11" i="5"/>
  <c r="G11" i="5" s="1"/>
  <c r="E16" i="5"/>
  <c r="E26" i="5" s="1"/>
  <c r="F27" i="5"/>
  <c r="H11" i="5"/>
  <c r="I15" i="2"/>
  <c r="J15" i="2" s="1"/>
  <c r="K15" i="2" s="1"/>
  <c r="E30" i="1"/>
  <c r="E31" i="1" s="1"/>
  <c r="E22" i="1"/>
  <c r="D26" i="1"/>
  <c r="G25" i="1"/>
  <c r="G28" i="1" s="1"/>
  <c r="D48" i="1"/>
  <c r="E15" i="1"/>
  <c r="F15" i="1"/>
  <c r="F30" i="1"/>
  <c r="F31" i="1" s="1"/>
  <c r="D22" i="1"/>
  <c r="E36" i="1"/>
  <c r="E53" i="3"/>
  <c r="G37" i="30"/>
  <c r="G41" i="30" s="1"/>
  <c r="I27" i="30"/>
  <c r="I28" i="30"/>
  <c r="I37" i="30"/>
  <c r="I22" i="30"/>
  <c r="H22" i="30"/>
  <c r="G38" i="30"/>
  <c r="H37" i="30"/>
  <c r="H28" i="30"/>
  <c r="G43" i="30"/>
  <c r="F22" i="30"/>
  <c r="F27" i="30"/>
  <c r="F16" i="30"/>
  <c r="J24" i="26"/>
  <c r="I41" i="26"/>
  <c r="I19" i="26"/>
  <c r="I25" i="26"/>
  <c r="J18" i="26"/>
  <c r="D13" i="29"/>
  <c r="D19" i="29"/>
  <c r="G18" i="25"/>
  <c r="G19" i="25" s="1"/>
  <c r="H35" i="25"/>
  <c r="F19" i="25"/>
  <c r="H9" i="25"/>
  <c r="H12" i="25" s="1"/>
  <c r="G15" i="25"/>
  <c r="H22" i="26"/>
  <c r="H27" i="26"/>
  <c r="H28" i="26" s="1"/>
  <c r="H16" i="26"/>
  <c r="E21" i="26"/>
  <c r="E27" i="26" s="1"/>
  <c r="E28" i="26" s="1"/>
  <c r="E22" i="26"/>
  <c r="I13" i="26"/>
  <c r="H37" i="26"/>
  <c r="F13" i="26"/>
  <c r="J13" i="26" s="1"/>
  <c r="J12" i="26" s="1"/>
  <c r="J15" i="26" s="1"/>
  <c r="D13" i="26"/>
  <c r="G16" i="26"/>
  <c r="G21" i="26"/>
  <c r="G13" i="26"/>
  <c r="D21" i="26"/>
  <c r="F21" i="26"/>
  <c r="H62" i="25"/>
  <c r="F27" i="25"/>
  <c r="D27" i="25"/>
  <c r="D28" i="25" s="1"/>
  <c r="D37" i="25"/>
  <c r="E19" i="25"/>
  <c r="H19" i="25" s="1"/>
  <c r="E28" i="25"/>
  <c r="E37" i="25"/>
  <c r="E43" i="25" s="1"/>
  <c r="E50" i="25" s="1"/>
  <c r="E22" i="25"/>
  <c r="D15" i="29"/>
  <c r="D16" i="29"/>
  <c r="D21" i="29"/>
  <c r="D25" i="29"/>
  <c r="G21" i="1" l="1"/>
  <c r="G30" i="1" s="1"/>
  <c r="G10" i="5"/>
  <c r="G32" i="2"/>
  <c r="G15" i="8"/>
  <c r="G9" i="4"/>
  <c r="G21" i="5"/>
  <c r="G20" i="2" s="1"/>
  <c r="F29" i="3" s="1"/>
  <c r="G14" i="5"/>
  <c r="G19" i="2"/>
  <c r="F28" i="3" s="1"/>
  <c r="G24" i="5"/>
  <c r="G18" i="2"/>
  <c r="G16" i="5"/>
  <c r="G26" i="5" s="1"/>
  <c r="G27" i="5" s="1"/>
  <c r="G14" i="8" s="1"/>
  <c r="I11" i="5"/>
  <c r="G22" i="1"/>
  <c r="F36" i="1"/>
  <c r="E48" i="1"/>
  <c r="E37" i="1"/>
  <c r="D54" i="1"/>
  <c r="D63" i="1" s="1"/>
  <c r="D49" i="1"/>
  <c r="D52" i="1"/>
  <c r="I38" i="30"/>
  <c r="I43" i="30"/>
  <c r="I41" i="30"/>
  <c r="H43" i="30"/>
  <c r="H41" i="30"/>
  <c r="H38" i="30"/>
  <c r="G58" i="30"/>
  <c r="G57" i="30"/>
  <c r="G50" i="30"/>
  <c r="F37" i="30"/>
  <c r="F28" i="30"/>
  <c r="H18" i="25"/>
  <c r="H24" i="25"/>
  <c r="G16" i="25"/>
  <c r="G21" i="25"/>
  <c r="H15" i="25"/>
  <c r="E38" i="25"/>
  <c r="J16" i="26"/>
  <c r="J21" i="26"/>
  <c r="E37" i="26"/>
  <c r="I15" i="26"/>
  <c r="H38" i="26"/>
  <c r="H43" i="26"/>
  <c r="H41" i="26"/>
  <c r="E38" i="26"/>
  <c r="E41" i="26"/>
  <c r="E43" i="26"/>
  <c r="D22" i="26"/>
  <c r="D27" i="26"/>
  <c r="G22" i="26"/>
  <c r="G27" i="26"/>
  <c r="F27" i="26"/>
  <c r="F22" i="26"/>
  <c r="F28" i="25"/>
  <c r="F37" i="25"/>
  <c r="D41" i="25"/>
  <c r="D43" i="25"/>
  <c r="D38" i="25"/>
  <c r="E57" i="25"/>
  <c r="E58" i="25"/>
  <c r="E41" i="25"/>
  <c r="E54" i="25"/>
  <c r="E53" i="25"/>
  <c r="D22" i="29"/>
  <c r="D27" i="29"/>
  <c r="F32" i="3" l="1"/>
  <c r="F40" i="3" s="1"/>
  <c r="H18" i="4"/>
  <c r="I18" i="4"/>
  <c r="J18" i="4"/>
  <c r="K18" i="4"/>
  <c r="G18" i="4"/>
  <c r="G23" i="4" s="1"/>
  <c r="G33" i="1" s="1"/>
  <c r="G36" i="1" s="1"/>
  <c r="G10" i="8" s="1"/>
  <c r="G22" i="2"/>
  <c r="F13" i="3"/>
  <c r="J11" i="5"/>
  <c r="E54" i="1"/>
  <c r="E63" i="1" s="1"/>
  <c r="E52" i="1"/>
  <c r="E49" i="1"/>
  <c r="F48" i="1"/>
  <c r="F37" i="1"/>
  <c r="D10" i="2"/>
  <c r="D23" i="2" s="1"/>
  <c r="H14" i="1"/>
  <c r="G31" i="1"/>
  <c r="I57" i="30"/>
  <c r="I50" i="30"/>
  <c r="I58" i="30"/>
  <c r="G54" i="30"/>
  <c r="G53" i="30"/>
  <c r="H58" i="30"/>
  <c r="H50" i="30"/>
  <c r="H57" i="30"/>
  <c r="F43" i="30"/>
  <c r="F41" i="30"/>
  <c r="F38" i="30"/>
  <c r="G27" i="25"/>
  <c r="G22" i="25"/>
  <c r="H16" i="25"/>
  <c r="H21" i="25"/>
  <c r="J27" i="26"/>
  <c r="J22" i="26"/>
  <c r="E50" i="26"/>
  <c r="E57" i="26"/>
  <c r="E58" i="26"/>
  <c r="H58" i="26"/>
  <c r="H50" i="26"/>
  <c r="H57" i="26"/>
  <c r="I21" i="26"/>
  <c r="I16" i="26"/>
  <c r="G28" i="26"/>
  <c r="G37" i="26"/>
  <c r="G38" i="26" s="1"/>
  <c r="D28" i="26"/>
  <c r="D37" i="26"/>
  <c r="D38" i="26" s="1"/>
  <c r="F37" i="26"/>
  <c r="F38" i="26" s="1"/>
  <c r="F28" i="26"/>
  <c r="F43" i="25"/>
  <c r="F41" i="25"/>
  <c r="F38" i="25"/>
  <c r="D50" i="25"/>
  <c r="D57" i="25"/>
  <c r="D58" i="25"/>
  <c r="D28" i="29"/>
  <c r="D37" i="29"/>
  <c r="H12" i="5" l="1"/>
  <c r="H17" i="2" s="1"/>
  <c r="G14" i="3" s="1"/>
  <c r="H26" i="2"/>
  <c r="G11" i="8"/>
  <c r="G11" i="2"/>
  <c r="F18" i="3" s="1"/>
  <c r="D46" i="2"/>
  <c r="D49" i="2"/>
  <c r="K11" i="5"/>
  <c r="I14" i="1"/>
  <c r="H25" i="1"/>
  <c r="H28" i="1" s="1"/>
  <c r="H18" i="1"/>
  <c r="D69" i="1"/>
  <c r="D68" i="1"/>
  <c r="F54" i="1"/>
  <c r="F63" i="1" s="1"/>
  <c r="F49" i="1"/>
  <c r="F52" i="1"/>
  <c r="G37" i="1"/>
  <c r="E10" i="2"/>
  <c r="E23" i="2" s="1"/>
  <c r="I54" i="30"/>
  <c r="I53" i="30"/>
  <c r="H54" i="30"/>
  <c r="H53" i="30"/>
  <c r="F50" i="30"/>
  <c r="F58" i="30"/>
  <c r="F57" i="30"/>
  <c r="H27" i="25"/>
  <c r="H22" i="25"/>
  <c r="G37" i="25"/>
  <c r="G28" i="25"/>
  <c r="J28" i="26"/>
  <c r="J37" i="26"/>
  <c r="H54" i="26"/>
  <c r="H53" i="26"/>
  <c r="I22" i="26"/>
  <c r="I27" i="26"/>
  <c r="E54" i="26"/>
  <c r="E53" i="26"/>
  <c r="D43" i="26"/>
  <c r="D41" i="26"/>
  <c r="G43" i="26"/>
  <c r="G41" i="26"/>
  <c r="F43" i="26"/>
  <c r="F41" i="26"/>
  <c r="J41" i="26" s="1"/>
  <c r="F50" i="25"/>
  <c r="F58" i="25"/>
  <c r="F57" i="25"/>
  <c r="D54" i="25"/>
  <c r="D53" i="25"/>
  <c r="D38" i="29"/>
  <c r="D43" i="29"/>
  <c r="D41" i="29"/>
  <c r="H21" i="1" l="1"/>
  <c r="H30" i="1" s="1"/>
  <c r="H19" i="5"/>
  <c r="H10" i="5"/>
  <c r="H14" i="5"/>
  <c r="H21" i="5"/>
  <c r="H20" i="2" s="1"/>
  <c r="G29" i="3" s="1"/>
  <c r="I12" i="5"/>
  <c r="I17" i="2" s="1"/>
  <c r="H14" i="3" s="1"/>
  <c r="I26" i="2"/>
  <c r="H32" i="2"/>
  <c r="H9" i="4"/>
  <c r="H15" i="8"/>
  <c r="E46" i="2"/>
  <c r="E49" i="2"/>
  <c r="J14" i="1"/>
  <c r="I18" i="1"/>
  <c r="I25" i="1"/>
  <c r="I28" i="1" s="1"/>
  <c r="E69" i="1"/>
  <c r="E68" i="1"/>
  <c r="F10" i="2"/>
  <c r="F23" i="2" s="1"/>
  <c r="F54" i="30"/>
  <c r="F53" i="30"/>
  <c r="G38" i="25"/>
  <c r="G43" i="25"/>
  <c r="G41" i="25"/>
  <c r="H28" i="25"/>
  <c r="H37" i="25"/>
  <c r="J38" i="26"/>
  <c r="J40" i="26"/>
  <c r="J43" i="26" s="1"/>
  <c r="I37" i="26"/>
  <c r="I28" i="26"/>
  <c r="D50" i="26"/>
  <c r="D58" i="26"/>
  <c r="D57" i="26"/>
  <c r="G50" i="26"/>
  <c r="G58" i="26"/>
  <c r="G57" i="26"/>
  <c r="F57" i="26"/>
  <c r="F50" i="26"/>
  <c r="F58" i="26"/>
  <c r="F54" i="25"/>
  <c r="F53" i="25"/>
  <c r="G30" i="29"/>
  <c r="H30" i="29" s="1"/>
  <c r="E18" i="29"/>
  <c r="F24" i="29"/>
  <c r="F12" i="29"/>
  <c r="F18" i="29"/>
  <c r="F19" i="29" s="1"/>
  <c r="F62" i="29"/>
  <c r="G62" i="29" s="1"/>
  <c r="F61" i="29"/>
  <c r="G61" i="29" s="1"/>
  <c r="F40" i="29"/>
  <c r="F34" i="29"/>
  <c r="F33" i="29"/>
  <c r="F35" i="29" s="1"/>
  <c r="F9" i="29"/>
  <c r="H22" i="1" l="1"/>
  <c r="I14" i="5"/>
  <c r="I21" i="5"/>
  <c r="I20" i="2" s="1"/>
  <c r="I21" i="1"/>
  <c r="I22" i="1" s="1"/>
  <c r="I19" i="5"/>
  <c r="I10" i="5"/>
  <c r="H19" i="4"/>
  <c r="H23" i="4" s="1"/>
  <c r="H33" i="1" s="1"/>
  <c r="I19" i="4"/>
  <c r="J19" i="4"/>
  <c r="K19" i="4"/>
  <c r="J12" i="5"/>
  <c r="J26" i="2"/>
  <c r="I32" i="2"/>
  <c r="I15" i="8"/>
  <c r="I9" i="4"/>
  <c r="H29" i="3"/>
  <c r="H18" i="2"/>
  <c r="H16" i="5"/>
  <c r="H19" i="2"/>
  <c r="G28" i="3" s="1"/>
  <c r="H24" i="5"/>
  <c r="F46" i="2"/>
  <c r="F49" i="2"/>
  <c r="F68" i="1"/>
  <c r="F69" i="1"/>
  <c r="I30" i="1"/>
  <c r="H31" i="1"/>
  <c r="K14" i="1"/>
  <c r="J18" i="1"/>
  <c r="J25" i="1"/>
  <c r="J28" i="1" s="1"/>
  <c r="F25" i="29"/>
  <c r="G18" i="29"/>
  <c r="H43" i="25"/>
  <c r="H38" i="25"/>
  <c r="H41" i="25"/>
  <c r="G58" i="25"/>
  <c r="G50" i="25"/>
  <c r="G57" i="25"/>
  <c r="J50" i="26"/>
  <c r="J57" i="26"/>
  <c r="J58" i="26"/>
  <c r="I38" i="26"/>
  <c r="I43" i="26"/>
  <c r="G54" i="26"/>
  <c r="G53" i="26"/>
  <c r="D53" i="26"/>
  <c r="D54" i="26"/>
  <c r="F53" i="26"/>
  <c r="F54" i="26"/>
  <c r="F13" i="29"/>
  <c r="F15" i="29"/>
  <c r="F21" i="29" s="1"/>
  <c r="J32" i="2" l="1"/>
  <c r="J15" i="8"/>
  <c r="J9" i="4"/>
  <c r="J17" i="2"/>
  <c r="I14" i="3" s="1"/>
  <c r="J14" i="5"/>
  <c r="J21" i="5"/>
  <c r="J20" i="2" s="1"/>
  <c r="I29" i="3" s="1"/>
  <c r="J21" i="1"/>
  <c r="J22" i="1" s="1"/>
  <c r="J19" i="5"/>
  <c r="J10" i="5"/>
  <c r="K12" i="5"/>
  <c r="K17" i="2" s="1"/>
  <c r="K26" i="2"/>
  <c r="G32" i="3"/>
  <c r="G40" i="3" s="1"/>
  <c r="H11" i="8"/>
  <c r="H11" i="2"/>
  <c r="G18" i="3" s="1"/>
  <c r="H36" i="1"/>
  <c r="H10" i="8" s="1"/>
  <c r="H26" i="5"/>
  <c r="H27" i="5" s="1"/>
  <c r="H14" i="8" s="1"/>
  <c r="I16" i="5"/>
  <c r="I18" i="2"/>
  <c r="H22" i="2"/>
  <c r="G13" i="3"/>
  <c r="I19" i="2"/>
  <c r="H28" i="3" s="1"/>
  <c r="I24" i="5"/>
  <c r="I20" i="4"/>
  <c r="I23" i="4" s="1"/>
  <c r="I33" i="1" s="1"/>
  <c r="J20" i="4"/>
  <c r="K20" i="4"/>
  <c r="K25" i="1"/>
  <c r="K28" i="1" s="1"/>
  <c r="K18" i="1"/>
  <c r="I31" i="1"/>
  <c r="H57" i="25"/>
  <c r="H50" i="25"/>
  <c r="H58" i="25"/>
  <c r="G53" i="25"/>
  <c r="G54" i="25"/>
  <c r="J54" i="26"/>
  <c r="J53" i="26"/>
  <c r="I50" i="26"/>
  <c r="I57" i="26"/>
  <c r="I58" i="26"/>
  <c r="F16" i="29"/>
  <c r="F22" i="29"/>
  <c r="F27" i="29"/>
  <c r="H37" i="1" l="1"/>
  <c r="I22" i="2"/>
  <c r="I26" i="5"/>
  <c r="I27" i="5" s="1"/>
  <c r="I14" i="8" s="1"/>
  <c r="J14" i="3"/>
  <c r="I11" i="8"/>
  <c r="I11" i="2"/>
  <c r="I36" i="1"/>
  <c r="I10" i="8" s="1"/>
  <c r="J16" i="5"/>
  <c r="J18" i="2"/>
  <c r="K21" i="1"/>
  <c r="K22" i="1" s="1"/>
  <c r="K19" i="5"/>
  <c r="K10" i="5"/>
  <c r="J19" i="2"/>
  <c r="I28" i="3" s="1"/>
  <c r="J24" i="5"/>
  <c r="K14" i="5"/>
  <c r="K21" i="5"/>
  <c r="K20" i="2" s="1"/>
  <c r="J29" i="3" s="1"/>
  <c r="J30" i="1"/>
  <c r="J31" i="1" s="1"/>
  <c r="H18" i="3"/>
  <c r="H32" i="3"/>
  <c r="H40" i="3" s="1"/>
  <c r="K32" i="2"/>
  <c r="K15" i="8"/>
  <c r="K9" i="4"/>
  <c r="K22" i="4" s="1"/>
  <c r="J21" i="4"/>
  <c r="J23" i="4" s="1"/>
  <c r="J33" i="1" s="1"/>
  <c r="K21" i="4"/>
  <c r="K23" i="4" s="1"/>
  <c r="K33" i="1" s="1"/>
  <c r="H13" i="3"/>
  <c r="H53" i="25"/>
  <c r="H54" i="25"/>
  <c r="I53" i="26"/>
  <c r="I54" i="26"/>
  <c r="F28" i="29"/>
  <c r="F37" i="29"/>
  <c r="I13" i="3" l="1"/>
  <c r="K11" i="8"/>
  <c r="K11" i="2"/>
  <c r="I32" i="3"/>
  <c r="I40" i="3" s="1"/>
  <c r="J11" i="8"/>
  <c r="J11" i="2"/>
  <c r="I18" i="3" s="1"/>
  <c r="K16" i="5"/>
  <c r="K18" i="2"/>
  <c r="J13" i="3" s="1"/>
  <c r="K19" i="2"/>
  <c r="J28" i="3" s="1"/>
  <c r="J32" i="3" s="1"/>
  <c r="J40" i="3" s="1"/>
  <c r="K24" i="5"/>
  <c r="J22" i="2"/>
  <c r="J26" i="5"/>
  <c r="J27" i="5" s="1"/>
  <c r="J14" i="8" s="1"/>
  <c r="J36" i="1"/>
  <c r="J10" i="8" s="1"/>
  <c r="K30" i="1"/>
  <c r="I36" i="8" s="1"/>
  <c r="I38" i="8" s="1"/>
  <c r="I39" i="8" s="1"/>
  <c r="I48" i="8" s="1"/>
  <c r="I37" i="1"/>
  <c r="K36" i="1"/>
  <c r="K10" i="8" s="1"/>
  <c r="K31" i="1"/>
  <c r="F38" i="29"/>
  <c r="F41" i="29"/>
  <c r="F43" i="29"/>
  <c r="J18" i="3" l="1"/>
  <c r="J37" i="1"/>
  <c r="K26" i="5"/>
  <c r="K27" i="5" s="1"/>
  <c r="K14" i="8" s="1"/>
  <c r="K22" i="2"/>
  <c r="K37" i="1"/>
  <c r="E12" i="29"/>
  <c r="G12" i="29" s="1"/>
  <c r="E24" i="29"/>
  <c r="G24" i="29" s="1"/>
  <c r="F58" i="29"/>
  <c r="F57" i="29"/>
  <c r="D58" i="29"/>
  <c r="D57" i="29"/>
  <c r="E62" i="29"/>
  <c r="E61" i="29"/>
  <c r="F50" i="29"/>
  <c r="F54" i="29" s="1"/>
  <c r="D50" i="29"/>
  <c r="D54" i="29" s="1"/>
  <c r="E33" i="29"/>
  <c r="G33" i="29" s="1"/>
  <c r="H33" i="29" s="1"/>
  <c r="E34" i="29"/>
  <c r="G34" i="29" s="1"/>
  <c r="H34" i="29" s="1"/>
  <c r="E40" i="29"/>
  <c r="G40" i="29" s="1"/>
  <c r="E9" i="29"/>
  <c r="E78" i="28"/>
  <c r="E67" i="12"/>
  <c r="E70" i="12" s="1"/>
  <c r="E67" i="24"/>
  <c r="E70" i="24" s="1"/>
  <c r="E67" i="28"/>
  <c r="H62" i="28" s="1"/>
  <c r="H61" i="28"/>
  <c r="H30" i="28"/>
  <c r="H25" i="28"/>
  <c r="H9" i="28"/>
  <c r="G40" i="28"/>
  <c r="H35" i="28"/>
  <c r="G35" i="28"/>
  <c r="G30" i="28"/>
  <c r="G24" i="28"/>
  <c r="G25" i="28" s="1"/>
  <c r="G12" i="28"/>
  <c r="G15" i="28" s="1"/>
  <c r="G9" i="28"/>
  <c r="E18" i="28"/>
  <c r="E19" i="28" s="1"/>
  <c r="H19" i="28" s="1"/>
  <c r="E12" i="28"/>
  <c r="E15" i="28" s="1"/>
  <c r="E16" i="28" s="1"/>
  <c r="F18" i="28"/>
  <c r="F19" i="28" s="1"/>
  <c r="D18" i="28"/>
  <c r="F12" i="28"/>
  <c r="F15" i="28" s="1"/>
  <c r="D12" i="28"/>
  <c r="D13" i="28" s="1"/>
  <c r="F35" i="28"/>
  <c r="F25" i="28"/>
  <c r="F13" i="28"/>
  <c r="D35" i="28"/>
  <c r="D25" i="28"/>
  <c r="G62" i="28"/>
  <c r="G61" i="28"/>
  <c r="E35" i="28"/>
  <c r="E25" i="28"/>
  <c r="E13" i="28"/>
  <c r="H13" i="28" s="1"/>
  <c r="E77" i="24"/>
  <c r="E73" i="24"/>
  <c r="E72" i="24"/>
  <c r="E71" i="24"/>
  <c r="H61" i="24"/>
  <c r="G46" i="24"/>
  <c r="G47" i="24"/>
  <c r="G48" i="24"/>
  <c r="G45" i="24"/>
  <c r="G33" i="24"/>
  <c r="H33" i="24" s="1"/>
  <c r="G30" i="24"/>
  <c r="H30" i="24" s="1"/>
  <c r="G18" i="24"/>
  <c r="F12" i="24"/>
  <c r="F13" i="24" s="1"/>
  <c r="F40" i="24"/>
  <c r="F41" i="24" s="1"/>
  <c r="F30" i="24"/>
  <c r="F18" i="24"/>
  <c r="F19" i="24" s="1"/>
  <c r="F9" i="24"/>
  <c r="F25" i="24" s="1"/>
  <c r="F62" i="24"/>
  <c r="G62" i="24" s="1"/>
  <c r="F61" i="24"/>
  <c r="G61" i="24" s="1"/>
  <c r="D62" i="24"/>
  <c r="D61" i="24"/>
  <c r="D12" i="24"/>
  <c r="D13" i="24" s="1"/>
  <c r="D40" i="24"/>
  <c r="F35" i="24"/>
  <c r="D35" i="24"/>
  <c r="F24" i="24"/>
  <c r="D24" i="24"/>
  <c r="D18" i="24"/>
  <c r="D19" i="24" s="1"/>
  <c r="D9" i="24"/>
  <c r="E12" i="24"/>
  <c r="E15" i="24" s="1"/>
  <c r="E24" i="24"/>
  <c r="G24" i="24" s="1"/>
  <c r="E62" i="24"/>
  <c r="E61" i="24"/>
  <c r="E19" i="24"/>
  <c r="H19" i="24" s="1"/>
  <c r="E45" i="24"/>
  <c r="E40" i="24"/>
  <c r="G40" i="24" s="1"/>
  <c r="E34" i="24"/>
  <c r="G34" i="24" s="1"/>
  <c r="H34" i="24" s="1"/>
  <c r="E33" i="24"/>
  <c r="E18" i="24"/>
  <c r="E9" i="24"/>
  <c r="H61" i="12"/>
  <c r="H35" i="12"/>
  <c r="H25" i="12"/>
  <c r="H19" i="12"/>
  <c r="G48" i="12"/>
  <c r="G47" i="12"/>
  <c r="G46" i="12"/>
  <c r="G45" i="12"/>
  <c r="G62" i="12"/>
  <c r="G61" i="12"/>
  <c r="G40" i="12"/>
  <c r="G35" i="12"/>
  <c r="G18" i="12"/>
  <c r="G24" i="12"/>
  <c r="G9" i="12"/>
  <c r="F12" i="12"/>
  <c r="F15" i="12" s="1"/>
  <c r="F25" i="12"/>
  <c r="F19" i="12"/>
  <c r="F13" i="12"/>
  <c r="F18" i="12"/>
  <c r="D12" i="12"/>
  <c r="D15" i="12" s="1"/>
  <c r="D16" i="12" s="1"/>
  <c r="D18" i="12"/>
  <c r="D25" i="12"/>
  <c r="D19" i="12"/>
  <c r="D13" i="12"/>
  <c r="E25" i="12"/>
  <c r="E19" i="12"/>
  <c r="E18" i="12"/>
  <c r="E12" i="12"/>
  <c r="E15" i="12" s="1"/>
  <c r="E16" i="12" s="1"/>
  <c r="H18" i="28" l="1"/>
  <c r="H12" i="28"/>
  <c r="H24" i="28"/>
  <c r="G9" i="29"/>
  <c r="H35" i="29"/>
  <c r="G16" i="28"/>
  <c r="G13" i="28"/>
  <c r="D21" i="28"/>
  <c r="D27" i="28" s="1"/>
  <c r="D37" i="28" s="1"/>
  <c r="D41" i="28" s="1"/>
  <c r="G18" i="28"/>
  <c r="G19" i="28" s="1"/>
  <c r="H15" i="28"/>
  <c r="H21" i="28" s="1"/>
  <c r="D15" i="28"/>
  <c r="D16" i="28" s="1"/>
  <c r="F16" i="12"/>
  <c r="F21" i="12"/>
  <c r="G19" i="12"/>
  <c r="E13" i="12"/>
  <c r="H13" i="12" s="1"/>
  <c r="G25" i="12"/>
  <c r="H9" i="12"/>
  <c r="G12" i="12"/>
  <c r="G13" i="12" s="1"/>
  <c r="H35" i="24"/>
  <c r="E13" i="24"/>
  <c r="H13" i="24" s="1"/>
  <c r="D25" i="24"/>
  <c r="G12" i="24"/>
  <c r="G13" i="24" s="1"/>
  <c r="G35" i="24"/>
  <c r="H62" i="24"/>
  <c r="F15" i="24"/>
  <c r="F21" i="24" s="1"/>
  <c r="F27" i="24" s="1"/>
  <c r="G9" i="24"/>
  <c r="E78" i="24"/>
  <c r="E15" i="29"/>
  <c r="E13" i="29"/>
  <c r="H13" i="29" s="1"/>
  <c r="G25" i="29"/>
  <c r="G35" i="29"/>
  <c r="G13" i="29"/>
  <c r="G15" i="29"/>
  <c r="G16" i="29" s="1"/>
  <c r="G19" i="29"/>
  <c r="H9" i="29"/>
  <c r="E25" i="29"/>
  <c r="H25" i="29" s="1"/>
  <c r="G41" i="29"/>
  <c r="D53" i="29"/>
  <c r="F53" i="29"/>
  <c r="E19" i="29"/>
  <c r="H19" i="29" s="1"/>
  <c r="E35" i="29"/>
  <c r="H16" i="28"/>
  <c r="D19" i="28"/>
  <c r="F21" i="28"/>
  <c r="F16" i="28"/>
  <c r="D22" i="28"/>
  <c r="D28" i="28"/>
  <c r="E21" i="28"/>
  <c r="F22" i="24"/>
  <c r="D15" i="24"/>
  <c r="E21" i="24"/>
  <c r="E27" i="24" s="1"/>
  <c r="E16" i="24"/>
  <c r="E25" i="24"/>
  <c r="H25" i="24" s="1"/>
  <c r="E35" i="24"/>
  <c r="H62" i="12"/>
  <c r="D21" i="12"/>
  <c r="E21" i="12"/>
  <c r="H18" i="12" l="1"/>
  <c r="H24" i="29"/>
  <c r="H12" i="29"/>
  <c r="H15" i="29" s="1"/>
  <c r="H16" i="29" s="1"/>
  <c r="H18" i="29"/>
  <c r="E27" i="28"/>
  <c r="D38" i="28"/>
  <c r="D43" i="28"/>
  <c r="D50" i="28" s="1"/>
  <c r="D58" i="28" s="1"/>
  <c r="H22" i="28"/>
  <c r="H27" i="28"/>
  <c r="G21" i="28"/>
  <c r="D22" i="12"/>
  <c r="D27" i="12"/>
  <c r="H12" i="12"/>
  <c r="H15" i="12" s="1"/>
  <c r="F22" i="12"/>
  <c r="F27" i="12"/>
  <c r="H24" i="12"/>
  <c r="G15" i="12"/>
  <c r="E37" i="24"/>
  <c r="E28" i="24"/>
  <c r="E22" i="24"/>
  <c r="G15" i="24"/>
  <c r="H9" i="24"/>
  <c r="F16" i="24"/>
  <c r="G19" i="24"/>
  <c r="G25" i="24"/>
  <c r="E21" i="29"/>
  <c r="E16" i="29"/>
  <c r="F22" i="28"/>
  <c r="F27" i="28"/>
  <c r="D54" i="28"/>
  <c r="D57" i="28"/>
  <c r="E28" i="28"/>
  <c r="E22" i="28"/>
  <c r="F37" i="24"/>
  <c r="F28" i="24"/>
  <c r="D21" i="24"/>
  <c r="D16" i="24"/>
  <c r="E22" i="12"/>
  <c r="H22" i="12" s="1"/>
  <c r="E27" i="12"/>
  <c r="E7" i="8"/>
  <c r="F7" i="8" s="1"/>
  <c r="G7" i="8" s="1"/>
  <c r="H7" i="8" s="1"/>
  <c r="I7" i="8" s="1"/>
  <c r="J7" i="8" s="1"/>
  <c r="K7" i="8" s="1"/>
  <c r="E7" i="6"/>
  <c r="F7" i="6" s="1"/>
  <c r="G7" i="6" s="1"/>
  <c r="H7" i="6" s="1"/>
  <c r="I7" i="6" s="1"/>
  <c r="J7" i="6" s="1"/>
  <c r="K7" i="6" s="1"/>
  <c r="E7" i="5"/>
  <c r="F7" i="5" s="1"/>
  <c r="G7" i="5" s="1"/>
  <c r="H7" i="5" s="1"/>
  <c r="I7" i="5" s="1"/>
  <c r="J7" i="5" s="1"/>
  <c r="K7" i="5" s="1"/>
  <c r="E7" i="4"/>
  <c r="F7" i="4" s="1"/>
  <c r="G7" i="4" s="1"/>
  <c r="H7" i="4" s="1"/>
  <c r="I7" i="4" s="1"/>
  <c r="J7" i="4" s="1"/>
  <c r="K7" i="4" s="1"/>
  <c r="C22" i="4" s="1"/>
  <c r="E7" i="3"/>
  <c r="F7" i="3" s="1"/>
  <c r="G7" i="3" s="1"/>
  <c r="H7" i="3" s="1"/>
  <c r="I7" i="3" s="1"/>
  <c r="J7" i="3" s="1"/>
  <c r="E7" i="2"/>
  <c r="F7" i="2" s="1"/>
  <c r="G7" i="2" s="1"/>
  <c r="H7" i="2" s="1"/>
  <c r="I7" i="2" s="1"/>
  <c r="J7" i="2" s="1"/>
  <c r="K7" i="2" s="1"/>
  <c r="E7" i="1"/>
  <c r="F7" i="1" s="1"/>
  <c r="G7" i="1" s="1"/>
  <c r="H7" i="1" s="1"/>
  <c r="I7" i="1" s="1"/>
  <c r="J7" i="1" s="1"/>
  <c r="K7" i="1" s="1"/>
  <c r="C18" i="4" l="1"/>
  <c r="C19" i="4"/>
  <c r="C20" i="4"/>
  <c r="C21" i="4"/>
  <c r="H24" i="24"/>
  <c r="D53" i="28"/>
  <c r="G22" i="28"/>
  <c r="G27" i="28"/>
  <c r="H37" i="28"/>
  <c r="H28" i="28"/>
  <c r="E37" i="28"/>
  <c r="F37" i="12"/>
  <c r="F28" i="12"/>
  <c r="G21" i="12"/>
  <c r="G16" i="12"/>
  <c r="D37" i="12"/>
  <c r="D28" i="12"/>
  <c r="H18" i="24"/>
  <c r="H12" i="24"/>
  <c r="H15" i="24" s="1"/>
  <c r="G16" i="24"/>
  <c r="G21" i="24"/>
  <c r="E38" i="24"/>
  <c r="E43" i="24"/>
  <c r="E41" i="24"/>
  <c r="H41" i="24" s="1"/>
  <c r="E22" i="29"/>
  <c r="H22" i="29" s="1"/>
  <c r="H21" i="29" s="1"/>
  <c r="G21" i="29"/>
  <c r="E27" i="29"/>
  <c r="F28" i="28"/>
  <c r="F37" i="28"/>
  <c r="F38" i="24"/>
  <c r="F43" i="24"/>
  <c r="D22" i="24"/>
  <c r="D27" i="24"/>
  <c r="E28" i="12"/>
  <c r="E37" i="12"/>
  <c r="B8" i="4"/>
  <c r="H27" i="29" l="1"/>
  <c r="H38" i="28"/>
  <c r="G37" i="28"/>
  <c r="G28" i="28"/>
  <c r="E38" i="28"/>
  <c r="E41" i="28"/>
  <c r="H41" i="28" s="1"/>
  <c r="H40" i="28" s="1"/>
  <c r="H43" i="28" s="1"/>
  <c r="H50" i="28" s="1"/>
  <c r="E43" i="28"/>
  <c r="E50" i="28" s="1"/>
  <c r="E43" i="12"/>
  <c r="G37" i="12"/>
  <c r="E41" i="12"/>
  <c r="H41" i="12" s="1"/>
  <c r="D38" i="12"/>
  <c r="D43" i="12"/>
  <c r="D41" i="12"/>
  <c r="G27" i="12"/>
  <c r="H21" i="12"/>
  <c r="G22" i="12"/>
  <c r="F38" i="12"/>
  <c r="F41" i="12"/>
  <c r="F43" i="12"/>
  <c r="H16" i="24"/>
  <c r="H21" i="24"/>
  <c r="G27" i="24"/>
  <c r="G22" i="24"/>
  <c r="E58" i="24"/>
  <c r="E50" i="24"/>
  <c r="E57" i="24"/>
  <c r="G22" i="29"/>
  <c r="G27" i="29"/>
  <c r="E28" i="29"/>
  <c r="E37" i="29"/>
  <c r="F38" i="28"/>
  <c r="F43" i="28"/>
  <c r="F50" i="28" s="1"/>
  <c r="F41" i="28"/>
  <c r="F57" i="24"/>
  <c r="F58" i="24"/>
  <c r="F50" i="24"/>
  <c r="D37" i="24"/>
  <c r="D28" i="24"/>
  <c r="E38" i="12"/>
  <c r="H37" i="29" l="1"/>
  <c r="H28" i="29"/>
  <c r="H54" i="28"/>
  <c r="H53" i="28"/>
  <c r="H57" i="28"/>
  <c r="H58" i="28"/>
  <c r="E58" i="28"/>
  <c r="E54" i="28"/>
  <c r="E57" i="28"/>
  <c r="E53" i="28"/>
  <c r="G43" i="28"/>
  <c r="G50" i="28" s="1"/>
  <c r="G38" i="28"/>
  <c r="G41" i="28"/>
  <c r="G28" i="12"/>
  <c r="D58" i="12"/>
  <c r="D50" i="12"/>
  <c r="D57" i="12"/>
  <c r="F58" i="12"/>
  <c r="F57" i="12"/>
  <c r="F50" i="12"/>
  <c r="H27" i="12"/>
  <c r="G43" i="12"/>
  <c r="G41" i="12"/>
  <c r="G38" i="12"/>
  <c r="H22" i="24"/>
  <c r="H27" i="24"/>
  <c r="E54" i="24"/>
  <c r="E53" i="24"/>
  <c r="G28" i="24"/>
  <c r="G37" i="24"/>
  <c r="E38" i="29"/>
  <c r="E41" i="29"/>
  <c r="H41" i="29" s="1"/>
  <c r="H40" i="29" s="1"/>
  <c r="E43" i="29"/>
  <c r="G37" i="29"/>
  <c r="G28" i="29"/>
  <c r="F58" i="28"/>
  <c r="F57" i="28"/>
  <c r="F53" i="28"/>
  <c r="F54" i="28"/>
  <c r="F53" i="24"/>
  <c r="F54" i="24"/>
  <c r="D38" i="24"/>
  <c r="D43" i="24"/>
  <c r="D41" i="24"/>
  <c r="E50" i="12"/>
  <c r="E58" i="12"/>
  <c r="E57" i="12"/>
  <c r="H38" i="29" l="1"/>
  <c r="H43" i="29"/>
  <c r="G57" i="28"/>
  <c r="G54" i="28"/>
  <c r="G53" i="28"/>
  <c r="G58" i="28"/>
  <c r="F54" i="12"/>
  <c r="F53" i="12"/>
  <c r="G50" i="12"/>
  <c r="G58" i="12"/>
  <c r="G57" i="12"/>
  <c r="H37" i="12"/>
  <c r="H28" i="12"/>
  <c r="D53" i="12"/>
  <c r="D54" i="12"/>
  <c r="H28" i="24"/>
  <c r="H37" i="24"/>
  <c r="G38" i="24"/>
  <c r="G43" i="24"/>
  <c r="G41" i="24"/>
  <c r="D58" i="24"/>
  <c r="D57" i="24"/>
  <c r="D50" i="24"/>
  <c r="G43" i="29"/>
  <c r="G38" i="29"/>
  <c r="E58" i="29"/>
  <c r="E50" i="29"/>
  <c r="E57" i="29"/>
  <c r="E54" i="12"/>
  <c r="E53" i="12"/>
  <c r="H58" i="29" l="1"/>
  <c r="H50" i="29"/>
  <c r="H57" i="29"/>
  <c r="H38" i="12"/>
  <c r="H40" i="12"/>
  <c r="H43" i="12" s="1"/>
  <c r="G53" i="12"/>
  <c r="G54" i="12"/>
  <c r="D53" i="24"/>
  <c r="D54" i="24"/>
  <c r="G50" i="24"/>
  <c r="G57" i="24"/>
  <c r="G58" i="24"/>
  <c r="H40" i="24"/>
  <c r="H38" i="24"/>
  <c r="H43" i="24"/>
  <c r="E54" i="29"/>
  <c r="E53" i="29"/>
  <c r="G58" i="29"/>
  <c r="G57" i="29"/>
  <c r="G50" i="29"/>
  <c r="H53" i="29" l="1"/>
  <c r="H54" i="29"/>
  <c r="H50" i="12"/>
  <c r="H57" i="12"/>
  <c r="H58" i="12"/>
  <c r="H58" i="24"/>
  <c r="H57" i="24"/>
  <c r="H50" i="24"/>
  <c r="G54" i="24"/>
  <c r="G53" i="24"/>
  <c r="G54" i="29"/>
  <c r="G53" i="29"/>
  <c r="H53" i="12" l="1"/>
  <c r="H54" i="12"/>
  <c r="H53" i="24"/>
  <c r="H54" i="24"/>
  <c r="H16" i="12" l="1"/>
  <c r="E78" i="12"/>
  <c r="F11" i="3" l="1"/>
  <c r="G11" i="3"/>
  <c r="H11" i="3"/>
  <c r="I11" i="3"/>
  <c r="J11" i="3"/>
  <c r="F15" i="3"/>
  <c r="G15" i="3"/>
  <c r="H15" i="3"/>
  <c r="I15" i="3"/>
  <c r="J15" i="3"/>
  <c r="F23" i="3"/>
  <c r="G23" i="3"/>
  <c r="H23" i="3"/>
  <c r="I23" i="3"/>
  <c r="J23" i="3"/>
  <c r="N23" i="3"/>
  <c r="O23" i="3"/>
  <c r="P23" i="3"/>
  <c r="Q23" i="3"/>
  <c r="R23" i="3"/>
  <c r="N27" i="3"/>
  <c r="F46" i="3"/>
  <c r="G46" i="3"/>
  <c r="H46" i="3"/>
  <c r="I46" i="3"/>
  <c r="J46" i="3"/>
  <c r="F48" i="3"/>
  <c r="G48" i="3"/>
  <c r="H48" i="3"/>
  <c r="I48" i="3"/>
  <c r="J48" i="3"/>
  <c r="F50" i="3"/>
  <c r="G50" i="3"/>
  <c r="H50" i="3"/>
  <c r="I50" i="3"/>
  <c r="J50" i="3"/>
  <c r="F53" i="3"/>
  <c r="G53" i="3"/>
  <c r="H53" i="3"/>
  <c r="I53" i="3"/>
  <c r="J53" i="3"/>
  <c r="G10" i="2"/>
  <c r="H10" i="2"/>
  <c r="I10" i="2"/>
  <c r="J10" i="2"/>
  <c r="K10" i="2"/>
  <c r="G23" i="2"/>
  <c r="H23" i="2"/>
  <c r="I23" i="2"/>
  <c r="J23" i="2"/>
  <c r="K23" i="2"/>
  <c r="G46" i="2"/>
  <c r="H46" i="2"/>
  <c r="I46" i="2"/>
  <c r="J46" i="2"/>
  <c r="K46" i="2"/>
  <c r="G49" i="2"/>
  <c r="H49" i="2"/>
  <c r="I49" i="2"/>
  <c r="J49" i="2"/>
  <c r="K49" i="2"/>
  <c r="N2" i="8"/>
  <c r="I4" i="8"/>
  <c r="G16" i="8"/>
  <c r="H16" i="8"/>
  <c r="I16" i="8"/>
  <c r="J16" i="8"/>
  <c r="K16" i="8"/>
  <c r="G17" i="8"/>
  <c r="H17" i="8"/>
  <c r="I17" i="8"/>
  <c r="J17" i="8"/>
  <c r="K17" i="8"/>
  <c r="L17" i="8"/>
  <c r="G19" i="8"/>
  <c r="H19" i="8"/>
  <c r="I19" i="8"/>
  <c r="J19" i="8"/>
  <c r="K19" i="8"/>
  <c r="I41" i="8"/>
  <c r="I43" i="8"/>
  <c r="I44" i="8"/>
  <c r="I47" i="8"/>
  <c r="K47" i="8"/>
  <c r="K48" i="8"/>
  <c r="I49" i="8"/>
  <c r="K49" i="8"/>
  <c r="I51" i="8"/>
  <c r="K51" i="8"/>
  <c r="I53" i="8"/>
  <c r="K53" i="8"/>
  <c r="H10" i="6"/>
  <c r="I10" i="6"/>
  <c r="J10" i="6"/>
  <c r="K10" i="6"/>
  <c r="G11" i="6"/>
  <c r="H11" i="6"/>
  <c r="I11" i="6"/>
  <c r="J11" i="6"/>
  <c r="K11" i="6"/>
  <c r="G13" i="6"/>
  <c r="H13" i="6"/>
  <c r="I13" i="6"/>
  <c r="J13" i="6"/>
  <c r="K13" i="6"/>
  <c r="G58" i="6"/>
  <c r="H58" i="6"/>
  <c r="I58" i="6"/>
  <c r="J58" i="6"/>
  <c r="K58" i="6"/>
  <c r="G59" i="6"/>
  <c r="H59" i="6"/>
  <c r="I59" i="6"/>
  <c r="J59" i="6"/>
  <c r="K59" i="6"/>
  <c r="G61" i="6"/>
  <c r="H61" i="6"/>
  <c r="I61" i="6"/>
  <c r="J61" i="6"/>
  <c r="K61" i="6"/>
  <c r="G43" i="1"/>
  <c r="H43" i="1"/>
  <c r="I43" i="1"/>
  <c r="J43" i="1"/>
  <c r="K43" i="1"/>
  <c r="G44" i="1"/>
  <c r="H44" i="1"/>
  <c r="I44" i="1"/>
  <c r="J44" i="1"/>
  <c r="K44" i="1"/>
  <c r="G48" i="1"/>
  <c r="H48" i="1"/>
  <c r="I48" i="1"/>
  <c r="J48" i="1"/>
  <c r="K48" i="1"/>
  <c r="G49" i="1"/>
  <c r="H49" i="1"/>
  <c r="I49" i="1"/>
  <c r="J49" i="1"/>
  <c r="K49" i="1"/>
  <c r="G51" i="1"/>
  <c r="H51" i="1"/>
  <c r="I51" i="1"/>
  <c r="J51" i="1"/>
  <c r="K51" i="1"/>
  <c r="G54" i="1"/>
  <c r="H54" i="1"/>
  <c r="I54" i="1"/>
  <c r="J54" i="1"/>
  <c r="K54" i="1"/>
  <c r="G63" i="1"/>
  <c r="H63" i="1"/>
  <c r="I63" i="1"/>
  <c r="J63" i="1"/>
  <c r="K63" i="1"/>
  <c r="G65" i="1"/>
  <c r="H65" i="1"/>
  <c r="I65" i="1"/>
  <c r="J65" i="1"/>
  <c r="K65" i="1"/>
  <c r="G68" i="1"/>
  <c r="H68" i="1"/>
  <c r="I68" i="1"/>
  <c r="J68" i="1"/>
  <c r="K68" i="1"/>
  <c r="G69" i="1"/>
  <c r="H69" i="1"/>
  <c r="I69" i="1"/>
  <c r="J69" i="1"/>
  <c r="K69" i="1"/>
</calcChain>
</file>

<file path=xl/sharedStrings.xml><?xml version="1.0" encoding="utf-8"?>
<sst xmlns="http://schemas.openxmlformats.org/spreadsheetml/2006/main" count="963" uniqueCount="346">
  <si>
    <t>Ticker</t>
  </si>
  <si>
    <t>AMZN</t>
  </si>
  <si>
    <t>Consolidated Income Statement</t>
  </si>
  <si>
    <t>Date</t>
  </si>
  <si>
    <t>(in US$ millions except for per share amount)</t>
  </si>
  <si>
    <t>Currency</t>
  </si>
  <si>
    <t>USD</t>
  </si>
  <si>
    <t>Actuals</t>
  </si>
  <si>
    <t>Forecast</t>
  </si>
  <si>
    <t>Revenue</t>
  </si>
  <si>
    <t>Net Product Sales</t>
  </si>
  <si>
    <t>Y/Y growth (%)</t>
  </si>
  <si>
    <t>Total Net Sales</t>
  </si>
  <si>
    <t>Y/Y Net Sales Growth (%)</t>
  </si>
  <si>
    <t>Cost of goods sold</t>
  </si>
  <si>
    <t>COGS as a % of net sales</t>
  </si>
  <si>
    <t>Gross profit</t>
  </si>
  <si>
    <t>Gross profit margin (%)</t>
  </si>
  <si>
    <t>Operating expenses</t>
  </si>
  <si>
    <t>Total operating expenses</t>
  </si>
  <si>
    <t>EBITDA</t>
  </si>
  <si>
    <t>EBITDA margin (%)</t>
  </si>
  <si>
    <t>Depreciation and amortization</t>
  </si>
  <si>
    <t>EBIT</t>
  </si>
  <si>
    <t>EBIT margin (%)</t>
  </si>
  <si>
    <t>Interest</t>
  </si>
  <si>
    <t>Interest expense</t>
  </si>
  <si>
    <t>Interest income</t>
  </si>
  <si>
    <t>Net interest expense</t>
  </si>
  <si>
    <t>Earnings before tax (EBT)</t>
  </si>
  <si>
    <t>EBT margin (%)</t>
  </si>
  <si>
    <t>Income tax expense</t>
  </si>
  <si>
    <t>All-in effective tax rate (%)</t>
  </si>
  <si>
    <t>Net income from continuing operations</t>
  </si>
  <si>
    <t>Non-recurring events</t>
  </si>
  <si>
    <t>Discontinued operations</t>
  </si>
  <si>
    <t>Extraordinary items</t>
  </si>
  <si>
    <t>Effect of accounting changes</t>
  </si>
  <si>
    <t>Other items</t>
  </si>
  <si>
    <t>Total non-recurring events</t>
  </si>
  <si>
    <t>Net income (after non-recurring events)</t>
  </si>
  <si>
    <t>Net income (As reported)</t>
  </si>
  <si>
    <t>Earnings per share (EPS)</t>
  </si>
  <si>
    <t>Basic</t>
  </si>
  <si>
    <t>Diluted</t>
  </si>
  <si>
    <t xml:space="preserve">Average common shares outstanding </t>
  </si>
  <si>
    <t>Cost of Sales</t>
  </si>
  <si>
    <t>Cash flows from operating activities</t>
  </si>
  <si>
    <t>Net income</t>
  </si>
  <si>
    <t>Other expense (income), net</t>
  </si>
  <si>
    <t>Deferred income taxes</t>
  </si>
  <si>
    <t>Changes in operating operating working capital</t>
  </si>
  <si>
    <t>Changes in inventory</t>
  </si>
  <si>
    <t>Changes in accounts payable</t>
  </si>
  <si>
    <t>Net changes in working capital</t>
  </si>
  <si>
    <t>Total cash from operating activities</t>
  </si>
  <si>
    <t>Cash flows from investing activities</t>
  </si>
  <si>
    <t>CAPEX [Purchase of property and equipment]</t>
  </si>
  <si>
    <t>Proceeds from property and equipment sales and incentives</t>
  </si>
  <si>
    <t>Business acquisitions, net of cash acquired</t>
  </si>
  <si>
    <t>Total cash from investing activities</t>
  </si>
  <si>
    <t>Cash flows from financing activities</t>
  </si>
  <si>
    <t>Long-term borrowings (repayments)</t>
  </si>
  <si>
    <t>Total cash from financing activities</t>
  </si>
  <si>
    <t>Foreign Currency effect on cash, cash equivalents, and restricted cash</t>
  </si>
  <si>
    <t>Total change in cash and cash equivalents</t>
  </si>
  <si>
    <t>SUPPLEMENTAL DATA:</t>
  </si>
  <si>
    <t>Cash flow before debt paydown</t>
  </si>
  <si>
    <t>Consolidated Balance Sheets</t>
  </si>
  <si>
    <t>Consolidated Statements of Operations</t>
  </si>
  <si>
    <t>Consolidated Statement of Cashflow</t>
  </si>
  <si>
    <t>Assets</t>
  </si>
  <si>
    <t>Current assets:</t>
  </si>
  <si>
    <t>Cash and cash equivalents</t>
  </si>
  <si>
    <t>Inventories</t>
  </si>
  <si>
    <t>Accounts receivable, net and other</t>
  </si>
  <si>
    <t>Total current assets</t>
  </si>
  <si>
    <t>Property, plant and equipment, net</t>
  </si>
  <si>
    <t>Operating leases</t>
  </si>
  <si>
    <t>Goodwill</t>
  </si>
  <si>
    <t>Other assets</t>
  </si>
  <si>
    <t>Total assets</t>
  </si>
  <si>
    <t>Liabilities</t>
  </si>
  <si>
    <t>Current liabilities:</t>
  </si>
  <si>
    <t>Accounts payable</t>
  </si>
  <si>
    <t>Accrued expenses and other</t>
  </si>
  <si>
    <t>Total current liabilities</t>
  </si>
  <si>
    <t>Total liabilities</t>
  </si>
  <si>
    <t xml:space="preserve">Stockholders' equity </t>
  </si>
  <si>
    <t>Preferred stock</t>
  </si>
  <si>
    <t>Accumulated other comprehensive income (loss)</t>
  </si>
  <si>
    <t>Retained earnings</t>
  </si>
  <si>
    <t>Total stockholder equity</t>
  </si>
  <si>
    <t>Total liabilities &amp; stockholders' equity</t>
  </si>
  <si>
    <t>Balance? (Y/N)</t>
  </si>
  <si>
    <t>Non-current assets:</t>
  </si>
  <si>
    <t>Non-current liabilities:</t>
  </si>
  <si>
    <t>Capital expenditures as of Jan 1 of each year</t>
  </si>
  <si>
    <t>Years</t>
  </si>
  <si>
    <t>Existing PP&amp;E</t>
  </si>
  <si>
    <t>CAPEX</t>
  </si>
  <si>
    <t>Depreciation ($)</t>
  </si>
  <si>
    <t>Total book depreciation</t>
  </si>
  <si>
    <t>Straight line depreciation method</t>
  </si>
  <si>
    <t>Depreciation Schedule</t>
  </si>
  <si>
    <t>Current assets</t>
  </si>
  <si>
    <t>Inventory turnover days</t>
  </si>
  <si>
    <t>Days receivable</t>
  </si>
  <si>
    <t>Current liabilities</t>
  </si>
  <si>
    <t>Days payable</t>
  </si>
  <si>
    <t>Total operating working capital</t>
  </si>
  <si>
    <t>Change in total operating working capital</t>
  </si>
  <si>
    <t>Match? (Y/N)</t>
  </si>
  <si>
    <t>Cash available to pay down debt</t>
  </si>
  <si>
    <t>Cash at beginning of year</t>
  </si>
  <si>
    <t>Minimum cash cushion</t>
  </si>
  <si>
    <t>Total cash available to pay down debt</t>
  </si>
  <si>
    <t>Short term debt / revolver</t>
  </si>
  <si>
    <t>Short term debt (beginning of year)</t>
  </si>
  <si>
    <t xml:space="preserve">Mandatory issuances / (retirements) </t>
  </si>
  <si>
    <t>Non-mandatory issuances / (retirements)</t>
  </si>
  <si>
    <t>Short term debt (end of year)</t>
  </si>
  <si>
    <t>Short term interest expense</t>
  </si>
  <si>
    <t>Short term interest rate</t>
  </si>
  <si>
    <t>Long term debt</t>
  </si>
  <si>
    <t>Long term debt (beginning of year)</t>
  </si>
  <si>
    <t>Long term debt (end of year)</t>
  </si>
  <si>
    <t>Long term interest expense</t>
  </si>
  <si>
    <t>Long term interest rate</t>
  </si>
  <si>
    <t>Long term lease liabilities</t>
  </si>
  <si>
    <t>Long term lease liabilities (beginning of year)</t>
  </si>
  <si>
    <t>Long term lease liabilities (end of year)</t>
  </si>
  <si>
    <t>Long term lease liabilities interest expense</t>
  </si>
  <si>
    <t>Long term lease liabilities interest rate</t>
  </si>
  <si>
    <t>Total issuances / (retirements)</t>
  </si>
  <si>
    <t>Total interest expense</t>
  </si>
  <si>
    <t>Cash at the end of the year</t>
  </si>
  <si>
    <t>Interest rate</t>
  </si>
  <si>
    <t>CAPEX % of Revenue</t>
  </si>
  <si>
    <t>Financing Obligations</t>
  </si>
  <si>
    <t>Financing Obligations (beginning of year)</t>
  </si>
  <si>
    <t>Mandatory issuances / (retirements)</t>
  </si>
  <si>
    <t>Non-Mandatory issuances / (retirements)</t>
  </si>
  <si>
    <t>Financing obligations (end of year)</t>
  </si>
  <si>
    <t>Financing obligations interest expense</t>
  </si>
  <si>
    <t>Short-term debt</t>
  </si>
  <si>
    <t>Financing obligations interest rate</t>
  </si>
  <si>
    <t>Period Ending January 31st</t>
  </si>
  <si>
    <t>Unlevered Free Cash Flow UFCF</t>
  </si>
  <si>
    <t>Depreciation &amp; Amortization</t>
  </si>
  <si>
    <t>Other</t>
  </si>
  <si>
    <t>Changes in Working Capital</t>
  </si>
  <si>
    <t>Capital Expenditure</t>
  </si>
  <si>
    <t>Taxes</t>
  </si>
  <si>
    <t>Total Unlevered Free Cash Flow</t>
  </si>
  <si>
    <t>Net Present Value Calculation</t>
  </si>
  <si>
    <t>Period</t>
  </si>
  <si>
    <t>Discounted Cash Flow</t>
  </si>
  <si>
    <t>Total Net Present Value</t>
  </si>
  <si>
    <t>Cost of Capital</t>
  </si>
  <si>
    <t>Risk Free Rate</t>
  </si>
  <si>
    <t>Beta</t>
  </si>
  <si>
    <t>Cost of Debt</t>
  </si>
  <si>
    <t>WACC</t>
  </si>
  <si>
    <t>Stock Price</t>
  </si>
  <si>
    <t>Shares Outstanding</t>
  </si>
  <si>
    <t>Equity Value</t>
  </si>
  <si>
    <t>EBITDA METHOD</t>
  </si>
  <si>
    <t>PERPETUITY METHOD</t>
  </si>
  <si>
    <t>Unlevered FCF</t>
  </si>
  <si>
    <t>Growth Rate</t>
  </si>
  <si>
    <t>Terminal Value</t>
  </si>
  <si>
    <t xml:space="preserve">Net Present Value </t>
  </si>
  <si>
    <t>Exit Year EBITDA</t>
  </si>
  <si>
    <t>Multiple</t>
  </si>
  <si>
    <t>Net Present Value</t>
  </si>
  <si>
    <t>Total of Present Value of Cash Flows</t>
  </si>
  <si>
    <t>Present Value of Terminal Value</t>
  </si>
  <si>
    <t>Total Enterprise Value</t>
  </si>
  <si>
    <t>Share Count (millions)</t>
  </si>
  <si>
    <t>Estimated Equity Value per Share</t>
  </si>
  <si>
    <t>Mkt Risk Premium</t>
  </si>
  <si>
    <t>Net Debt, NCI, preferred securities</t>
  </si>
  <si>
    <t>Current Share Price</t>
  </si>
  <si>
    <t>Implied Share Price</t>
  </si>
  <si>
    <t>Implied Upside (downside) :</t>
  </si>
  <si>
    <t>Cost of Equity</t>
  </si>
  <si>
    <t>Deferred Taxes</t>
  </si>
  <si>
    <t>Ebay Income Statement</t>
  </si>
  <si>
    <t>2022A</t>
  </si>
  <si>
    <t>Q1 - Q3 2022A</t>
  </si>
  <si>
    <t>Q1 - Q3 2023</t>
  </si>
  <si>
    <t>LTM 2023</t>
  </si>
  <si>
    <t>2023F</t>
  </si>
  <si>
    <t>Estimate</t>
  </si>
  <si>
    <t>Y/Y revenue growth (%)</t>
  </si>
  <si>
    <t>COGS as a % of revenue</t>
  </si>
  <si>
    <t>Gross Profit</t>
  </si>
  <si>
    <t>OpEx as a % of revenue</t>
  </si>
  <si>
    <t>D&amp;A % of Revenue</t>
  </si>
  <si>
    <t>Other Income</t>
  </si>
  <si>
    <t>Interest Income</t>
  </si>
  <si>
    <t>Effective tax rate (%)</t>
  </si>
  <si>
    <t>Income - equity method investments</t>
  </si>
  <si>
    <t>Income from disc. Operations, net of taxes</t>
  </si>
  <si>
    <t>Net income (as reported)</t>
  </si>
  <si>
    <t>Earnings per share (as reported)</t>
  </si>
  <si>
    <t>Earnings per share (adjusted)</t>
  </si>
  <si>
    <t>Share Price</t>
  </si>
  <si>
    <t>Number of basic shares outstanding</t>
  </si>
  <si>
    <t>Total diluted shares outstanding</t>
  </si>
  <si>
    <t>Market value</t>
  </si>
  <si>
    <t>Convertible debt</t>
  </si>
  <si>
    <t>Preferred securities</t>
  </si>
  <si>
    <t>Noncontrolling interest</t>
  </si>
  <si>
    <t>Less: Cash &amp; equivalents</t>
  </si>
  <si>
    <t>Enterprise value</t>
  </si>
  <si>
    <t>Enterprise Value</t>
  </si>
  <si>
    <t>Target Diluted Shares</t>
  </si>
  <si>
    <t>Gain (loss) on equity investments and warrant, net</t>
  </si>
  <si>
    <t>Long-term debt (includes current portions)</t>
  </si>
  <si>
    <t>Lease obligations</t>
  </si>
  <si>
    <t>Comparable Company Analysis</t>
  </si>
  <si>
    <t>(in US$ millions )</t>
  </si>
  <si>
    <t>Companies</t>
  </si>
  <si>
    <t>Current Stock Price ($)</t>
  </si>
  <si>
    <t>Market Cap (Value) $</t>
  </si>
  <si>
    <t>Enterprise Value ($MM)</t>
  </si>
  <si>
    <t>22A</t>
  </si>
  <si>
    <t>LTM</t>
  </si>
  <si>
    <t>23F</t>
  </si>
  <si>
    <t>x</t>
  </si>
  <si>
    <t>E.V / Revenue</t>
  </si>
  <si>
    <t>Price / Earnings</t>
  </si>
  <si>
    <t>E.V / EBITDA</t>
  </si>
  <si>
    <t>Amazon</t>
  </si>
  <si>
    <t>Ebay</t>
  </si>
  <si>
    <t>Etsy</t>
  </si>
  <si>
    <t>Walmart</t>
  </si>
  <si>
    <t>Target</t>
  </si>
  <si>
    <t>Google</t>
  </si>
  <si>
    <t>Netflix</t>
  </si>
  <si>
    <t>Median</t>
  </si>
  <si>
    <t>High</t>
  </si>
  <si>
    <t>Low</t>
  </si>
  <si>
    <t>Operating Statistics</t>
  </si>
  <si>
    <t>Sales</t>
  </si>
  <si>
    <t>$MM</t>
  </si>
  <si>
    <t>EPS</t>
  </si>
  <si>
    <t>Group I - Online/ e-Commerce</t>
  </si>
  <si>
    <t>Group II - Physical Stores</t>
  </si>
  <si>
    <t>Group III - Web Service / Subscriptions</t>
  </si>
  <si>
    <t>Foreign exchange gain or loss</t>
  </si>
  <si>
    <t>Cost of Revenue / (Goods Sold)</t>
  </si>
  <si>
    <t>Equity method investments</t>
  </si>
  <si>
    <t>Income attributable to NCI</t>
  </si>
  <si>
    <t>Q3 - 2023</t>
  </si>
  <si>
    <t>Q3 - 2022</t>
  </si>
  <si>
    <t>Target Income Statement</t>
  </si>
  <si>
    <t>Walmart Income Statement</t>
  </si>
  <si>
    <t>Etsy Income Statement</t>
  </si>
  <si>
    <t>Amazon Income Statement</t>
  </si>
  <si>
    <t>Google Income Statement</t>
  </si>
  <si>
    <t>Netflix Income Statement</t>
  </si>
  <si>
    <t>$/Share</t>
  </si>
  <si>
    <t>Diluted shares outstanding</t>
  </si>
  <si>
    <t>E.V / EBIT</t>
  </si>
  <si>
    <t>Precedent Transactions Analysis</t>
  </si>
  <si>
    <t>Transaction</t>
  </si>
  <si>
    <t>Purchase Price</t>
  </si>
  <si>
    <t>X</t>
  </si>
  <si>
    <t xml:space="preserve">Revenue </t>
  </si>
  <si>
    <t xml:space="preserve">Equity Value / </t>
  </si>
  <si>
    <t xml:space="preserve">Earnings </t>
  </si>
  <si>
    <t>Market Value</t>
  </si>
  <si>
    <t>Cash</t>
  </si>
  <si>
    <t>Short Term Debt</t>
  </si>
  <si>
    <t>Long Term Debt</t>
  </si>
  <si>
    <t>Enteprise Value</t>
  </si>
  <si>
    <t>Earnings</t>
  </si>
  <si>
    <t>Operating Statistics (in US$ millions)</t>
  </si>
  <si>
    <t>Amazon &gt;&gt; MGM</t>
  </si>
  <si>
    <t>Broadcom &gt;&gt; VMWare</t>
  </si>
  <si>
    <t>GXO &gt;&gt; PFSWeb</t>
  </si>
  <si>
    <t>Amazon &gt;&gt; One Medical</t>
  </si>
  <si>
    <t>Annoucement/ Purchase Date</t>
  </si>
  <si>
    <t>Enterprise Value /</t>
  </si>
  <si>
    <t>Football Field Analysis</t>
  </si>
  <si>
    <t>Share Outstanding</t>
  </si>
  <si>
    <t>Net Debt &amp; Other</t>
  </si>
  <si>
    <t>DCF Perpetuity</t>
  </si>
  <si>
    <t>DCF EBITDA</t>
  </si>
  <si>
    <t>Precedent Transaction</t>
  </si>
  <si>
    <t>Comps Group I</t>
  </si>
  <si>
    <t>Comps Group II</t>
  </si>
  <si>
    <t>Comps Group III</t>
  </si>
  <si>
    <t>52-Week High/ Low</t>
  </si>
  <si>
    <t>Variance</t>
  </si>
  <si>
    <t>—</t>
  </si>
  <si>
    <t>Comp Group I - Online/ e-Commerce</t>
  </si>
  <si>
    <t>Comp Group II - Physical Stores</t>
  </si>
  <si>
    <t>Precedent Transactions</t>
  </si>
  <si>
    <t>Discounted Cash Flow Analysis</t>
  </si>
  <si>
    <t>EBITDA Method</t>
  </si>
  <si>
    <t>Perpetuity Method</t>
  </si>
  <si>
    <t>Metrics</t>
  </si>
  <si>
    <t>Break in Page &gt;&gt;&gt;&gt;&gt;&gt;</t>
  </si>
  <si>
    <t>Graph Data</t>
  </si>
  <si>
    <t>Comp Group III - Webservice/ Subscription</t>
  </si>
  <si>
    <t>LTM EBITDA/Revenue</t>
  </si>
  <si>
    <t>WMT</t>
  </si>
  <si>
    <t>As at  January 31st</t>
  </si>
  <si>
    <t>Net Operating and other Income</t>
  </si>
  <si>
    <t>selling, general and administrative expenses</t>
  </si>
  <si>
    <t>SG&amp;A as a % of net sales</t>
  </si>
  <si>
    <t>Other (gains)/ loss</t>
  </si>
  <si>
    <t>Net income att to NCI</t>
  </si>
  <si>
    <t>Investment (gain) and loss</t>
  </si>
  <si>
    <t>% of Total Net Income</t>
  </si>
  <si>
    <t>Changes in receivables</t>
  </si>
  <si>
    <t>Changes in accrued liabilities</t>
  </si>
  <si>
    <t>Proceeds from disposal of certain strategic investments</t>
  </si>
  <si>
    <t>Other Investing Activities</t>
  </si>
  <si>
    <t>Net Change in Short Term Borrowing</t>
  </si>
  <si>
    <t>Dividend paid</t>
  </si>
  <si>
    <t>Dividend paid to NCI</t>
  </si>
  <si>
    <t>Purchase of NCI</t>
  </si>
  <si>
    <t>Sale of Subsidiary Stock</t>
  </si>
  <si>
    <t>Other Financing Activity</t>
  </si>
  <si>
    <t>Purchase of Company Stock</t>
  </si>
  <si>
    <t>Prepaid and others</t>
  </si>
  <si>
    <t>Financing Leases</t>
  </si>
  <si>
    <t>Short term borrowing</t>
  </si>
  <si>
    <t>Accrued Liabilities</t>
  </si>
  <si>
    <t>Accrued Income Tax</t>
  </si>
  <si>
    <t>Short-term debt( long term debt due within a year)</t>
  </si>
  <si>
    <t>Long-term Debt</t>
  </si>
  <si>
    <t>Long-term Op lease liabilities</t>
  </si>
  <si>
    <t>Long-term Fin lease liabilities</t>
  </si>
  <si>
    <t>Deffered Income tax</t>
  </si>
  <si>
    <t>Reedeemable NCI</t>
  </si>
  <si>
    <t>Common stock par value + Stock in excess of par value</t>
  </si>
  <si>
    <t>Non redeemable NCI</t>
  </si>
  <si>
    <t>Short term borrowing (beginning of year)</t>
  </si>
  <si>
    <t>Short term borrowing (end of year)</t>
  </si>
  <si>
    <t>Debt @ end of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</si>
</sst>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_);[Red]\(#,##0.0\)"/>
    <numFmt numFmtId="167" formatCode="General\A"/>
    <numFmt numFmtId="168" formatCode="General\F"/>
    <numFmt numFmtId="169" formatCode="#,##0.0"/>
    <numFmt numFmtId="170" formatCode="0.0"/>
    <numFmt numFmtId="171" formatCode="#,##0.0;[Red]#,##0.0"/>
    <numFmt numFmtId="172" formatCode="_(* #,##0.0_);_(* \(#,##0.0\);_(* &quot;-&quot;??_);_(@_)"/>
    <numFmt numFmtId="173" formatCode="_(* #,##0_);_(* \(#,##0\);_(* &quot;-&quot;??_);_(@_)"/>
    <numFmt numFmtId="174" formatCode="0.0%"/>
    <numFmt numFmtId="175" formatCode="0.000%"/>
    <numFmt numFmtId="176" formatCode="_(* #,##0.0_);_(* \(#,##0.0\);_(* &quot;-&quot;?_);_(@_)"/>
    <numFmt numFmtId="177" formatCode="0.00\x"/>
    <numFmt numFmtId="178" formatCode="&quot;$&quot;#,##0.00"/>
    <numFmt numFmtId="179" formatCode="0.0\x"/>
    <numFmt numFmtId="180" formatCode="m/d/yy;@"/>
    <numFmt numFmtId="181" formatCode="&quot;$&quot;#,##0.0"/>
    <numFmt numFmtId="182" formatCode="_-* #,##0.0_-;\-* #,##0.0_-;_-* &quot;-&quot;?_-;_-@_-"/>
    <numFmt numFmtId="183" formatCode="0.000000%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12"/>
      <name val="Arial"/>
      <family val="2"/>
    </font>
    <font>
      <i/>
      <sz val="9"/>
      <color indexed="12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4242F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name val="Arial"/>
      <family val="2"/>
    </font>
    <font>
      <i/>
      <sz val="9"/>
      <color rgb="FF4242F0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9"/>
      <color rgb="FF4242F0"/>
      <name val="Arial"/>
      <family val="2"/>
    </font>
    <font>
      <sz val="10"/>
      <name val="Arial"/>
      <family val="2"/>
    </font>
    <font>
      <strike/>
      <sz val="9"/>
      <color theme="1"/>
      <name val="Arial"/>
      <family val="2"/>
    </font>
    <font>
      <sz val="9"/>
      <color theme="1" tint="4.9989318521683403E-2"/>
      <name val="Arial "/>
    </font>
    <font>
      <b/>
      <sz val="9"/>
      <color theme="1" tint="4.9989318521683403E-2"/>
      <name val="Arial "/>
    </font>
    <font>
      <sz val="9"/>
      <color theme="1"/>
      <name val="Arial "/>
    </font>
    <font>
      <i/>
      <sz val="9"/>
      <color theme="1"/>
      <name val="Arial "/>
    </font>
    <font>
      <b/>
      <sz val="9"/>
      <color theme="1"/>
      <name val="Arial "/>
    </font>
    <font>
      <i/>
      <sz val="9"/>
      <color rgb="FF4242F0"/>
      <name val="Arial "/>
    </font>
    <font>
      <sz val="9"/>
      <color rgb="FF4242F0"/>
      <name val="Arial "/>
    </font>
    <font>
      <sz val="5"/>
      <color rgb="FF000000"/>
      <name val="Times New Roman"/>
      <family val="1"/>
    </font>
    <font>
      <b/>
      <sz val="9"/>
      <name val="Arial "/>
    </font>
    <font>
      <b/>
      <sz val="9"/>
      <color rgb="FF4242F0"/>
      <name val="Arial 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0">
    <border>
      <left/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 style="mediumDashed">
        <color rgb="FFFF0000"/>
      </bottom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4" fillId="0" borderId="0"/>
    <xf numFmtId="164" fontId="14" fillId="0" borderId="0" applyFont="0" applyFill="0" applyBorder="0" applyAlignment="0" applyProtection="0"/>
  </cellStyleXfs>
  <cellXfs count="53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0" fillId="0" borderId="2" xfId="0" applyBorder="1"/>
    <xf numFmtId="167" fontId="3" fillId="2" borderId="4" xfId="0" applyNumberFormat="1" applyFont="1" applyFill="1" applyBorder="1" applyAlignment="1">
      <alignment horizontal="right" wrapText="1"/>
    </xf>
    <xf numFmtId="168" fontId="3" fillId="3" borderId="4" xfId="0" applyNumberFormat="1" applyFont="1" applyFill="1" applyBorder="1" applyAlignment="1">
      <alignment horizontal="right" wrapText="1"/>
    </xf>
    <xf numFmtId="0" fontId="6" fillId="0" borderId="0" xfId="0" applyFont="1"/>
    <xf numFmtId="0" fontId="0" fillId="0" borderId="5" xfId="0" applyBorder="1"/>
    <xf numFmtId="0" fontId="4" fillId="0" borderId="0" xfId="0" applyFont="1"/>
    <xf numFmtId="0" fontId="0" fillId="0" borderId="4" xfId="0" applyBorder="1"/>
    <xf numFmtId="0" fontId="0" fillId="4" borderId="0" xfId="0" applyFill="1"/>
    <xf numFmtId="0" fontId="0" fillId="4" borderId="4" xfId="0" applyFill="1" applyBorder="1"/>
    <xf numFmtId="0" fontId="0" fillId="0" borderId="10" xfId="0" applyBorder="1"/>
    <xf numFmtId="0" fontId="5" fillId="0" borderId="10" xfId="0" applyFont="1" applyBorder="1"/>
    <xf numFmtId="0" fontId="0" fillId="0" borderId="9" xfId="0" applyBorder="1"/>
    <xf numFmtId="0" fontId="0" fillId="4" borderId="10" xfId="0" applyFill="1" applyBorder="1"/>
    <xf numFmtId="0" fontId="3" fillId="4" borderId="11" xfId="0" applyFont="1" applyFill="1" applyBorder="1"/>
    <xf numFmtId="0" fontId="3" fillId="0" borderId="10" xfId="0" applyFont="1" applyBorder="1"/>
    <xf numFmtId="0" fontId="7" fillId="0" borderId="10" xfId="0" applyFont="1" applyBorder="1"/>
    <xf numFmtId="0" fontId="4" fillId="0" borderId="10" xfId="0" applyFont="1" applyBorder="1"/>
    <xf numFmtId="0" fontId="0" fillId="4" borderId="12" xfId="0" applyFill="1" applyBorder="1"/>
    <xf numFmtId="0" fontId="0" fillId="4" borderId="11" xfId="0" applyFill="1" applyBorder="1"/>
    <xf numFmtId="167" fontId="3" fillId="2" borderId="14" xfId="0" applyNumberFormat="1" applyFont="1" applyFill="1" applyBorder="1" applyAlignment="1">
      <alignment horizontal="right" wrapText="1"/>
    </xf>
    <xf numFmtId="167" fontId="3" fillId="2" borderId="11" xfId="0" applyNumberFormat="1" applyFont="1" applyFill="1" applyBorder="1" applyAlignment="1">
      <alignment horizontal="right" wrapText="1"/>
    </xf>
    <xf numFmtId="168" fontId="3" fillId="3" borderId="14" xfId="0" applyNumberFormat="1" applyFont="1" applyFill="1" applyBorder="1" applyAlignment="1">
      <alignment horizontal="right" wrapText="1"/>
    </xf>
    <xf numFmtId="168" fontId="3" fillId="3" borderId="11" xfId="0" applyNumberFormat="1" applyFont="1" applyFill="1" applyBorder="1" applyAlignment="1">
      <alignment horizontal="right" wrapText="1"/>
    </xf>
    <xf numFmtId="0" fontId="3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3" fillId="5" borderId="10" xfId="0" applyFont="1" applyFill="1" applyBorder="1"/>
    <xf numFmtId="0" fontId="4" fillId="5" borderId="10" xfId="0" applyFont="1" applyFill="1" applyBorder="1"/>
    <xf numFmtId="0" fontId="8" fillId="5" borderId="0" xfId="0" applyFont="1" applyFill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9" fillId="0" borderId="0" xfId="0" applyFont="1"/>
    <xf numFmtId="0" fontId="9" fillId="0" borderId="10" xfId="0" applyFont="1" applyBorder="1"/>
    <xf numFmtId="0" fontId="9" fillId="0" borderId="2" xfId="0" applyFont="1" applyBorder="1"/>
    <xf numFmtId="0" fontId="9" fillId="0" borderId="9" xfId="0" applyFont="1" applyBorder="1"/>
    <xf numFmtId="0" fontId="9" fillId="4" borderId="0" xfId="0" applyFont="1" applyFill="1"/>
    <xf numFmtId="0" fontId="9" fillId="4" borderId="12" xfId="0" applyFont="1" applyFill="1" applyBorder="1"/>
    <xf numFmtId="0" fontId="9" fillId="4" borderId="4" xfId="0" applyFont="1" applyFill="1" applyBorder="1"/>
    <xf numFmtId="0" fontId="9" fillId="4" borderId="11" xfId="0" applyFont="1" applyFill="1" applyBorder="1"/>
    <xf numFmtId="0" fontId="10" fillId="0" borderId="0" xfId="0" applyFont="1"/>
    <xf numFmtId="0" fontId="9" fillId="0" borderId="5" xfId="0" applyFont="1" applyBorder="1"/>
    <xf numFmtId="0" fontId="10" fillId="0" borderId="2" xfId="0" applyFont="1" applyBorder="1"/>
    <xf numFmtId="0" fontId="11" fillId="0" borderId="2" xfId="0" applyFont="1" applyBorder="1" applyAlignment="1">
      <alignment horizontal="center"/>
    </xf>
    <xf numFmtId="169" fontId="12" fillId="5" borderId="0" xfId="0" applyNumberFormat="1" applyFont="1" applyFill="1"/>
    <xf numFmtId="0" fontId="4" fillId="5" borderId="0" xfId="0" applyFont="1" applyFill="1" applyAlignment="1">
      <alignment horizontal="left"/>
    </xf>
    <xf numFmtId="169" fontId="12" fillId="5" borderId="15" xfId="0" applyNumberFormat="1" applyFont="1" applyFill="1" applyBorder="1"/>
    <xf numFmtId="0" fontId="4" fillId="5" borderId="10" xfId="0" applyFont="1" applyFill="1" applyBorder="1" applyAlignment="1">
      <alignment horizontal="left"/>
    </xf>
    <xf numFmtId="170" fontId="8" fillId="5" borderId="0" xfId="0" applyNumberFormat="1" applyFont="1" applyFill="1"/>
    <xf numFmtId="170" fontId="13" fillId="5" borderId="0" xfId="0" applyNumberFormat="1" applyFont="1" applyFill="1"/>
    <xf numFmtId="0" fontId="3" fillId="5" borderId="0" xfId="0" applyFont="1" applyFill="1" applyAlignment="1">
      <alignment horizontal="left"/>
    </xf>
    <xf numFmtId="169" fontId="3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171" fontId="4" fillId="5" borderId="0" xfId="0" applyNumberFormat="1" applyFont="1" applyFill="1"/>
    <xf numFmtId="0" fontId="3" fillId="4" borderId="0" xfId="0" applyFont="1" applyFill="1"/>
    <xf numFmtId="167" fontId="3" fillId="2" borderId="0" xfId="0" applyNumberFormat="1" applyFont="1" applyFill="1" applyAlignment="1">
      <alignment horizontal="right" wrapText="1"/>
    </xf>
    <xf numFmtId="168" fontId="3" fillId="3" borderId="0" xfId="0" applyNumberFormat="1" applyFont="1" applyFill="1" applyAlignment="1">
      <alignment horizontal="right" wrapText="1"/>
    </xf>
    <xf numFmtId="0" fontId="8" fillId="5" borderId="1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 indent="1"/>
    </xf>
    <xf numFmtId="0" fontId="4" fillId="5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wrapText="1"/>
    </xf>
    <xf numFmtId="0" fontId="7" fillId="5" borderId="10" xfId="0" applyFont="1" applyFill="1" applyBorder="1" applyAlignment="1">
      <alignment horizontal="left"/>
    </xf>
    <xf numFmtId="0" fontId="3" fillId="5" borderId="10" xfId="0" applyFont="1" applyFill="1" applyBorder="1" applyAlignment="1">
      <alignment wrapText="1"/>
    </xf>
    <xf numFmtId="0" fontId="4" fillId="5" borderId="10" xfId="0" quotePrefix="1" applyFont="1" applyFill="1" applyBorder="1"/>
    <xf numFmtId="9" fontId="12" fillId="5" borderId="10" xfId="0" applyNumberFormat="1" applyFont="1" applyFill="1" applyBorder="1" applyAlignment="1">
      <alignment horizontal="right"/>
    </xf>
    <xf numFmtId="9" fontId="7" fillId="5" borderId="10" xfId="0" applyNumberFormat="1" applyFont="1" applyFill="1" applyBorder="1" applyAlignment="1">
      <alignment horizontal="left"/>
    </xf>
    <xf numFmtId="9" fontId="8" fillId="5" borderId="10" xfId="0" applyNumberFormat="1" applyFont="1" applyFill="1" applyBorder="1" applyAlignment="1">
      <alignment horizontal="left"/>
    </xf>
    <xf numFmtId="9" fontId="12" fillId="5" borderId="10" xfId="0" applyNumberFormat="1" applyFont="1" applyFill="1" applyBorder="1"/>
    <xf numFmtId="9" fontId="7" fillId="5" borderId="10" xfId="0" applyNumberFormat="1" applyFont="1" applyFill="1" applyBorder="1"/>
    <xf numFmtId="0" fontId="15" fillId="0" borderId="0" xfId="0" applyFont="1"/>
    <xf numFmtId="172" fontId="16" fillId="0" borderId="0" xfId="1" applyNumberFormat="1" applyFont="1"/>
    <xf numFmtId="172" fontId="15" fillId="0" borderId="5" xfId="1" applyNumberFormat="1" applyFont="1" applyBorder="1"/>
    <xf numFmtId="172" fontId="16" fillId="0" borderId="2" xfId="1" applyNumberFormat="1" applyFont="1" applyBorder="1"/>
    <xf numFmtId="173" fontId="15" fillId="0" borderId="0" xfId="1" applyNumberFormat="1" applyFont="1"/>
    <xf numFmtId="173" fontId="15" fillId="0" borderId="5" xfId="1" applyNumberFormat="1" applyFont="1" applyBorder="1"/>
    <xf numFmtId="173" fontId="3" fillId="0" borderId="8" xfId="1" applyNumberFormat="1" applyFont="1" applyBorder="1"/>
    <xf numFmtId="173" fontId="17" fillId="0" borderId="0" xfId="1" applyNumberFormat="1" applyFont="1"/>
    <xf numFmtId="173" fontId="3" fillId="0" borderId="0" xfId="1" applyNumberFormat="1" applyFont="1"/>
    <xf numFmtId="173" fontId="3" fillId="0" borderId="5" xfId="1" applyNumberFormat="1" applyFont="1" applyBorder="1"/>
    <xf numFmtId="165" fontId="15" fillId="0" borderId="0" xfId="1" applyFont="1"/>
    <xf numFmtId="172" fontId="3" fillId="0" borderId="0" xfId="1" applyNumberFormat="1" applyFont="1"/>
    <xf numFmtId="172" fontId="3" fillId="0" borderId="7" xfId="1" applyNumberFormat="1" applyFont="1" applyBorder="1"/>
    <xf numFmtId="172" fontId="3" fillId="0" borderId="6" xfId="1" applyNumberFormat="1" applyFont="1" applyBorder="1"/>
    <xf numFmtId="172" fontId="17" fillId="0" borderId="0" xfId="1" applyNumberFormat="1" applyFont="1"/>
    <xf numFmtId="172" fontId="17" fillId="0" borderId="5" xfId="1" applyNumberFormat="1" applyFont="1" applyBorder="1"/>
    <xf numFmtId="174" fontId="4" fillId="0" borderId="0" xfId="2" applyNumberFormat="1" applyFont="1"/>
    <xf numFmtId="170" fontId="15" fillId="0" borderId="0" xfId="0" applyNumberFormat="1" applyFont="1"/>
    <xf numFmtId="0" fontId="15" fillId="0" borderId="2" xfId="0" applyFont="1" applyBorder="1"/>
    <xf numFmtId="174" fontId="18" fillId="0" borderId="0" xfId="0" applyNumberFormat="1" applyFont="1"/>
    <xf numFmtId="172" fontId="9" fillId="0" borderId="0" xfId="0" applyNumberFormat="1" applyFont="1"/>
    <xf numFmtId="174" fontId="9" fillId="0" borderId="0" xfId="0" applyNumberFormat="1" applyFont="1"/>
    <xf numFmtId="0" fontId="19" fillId="0" borderId="0" xfId="0" applyFont="1"/>
    <xf numFmtId="174" fontId="8" fillId="0" borderId="0" xfId="2" applyNumberFormat="1" applyFont="1"/>
    <xf numFmtId="9" fontId="18" fillId="0" borderId="0" xfId="2" applyFont="1"/>
    <xf numFmtId="174" fontId="20" fillId="0" borderId="0" xfId="2" applyNumberFormat="1" applyFont="1"/>
    <xf numFmtId="175" fontId="9" fillId="0" borderId="0" xfId="0" applyNumberFormat="1" applyFont="1"/>
    <xf numFmtId="172" fontId="15" fillId="0" borderId="0" xfId="1" applyNumberFormat="1" applyFont="1"/>
    <xf numFmtId="172" fontId="4" fillId="0" borderId="0" xfId="1" applyNumberFormat="1" applyFont="1"/>
    <xf numFmtId="174" fontId="20" fillId="0" borderId="0" xfId="0" applyNumberFormat="1" applyFont="1"/>
    <xf numFmtId="3" fontId="0" fillId="0" borderId="0" xfId="0" applyNumberFormat="1"/>
    <xf numFmtId="174" fontId="16" fillId="0" borderId="0" xfId="2" applyNumberFormat="1" applyFont="1" applyBorder="1"/>
    <xf numFmtId="172" fontId="17" fillId="0" borderId="6" xfId="1" applyNumberFormat="1" applyFont="1" applyBorder="1"/>
    <xf numFmtId="170" fontId="17" fillId="0" borderId="0" xfId="0" applyNumberFormat="1" applyFont="1"/>
    <xf numFmtId="170" fontId="17" fillId="0" borderId="16" xfId="0" applyNumberFormat="1" applyFont="1" applyBorder="1"/>
    <xf numFmtId="170" fontId="17" fillId="0" borderId="14" xfId="0" applyNumberFormat="1" applyFont="1" applyBorder="1"/>
    <xf numFmtId="176" fontId="17" fillId="0" borderId="0" xfId="0" applyNumberFormat="1" applyFont="1"/>
    <xf numFmtId="172" fontId="16" fillId="0" borderId="0" xfId="1" applyNumberFormat="1" applyFont="1" applyBorder="1"/>
    <xf numFmtId="174" fontId="18" fillId="0" borderId="0" xfId="2" applyNumberFormat="1" applyFont="1"/>
    <xf numFmtId="172" fontId="15" fillId="0" borderId="0" xfId="0" applyNumberFormat="1" applyFont="1"/>
    <xf numFmtId="0" fontId="16" fillId="0" borderId="0" xfId="0" applyFont="1"/>
    <xf numFmtId="172" fontId="21" fillId="0" borderId="0" xfId="1" applyNumberFormat="1" applyFont="1"/>
    <xf numFmtId="172" fontId="22" fillId="0" borderId="16" xfId="1" applyNumberFormat="1" applyFont="1" applyBorder="1"/>
    <xf numFmtId="172" fontId="22" fillId="0" borderId="17" xfId="1" applyNumberFormat="1" applyFont="1" applyBorder="1"/>
    <xf numFmtId="172" fontId="22" fillId="0" borderId="5" xfId="1" applyNumberFormat="1" applyFont="1" applyBorder="1"/>
    <xf numFmtId="0" fontId="9" fillId="0" borderId="18" xfId="0" applyFont="1" applyBorder="1"/>
    <xf numFmtId="176" fontId="23" fillId="0" borderId="0" xfId="0" applyNumberFormat="1" applyFont="1"/>
    <xf numFmtId="0" fontId="23" fillId="0" borderId="0" xfId="0" applyFont="1"/>
    <xf numFmtId="0" fontId="0" fillId="0" borderId="3" xfId="0" applyBorder="1"/>
    <xf numFmtId="176" fontId="17" fillId="0" borderId="2" xfId="0" applyNumberFormat="1" applyFont="1" applyBorder="1"/>
    <xf numFmtId="176" fontId="17" fillId="0" borderId="19" xfId="0" applyNumberFormat="1" applyFont="1" applyBorder="1"/>
    <xf numFmtId="172" fontId="15" fillId="0" borderId="0" xfId="1" applyNumberFormat="1" applyFont="1" applyBorder="1"/>
    <xf numFmtId="165" fontId="9" fillId="0" borderId="0" xfId="0" applyNumberFormat="1" applyFont="1"/>
    <xf numFmtId="165" fontId="4" fillId="0" borderId="0" xfId="0" applyNumberFormat="1" applyFont="1"/>
    <xf numFmtId="172" fontId="3" fillId="0" borderId="0" xfId="1" applyNumberFormat="1" applyFont="1" applyBorder="1"/>
    <xf numFmtId="172" fontId="3" fillId="0" borderId="16" xfId="1" applyNumberFormat="1" applyFont="1" applyBorder="1"/>
    <xf numFmtId="172" fontId="3" fillId="0" borderId="18" xfId="1" applyNumberFormat="1" applyFont="1" applyBorder="1"/>
    <xf numFmtId="2" fontId="18" fillId="0" borderId="0" xfId="2" applyNumberFormat="1" applyFont="1"/>
    <xf numFmtId="2" fontId="20" fillId="0" borderId="0" xfId="2" applyNumberFormat="1" applyFont="1"/>
    <xf numFmtId="165" fontId="15" fillId="0" borderId="0" xfId="0" applyNumberFormat="1" applyFont="1"/>
    <xf numFmtId="172" fontId="22" fillId="0" borderId="0" xfId="1" applyNumberFormat="1" applyFont="1" applyBorder="1"/>
    <xf numFmtId="172" fontId="22" fillId="0" borderId="4" xfId="1" applyNumberFormat="1" applyFont="1" applyBorder="1"/>
    <xf numFmtId="172" fontId="21" fillId="0" borderId="0" xfId="1" applyNumberFormat="1" applyFont="1" applyBorder="1"/>
    <xf numFmtId="10" fontId="0" fillId="0" borderId="0" xfId="0" applyNumberFormat="1"/>
    <xf numFmtId="10" fontId="20" fillId="0" borderId="0" xfId="2" applyNumberFormat="1" applyFont="1"/>
    <xf numFmtId="172" fontId="23" fillId="0" borderId="5" xfId="1" applyNumberFormat="1" applyFont="1" applyBorder="1"/>
    <xf numFmtId="0" fontId="1" fillId="0" borderId="0" xfId="0" applyFont="1"/>
    <xf numFmtId="174" fontId="0" fillId="0" borderId="0" xfId="2" applyNumberFormat="1" applyFont="1"/>
    <xf numFmtId="9" fontId="7" fillId="5" borderId="0" xfId="0" applyNumberFormat="1" applyFont="1" applyFill="1" applyAlignment="1">
      <alignment horizontal="left"/>
    </xf>
    <xf numFmtId="0" fontId="0" fillId="0" borderId="31" xfId="0" applyBorder="1"/>
    <xf numFmtId="0" fontId="9" fillId="4" borderId="10" xfId="0" applyFont="1" applyFill="1" applyBorder="1"/>
    <xf numFmtId="0" fontId="17" fillId="4" borderId="26" xfId="0" applyFont="1" applyFill="1" applyBorder="1"/>
    <xf numFmtId="0" fontId="15" fillId="4" borderId="27" xfId="0" applyFont="1" applyFill="1" applyBorder="1"/>
    <xf numFmtId="0" fontId="25" fillId="4" borderId="20" xfId="0" applyFont="1" applyFill="1" applyBorder="1"/>
    <xf numFmtId="0" fontId="15" fillId="4" borderId="20" xfId="0" applyFont="1" applyFill="1" applyBorder="1"/>
    <xf numFmtId="0" fontId="15" fillId="0" borderId="21" xfId="0" applyFont="1" applyBorder="1"/>
    <xf numFmtId="0" fontId="15" fillId="0" borderId="29" xfId="0" applyFont="1" applyBorder="1"/>
    <xf numFmtId="0" fontId="17" fillId="0" borderId="0" xfId="0" applyFont="1"/>
    <xf numFmtId="0" fontId="17" fillId="0" borderId="21" xfId="0" applyFont="1" applyBorder="1"/>
    <xf numFmtId="0" fontId="17" fillId="0" borderId="23" xfId="0" applyFont="1" applyBorder="1"/>
    <xf numFmtId="0" fontId="15" fillId="0" borderId="24" xfId="0" applyFont="1" applyBorder="1"/>
    <xf numFmtId="0" fontId="15" fillId="0" borderId="30" xfId="0" applyFont="1" applyBorder="1"/>
    <xf numFmtId="0" fontId="15" fillId="4" borderId="26" xfId="0" applyFont="1" applyFill="1" applyBorder="1"/>
    <xf numFmtId="0" fontId="15" fillId="4" borderId="28" xfId="0" applyFont="1" applyFill="1" applyBorder="1"/>
    <xf numFmtId="0" fontId="15" fillId="0" borderId="23" xfId="0" applyFont="1" applyBorder="1"/>
    <xf numFmtId="0" fontId="4" fillId="5" borderId="21" xfId="3" applyFont="1" applyFill="1" applyBorder="1"/>
    <xf numFmtId="0" fontId="4" fillId="5" borderId="0" xfId="3" applyFont="1" applyFill="1"/>
    <xf numFmtId="172" fontId="21" fillId="0" borderId="22" xfId="1" applyNumberFormat="1" applyFont="1" applyBorder="1"/>
    <xf numFmtId="0" fontId="3" fillId="5" borderId="21" xfId="3" applyFont="1" applyFill="1" applyBorder="1"/>
    <xf numFmtId="0" fontId="3" fillId="5" borderId="0" xfId="3" applyFont="1" applyFill="1"/>
    <xf numFmtId="0" fontId="3" fillId="5" borderId="23" xfId="3" applyFont="1" applyFill="1" applyBorder="1"/>
    <xf numFmtId="0" fontId="3" fillId="5" borderId="24" xfId="3" applyFont="1" applyFill="1" applyBorder="1"/>
    <xf numFmtId="172" fontId="21" fillId="0" borderId="21" xfId="1" applyNumberFormat="1" applyFont="1" applyBorder="1"/>
    <xf numFmtId="172" fontId="22" fillId="0" borderId="21" xfId="1" applyNumberFormat="1" applyFont="1" applyBorder="1"/>
    <xf numFmtId="172" fontId="22" fillId="0" borderId="22" xfId="1" applyNumberFormat="1" applyFont="1" applyBorder="1"/>
    <xf numFmtId="172" fontId="22" fillId="0" borderId="23" xfId="1" applyNumberFormat="1" applyFont="1" applyBorder="1"/>
    <xf numFmtId="172" fontId="22" fillId="0" borderId="25" xfId="1" applyNumberFormat="1" applyFont="1" applyBorder="1"/>
    <xf numFmtId="172" fontId="22" fillId="0" borderId="24" xfId="1" applyNumberFormat="1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9" fontId="22" fillId="0" borderId="0" xfId="2" applyFont="1"/>
    <xf numFmtId="10" fontId="15" fillId="0" borderId="29" xfId="0" applyNumberFormat="1" applyFont="1" applyBorder="1"/>
    <xf numFmtId="10" fontId="16" fillId="0" borderId="29" xfId="0" applyNumberFormat="1" applyFont="1" applyBorder="1"/>
    <xf numFmtId="0" fontId="16" fillId="0" borderId="29" xfId="0" applyFont="1" applyBorder="1"/>
    <xf numFmtId="10" fontId="4" fillId="0" borderId="29" xfId="0" applyNumberFormat="1" applyFont="1" applyBorder="1"/>
    <xf numFmtId="172" fontId="15" fillId="0" borderId="29" xfId="1" applyNumberFormat="1" applyFont="1" applyBorder="1"/>
    <xf numFmtId="165" fontId="15" fillId="0" borderId="29" xfId="0" applyNumberFormat="1" applyFont="1" applyBorder="1"/>
    <xf numFmtId="174" fontId="15" fillId="0" borderId="30" xfId="2" applyNumberFormat="1" applyFont="1" applyBorder="1"/>
    <xf numFmtId="174" fontId="21" fillId="0" borderId="20" xfId="2" applyNumberFormat="1" applyFont="1" applyBorder="1"/>
    <xf numFmtId="165" fontId="15" fillId="0" borderId="22" xfId="0" applyNumberFormat="1" applyFont="1" applyBorder="1"/>
    <xf numFmtId="177" fontId="16" fillId="0" borderId="20" xfId="0" applyNumberFormat="1" applyFont="1" applyBorder="1"/>
    <xf numFmtId="165" fontId="17" fillId="0" borderId="22" xfId="0" applyNumberFormat="1" applyFont="1" applyBorder="1"/>
    <xf numFmtId="172" fontId="15" fillId="0" borderId="22" xfId="0" applyNumberFormat="1" applyFont="1" applyBorder="1"/>
    <xf numFmtId="9" fontId="16" fillId="0" borderId="20" xfId="2" applyFont="1" applyBorder="1"/>
    <xf numFmtId="165" fontId="17" fillId="0" borderId="25" xfId="0" applyNumberFormat="1" applyFont="1" applyBorder="1"/>
    <xf numFmtId="178" fontId="4" fillId="0" borderId="35" xfId="4" applyNumberFormat="1" applyFont="1" applyBorder="1" applyAlignment="1">
      <alignment horizontal="right"/>
    </xf>
    <xf numFmtId="0" fontId="1" fillId="4" borderId="0" xfId="0" applyFont="1" applyFill="1"/>
    <xf numFmtId="0" fontId="1" fillId="4" borderId="36" xfId="0" applyFont="1" applyFill="1" applyBorder="1"/>
    <xf numFmtId="167" fontId="3" fillId="6" borderId="36" xfId="0" applyNumberFormat="1" applyFont="1" applyFill="1" applyBorder="1" applyAlignment="1">
      <alignment horizontal="center" wrapText="1"/>
    </xf>
    <xf numFmtId="0" fontId="1" fillId="4" borderId="36" xfId="0" applyFont="1" applyFill="1" applyBorder="1" applyAlignment="1">
      <alignment horizontal="center"/>
    </xf>
    <xf numFmtId="167" fontId="3" fillId="6" borderId="36" xfId="0" applyNumberFormat="1" applyFont="1" applyFill="1" applyBorder="1" applyAlignment="1">
      <alignment horizontal="right" wrapText="1"/>
    </xf>
    <xf numFmtId="0" fontId="0" fillId="6" borderId="36" xfId="0" applyFill="1" applyBorder="1"/>
    <xf numFmtId="0" fontId="0" fillId="4" borderId="36" xfId="0" applyFill="1" applyBorder="1"/>
    <xf numFmtId="0" fontId="1" fillId="0" borderId="16" xfId="0" applyFont="1" applyBorder="1"/>
    <xf numFmtId="0" fontId="0" fillId="0" borderId="6" xfId="0" applyBorder="1"/>
    <xf numFmtId="0" fontId="0" fillId="0" borderId="18" xfId="0" applyBorder="1"/>
    <xf numFmtId="9" fontId="12" fillId="5" borderId="0" xfId="0" applyNumberFormat="1" applyFont="1" applyFill="1" applyAlignment="1">
      <alignment horizontal="right"/>
    </xf>
    <xf numFmtId="0" fontId="4" fillId="5" borderId="0" xfId="0" quotePrefix="1" applyFont="1" applyFill="1"/>
    <xf numFmtId="172" fontId="26" fillId="0" borderId="0" xfId="1" applyNumberFormat="1" applyFont="1"/>
    <xf numFmtId="172" fontId="27" fillId="0" borderId="0" xfId="1" applyNumberFormat="1" applyFont="1"/>
    <xf numFmtId="172" fontId="27" fillId="0" borderId="0" xfId="1" applyNumberFormat="1" applyFont="1" applyBorder="1"/>
    <xf numFmtId="172" fontId="27" fillId="0" borderId="6" xfId="1" applyNumberFormat="1" applyFont="1" applyBorder="1"/>
    <xf numFmtId="0" fontId="28" fillId="0" borderId="0" xfId="0" applyFont="1"/>
    <xf numFmtId="37" fontId="28" fillId="0" borderId="0" xfId="0" applyNumberFormat="1" applyFont="1" applyAlignment="1">
      <alignment vertical="top"/>
    </xf>
    <xf numFmtId="0" fontId="28" fillId="0" borderId="18" xfId="0" applyFont="1" applyBorder="1"/>
    <xf numFmtId="37" fontId="28" fillId="0" borderId="0" xfId="0" applyNumberFormat="1" applyFont="1"/>
    <xf numFmtId="0" fontId="28" fillId="0" borderId="17" xfId="0" applyFont="1" applyBorder="1"/>
    <xf numFmtId="174" fontId="29" fillId="0" borderId="4" xfId="2" applyNumberFormat="1" applyFont="1" applyBorder="1" applyAlignment="1">
      <alignment vertical="top"/>
    </xf>
    <xf numFmtId="174" fontId="29" fillId="0" borderId="0" xfId="2" applyNumberFormat="1" applyFont="1" applyBorder="1" applyAlignment="1">
      <alignment vertical="top"/>
    </xf>
    <xf numFmtId="174" fontId="29" fillId="0" borderId="4" xfId="2" applyNumberFormat="1" applyFont="1" applyBorder="1"/>
    <xf numFmtId="174" fontId="29" fillId="0" borderId="0" xfId="2" applyNumberFormat="1" applyFont="1"/>
    <xf numFmtId="172" fontId="26" fillId="0" borderId="18" xfId="1" applyNumberFormat="1" applyFont="1" applyBorder="1"/>
    <xf numFmtId="172" fontId="26" fillId="0" borderId="0" xfId="1" applyNumberFormat="1" applyFont="1" applyBorder="1"/>
    <xf numFmtId="172" fontId="26" fillId="0" borderId="19" xfId="1" applyNumberFormat="1" applyFont="1" applyBorder="1"/>
    <xf numFmtId="0" fontId="0" fillId="0" borderId="40" xfId="0" applyBorder="1"/>
    <xf numFmtId="172" fontId="26" fillId="0" borderId="2" xfId="1" applyNumberFormat="1" applyFont="1" applyBorder="1"/>
    <xf numFmtId="0" fontId="28" fillId="0" borderId="4" xfId="0" applyFont="1" applyBorder="1"/>
    <xf numFmtId="37" fontId="28" fillId="0" borderId="4" xfId="0" applyNumberFormat="1" applyFont="1" applyBorder="1"/>
    <xf numFmtId="172" fontId="27" fillId="0" borderId="38" xfId="1" applyNumberFormat="1" applyFont="1" applyBorder="1"/>
    <xf numFmtId="172" fontId="27" fillId="0" borderId="39" xfId="1" applyNumberFormat="1" applyFont="1" applyBorder="1"/>
    <xf numFmtId="174" fontId="29" fillId="0" borderId="18" xfId="2" applyNumberFormat="1" applyFont="1" applyBorder="1" applyAlignment="1">
      <alignment vertical="top"/>
    </xf>
    <xf numFmtId="172" fontId="27" fillId="0" borderId="18" xfId="1" applyNumberFormat="1" applyFont="1" applyBorder="1"/>
    <xf numFmtId="172" fontId="26" fillId="0" borderId="17" xfId="1" applyNumberFormat="1" applyFont="1" applyBorder="1"/>
    <xf numFmtId="37" fontId="28" fillId="0" borderId="5" xfId="0" applyNumberFormat="1" applyFont="1" applyBorder="1"/>
    <xf numFmtId="176" fontId="30" fillId="0" borderId="18" xfId="0" applyNumberFormat="1" applyFont="1" applyBorder="1"/>
    <xf numFmtId="174" fontId="29" fillId="0" borderId="14" xfId="2" applyNumberFormat="1" applyFont="1" applyBorder="1" applyAlignment="1">
      <alignment vertical="top"/>
    </xf>
    <xf numFmtId="174" fontId="29" fillId="0" borderId="14" xfId="2" applyNumberFormat="1" applyFont="1" applyBorder="1"/>
    <xf numFmtId="172" fontId="27" fillId="0" borderId="16" xfId="1" applyNumberFormat="1" applyFont="1" applyBorder="1"/>
    <xf numFmtId="172" fontId="30" fillId="0" borderId="0" xfId="1" applyNumberFormat="1" applyFont="1" applyBorder="1"/>
    <xf numFmtId="176" fontId="30" fillId="0" borderId="0" xfId="0" applyNumberFormat="1" applyFont="1"/>
    <xf numFmtId="165" fontId="26" fillId="0" borderId="0" xfId="1" applyFont="1"/>
    <xf numFmtId="172" fontId="26" fillId="0" borderId="5" xfId="1" applyNumberFormat="1" applyFont="1" applyBorder="1"/>
    <xf numFmtId="0" fontId="28" fillId="0" borderId="5" xfId="0" applyFont="1" applyBorder="1"/>
    <xf numFmtId="176" fontId="28" fillId="0" borderId="0" xfId="0" applyNumberFormat="1" applyFont="1"/>
    <xf numFmtId="174" fontId="29" fillId="0" borderId="4" xfId="0" applyNumberFormat="1" applyFont="1" applyBorder="1"/>
    <xf numFmtId="174" fontId="29" fillId="0" borderId="0" xfId="0" applyNumberFormat="1" applyFont="1"/>
    <xf numFmtId="165" fontId="28" fillId="0" borderId="0" xfId="0" applyNumberFormat="1" applyFont="1"/>
    <xf numFmtId="165" fontId="30" fillId="0" borderId="0" xfId="0" applyNumberFormat="1" applyFont="1"/>
    <xf numFmtId="172" fontId="30" fillId="0" borderId="6" xfId="0" applyNumberFormat="1" applyFont="1" applyBorder="1"/>
    <xf numFmtId="0" fontId="1" fillId="0" borderId="37" xfId="0" applyFont="1" applyBorder="1"/>
    <xf numFmtId="165" fontId="26" fillId="0" borderId="36" xfId="1" applyFont="1" applyBorder="1"/>
    <xf numFmtId="173" fontId="26" fillId="0" borderId="36" xfId="1" applyNumberFormat="1" applyFont="1" applyBorder="1"/>
    <xf numFmtId="0" fontId="1" fillId="0" borderId="10" xfId="0" applyFont="1" applyBorder="1"/>
    <xf numFmtId="0" fontId="1" fillId="6" borderId="36" xfId="0" applyFont="1" applyFill="1" applyBorder="1" applyAlignment="1">
      <alignment horizontal="center"/>
    </xf>
    <xf numFmtId="0" fontId="4" fillId="7" borderId="0" xfId="0" applyFont="1" applyFill="1"/>
    <xf numFmtId="0" fontId="1" fillId="4" borderId="43" xfId="0" applyFont="1" applyFill="1" applyBorder="1"/>
    <xf numFmtId="0" fontId="0" fillId="4" borderId="44" xfId="0" applyFill="1" applyBorder="1"/>
    <xf numFmtId="0" fontId="0" fillId="4" borderId="45" xfId="0" applyFill="1" applyBorder="1"/>
    <xf numFmtId="0" fontId="1" fillId="4" borderId="21" xfId="0" applyFont="1" applyFill="1" applyBorder="1"/>
    <xf numFmtId="0" fontId="0" fillId="4" borderId="22" xfId="0" applyFill="1" applyBorder="1"/>
    <xf numFmtId="174" fontId="29" fillId="6" borderId="0" xfId="2" applyNumberFormat="1" applyFont="1" applyFill="1" applyBorder="1" applyAlignment="1">
      <alignment vertical="top"/>
    </xf>
    <xf numFmtId="174" fontId="29" fillId="0" borderId="0" xfId="2" applyNumberFormat="1" applyFont="1" applyFill="1" applyBorder="1" applyAlignment="1">
      <alignment vertical="top"/>
    </xf>
    <xf numFmtId="0" fontId="1" fillId="6" borderId="41" xfId="0" applyFont="1" applyFill="1" applyBorder="1" applyAlignment="1">
      <alignment horizontal="center"/>
    </xf>
    <xf numFmtId="0" fontId="4" fillId="5" borderId="43" xfId="0" applyFont="1" applyFill="1" applyBorder="1"/>
    <xf numFmtId="0" fontId="4" fillId="5" borderId="44" xfId="0" applyFont="1" applyFill="1" applyBorder="1"/>
    <xf numFmtId="167" fontId="3" fillId="0" borderId="44" xfId="0" applyNumberFormat="1" applyFont="1" applyBorder="1" applyAlignment="1">
      <alignment horizontal="center" wrapText="1"/>
    </xf>
    <xf numFmtId="0" fontId="1" fillId="0" borderId="44" xfId="0" applyFont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3" fillId="7" borderId="21" xfId="0" applyFont="1" applyFill="1" applyBorder="1"/>
    <xf numFmtId="0" fontId="4" fillId="5" borderId="21" xfId="0" applyFont="1" applyFill="1" applyBorder="1"/>
    <xf numFmtId="0" fontId="0" fillId="0" borderId="22" xfId="0" applyBorder="1"/>
    <xf numFmtId="0" fontId="4" fillId="6" borderId="21" xfId="0" applyFont="1" applyFill="1" applyBorder="1"/>
    <xf numFmtId="0" fontId="0" fillId="6" borderId="22" xfId="0" applyFill="1" applyBorder="1"/>
    <xf numFmtId="0" fontId="4" fillId="0" borderId="21" xfId="0" applyFont="1" applyBorder="1"/>
    <xf numFmtId="0" fontId="3" fillId="5" borderId="21" xfId="0" applyFont="1" applyFill="1" applyBorder="1"/>
    <xf numFmtId="0" fontId="4" fillId="5" borderId="24" xfId="0" applyFont="1" applyFill="1" applyBorder="1"/>
    <xf numFmtId="37" fontId="28" fillId="0" borderId="24" xfId="0" applyNumberFormat="1" applyFont="1" applyBorder="1"/>
    <xf numFmtId="0" fontId="28" fillId="0" borderId="24" xfId="0" applyFont="1" applyBorder="1"/>
    <xf numFmtId="0" fontId="0" fillId="0" borderId="24" xfId="0" applyBorder="1"/>
    <xf numFmtId="0" fontId="0" fillId="0" borderId="25" xfId="0" applyBorder="1"/>
    <xf numFmtId="0" fontId="4" fillId="8" borderId="43" xfId="0" applyFont="1" applyFill="1" applyBorder="1"/>
    <xf numFmtId="0" fontId="4" fillId="8" borderId="44" xfId="0" applyFont="1" applyFill="1" applyBorder="1"/>
    <xf numFmtId="0" fontId="4" fillId="8" borderId="21" xfId="0" applyFont="1" applyFill="1" applyBorder="1"/>
    <xf numFmtId="0" fontId="4" fillId="8" borderId="23" xfId="0" applyFont="1" applyFill="1" applyBorder="1"/>
    <xf numFmtId="0" fontId="4" fillId="8" borderId="24" xfId="0" applyFont="1" applyFill="1" applyBorder="1"/>
    <xf numFmtId="172" fontId="26" fillId="8" borderId="24" xfId="1" applyNumberFormat="1" applyFont="1" applyFill="1" applyBorder="1"/>
    <xf numFmtId="0" fontId="4" fillId="8" borderId="45" xfId="0" applyFont="1" applyFill="1" applyBorder="1"/>
    <xf numFmtId="0" fontId="4" fillId="8" borderId="22" xfId="0" applyFont="1" applyFill="1" applyBorder="1"/>
    <xf numFmtId="0" fontId="4" fillId="8" borderId="25" xfId="0" applyFont="1" applyFill="1" applyBorder="1"/>
    <xf numFmtId="0" fontId="0" fillId="0" borderId="21" xfId="0" applyBorder="1"/>
    <xf numFmtId="0" fontId="1" fillId="0" borderId="21" xfId="0" applyFont="1" applyBorder="1"/>
    <xf numFmtId="0" fontId="0" fillId="0" borderId="23" xfId="0" applyBorder="1"/>
    <xf numFmtId="174" fontId="29" fillId="0" borderId="24" xfId="0" applyNumberFormat="1" applyFont="1" applyBorder="1"/>
    <xf numFmtId="0" fontId="3" fillId="4" borderId="43" xfId="0" applyFont="1" applyFill="1" applyBorder="1"/>
    <xf numFmtId="0" fontId="4" fillId="4" borderId="44" xfId="0" applyFont="1" applyFill="1" applyBorder="1"/>
    <xf numFmtId="0" fontId="4" fillId="4" borderId="21" xfId="0" applyFont="1" applyFill="1" applyBorder="1"/>
    <xf numFmtId="0" fontId="4" fillId="4" borderId="0" xfId="0" applyFont="1" applyFill="1"/>
    <xf numFmtId="167" fontId="3" fillId="6" borderId="46" xfId="0" applyNumberFormat="1" applyFont="1" applyFill="1" applyBorder="1" applyAlignment="1">
      <alignment horizontal="center" wrapText="1"/>
    </xf>
    <xf numFmtId="0" fontId="1" fillId="6" borderId="47" xfId="0" applyFont="1" applyFill="1" applyBorder="1" applyAlignment="1">
      <alignment horizontal="center"/>
    </xf>
    <xf numFmtId="0" fontId="28" fillId="0" borderId="21" xfId="0" applyFont="1" applyBorder="1"/>
    <xf numFmtId="172" fontId="26" fillId="0" borderId="21" xfId="1" applyNumberFormat="1" applyFont="1" applyBorder="1"/>
    <xf numFmtId="174" fontId="29" fillId="0" borderId="23" xfId="2" applyNumberFormat="1" applyFont="1" applyBorder="1"/>
    <xf numFmtId="0" fontId="3" fillId="4" borderId="23" xfId="0" applyFont="1" applyFill="1" applyBorder="1"/>
    <xf numFmtId="0" fontId="4" fillId="4" borderId="24" xfId="0" applyFont="1" applyFill="1" applyBorder="1"/>
    <xf numFmtId="167" fontId="3" fillId="6" borderId="51" xfId="0" applyNumberFormat="1" applyFont="1" applyFill="1" applyBorder="1" applyAlignment="1">
      <alignment horizontal="center" wrapText="1"/>
    </xf>
    <xf numFmtId="0" fontId="1" fillId="6" borderId="52" xfId="0" applyFont="1" applyFill="1" applyBorder="1" applyAlignment="1">
      <alignment horizontal="center"/>
    </xf>
    <xf numFmtId="0" fontId="1" fillId="6" borderId="53" xfId="0" applyFont="1" applyFill="1" applyBorder="1" applyAlignment="1">
      <alignment horizontal="center"/>
    </xf>
    <xf numFmtId="0" fontId="4" fillId="7" borderId="21" xfId="0" applyFont="1" applyFill="1" applyBorder="1"/>
    <xf numFmtId="9" fontId="12" fillId="7" borderId="0" xfId="0" applyNumberFormat="1" applyFont="1" applyFill="1" applyAlignment="1">
      <alignment horizontal="right"/>
    </xf>
    <xf numFmtId="167" fontId="3" fillId="0" borderId="43" xfId="0" applyNumberFormat="1" applyFont="1" applyBorder="1" applyAlignment="1">
      <alignment horizontal="center" wrapText="1"/>
    </xf>
    <xf numFmtId="174" fontId="29" fillId="6" borderId="21" xfId="2" applyNumberFormat="1" applyFont="1" applyFill="1" applyBorder="1" applyAlignment="1">
      <alignment vertical="top"/>
    </xf>
    <xf numFmtId="174" fontId="29" fillId="0" borderId="21" xfId="2" applyNumberFormat="1" applyFont="1" applyFill="1" applyBorder="1" applyAlignment="1">
      <alignment vertical="top"/>
    </xf>
    <xf numFmtId="174" fontId="29" fillId="0" borderId="21" xfId="2" applyNumberFormat="1" applyFont="1" applyBorder="1" applyAlignment="1">
      <alignment vertical="top"/>
    </xf>
    <xf numFmtId="172" fontId="27" fillId="0" borderId="21" xfId="1" applyNumberFormat="1" applyFont="1" applyBorder="1"/>
    <xf numFmtId="0" fontId="28" fillId="0" borderId="23" xfId="0" applyFont="1" applyBorder="1"/>
    <xf numFmtId="172" fontId="27" fillId="0" borderId="4" xfId="1" applyNumberFormat="1" applyFont="1" applyBorder="1"/>
    <xf numFmtId="172" fontId="26" fillId="0" borderId="4" xfId="1" applyNumberFormat="1" applyFont="1" applyBorder="1"/>
    <xf numFmtId="174" fontId="31" fillId="0" borderId="0" xfId="2" applyNumberFormat="1" applyFont="1" applyBorder="1" applyAlignment="1">
      <alignment vertical="top"/>
    </xf>
    <xf numFmtId="165" fontId="1" fillId="0" borderId="37" xfId="0" applyNumberFormat="1" applyFont="1" applyBorder="1"/>
    <xf numFmtId="176" fontId="0" fillId="0" borderId="0" xfId="0" applyNumberFormat="1"/>
    <xf numFmtId="167" fontId="3" fillId="6" borderId="41" xfId="0" applyNumberFormat="1" applyFont="1" applyFill="1" applyBorder="1" applyAlignment="1">
      <alignment horizontal="right" wrapText="1"/>
    </xf>
    <xf numFmtId="170" fontId="28" fillId="0" borderId="0" xfId="0" applyNumberFormat="1" applyFont="1"/>
    <xf numFmtId="165" fontId="26" fillId="0" borderId="0" xfId="1" applyFont="1" applyBorder="1"/>
    <xf numFmtId="165" fontId="26" fillId="0" borderId="2" xfId="1" applyFont="1" applyBorder="1"/>
    <xf numFmtId="165" fontId="26" fillId="0" borderId="18" xfId="1" applyFont="1" applyBorder="1"/>
    <xf numFmtId="165" fontId="26" fillId="0" borderId="19" xfId="1" applyFont="1" applyBorder="1"/>
    <xf numFmtId="172" fontId="26" fillId="0" borderId="36" xfId="1" applyNumberFormat="1" applyFont="1" applyBorder="1"/>
    <xf numFmtId="0" fontId="0" fillId="0" borderId="18" xfId="0" applyBorder="1" applyAlignment="1">
      <alignment horizontal="left" indent="1"/>
    </xf>
    <xf numFmtId="9" fontId="12" fillId="4" borderId="44" xfId="0" applyNumberFormat="1" applyFont="1" applyFill="1" applyBorder="1" applyAlignment="1">
      <alignment horizontal="right"/>
    </xf>
    <xf numFmtId="9" fontId="12" fillId="4" borderId="0" xfId="0" applyNumberFormat="1" applyFont="1" applyFill="1" applyAlignment="1">
      <alignment horizontal="right"/>
    </xf>
    <xf numFmtId="9" fontId="12" fillId="4" borderId="24" xfId="0" applyNumberFormat="1" applyFont="1" applyFill="1" applyBorder="1" applyAlignment="1">
      <alignment horizontal="right"/>
    </xf>
    <xf numFmtId="172" fontId="26" fillId="7" borderId="21" xfId="1" applyNumberFormat="1" applyFont="1" applyFill="1" applyBorder="1"/>
    <xf numFmtId="172" fontId="26" fillId="7" borderId="0" xfId="1" applyNumberFormat="1" applyFont="1" applyFill="1" applyBorder="1"/>
    <xf numFmtId="172" fontId="26" fillId="7" borderId="22" xfId="1" applyNumberFormat="1" applyFont="1" applyFill="1" applyBorder="1"/>
    <xf numFmtId="172" fontId="26" fillId="0" borderId="22" xfId="1" applyNumberFormat="1" applyFont="1" applyBorder="1"/>
    <xf numFmtId="172" fontId="26" fillId="0" borderId="23" xfId="1" applyNumberFormat="1" applyFont="1" applyBorder="1"/>
    <xf numFmtId="172" fontId="26" fillId="0" borderId="24" xfId="1" applyNumberFormat="1" applyFont="1" applyBorder="1"/>
    <xf numFmtId="172" fontId="26" fillId="0" borderId="25" xfId="1" applyNumberFormat="1" applyFont="1" applyBorder="1"/>
    <xf numFmtId="167" fontId="3" fillId="6" borderId="54" xfId="0" applyNumberFormat="1" applyFont="1" applyFill="1" applyBorder="1" applyAlignment="1">
      <alignment horizontal="center" wrapText="1"/>
    </xf>
    <xf numFmtId="165" fontId="26" fillId="0" borderId="21" xfId="1" applyFont="1" applyBorder="1"/>
    <xf numFmtId="165" fontId="26" fillId="0" borderId="22" xfId="1" applyFont="1" applyBorder="1"/>
    <xf numFmtId="165" fontId="26" fillId="7" borderId="21" xfId="1" applyFont="1" applyFill="1" applyBorder="1"/>
    <xf numFmtId="165" fontId="26" fillId="7" borderId="0" xfId="1" applyFont="1" applyFill="1" applyBorder="1"/>
    <xf numFmtId="165" fontId="26" fillId="7" borderId="22" xfId="1" applyFont="1" applyFill="1" applyBorder="1"/>
    <xf numFmtId="0" fontId="3" fillId="0" borderId="21" xfId="0" applyFont="1" applyBorder="1"/>
    <xf numFmtId="9" fontId="12" fillId="0" borderId="0" xfId="0" applyNumberFormat="1" applyFont="1" applyAlignment="1">
      <alignment horizontal="right"/>
    </xf>
    <xf numFmtId="167" fontId="3" fillId="0" borderId="2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167" fontId="3" fillId="0" borderId="0" xfId="0" applyNumberFormat="1" applyFont="1" applyAlignment="1">
      <alignment horizontal="center" wrapText="1"/>
    </xf>
    <xf numFmtId="167" fontId="3" fillId="0" borderId="22" xfId="0" applyNumberFormat="1" applyFont="1" applyBorder="1" applyAlignment="1">
      <alignment horizontal="center" wrapText="1"/>
    </xf>
    <xf numFmtId="172" fontId="26" fillId="8" borderId="0" xfId="1" applyNumberFormat="1" applyFont="1" applyFill="1" applyBorder="1"/>
    <xf numFmtId="166" fontId="3" fillId="6" borderId="56" xfId="0" applyNumberFormat="1" applyFont="1" applyFill="1" applyBorder="1"/>
    <xf numFmtId="0" fontId="1" fillId="6" borderId="49" xfId="0" applyFont="1" applyFill="1" applyBorder="1"/>
    <xf numFmtId="0" fontId="0" fillId="6" borderId="57" xfId="0" applyFill="1" applyBorder="1"/>
    <xf numFmtId="0" fontId="0" fillId="6" borderId="50" xfId="0" applyFill="1" applyBorder="1"/>
    <xf numFmtId="0" fontId="1" fillId="6" borderId="58" xfId="0" applyFont="1" applyFill="1" applyBorder="1" applyAlignment="1">
      <alignment horizontal="center"/>
    </xf>
    <xf numFmtId="0" fontId="4" fillId="6" borderId="0" xfId="0" applyFont="1" applyFill="1"/>
    <xf numFmtId="0" fontId="0" fillId="6" borderId="0" xfId="0" applyFill="1"/>
    <xf numFmtId="0" fontId="4" fillId="8" borderId="0" xfId="0" applyFont="1" applyFill="1"/>
    <xf numFmtId="0" fontId="4" fillId="5" borderId="45" xfId="0" applyFont="1" applyFill="1" applyBorder="1"/>
    <xf numFmtId="0" fontId="4" fillId="7" borderId="22" xfId="0" applyFont="1" applyFill="1" applyBorder="1"/>
    <xf numFmtId="0" fontId="4" fillId="5" borderId="22" xfId="0" applyFont="1" applyFill="1" applyBorder="1"/>
    <xf numFmtId="0" fontId="4" fillId="6" borderId="22" xfId="0" applyFont="1" applyFill="1" applyBorder="1"/>
    <xf numFmtId="0" fontId="4" fillId="0" borderId="22" xfId="0" applyFont="1" applyBorder="1"/>
    <xf numFmtId="0" fontId="4" fillId="5" borderId="22" xfId="0" quotePrefix="1" applyFont="1" applyFill="1" applyBorder="1"/>
    <xf numFmtId="0" fontId="3" fillId="5" borderId="22" xfId="0" applyFont="1" applyFill="1" applyBorder="1"/>
    <xf numFmtId="179" fontId="26" fillId="0" borderId="0" xfId="1" applyNumberFormat="1" applyFont="1" applyBorder="1"/>
    <xf numFmtId="179" fontId="26" fillId="7" borderId="0" xfId="1" applyNumberFormat="1" applyFont="1" applyFill="1" applyBorder="1"/>
    <xf numFmtId="179" fontId="26" fillId="7" borderId="22" xfId="1" applyNumberFormat="1" applyFont="1" applyFill="1" applyBorder="1"/>
    <xf numFmtId="179" fontId="26" fillId="0" borderId="22" xfId="1" applyNumberFormat="1" applyFont="1" applyBorder="1"/>
    <xf numFmtId="172" fontId="26" fillId="8" borderId="21" xfId="1" applyNumberFormat="1" applyFont="1" applyFill="1" applyBorder="1"/>
    <xf numFmtId="172" fontId="26" fillId="8" borderId="23" xfId="1" applyNumberFormat="1" applyFont="1" applyFill="1" applyBorder="1"/>
    <xf numFmtId="179" fontId="26" fillId="8" borderId="0" xfId="1" applyNumberFormat="1" applyFont="1" applyFill="1" applyBorder="1"/>
    <xf numFmtId="179" fontId="26" fillId="8" borderId="22" xfId="1" applyNumberFormat="1" applyFont="1" applyFill="1" applyBorder="1"/>
    <xf numFmtId="179" fontId="26" fillId="8" borderId="24" xfId="1" applyNumberFormat="1" applyFont="1" applyFill="1" applyBorder="1"/>
    <xf numFmtId="179" fontId="26" fillId="8" borderId="25" xfId="1" applyNumberFormat="1" applyFont="1" applyFill="1" applyBorder="1"/>
    <xf numFmtId="174" fontId="30" fillId="6" borderId="45" xfId="2" applyNumberFormat="1" applyFont="1" applyFill="1" applyBorder="1" applyAlignment="1">
      <alignment horizontal="center" vertical="top"/>
    </xf>
    <xf numFmtId="0" fontId="0" fillId="0" borderId="14" xfId="0" applyBorder="1"/>
    <xf numFmtId="0" fontId="4" fillId="5" borderId="2" xfId="0" applyFont="1" applyFill="1" applyBorder="1"/>
    <xf numFmtId="179" fontId="26" fillId="7" borderId="61" xfId="1" applyNumberFormat="1" applyFont="1" applyFill="1" applyBorder="1"/>
    <xf numFmtId="0" fontId="1" fillId="0" borderId="62" xfId="0" applyFont="1" applyBorder="1" applyAlignment="1">
      <alignment horizontal="center"/>
    </xf>
    <xf numFmtId="172" fontId="26" fillId="0" borderId="61" xfId="1" applyNumberFormat="1" applyFont="1" applyBorder="1"/>
    <xf numFmtId="174" fontId="29" fillId="6" borderId="61" xfId="2" applyNumberFormat="1" applyFont="1" applyFill="1" applyBorder="1" applyAlignment="1">
      <alignment vertical="top"/>
    </xf>
    <xf numFmtId="174" fontId="29" fillId="0" borderId="61" xfId="2" applyNumberFormat="1" applyFont="1" applyFill="1" applyBorder="1" applyAlignment="1">
      <alignment vertical="top"/>
    </xf>
    <xf numFmtId="179" fontId="26" fillId="0" borderId="61" xfId="1" applyNumberFormat="1" applyFont="1" applyBorder="1"/>
    <xf numFmtId="174" fontId="29" fillId="0" borderId="61" xfId="2" applyNumberFormat="1" applyFont="1" applyBorder="1" applyAlignment="1">
      <alignment vertical="top"/>
    </xf>
    <xf numFmtId="172" fontId="27" fillId="0" borderId="61" xfId="1" applyNumberFormat="1" applyFont="1" applyBorder="1"/>
    <xf numFmtId="0" fontId="28" fillId="0" borderId="61" xfId="0" applyFont="1" applyBorder="1"/>
    <xf numFmtId="179" fontId="26" fillId="8" borderId="61" xfId="1" applyNumberFormat="1" applyFont="1" applyFill="1" applyBorder="1"/>
    <xf numFmtId="179" fontId="26" fillId="8" borderId="63" xfId="1" applyNumberFormat="1" applyFont="1" applyFill="1" applyBorder="1"/>
    <xf numFmtId="179" fontId="0" fillId="0" borderId="0" xfId="0" applyNumberFormat="1"/>
    <xf numFmtId="179" fontId="0" fillId="6" borderId="0" xfId="0" applyNumberFormat="1" applyFill="1"/>
    <xf numFmtId="179" fontId="26" fillId="8" borderId="44" xfId="1" applyNumberFormat="1" applyFont="1" applyFill="1" applyBorder="1"/>
    <xf numFmtId="179" fontId="26" fillId="8" borderId="45" xfId="1" applyNumberFormat="1" applyFont="1" applyFill="1" applyBorder="1"/>
    <xf numFmtId="179" fontId="26" fillId="8" borderId="62" xfId="1" applyNumberFormat="1" applyFont="1" applyFill="1" applyBorder="1"/>
    <xf numFmtId="167" fontId="3" fillId="6" borderId="30" xfId="0" applyNumberFormat="1" applyFont="1" applyFill="1" applyBorder="1" applyAlignment="1">
      <alignment horizontal="center" wrapText="1"/>
    </xf>
    <xf numFmtId="167" fontId="3" fillId="6" borderId="20" xfId="0" applyNumberFormat="1" applyFont="1" applyFill="1" applyBorder="1" applyAlignment="1">
      <alignment horizontal="center" wrapText="1"/>
    </xf>
    <xf numFmtId="167" fontId="3" fillId="6" borderId="29" xfId="0" applyNumberFormat="1" applyFont="1" applyFill="1" applyBorder="1" applyAlignment="1">
      <alignment horizontal="center" wrapText="1"/>
    </xf>
    <xf numFmtId="167" fontId="3" fillId="6" borderId="45" xfId="0" applyNumberFormat="1" applyFont="1" applyFill="1" applyBorder="1" applyAlignment="1">
      <alignment horizontal="center" wrapText="1"/>
    </xf>
    <xf numFmtId="167" fontId="3" fillId="6" borderId="25" xfId="0" applyNumberFormat="1" applyFont="1" applyFill="1" applyBorder="1" applyAlignment="1">
      <alignment horizontal="center" wrapText="1"/>
    </xf>
    <xf numFmtId="172" fontId="26" fillId="0" borderId="69" xfId="1" applyNumberFormat="1" applyFont="1" applyBorder="1"/>
    <xf numFmtId="172" fontId="26" fillId="0" borderId="70" xfId="1" applyNumberFormat="1" applyFont="1" applyBorder="1"/>
    <xf numFmtId="167" fontId="3" fillId="0" borderId="66" xfId="0" applyNumberFormat="1" applyFont="1" applyBorder="1" applyAlignment="1">
      <alignment horizontal="center" wrapText="1"/>
    </xf>
    <xf numFmtId="0" fontId="1" fillId="0" borderId="66" xfId="0" applyFont="1" applyBorder="1" applyAlignment="1">
      <alignment horizontal="center"/>
    </xf>
    <xf numFmtId="167" fontId="3" fillId="0" borderId="67" xfId="0" applyNumberFormat="1" applyFont="1" applyBorder="1" applyAlignment="1">
      <alignment horizontal="center" wrapText="1"/>
    </xf>
    <xf numFmtId="0" fontId="1" fillId="6" borderId="71" xfId="0" applyFont="1" applyFill="1" applyBorder="1" applyAlignment="1">
      <alignment horizontal="center"/>
    </xf>
    <xf numFmtId="167" fontId="3" fillId="6" borderId="71" xfId="0" applyNumberFormat="1" applyFont="1" applyFill="1" applyBorder="1" applyAlignment="1">
      <alignment horizontal="center" wrapText="1"/>
    </xf>
    <xf numFmtId="167" fontId="3" fillId="6" borderId="72" xfId="0" applyNumberFormat="1" applyFont="1" applyFill="1" applyBorder="1" applyAlignment="1">
      <alignment horizontal="center" wrapText="1"/>
    </xf>
    <xf numFmtId="167" fontId="3" fillId="6" borderId="73" xfId="0" applyNumberFormat="1" applyFont="1" applyFill="1" applyBorder="1" applyAlignment="1">
      <alignment horizontal="center" wrapText="1"/>
    </xf>
    <xf numFmtId="9" fontId="12" fillId="4" borderId="45" xfId="0" applyNumberFormat="1" applyFont="1" applyFill="1" applyBorder="1" applyAlignment="1">
      <alignment horizontal="right"/>
    </xf>
    <xf numFmtId="9" fontId="12" fillId="4" borderId="25" xfId="0" applyNumberFormat="1" applyFont="1" applyFill="1" applyBorder="1" applyAlignment="1">
      <alignment horizontal="right"/>
    </xf>
    <xf numFmtId="172" fontId="26" fillId="8" borderId="43" xfId="1" applyNumberFormat="1" applyFont="1" applyFill="1" applyBorder="1"/>
    <xf numFmtId="172" fontId="26" fillId="8" borderId="44" xfId="1" applyNumberFormat="1" applyFont="1" applyFill="1" applyBorder="1"/>
    <xf numFmtId="180" fontId="16" fillId="0" borderId="43" xfId="0" applyNumberFormat="1" applyFont="1" applyBorder="1" applyAlignment="1">
      <alignment horizontal="center" wrapText="1"/>
    </xf>
    <xf numFmtId="180" fontId="16" fillId="0" borderId="21" xfId="0" applyNumberFormat="1" applyFont="1" applyBorder="1" applyAlignment="1">
      <alignment horizontal="center" wrapText="1"/>
    </xf>
    <xf numFmtId="172" fontId="26" fillId="0" borderId="65" xfId="1" applyNumberFormat="1" applyFont="1" applyFill="1" applyBorder="1" applyAlignment="1">
      <alignment horizontal="center"/>
    </xf>
    <xf numFmtId="172" fontId="26" fillId="0" borderId="65" xfId="1" applyNumberFormat="1" applyFont="1" applyBorder="1" applyAlignment="1">
      <alignment horizontal="center"/>
    </xf>
    <xf numFmtId="172" fontId="26" fillId="0" borderId="68" xfId="1" applyNumberFormat="1" applyFont="1" applyFill="1" applyBorder="1" applyAlignment="1">
      <alignment horizontal="center"/>
    </xf>
    <xf numFmtId="172" fontId="26" fillId="0" borderId="68" xfId="1" applyNumberFormat="1" applyFont="1" applyBorder="1" applyAlignment="1">
      <alignment horizontal="center"/>
    </xf>
    <xf numFmtId="0" fontId="4" fillId="5" borderId="21" xfId="0" applyFont="1" applyFill="1" applyBorder="1" applyAlignment="1">
      <alignment horizontal="left" indent="1"/>
    </xf>
    <xf numFmtId="0" fontId="4" fillId="5" borderId="43" xfId="0" applyFont="1" applyFill="1" applyBorder="1" applyAlignment="1">
      <alignment horizontal="left" indent="1"/>
    </xf>
    <xf numFmtId="165" fontId="0" fillId="0" borderId="0" xfId="0" applyNumberFormat="1"/>
    <xf numFmtId="172" fontId="32" fillId="0" borderId="65" xfId="1" applyNumberFormat="1" applyFont="1" applyFill="1" applyBorder="1" applyAlignment="1">
      <alignment horizontal="center"/>
    </xf>
    <xf numFmtId="172" fontId="32" fillId="0" borderId="65" xfId="1" applyNumberFormat="1" applyFont="1" applyBorder="1" applyAlignment="1">
      <alignment horizontal="center"/>
    </xf>
    <xf numFmtId="3" fontId="33" fillId="0" borderId="0" xfId="0" applyNumberFormat="1" applyFont="1"/>
    <xf numFmtId="179" fontId="26" fillId="0" borderId="0" xfId="1" applyNumberFormat="1" applyFont="1" applyBorder="1" applyAlignment="1">
      <alignment horizontal="right"/>
    </xf>
    <xf numFmtId="179" fontId="26" fillId="0" borderId="22" xfId="1" applyNumberFormat="1" applyFont="1" applyBorder="1" applyAlignment="1">
      <alignment horizontal="right"/>
    </xf>
    <xf numFmtId="0" fontId="5" fillId="0" borderId="0" xfId="0" applyFont="1"/>
    <xf numFmtId="0" fontId="4" fillId="5" borderId="25" xfId="0" applyFont="1" applyFill="1" applyBorder="1"/>
    <xf numFmtId="0" fontId="1" fillId="0" borderId="67" xfId="0" applyFont="1" applyBorder="1" applyAlignment="1">
      <alignment horizontal="center"/>
    </xf>
    <xf numFmtId="0" fontId="3" fillId="4" borderId="26" xfId="0" applyFont="1" applyFill="1" applyBorder="1"/>
    <xf numFmtId="0" fontId="4" fillId="4" borderId="27" xfId="0" applyFont="1" applyFill="1" applyBorder="1"/>
    <xf numFmtId="174" fontId="30" fillId="6" borderId="74" xfId="2" applyNumberFormat="1" applyFont="1" applyFill="1" applyBorder="1" applyAlignment="1">
      <alignment horizontal="center" vertical="top"/>
    </xf>
    <xf numFmtId="174" fontId="30" fillId="6" borderId="75" xfId="2" applyNumberFormat="1" applyFont="1" applyFill="1" applyBorder="1" applyAlignment="1">
      <alignment horizontal="center" vertical="top"/>
    </xf>
    <xf numFmtId="0" fontId="1" fillId="4" borderId="23" xfId="0" applyFont="1" applyFill="1" applyBorder="1"/>
    <xf numFmtId="0" fontId="0" fillId="4" borderId="24" xfId="0" applyFill="1" applyBorder="1"/>
    <xf numFmtId="167" fontId="3" fillId="9" borderId="23" xfId="0" applyNumberFormat="1" applyFont="1" applyFill="1" applyBorder="1" applyAlignment="1">
      <alignment horizontal="center" wrapText="1"/>
    </xf>
    <xf numFmtId="167" fontId="3" fillId="9" borderId="24" xfId="0" applyNumberFormat="1" applyFont="1" applyFill="1" applyBorder="1" applyAlignment="1">
      <alignment horizontal="center" wrapText="1"/>
    </xf>
    <xf numFmtId="167" fontId="3" fillId="9" borderId="25" xfId="0" applyNumberFormat="1" applyFont="1" applyFill="1" applyBorder="1" applyAlignment="1">
      <alignment horizontal="center" wrapText="1"/>
    </xf>
    <xf numFmtId="174" fontId="30" fillId="6" borderId="76" xfId="2" applyNumberFormat="1" applyFont="1" applyFill="1" applyBorder="1" applyAlignment="1">
      <alignment horizontal="center" vertical="top"/>
    </xf>
    <xf numFmtId="167" fontId="3" fillId="0" borderId="77" xfId="0" applyNumberFormat="1" applyFont="1" applyBorder="1" applyAlignment="1">
      <alignment horizontal="center" wrapText="1"/>
    </xf>
    <xf numFmtId="172" fontId="26" fillId="0" borderId="79" xfId="1" applyNumberFormat="1" applyFont="1" applyBorder="1"/>
    <xf numFmtId="9" fontId="12" fillId="4" borderId="28" xfId="0" applyNumberFormat="1" applyFont="1" applyFill="1" applyBorder="1" applyAlignment="1">
      <alignment horizontal="right"/>
    </xf>
    <xf numFmtId="9" fontId="12" fillId="0" borderId="22" xfId="0" applyNumberFormat="1" applyFont="1" applyBorder="1" applyAlignment="1">
      <alignment horizontal="right"/>
    </xf>
    <xf numFmtId="9" fontId="12" fillId="5" borderId="22" xfId="0" applyNumberFormat="1" applyFont="1" applyFill="1" applyBorder="1" applyAlignment="1">
      <alignment horizontal="right"/>
    </xf>
    <xf numFmtId="181" fontId="26" fillId="0" borderId="21" xfId="4" applyNumberFormat="1" applyFont="1" applyBorder="1" applyAlignment="1">
      <alignment horizontal="center"/>
    </xf>
    <xf numFmtId="181" fontId="26" fillId="0" borderId="0" xfId="4" applyNumberFormat="1" applyFont="1" applyBorder="1" applyAlignment="1">
      <alignment horizontal="center"/>
    </xf>
    <xf numFmtId="181" fontId="26" fillId="0" borderId="22" xfId="4" applyNumberFormat="1" applyFont="1" applyBorder="1" applyAlignment="1">
      <alignment horizontal="center"/>
    </xf>
    <xf numFmtId="179" fontId="34" fillId="0" borderId="23" xfId="1" applyNumberFormat="1" applyFont="1" applyFill="1" applyBorder="1" applyAlignment="1">
      <alignment horizontal="center"/>
    </xf>
    <xf numFmtId="179" fontId="34" fillId="0" borderId="24" xfId="1" applyNumberFormat="1" applyFont="1" applyFill="1" applyBorder="1" applyAlignment="1">
      <alignment horizontal="center"/>
    </xf>
    <xf numFmtId="179" fontId="34" fillId="0" borderId="25" xfId="1" applyNumberFormat="1" applyFont="1" applyFill="1" applyBorder="1" applyAlignment="1">
      <alignment horizontal="center"/>
    </xf>
    <xf numFmtId="181" fontId="27" fillId="0" borderId="21" xfId="4" applyNumberFormat="1" applyFont="1" applyBorder="1" applyAlignment="1">
      <alignment horizontal="center"/>
    </xf>
    <xf numFmtId="181" fontId="27" fillId="0" borderId="0" xfId="4" applyNumberFormat="1" applyFont="1" applyBorder="1" applyAlignment="1">
      <alignment horizontal="center"/>
    </xf>
    <xf numFmtId="181" fontId="27" fillId="0" borderId="22" xfId="4" applyNumberFormat="1" applyFont="1" applyBorder="1" applyAlignment="1">
      <alignment horizontal="center"/>
    </xf>
    <xf numFmtId="178" fontId="35" fillId="0" borderId="21" xfId="4" applyNumberFormat="1" applyFont="1" applyBorder="1" applyAlignment="1">
      <alignment horizontal="center"/>
    </xf>
    <xf numFmtId="178" fontId="34" fillId="0" borderId="0" xfId="4" applyNumberFormat="1" applyFont="1" applyBorder="1" applyAlignment="1">
      <alignment horizontal="center"/>
    </xf>
    <xf numFmtId="178" fontId="35" fillId="0" borderId="22" xfId="4" applyNumberFormat="1" applyFont="1" applyBorder="1" applyAlignment="1">
      <alignment horizontal="center"/>
    </xf>
    <xf numFmtId="0" fontId="3" fillId="5" borderId="21" xfId="0" applyFont="1" applyFill="1" applyBorder="1" applyAlignment="1">
      <alignment horizontal="left" indent="1"/>
    </xf>
    <xf numFmtId="0" fontId="3" fillId="5" borderId="23" xfId="0" applyFont="1" applyFill="1" applyBorder="1" applyAlignment="1">
      <alignment horizontal="left" indent="1"/>
    </xf>
    <xf numFmtId="170" fontId="0" fillId="0" borderId="0" xfId="0" applyNumberFormat="1"/>
    <xf numFmtId="178" fontId="26" fillId="0" borderId="21" xfId="4" applyNumberFormat="1" applyFont="1" applyBorder="1" applyAlignment="1">
      <alignment horizontal="center"/>
    </xf>
    <xf numFmtId="178" fontId="26" fillId="0" borderId="22" xfId="4" applyNumberFormat="1" applyFont="1" applyBorder="1" applyAlignment="1">
      <alignment horizontal="center"/>
    </xf>
    <xf numFmtId="178" fontId="27" fillId="0" borderId="21" xfId="4" applyNumberFormat="1" applyFont="1" applyBorder="1" applyAlignment="1">
      <alignment horizontal="center"/>
    </xf>
    <xf numFmtId="178" fontId="27" fillId="0" borderId="22" xfId="4" applyNumberFormat="1" applyFont="1" applyBorder="1" applyAlignment="1">
      <alignment horizontal="center"/>
    </xf>
    <xf numFmtId="179" fontId="35" fillId="0" borderId="23" xfId="1" applyNumberFormat="1" applyFont="1" applyFill="1" applyBorder="1" applyAlignment="1">
      <alignment horizontal="center"/>
    </xf>
    <xf numFmtId="179" fontId="35" fillId="0" borderId="25" xfId="1" applyNumberFormat="1" applyFont="1" applyFill="1" applyBorder="1" applyAlignment="1">
      <alignment horizontal="center"/>
    </xf>
    <xf numFmtId="179" fontId="27" fillId="0" borderId="23" xfId="1" applyNumberFormat="1" applyFont="1" applyFill="1" applyBorder="1" applyAlignment="1">
      <alignment horizontal="center"/>
    </xf>
    <xf numFmtId="179" fontId="27" fillId="0" borderId="25" xfId="1" applyNumberFormat="1" applyFont="1" applyFill="1" applyBorder="1" applyAlignment="1">
      <alignment horizontal="center"/>
    </xf>
    <xf numFmtId="178" fontId="26" fillId="0" borderId="78" xfId="4" applyNumberFormat="1" applyFont="1" applyBorder="1" applyAlignment="1">
      <alignment horizontal="center"/>
    </xf>
    <xf numFmtId="178" fontId="26" fillId="0" borderId="65" xfId="4" applyNumberFormat="1" applyFont="1" applyBorder="1" applyAlignment="1">
      <alignment horizontal="center"/>
    </xf>
    <xf numFmtId="178" fontId="26" fillId="0" borderId="68" xfId="4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73" fontId="16" fillId="0" borderId="0" xfId="1" applyNumberFormat="1" applyFont="1"/>
    <xf numFmtId="0" fontId="4" fillId="5" borderId="0" xfId="0" applyFont="1" applyFill="1" applyAlignment="1">
      <alignment vertical="top"/>
    </xf>
    <xf numFmtId="182" fontId="9" fillId="0" borderId="0" xfId="0" applyNumberFormat="1" applyFont="1"/>
    <xf numFmtId="1" fontId="18" fillId="0" borderId="0" xfId="2" applyNumberFormat="1" applyFont="1"/>
    <xf numFmtId="1" fontId="20" fillId="0" borderId="0" xfId="2" applyNumberFormat="1" applyFont="1"/>
    <xf numFmtId="182" fontId="0" fillId="0" borderId="0" xfId="0" applyNumberFormat="1"/>
    <xf numFmtId="182" fontId="15" fillId="0" borderId="2" xfId="0" applyNumberFormat="1" applyFont="1" applyBorder="1"/>
    <xf numFmtId="43" fontId="0" fillId="0" borderId="0" xfId="0" applyNumberFormat="1"/>
    <xf numFmtId="43" fontId="4" fillId="0" borderId="0" xfId="0" applyNumberFormat="1" applyFont="1"/>
    <xf numFmtId="43" fontId="4" fillId="0" borderId="4" xfId="0" applyNumberFormat="1" applyFont="1" applyBorder="1"/>
    <xf numFmtId="172" fontId="15" fillId="0" borderId="5" xfId="1" applyNumberFormat="1" applyFont="1" applyFill="1" applyBorder="1"/>
    <xf numFmtId="0" fontId="2" fillId="0" borderId="10" xfId="0" applyFont="1" applyBorder="1" applyAlignment="1">
      <alignment horizontal="left"/>
    </xf>
    <xf numFmtId="166" fontId="3" fillId="2" borderId="13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3" fillId="2" borderId="12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7" fillId="4" borderId="28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174" fontId="30" fillId="6" borderId="48" xfId="2" applyNumberFormat="1" applyFont="1" applyFill="1" applyBorder="1" applyAlignment="1">
      <alignment horizontal="center" vertical="top"/>
    </xf>
    <xf numFmtId="174" fontId="30" fillId="6" borderId="49" xfId="2" applyNumberFormat="1" applyFont="1" applyFill="1" applyBorder="1" applyAlignment="1">
      <alignment horizontal="center" vertical="top"/>
    </xf>
    <xf numFmtId="174" fontId="30" fillId="6" borderId="50" xfId="2" applyNumberFormat="1" applyFont="1" applyFill="1" applyBorder="1" applyAlignment="1">
      <alignment horizontal="center" vertical="top"/>
    </xf>
    <xf numFmtId="174" fontId="30" fillId="6" borderId="43" xfId="2" applyNumberFormat="1" applyFont="1" applyFill="1" applyBorder="1" applyAlignment="1">
      <alignment horizontal="center" vertical="top"/>
    </xf>
    <xf numFmtId="174" fontId="30" fillId="6" borderId="44" xfId="2" applyNumberFormat="1" applyFont="1" applyFill="1" applyBorder="1" applyAlignment="1">
      <alignment horizontal="center" vertical="top"/>
    </xf>
    <xf numFmtId="174" fontId="30" fillId="6" borderId="45" xfId="2" applyNumberFormat="1" applyFont="1" applyFill="1" applyBorder="1" applyAlignment="1">
      <alignment horizontal="center" vertical="top"/>
    </xf>
    <xf numFmtId="167" fontId="3" fillId="6" borderId="59" xfId="0" applyNumberFormat="1" applyFont="1" applyFill="1" applyBorder="1" applyAlignment="1">
      <alignment horizontal="center" wrapText="1"/>
    </xf>
    <xf numFmtId="167" fontId="3" fillId="6" borderId="60" xfId="0" applyNumberFormat="1" applyFont="1" applyFill="1" applyBorder="1" applyAlignment="1">
      <alignment horizontal="center" wrapText="1"/>
    </xf>
    <xf numFmtId="167" fontId="3" fillId="6" borderId="55" xfId="0" applyNumberFormat="1" applyFont="1" applyFill="1" applyBorder="1" applyAlignment="1">
      <alignment horizontal="center" wrapText="1"/>
    </xf>
    <xf numFmtId="167" fontId="3" fillId="6" borderId="42" xfId="0" applyNumberFormat="1" applyFont="1" applyFill="1" applyBorder="1" applyAlignment="1">
      <alignment horizontal="center" wrapText="1"/>
    </xf>
    <xf numFmtId="166" fontId="3" fillId="6" borderId="16" xfId="0" applyNumberFormat="1" applyFont="1" applyFill="1" applyBorder="1" applyAlignment="1">
      <alignment horizontal="center"/>
    </xf>
    <xf numFmtId="166" fontId="3" fillId="6" borderId="6" xfId="0" applyNumberFormat="1" applyFont="1" applyFill="1" applyBorder="1" applyAlignment="1">
      <alignment horizontal="center"/>
    </xf>
    <xf numFmtId="166" fontId="3" fillId="6" borderId="37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167" fontId="3" fillId="6" borderId="43" xfId="0" applyNumberFormat="1" applyFont="1" applyFill="1" applyBorder="1" applyAlignment="1">
      <alignment horizontal="center" wrapText="1"/>
    </xf>
    <xf numFmtId="167" fontId="3" fillId="6" borderId="21" xfId="0" applyNumberFormat="1" applyFont="1" applyFill="1" applyBorder="1" applyAlignment="1">
      <alignment horizontal="center" wrapText="1"/>
    </xf>
    <xf numFmtId="167" fontId="3" fillId="6" borderId="23" xfId="0" applyNumberFormat="1" applyFont="1" applyFill="1" applyBorder="1" applyAlignment="1">
      <alignment horizontal="center" wrapText="1"/>
    </xf>
    <xf numFmtId="167" fontId="3" fillId="6" borderId="27" xfId="0" applyNumberFormat="1" applyFont="1" applyFill="1" applyBorder="1" applyAlignment="1">
      <alignment horizontal="center" wrapText="1"/>
    </xf>
    <xf numFmtId="167" fontId="3" fillId="6" borderId="28" xfId="0" applyNumberFormat="1" applyFont="1" applyFill="1" applyBorder="1" applyAlignment="1">
      <alignment horizontal="center" wrapText="1"/>
    </xf>
    <xf numFmtId="167" fontId="3" fillId="6" borderId="64" xfId="0" applyNumberFormat="1" applyFont="1" applyFill="1" applyBorder="1" applyAlignment="1">
      <alignment horizontal="center" wrapText="1"/>
    </xf>
    <xf numFmtId="167" fontId="3" fillId="6" borderId="30" xfId="0" applyNumberFormat="1" applyFont="1" applyFill="1" applyBorder="1" applyAlignment="1">
      <alignment horizontal="center" wrapText="1"/>
    </xf>
    <xf numFmtId="167" fontId="3" fillId="6" borderId="26" xfId="0" applyNumberFormat="1" applyFont="1" applyFill="1" applyBorder="1" applyAlignment="1">
      <alignment horizontal="center" wrapText="1"/>
    </xf>
    <xf numFmtId="167" fontId="3" fillId="6" borderId="44" xfId="0" applyNumberFormat="1" applyFont="1" applyFill="1" applyBorder="1" applyAlignment="1">
      <alignment horizontal="center" wrapText="1"/>
    </xf>
    <xf numFmtId="167" fontId="3" fillId="6" borderId="24" xfId="0" applyNumberFormat="1" applyFont="1" applyFill="1" applyBorder="1" applyAlignment="1">
      <alignment horizontal="center" wrapText="1"/>
    </xf>
    <xf numFmtId="167" fontId="3" fillId="6" borderId="45" xfId="0" applyNumberFormat="1" applyFont="1" applyFill="1" applyBorder="1" applyAlignment="1">
      <alignment horizontal="center" wrapText="1"/>
    </xf>
    <xf numFmtId="167" fontId="3" fillId="9" borderId="43" xfId="0" applyNumberFormat="1" applyFont="1" applyFill="1" applyBorder="1" applyAlignment="1">
      <alignment horizontal="center" wrapText="1"/>
    </xf>
    <xf numFmtId="167" fontId="3" fillId="9" borderId="44" xfId="0" applyNumberFormat="1" applyFont="1" applyFill="1" applyBorder="1" applyAlignment="1">
      <alignment horizontal="center" wrapText="1"/>
    </xf>
    <xf numFmtId="167" fontId="3" fillId="9" borderId="45" xfId="0" applyNumberFormat="1" applyFont="1" applyFill="1" applyBorder="1" applyAlignment="1">
      <alignment horizontal="center" wrapText="1"/>
    </xf>
    <xf numFmtId="167" fontId="3" fillId="9" borderId="26" xfId="0" applyNumberFormat="1" applyFont="1" applyFill="1" applyBorder="1" applyAlignment="1">
      <alignment horizontal="center" wrapText="1"/>
    </xf>
    <xf numFmtId="167" fontId="3" fillId="9" borderId="27" xfId="0" applyNumberFormat="1" applyFont="1" applyFill="1" applyBorder="1" applyAlignment="1">
      <alignment horizontal="center" wrapText="1"/>
    </xf>
    <xf numFmtId="167" fontId="3" fillId="9" borderId="28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1" fillId="0" borderId="4" xfId="1" applyNumberFormat="1" applyFont="1" applyBorder="1"/>
    <xf numFmtId="182" fontId="15" fillId="0" borderId="0" xfId="0" applyNumberFormat="1" applyFont="1"/>
    <xf numFmtId="183" fontId="15" fillId="0" borderId="29" xfId="0" applyNumberFormat="1" applyFont="1" applyBorder="1"/>
    <xf numFmtId="43" fontId="21" fillId="0" borderId="0" xfId="1" applyNumberFormat="1" applyFont="1"/>
    <xf numFmtId="172" fontId="1" fillId="0" borderId="0" xfId="0" applyNumberFormat="1" applyFont="1"/>
    <xf numFmtId="172" fontId="4" fillId="0" borderId="0" xfId="1" applyNumberFormat="1" applyFont="1" applyFill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5">
    <cellStyle name="Comma" xfId="1" builtinId="3"/>
    <cellStyle name="Currency" xfId="4" builtinId="4"/>
    <cellStyle name="Normal" xfId="0" builtinId="0"/>
    <cellStyle name="Normal 2" xfId="3" xr:uid="{CBCC8CC4-1350-4017-B72E-DFB23D25B6B1}"/>
    <cellStyle name="Per cent" xfId="2" builtinId="5"/>
  </cellStyles>
  <dxfs count="2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242F0"/>
      <color rgb="FFF4D227"/>
      <color rgb="FF66FFF2"/>
      <color rgb="FFFF1A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creativecommons.org/licenses/by-sa/3.0/" TargetMode="External"/><Relationship Id="rId1" Type="http://schemas.openxmlformats.org/officeDocument/2006/relationships/hyperlink" Target="https://commons.wikimedia.org/wiki/File:Walmart_logo.sv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commons.wikimedia.org/wiki/File:Walmart_logo.svg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commons.wikimedia.org/wiki/File:Walmart_logo.svg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commons.wikimedia.org/wiki/File:Walmart_logo.svg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commons.wikimedia.org/wiki/File:Walmart_logo.svg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commons.wikimedia.org/wiki/File:Walmart_logo.svg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commons.wikimedia.org/wiki/File:Walmart_logo.svg" TargetMode="Externa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28972</xdr:rowOff>
    </xdr:from>
    <xdr:ext cx="1661160" cy="5484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F462FE-956D-EFFB-2F0B-21D761347C3E}"/>
            </a:ext>
          </a:extLst>
        </xdr:cNvPr>
        <xdr:cNvSpPr txBox="1"/>
      </xdr:nvSpPr>
      <xdr:spPr>
        <a:xfrm>
          <a:off x="3230880" y="3709432"/>
          <a:ext cx="1661160" cy="54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NG" sz="900">
              <a:hlinkClick xmlns:r="http://schemas.openxmlformats.org/officeDocument/2006/relationships" r:id="rId1" tooltip="https://commons.wikimedia.org/wiki/File:Walmart_logo.svg"/>
            </a:rPr>
            <a:t>This Photo</a:t>
          </a:r>
          <a:r>
            <a:rPr lang="en-NG" sz="900"/>
            <a:t> by Unknown Author is licensed under </a:t>
          </a:r>
          <a:r>
            <a:rPr lang="en-NG" sz="900">
              <a:hlinkClick xmlns:r="http://schemas.openxmlformats.org/officeDocument/2006/relationships" r:id="rId2" tooltip="https://creativecommons.org/licenses/by-sa/3.0/"/>
            </a:rPr>
            <a:t>CC BY-SA</a:t>
          </a:r>
          <a:endParaRPr lang="en-NG" sz="9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1348740</xdr:colOff>
      <xdr:row>2</xdr:row>
      <xdr:rowOff>18942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F9A1F4-1C75-4E9B-A530-8D19A960F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"/>
            </a:ext>
          </a:extLst>
        </a:blip>
        <a:stretch>
          <a:fillRect/>
        </a:stretch>
      </xdr:blipFill>
      <xdr:spPr>
        <a:xfrm>
          <a:off x="0" y="0"/>
          <a:ext cx="1661160" cy="38470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181372</xdr:rowOff>
    </xdr:from>
    <xdr:ext cx="1661160" cy="5484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2BBDB32-4992-41E5-A0A8-67D4F111874F}"/>
            </a:ext>
          </a:extLst>
        </xdr:cNvPr>
        <xdr:cNvSpPr txBox="1"/>
      </xdr:nvSpPr>
      <xdr:spPr>
        <a:xfrm>
          <a:off x="0" y="364252"/>
          <a:ext cx="1661160" cy="54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NG" sz="900">
              <a:hlinkClick xmlns:r="http://schemas.openxmlformats.org/officeDocument/2006/relationships" r:id="rId1" tooltip="https://commons.wikimedia.org/wiki/File:Walmart_logo.svg"/>
            </a:rPr>
            <a:t>This Photo</a:t>
          </a:r>
          <a:r>
            <a:rPr lang="en-NG" sz="900"/>
            <a:t> by Unknown Author is licensed under </a:t>
          </a:r>
          <a:r>
            <a:rPr lang="en-NG" sz="900">
              <a:hlinkClick xmlns:r="http://schemas.openxmlformats.org/officeDocument/2006/relationships" r:id="rId2" tooltip="https://creativecommons.org/licenses/by-sa/3.0/"/>
            </a:rPr>
            <a:t>CC BY-SA</a:t>
          </a:r>
          <a:endParaRPr lang="en-NG" sz="9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2</xdr:col>
      <xdr:colOff>778890</xdr:colOff>
      <xdr:row>2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36C1F-A7EC-45C5-836E-66802EE1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8"/>
          <a:ext cx="1083690" cy="381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2</xdr:col>
      <xdr:colOff>778890</xdr:colOff>
      <xdr:row>2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494BF-A1F3-4814-8D71-684CE980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8"/>
          <a:ext cx="1102740" cy="3714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2</xdr:col>
      <xdr:colOff>778890</xdr:colOff>
      <xdr:row>2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5A2C9F-8BDB-46F9-A57F-17165EFC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8"/>
          <a:ext cx="1102740" cy="3714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2</xdr:col>
      <xdr:colOff>778890</xdr:colOff>
      <xdr:row>2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D721E-A9F2-4154-A51B-E9FE8F301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8"/>
          <a:ext cx="1102740" cy="3714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2</xdr:col>
      <xdr:colOff>778890</xdr:colOff>
      <xdr:row>2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325319-EAC9-4913-B25F-A1189ACAA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8"/>
          <a:ext cx="1102740" cy="3714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2</xdr:col>
      <xdr:colOff>778890</xdr:colOff>
      <xdr:row>2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BCFEB5-737E-4CD4-BF08-AAB2A3F06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8"/>
          <a:ext cx="1102740" cy="3714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52388</xdr:rowOff>
    </xdr:from>
    <xdr:to>
      <xdr:col>3</xdr:col>
      <xdr:colOff>778889</xdr:colOff>
      <xdr:row>2</xdr:row>
      <xdr:rowOff>71438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F31959-C140-4A6E-8E86-10A8DDD63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52388"/>
          <a:ext cx="1102739" cy="381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52388</xdr:rowOff>
    </xdr:from>
    <xdr:to>
      <xdr:col>3</xdr:col>
      <xdr:colOff>778889</xdr:colOff>
      <xdr:row>2</xdr:row>
      <xdr:rowOff>80963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69006-C2AC-4713-973A-081F31560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52388"/>
          <a:ext cx="110273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1347893</xdr:colOff>
      <xdr:row>1</xdr:row>
      <xdr:rowOff>189969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5E9BF8-2713-4D82-9DCD-851BA91E4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661160" cy="38470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169519</xdr:rowOff>
    </xdr:from>
    <xdr:ext cx="1661160" cy="5484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EB0B19-F98A-4E0C-9A1E-EF67748379D0}"/>
            </a:ext>
          </a:extLst>
        </xdr:cNvPr>
        <xdr:cNvSpPr txBox="1"/>
      </xdr:nvSpPr>
      <xdr:spPr>
        <a:xfrm>
          <a:off x="0" y="364252"/>
          <a:ext cx="1661160" cy="54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NG" sz="900">
              <a:hlinkClick xmlns:r="http://schemas.openxmlformats.org/officeDocument/2006/relationships" r:id="rId2" tooltip="https://commons.wikimedia.org/wiki/File:Walmart_logo.svg"/>
            </a:rPr>
            <a:t>This Photo</a:t>
          </a:r>
          <a:r>
            <a:rPr lang="en-NG" sz="900"/>
            <a:t> by Unknown Author is licensed under </a:t>
          </a:r>
          <a:r>
            <a:rPr lang="en-NG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NG" sz="9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1348740</xdr:colOff>
      <xdr:row>2</xdr:row>
      <xdr:rowOff>18942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5894D8-D16B-42C9-8E6E-4DF3BEFA5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661160" cy="38470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181372</xdr:rowOff>
    </xdr:from>
    <xdr:ext cx="1661160" cy="5484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C857B3-F5DC-46F3-9D17-2DE8776AA9F8}"/>
            </a:ext>
          </a:extLst>
        </xdr:cNvPr>
        <xdr:cNvSpPr txBox="1"/>
      </xdr:nvSpPr>
      <xdr:spPr>
        <a:xfrm>
          <a:off x="0" y="364252"/>
          <a:ext cx="1661160" cy="54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NG" sz="900">
              <a:hlinkClick xmlns:r="http://schemas.openxmlformats.org/officeDocument/2006/relationships" r:id="rId2" tooltip="https://commons.wikimedia.org/wiki/File:Walmart_logo.svg"/>
            </a:rPr>
            <a:t>This Photo</a:t>
          </a:r>
          <a:r>
            <a:rPr lang="en-NG" sz="900"/>
            <a:t> by Unknown Author is licensed under </a:t>
          </a:r>
          <a:r>
            <a:rPr lang="en-NG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NG" sz="9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1348740</xdr:colOff>
      <xdr:row>2</xdr:row>
      <xdr:rowOff>3702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26922-4E80-48D4-8E8B-9E537927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661160" cy="38470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173752</xdr:rowOff>
    </xdr:from>
    <xdr:ext cx="1661160" cy="5484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BCFD75-0488-4773-9282-819AE7D9EC42}"/>
            </a:ext>
          </a:extLst>
        </xdr:cNvPr>
        <xdr:cNvSpPr txBox="1"/>
      </xdr:nvSpPr>
      <xdr:spPr>
        <a:xfrm>
          <a:off x="0" y="364252"/>
          <a:ext cx="1661160" cy="54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NG" sz="900">
              <a:hlinkClick xmlns:r="http://schemas.openxmlformats.org/officeDocument/2006/relationships" r:id="rId2" tooltip="https://commons.wikimedia.org/wiki/File:Walmart_logo.svg"/>
            </a:rPr>
            <a:t>This Photo</a:t>
          </a:r>
          <a:r>
            <a:rPr lang="en-NG" sz="900"/>
            <a:t> by Unknown Author is licensed under </a:t>
          </a:r>
          <a:r>
            <a:rPr lang="en-NG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NG" sz="9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1348740</xdr:colOff>
      <xdr:row>2</xdr:row>
      <xdr:rowOff>3702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6035C8-B827-4AA7-B9E1-934B74D92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661160" cy="38470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173752</xdr:rowOff>
    </xdr:from>
    <xdr:ext cx="1661160" cy="5484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DE4D2A-AF2C-49A3-911C-310ED0C1867B}"/>
            </a:ext>
          </a:extLst>
        </xdr:cNvPr>
        <xdr:cNvSpPr txBox="1"/>
      </xdr:nvSpPr>
      <xdr:spPr>
        <a:xfrm>
          <a:off x="0" y="364252"/>
          <a:ext cx="1661160" cy="54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NG" sz="900">
              <a:hlinkClick xmlns:r="http://schemas.openxmlformats.org/officeDocument/2006/relationships" r:id="rId2" tooltip="https://commons.wikimedia.org/wiki/File:Walmart_logo.svg"/>
            </a:rPr>
            <a:t>This Photo</a:t>
          </a:r>
          <a:r>
            <a:rPr lang="en-NG" sz="900"/>
            <a:t> by Unknown Author is licensed under </a:t>
          </a:r>
          <a:r>
            <a:rPr lang="en-NG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NG" sz="9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1348740</xdr:colOff>
      <xdr:row>2</xdr:row>
      <xdr:rowOff>3702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51169E-02B2-452E-8487-E35D033CB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661160" cy="38470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173752</xdr:rowOff>
    </xdr:from>
    <xdr:ext cx="1661160" cy="5484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825B2C3-C774-40AF-A915-CE37B5578BE5}"/>
            </a:ext>
          </a:extLst>
        </xdr:cNvPr>
        <xdr:cNvSpPr txBox="1"/>
      </xdr:nvSpPr>
      <xdr:spPr>
        <a:xfrm>
          <a:off x="0" y="364252"/>
          <a:ext cx="1661160" cy="54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NG" sz="900">
              <a:hlinkClick xmlns:r="http://schemas.openxmlformats.org/officeDocument/2006/relationships" r:id="rId2" tooltip="https://commons.wikimedia.org/wiki/File:Walmart_logo.svg"/>
            </a:rPr>
            <a:t>This Photo</a:t>
          </a:r>
          <a:r>
            <a:rPr lang="en-NG" sz="900"/>
            <a:t> by Unknown Author is licensed under </a:t>
          </a:r>
          <a:r>
            <a:rPr lang="en-NG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NG" sz="9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1348740</xdr:colOff>
      <xdr:row>2</xdr:row>
      <xdr:rowOff>3702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05440C-CC0C-4CC3-AA82-BB94BE28E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661160" cy="38470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173752</xdr:rowOff>
    </xdr:from>
    <xdr:ext cx="1661160" cy="5484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28048D3-4714-4615-92A3-0DCDAFF2409C}"/>
            </a:ext>
          </a:extLst>
        </xdr:cNvPr>
        <xdr:cNvSpPr txBox="1"/>
      </xdr:nvSpPr>
      <xdr:spPr>
        <a:xfrm>
          <a:off x="0" y="364252"/>
          <a:ext cx="1661160" cy="54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NG" sz="900">
              <a:hlinkClick xmlns:r="http://schemas.openxmlformats.org/officeDocument/2006/relationships" r:id="rId2" tooltip="https://commons.wikimedia.org/wiki/File:Walmart_logo.svg"/>
            </a:rPr>
            <a:t>This Photo</a:t>
          </a:r>
          <a:r>
            <a:rPr lang="en-NG" sz="900"/>
            <a:t> by Unknown Author is licensed under </a:t>
          </a:r>
          <a:r>
            <a:rPr lang="en-NG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NG" sz="9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52388</xdr:rowOff>
    </xdr:from>
    <xdr:to>
      <xdr:col>3</xdr:col>
      <xdr:colOff>778889</xdr:colOff>
      <xdr:row>2</xdr:row>
      <xdr:rowOff>61913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A2362-42BB-4128-9092-CB9B4DCAB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8"/>
          <a:ext cx="1102740" cy="3714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52388</xdr:rowOff>
    </xdr:from>
    <xdr:to>
      <xdr:col>2</xdr:col>
      <xdr:colOff>778890</xdr:colOff>
      <xdr:row>2</xdr:row>
      <xdr:rowOff>52388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ED84A-6A84-4E04-A3AD-B1B9E2A1A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8"/>
          <a:ext cx="110274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3666-C46C-4E00-AAF2-405BEAA1A9F5}">
  <dimension ref="A1:O75"/>
  <sheetViews>
    <sheetView showGridLines="0" workbookViewId="0">
      <pane xSplit="3" ySplit="7" topLeftCell="D59" activePane="bottomRight" state="frozen"/>
      <selection pane="topRight" activeCell="D1" sqref="D1"/>
      <selection pane="bottomLeft" activeCell="A8" sqref="A8"/>
      <selection pane="bottomRight" activeCell="L42" sqref="L42:M42"/>
    </sheetView>
  </sheetViews>
  <sheetFormatPr defaultRowHeight="13.8"/>
  <cols>
    <col min="1" max="1" width="2.109375" style="35" customWidth="1"/>
    <col min="2" max="2" width="2.44140625" style="35" customWidth="1"/>
    <col min="3" max="3" width="32" style="35" customWidth="1"/>
    <col min="4" max="4" width="10.21875" style="35" customWidth="1"/>
    <col min="5" max="5" width="11.109375" style="35" bestFit="1" customWidth="1"/>
    <col min="6" max="7" width="10.5546875" style="35" bestFit="1" customWidth="1"/>
    <col min="8" max="8" width="9.5546875" style="35" bestFit="1" customWidth="1"/>
    <col min="9" max="11" width="10.109375" style="35" bestFit="1" customWidth="1"/>
    <col min="12" max="13" width="9" style="35"/>
    <col min="14" max="14" width="10.5546875" style="35" bestFit="1" customWidth="1"/>
    <col min="15" max="15" width="13.109375" style="35" bestFit="1" customWidth="1"/>
    <col min="16" max="256" width="9" style="35"/>
    <col min="257" max="257" width="2.109375" style="35" customWidth="1"/>
    <col min="258" max="258" width="2.44140625" style="35" customWidth="1"/>
    <col min="259" max="259" width="40.88671875" style="35" customWidth="1"/>
    <col min="260" max="260" width="9" style="35"/>
    <col min="261" max="261" width="8.5546875" style="35" bestFit="1" customWidth="1"/>
    <col min="262" max="512" width="9" style="35"/>
    <col min="513" max="513" width="2.109375" style="35" customWidth="1"/>
    <col min="514" max="514" width="2.44140625" style="35" customWidth="1"/>
    <col min="515" max="515" width="40.88671875" style="35" customWidth="1"/>
    <col min="516" max="516" width="9" style="35"/>
    <col min="517" max="517" width="8.5546875" style="35" bestFit="1" customWidth="1"/>
    <col min="518" max="768" width="9" style="35"/>
    <col min="769" max="769" width="2.109375" style="35" customWidth="1"/>
    <col min="770" max="770" width="2.44140625" style="35" customWidth="1"/>
    <col min="771" max="771" width="40.88671875" style="35" customWidth="1"/>
    <col min="772" max="772" width="9" style="35"/>
    <col min="773" max="773" width="8.5546875" style="35" bestFit="1" customWidth="1"/>
    <col min="774" max="1024" width="9" style="35"/>
    <col min="1025" max="1025" width="2.109375" style="35" customWidth="1"/>
    <col min="1026" max="1026" width="2.44140625" style="35" customWidth="1"/>
    <col min="1027" max="1027" width="40.88671875" style="35" customWidth="1"/>
    <col min="1028" max="1028" width="9" style="35"/>
    <col min="1029" max="1029" width="8.5546875" style="35" bestFit="1" customWidth="1"/>
    <col min="1030" max="1280" width="9" style="35"/>
    <col min="1281" max="1281" width="2.109375" style="35" customWidth="1"/>
    <col min="1282" max="1282" width="2.44140625" style="35" customWidth="1"/>
    <col min="1283" max="1283" width="40.88671875" style="35" customWidth="1"/>
    <col min="1284" max="1284" width="9" style="35"/>
    <col min="1285" max="1285" width="8.5546875" style="35" bestFit="1" customWidth="1"/>
    <col min="1286" max="1536" width="9" style="35"/>
    <col min="1537" max="1537" width="2.109375" style="35" customWidth="1"/>
    <col min="1538" max="1538" width="2.44140625" style="35" customWidth="1"/>
    <col min="1539" max="1539" width="40.88671875" style="35" customWidth="1"/>
    <col min="1540" max="1540" width="9" style="35"/>
    <col min="1541" max="1541" width="8.5546875" style="35" bestFit="1" customWidth="1"/>
    <col min="1542" max="1792" width="9" style="35"/>
    <col min="1793" max="1793" width="2.109375" style="35" customWidth="1"/>
    <col min="1794" max="1794" width="2.44140625" style="35" customWidth="1"/>
    <col min="1795" max="1795" width="40.88671875" style="35" customWidth="1"/>
    <col min="1796" max="1796" width="9" style="35"/>
    <col min="1797" max="1797" width="8.5546875" style="35" bestFit="1" customWidth="1"/>
    <col min="1798" max="2048" width="9" style="35"/>
    <col min="2049" max="2049" width="2.109375" style="35" customWidth="1"/>
    <col min="2050" max="2050" width="2.44140625" style="35" customWidth="1"/>
    <col min="2051" max="2051" width="40.88671875" style="35" customWidth="1"/>
    <col min="2052" max="2052" width="9" style="35"/>
    <col min="2053" max="2053" width="8.5546875" style="35" bestFit="1" customWidth="1"/>
    <col min="2054" max="2304" width="9" style="35"/>
    <col min="2305" max="2305" width="2.109375" style="35" customWidth="1"/>
    <col min="2306" max="2306" width="2.44140625" style="35" customWidth="1"/>
    <col min="2307" max="2307" width="40.88671875" style="35" customWidth="1"/>
    <col min="2308" max="2308" width="9" style="35"/>
    <col min="2309" max="2309" width="8.5546875" style="35" bestFit="1" customWidth="1"/>
    <col min="2310" max="2560" width="9" style="35"/>
    <col min="2561" max="2561" width="2.109375" style="35" customWidth="1"/>
    <col min="2562" max="2562" width="2.44140625" style="35" customWidth="1"/>
    <col min="2563" max="2563" width="40.88671875" style="35" customWidth="1"/>
    <col min="2564" max="2564" width="9" style="35"/>
    <col min="2565" max="2565" width="8.5546875" style="35" bestFit="1" customWidth="1"/>
    <col min="2566" max="2816" width="9" style="35"/>
    <col min="2817" max="2817" width="2.109375" style="35" customWidth="1"/>
    <col min="2818" max="2818" width="2.44140625" style="35" customWidth="1"/>
    <col min="2819" max="2819" width="40.88671875" style="35" customWidth="1"/>
    <col min="2820" max="2820" width="9" style="35"/>
    <col min="2821" max="2821" width="8.5546875" style="35" bestFit="1" customWidth="1"/>
    <col min="2822" max="3072" width="9" style="35"/>
    <col min="3073" max="3073" width="2.109375" style="35" customWidth="1"/>
    <col min="3074" max="3074" width="2.44140625" style="35" customWidth="1"/>
    <col min="3075" max="3075" width="40.88671875" style="35" customWidth="1"/>
    <col min="3076" max="3076" width="9" style="35"/>
    <col min="3077" max="3077" width="8.5546875" style="35" bestFit="1" customWidth="1"/>
    <col min="3078" max="3328" width="9" style="35"/>
    <col min="3329" max="3329" width="2.109375" style="35" customWidth="1"/>
    <col min="3330" max="3330" width="2.44140625" style="35" customWidth="1"/>
    <col min="3331" max="3331" width="40.88671875" style="35" customWidth="1"/>
    <col min="3332" max="3332" width="9" style="35"/>
    <col min="3333" max="3333" width="8.5546875" style="35" bestFit="1" customWidth="1"/>
    <col min="3334" max="3584" width="9" style="35"/>
    <col min="3585" max="3585" width="2.109375" style="35" customWidth="1"/>
    <col min="3586" max="3586" width="2.44140625" style="35" customWidth="1"/>
    <col min="3587" max="3587" width="40.88671875" style="35" customWidth="1"/>
    <col min="3588" max="3588" width="9" style="35"/>
    <col min="3589" max="3589" width="8.5546875" style="35" bestFit="1" customWidth="1"/>
    <col min="3590" max="3840" width="9" style="35"/>
    <col min="3841" max="3841" width="2.109375" style="35" customWidth="1"/>
    <col min="3842" max="3842" width="2.44140625" style="35" customWidth="1"/>
    <col min="3843" max="3843" width="40.88671875" style="35" customWidth="1"/>
    <col min="3844" max="3844" width="9" style="35"/>
    <col min="3845" max="3845" width="8.5546875" style="35" bestFit="1" customWidth="1"/>
    <col min="3846" max="4096" width="9" style="35"/>
    <col min="4097" max="4097" width="2.109375" style="35" customWidth="1"/>
    <col min="4098" max="4098" width="2.44140625" style="35" customWidth="1"/>
    <col min="4099" max="4099" width="40.88671875" style="35" customWidth="1"/>
    <col min="4100" max="4100" width="9" style="35"/>
    <col min="4101" max="4101" width="8.5546875" style="35" bestFit="1" customWidth="1"/>
    <col min="4102" max="4352" width="9" style="35"/>
    <col min="4353" max="4353" width="2.109375" style="35" customWidth="1"/>
    <col min="4354" max="4354" width="2.44140625" style="35" customWidth="1"/>
    <col min="4355" max="4355" width="40.88671875" style="35" customWidth="1"/>
    <col min="4356" max="4356" width="9" style="35"/>
    <col min="4357" max="4357" width="8.5546875" style="35" bestFit="1" customWidth="1"/>
    <col min="4358" max="4608" width="9" style="35"/>
    <col min="4609" max="4609" width="2.109375" style="35" customWidth="1"/>
    <col min="4610" max="4610" width="2.44140625" style="35" customWidth="1"/>
    <col min="4611" max="4611" width="40.88671875" style="35" customWidth="1"/>
    <col min="4612" max="4612" width="9" style="35"/>
    <col min="4613" max="4613" width="8.5546875" style="35" bestFit="1" customWidth="1"/>
    <col min="4614" max="4864" width="9" style="35"/>
    <col min="4865" max="4865" width="2.109375" style="35" customWidth="1"/>
    <col min="4866" max="4866" width="2.44140625" style="35" customWidth="1"/>
    <col min="4867" max="4867" width="40.88671875" style="35" customWidth="1"/>
    <col min="4868" max="4868" width="9" style="35"/>
    <col min="4869" max="4869" width="8.5546875" style="35" bestFit="1" customWidth="1"/>
    <col min="4870" max="5120" width="9" style="35"/>
    <col min="5121" max="5121" width="2.109375" style="35" customWidth="1"/>
    <col min="5122" max="5122" width="2.44140625" style="35" customWidth="1"/>
    <col min="5123" max="5123" width="40.88671875" style="35" customWidth="1"/>
    <col min="5124" max="5124" width="9" style="35"/>
    <col min="5125" max="5125" width="8.5546875" style="35" bestFit="1" customWidth="1"/>
    <col min="5126" max="5376" width="9" style="35"/>
    <col min="5377" max="5377" width="2.109375" style="35" customWidth="1"/>
    <col min="5378" max="5378" width="2.44140625" style="35" customWidth="1"/>
    <col min="5379" max="5379" width="40.88671875" style="35" customWidth="1"/>
    <col min="5380" max="5380" width="9" style="35"/>
    <col min="5381" max="5381" width="8.5546875" style="35" bestFit="1" customWidth="1"/>
    <col min="5382" max="5632" width="9" style="35"/>
    <col min="5633" max="5633" width="2.109375" style="35" customWidth="1"/>
    <col min="5634" max="5634" width="2.44140625" style="35" customWidth="1"/>
    <col min="5635" max="5635" width="40.88671875" style="35" customWidth="1"/>
    <col min="5636" max="5636" width="9" style="35"/>
    <col min="5637" max="5637" width="8.5546875" style="35" bestFit="1" customWidth="1"/>
    <col min="5638" max="5888" width="9" style="35"/>
    <col min="5889" max="5889" width="2.109375" style="35" customWidth="1"/>
    <col min="5890" max="5890" width="2.44140625" style="35" customWidth="1"/>
    <col min="5891" max="5891" width="40.88671875" style="35" customWidth="1"/>
    <col min="5892" max="5892" width="9" style="35"/>
    <col min="5893" max="5893" width="8.5546875" style="35" bestFit="1" customWidth="1"/>
    <col min="5894" max="6144" width="9" style="35"/>
    <col min="6145" max="6145" width="2.109375" style="35" customWidth="1"/>
    <col min="6146" max="6146" width="2.44140625" style="35" customWidth="1"/>
    <col min="6147" max="6147" width="40.88671875" style="35" customWidth="1"/>
    <col min="6148" max="6148" width="9" style="35"/>
    <col min="6149" max="6149" width="8.5546875" style="35" bestFit="1" customWidth="1"/>
    <col min="6150" max="6400" width="9" style="35"/>
    <col min="6401" max="6401" width="2.109375" style="35" customWidth="1"/>
    <col min="6402" max="6402" width="2.44140625" style="35" customWidth="1"/>
    <col min="6403" max="6403" width="40.88671875" style="35" customWidth="1"/>
    <col min="6404" max="6404" width="9" style="35"/>
    <col min="6405" max="6405" width="8.5546875" style="35" bestFit="1" customWidth="1"/>
    <col min="6406" max="6656" width="9" style="35"/>
    <col min="6657" max="6657" width="2.109375" style="35" customWidth="1"/>
    <col min="6658" max="6658" width="2.44140625" style="35" customWidth="1"/>
    <col min="6659" max="6659" width="40.88671875" style="35" customWidth="1"/>
    <col min="6660" max="6660" width="9" style="35"/>
    <col min="6661" max="6661" width="8.5546875" style="35" bestFit="1" customWidth="1"/>
    <col min="6662" max="6912" width="9" style="35"/>
    <col min="6913" max="6913" width="2.109375" style="35" customWidth="1"/>
    <col min="6914" max="6914" width="2.44140625" style="35" customWidth="1"/>
    <col min="6915" max="6915" width="40.88671875" style="35" customWidth="1"/>
    <col min="6916" max="6916" width="9" style="35"/>
    <col min="6917" max="6917" width="8.5546875" style="35" bestFit="1" customWidth="1"/>
    <col min="6918" max="7168" width="9" style="35"/>
    <col min="7169" max="7169" width="2.109375" style="35" customWidth="1"/>
    <col min="7170" max="7170" width="2.44140625" style="35" customWidth="1"/>
    <col min="7171" max="7171" width="40.88671875" style="35" customWidth="1"/>
    <col min="7172" max="7172" width="9" style="35"/>
    <col min="7173" max="7173" width="8.5546875" style="35" bestFit="1" customWidth="1"/>
    <col min="7174" max="7424" width="9" style="35"/>
    <col min="7425" max="7425" width="2.109375" style="35" customWidth="1"/>
    <col min="7426" max="7426" width="2.44140625" style="35" customWidth="1"/>
    <col min="7427" max="7427" width="40.88671875" style="35" customWidth="1"/>
    <col min="7428" max="7428" width="9" style="35"/>
    <col min="7429" max="7429" width="8.5546875" style="35" bestFit="1" customWidth="1"/>
    <col min="7430" max="7680" width="9" style="35"/>
    <col min="7681" max="7681" width="2.109375" style="35" customWidth="1"/>
    <col min="7682" max="7682" width="2.44140625" style="35" customWidth="1"/>
    <col min="7683" max="7683" width="40.88671875" style="35" customWidth="1"/>
    <col min="7684" max="7684" width="9" style="35"/>
    <col min="7685" max="7685" width="8.5546875" style="35" bestFit="1" customWidth="1"/>
    <col min="7686" max="7936" width="9" style="35"/>
    <col min="7937" max="7937" width="2.109375" style="35" customWidth="1"/>
    <col min="7938" max="7938" width="2.44140625" style="35" customWidth="1"/>
    <col min="7939" max="7939" width="40.88671875" style="35" customWidth="1"/>
    <col min="7940" max="7940" width="9" style="35"/>
    <col min="7941" max="7941" width="8.5546875" style="35" bestFit="1" customWidth="1"/>
    <col min="7942" max="8192" width="9" style="35"/>
    <col min="8193" max="8193" width="2.109375" style="35" customWidth="1"/>
    <col min="8194" max="8194" width="2.44140625" style="35" customWidth="1"/>
    <col min="8195" max="8195" width="40.88671875" style="35" customWidth="1"/>
    <col min="8196" max="8196" width="9" style="35"/>
    <col min="8197" max="8197" width="8.5546875" style="35" bestFit="1" customWidth="1"/>
    <col min="8198" max="8448" width="9" style="35"/>
    <col min="8449" max="8449" width="2.109375" style="35" customWidth="1"/>
    <col min="8450" max="8450" width="2.44140625" style="35" customWidth="1"/>
    <col min="8451" max="8451" width="40.88671875" style="35" customWidth="1"/>
    <col min="8452" max="8452" width="9" style="35"/>
    <col min="8453" max="8453" width="8.5546875" style="35" bestFit="1" customWidth="1"/>
    <col min="8454" max="8704" width="9" style="35"/>
    <col min="8705" max="8705" width="2.109375" style="35" customWidth="1"/>
    <col min="8706" max="8706" width="2.44140625" style="35" customWidth="1"/>
    <col min="8707" max="8707" width="40.88671875" style="35" customWidth="1"/>
    <col min="8708" max="8708" width="9" style="35"/>
    <col min="8709" max="8709" width="8.5546875" style="35" bestFit="1" customWidth="1"/>
    <col min="8710" max="8960" width="9" style="35"/>
    <col min="8961" max="8961" width="2.109375" style="35" customWidth="1"/>
    <col min="8962" max="8962" width="2.44140625" style="35" customWidth="1"/>
    <col min="8963" max="8963" width="40.88671875" style="35" customWidth="1"/>
    <col min="8964" max="8964" width="9" style="35"/>
    <col min="8965" max="8965" width="8.5546875" style="35" bestFit="1" customWidth="1"/>
    <col min="8966" max="9216" width="9" style="35"/>
    <col min="9217" max="9217" width="2.109375" style="35" customWidth="1"/>
    <col min="9218" max="9218" width="2.44140625" style="35" customWidth="1"/>
    <col min="9219" max="9219" width="40.88671875" style="35" customWidth="1"/>
    <col min="9220" max="9220" width="9" style="35"/>
    <col min="9221" max="9221" width="8.5546875" style="35" bestFit="1" customWidth="1"/>
    <col min="9222" max="9472" width="9" style="35"/>
    <col min="9473" max="9473" width="2.109375" style="35" customWidth="1"/>
    <col min="9474" max="9474" width="2.44140625" style="35" customWidth="1"/>
    <col min="9475" max="9475" width="40.88671875" style="35" customWidth="1"/>
    <col min="9476" max="9476" width="9" style="35"/>
    <col min="9477" max="9477" width="8.5546875" style="35" bestFit="1" customWidth="1"/>
    <col min="9478" max="9728" width="9" style="35"/>
    <col min="9729" max="9729" width="2.109375" style="35" customWidth="1"/>
    <col min="9730" max="9730" width="2.44140625" style="35" customWidth="1"/>
    <col min="9731" max="9731" width="40.88671875" style="35" customWidth="1"/>
    <col min="9732" max="9732" width="9" style="35"/>
    <col min="9733" max="9733" width="8.5546875" style="35" bestFit="1" customWidth="1"/>
    <col min="9734" max="9984" width="9" style="35"/>
    <col min="9985" max="9985" width="2.109375" style="35" customWidth="1"/>
    <col min="9986" max="9986" width="2.44140625" style="35" customWidth="1"/>
    <col min="9987" max="9987" width="40.88671875" style="35" customWidth="1"/>
    <col min="9988" max="9988" width="9" style="35"/>
    <col min="9989" max="9989" width="8.5546875" style="35" bestFit="1" customWidth="1"/>
    <col min="9990" max="10240" width="9" style="35"/>
    <col min="10241" max="10241" width="2.109375" style="35" customWidth="1"/>
    <col min="10242" max="10242" width="2.44140625" style="35" customWidth="1"/>
    <col min="10243" max="10243" width="40.88671875" style="35" customWidth="1"/>
    <col min="10244" max="10244" width="9" style="35"/>
    <col min="10245" max="10245" width="8.5546875" style="35" bestFit="1" customWidth="1"/>
    <col min="10246" max="10496" width="9" style="35"/>
    <col min="10497" max="10497" width="2.109375" style="35" customWidth="1"/>
    <col min="10498" max="10498" width="2.44140625" style="35" customWidth="1"/>
    <col min="10499" max="10499" width="40.88671875" style="35" customWidth="1"/>
    <col min="10500" max="10500" width="9" style="35"/>
    <col min="10501" max="10501" width="8.5546875" style="35" bestFit="1" customWidth="1"/>
    <col min="10502" max="10752" width="9" style="35"/>
    <col min="10753" max="10753" width="2.109375" style="35" customWidth="1"/>
    <col min="10754" max="10754" width="2.44140625" style="35" customWidth="1"/>
    <col min="10755" max="10755" width="40.88671875" style="35" customWidth="1"/>
    <col min="10756" max="10756" width="9" style="35"/>
    <col min="10757" max="10757" width="8.5546875" style="35" bestFit="1" customWidth="1"/>
    <col min="10758" max="11008" width="9" style="35"/>
    <col min="11009" max="11009" width="2.109375" style="35" customWidth="1"/>
    <col min="11010" max="11010" width="2.44140625" style="35" customWidth="1"/>
    <col min="11011" max="11011" width="40.88671875" style="35" customWidth="1"/>
    <col min="11012" max="11012" width="9" style="35"/>
    <col min="11013" max="11013" width="8.5546875" style="35" bestFit="1" customWidth="1"/>
    <col min="11014" max="11264" width="9" style="35"/>
    <col min="11265" max="11265" width="2.109375" style="35" customWidth="1"/>
    <col min="11266" max="11266" width="2.44140625" style="35" customWidth="1"/>
    <col min="11267" max="11267" width="40.88671875" style="35" customWidth="1"/>
    <col min="11268" max="11268" width="9" style="35"/>
    <col min="11269" max="11269" width="8.5546875" style="35" bestFit="1" customWidth="1"/>
    <col min="11270" max="11520" width="9" style="35"/>
    <col min="11521" max="11521" width="2.109375" style="35" customWidth="1"/>
    <col min="11522" max="11522" width="2.44140625" style="35" customWidth="1"/>
    <col min="11523" max="11523" width="40.88671875" style="35" customWidth="1"/>
    <col min="11524" max="11524" width="9" style="35"/>
    <col min="11525" max="11525" width="8.5546875" style="35" bestFit="1" customWidth="1"/>
    <col min="11526" max="11776" width="9" style="35"/>
    <col min="11777" max="11777" width="2.109375" style="35" customWidth="1"/>
    <col min="11778" max="11778" width="2.44140625" style="35" customWidth="1"/>
    <col min="11779" max="11779" width="40.88671875" style="35" customWidth="1"/>
    <col min="11780" max="11780" width="9" style="35"/>
    <col min="11781" max="11781" width="8.5546875" style="35" bestFit="1" customWidth="1"/>
    <col min="11782" max="12032" width="9" style="35"/>
    <col min="12033" max="12033" width="2.109375" style="35" customWidth="1"/>
    <col min="12034" max="12034" width="2.44140625" style="35" customWidth="1"/>
    <col min="12035" max="12035" width="40.88671875" style="35" customWidth="1"/>
    <col min="12036" max="12036" width="9" style="35"/>
    <col min="12037" max="12037" width="8.5546875" style="35" bestFit="1" customWidth="1"/>
    <col min="12038" max="12288" width="9" style="35"/>
    <col min="12289" max="12289" width="2.109375" style="35" customWidth="1"/>
    <col min="12290" max="12290" width="2.44140625" style="35" customWidth="1"/>
    <col min="12291" max="12291" width="40.88671875" style="35" customWidth="1"/>
    <col min="12292" max="12292" width="9" style="35"/>
    <col min="12293" max="12293" width="8.5546875" style="35" bestFit="1" customWidth="1"/>
    <col min="12294" max="12544" width="9" style="35"/>
    <col min="12545" max="12545" width="2.109375" style="35" customWidth="1"/>
    <col min="12546" max="12546" width="2.44140625" style="35" customWidth="1"/>
    <col min="12547" max="12547" width="40.88671875" style="35" customWidth="1"/>
    <col min="12548" max="12548" width="9" style="35"/>
    <col min="12549" max="12549" width="8.5546875" style="35" bestFit="1" customWidth="1"/>
    <col min="12550" max="12800" width="9" style="35"/>
    <col min="12801" max="12801" width="2.109375" style="35" customWidth="1"/>
    <col min="12802" max="12802" width="2.44140625" style="35" customWidth="1"/>
    <col min="12803" max="12803" width="40.88671875" style="35" customWidth="1"/>
    <col min="12804" max="12804" width="9" style="35"/>
    <col min="12805" max="12805" width="8.5546875" style="35" bestFit="1" customWidth="1"/>
    <col min="12806" max="13056" width="9" style="35"/>
    <col min="13057" max="13057" width="2.109375" style="35" customWidth="1"/>
    <col min="13058" max="13058" width="2.44140625" style="35" customWidth="1"/>
    <col min="13059" max="13059" width="40.88671875" style="35" customWidth="1"/>
    <col min="13060" max="13060" width="9" style="35"/>
    <col min="13061" max="13061" width="8.5546875" style="35" bestFit="1" customWidth="1"/>
    <col min="13062" max="13312" width="9" style="35"/>
    <col min="13313" max="13313" width="2.109375" style="35" customWidth="1"/>
    <col min="13314" max="13314" width="2.44140625" style="35" customWidth="1"/>
    <col min="13315" max="13315" width="40.88671875" style="35" customWidth="1"/>
    <col min="13316" max="13316" width="9" style="35"/>
    <col min="13317" max="13317" width="8.5546875" style="35" bestFit="1" customWidth="1"/>
    <col min="13318" max="13568" width="9" style="35"/>
    <col min="13569" max="13569" width="2.109375" style="35" customWidth="1"/>
    <col min="13570" max="13570" width="2.44140625" style="35" customWidth="1"/>
    <col min="13571" max="13571" width="40.88671875" style="35" customWidth="1"/>
    <col min="13572" max="13572" width="9" style="35"/>
    <col min="13573" max="13573" width="8.5546875" style="35" bestFit="1" customWidth="1"/>
    <col min="13574" max="13824" width="9" style="35"/>
    <col min="13825" max="13825" width="2.109375" style="35" customWidth="1"/>
    <col min="13826" max="13826" width="2.44140625" style="35" customWidth="1"/>
    <col min="13827" max="13827" width="40.88671875" style="35" customWidth="1"/>
    <col min="13828" max="13828" width="9" style="35"/>
    <col min="13829" max="13829" width="8.5546875" style="35" bestFit="1" customWidth="1"/>
    <col min="13830" max="14080" width="9" style="35"/>
    <col min="14081" max="14081" width="2.109375" style="35" customWidth="1"/>
    <col min="14082" max="14082" width="2.44140625" style="35" customWidth="1"/>
    <col min="14083" max="14083" width="40.88671875" style="35" customWidth="1"/>
    <col min="14084" max="14084" width="9" style="35"/>
    <col min="14085" max="14085" width="8.5546875" style="35" bestFit="1" customWidth="1"/>
    <col min="14086" max="14336" width="9" style="35"/>
    <col min="14337" max="14337" width="2.109375" style="35" customWidth="1"/>
    <col min="14338" max="14338" width="2.44140625" style="35" customWidth="1"/>
    <col min="14339" max="14339" width="40.88671875" style="35" customWidth="1"/>
    <col min="14340" max="14340" width="9" style="35"/>
    <col min="14341" max="14341" width="8.5546875" style="35" bestFit="1" customWidth="1"/>
    <col min="14342" max="14592" width="9" style="35"/>
    <col min="14593" max="14593" width="2.109375" style="35" customWidth="1"/>
    <col min="14594" max="14594" width="2.44140625" style="35" customWidth="1"/>
    <col min="14595" max="14595" width="40.88671875" style="35" customWidth="1"/>
    <col min="14596" max="14596" width="9" style="35"/>
    <col min="14597" max="14597" width="8.5546875" style="35" bestFit="1" customWidth="1"/>
    <col min="14598" max="14848" width="9" style="35"/>
    <col min="14849" max="14849" width="2.109375" style="35" customWidth="1"/>
    <col min="14850" max="14850" width="2.44140625" style="35" customWidth="1"/>
    <col min="14851" max="14851" width="40.88671875" style="35" customWidth="1"/>
    <col min="14852" max="14852" width="9" style="35"/>
    <col min="14853" max="14853" width="8.5546875" style="35" bestFit="1" customWidth="1"/>
    <col min="14854" max="15104" width="9" style="35"/>
    <col min="15105" max="15105" width="2.109375" style="35" customWidth="1"/>
    <col min="15106" max="15106" width="2.44140625" style="35" customWidth="1"/>
    <col min="15107" max="15107" width="40.88671875" style="35" customWidth="1"/>
    <col min="15108" max="15108" width="9" style="35"/>
    <col min="15109" max="15109" width="8.5546875" style="35" bestFit="1" customWidth="1"/>
    <col min="15110" max="15360" width="9" style="35"/>
    <col min="15361" max="15361" width="2.109375" style="35" customWidth="1"/>
    <col min="15362" max="15362" width="2.44140625" style="35" customWidth="1"/>
    <col min="15363" max="15363" width="40.88671875" style="35" customWidth="1"/>
    <col min="15364" max="15364" width="9" style="35"/>
    <col min="15365" max="15365" width="8.5546875" style="35" bestFit="1" customWidth="1"/>
    <col min="15366" max="15616" width="9" style="35"/>
    <col min="15617" max="15617" width="2.109375" style="35" customWidth="1"/>
    <col min="15618" max="15618" width="2.44140625" style="35" customWidth="1"/>
    <col min="15619" max="15619" width="40.88671875" style="35" customWidth="1"/>
    <col min="15620" max="15620" width="9" style="35"/>
    <col min="15621" max="15621" width="8.5546875" style="35" bestFit="1" customWidth="1"/>
    <col min="15622" max="15872" width="9" style="35"/>
    <col min="15873" max="15873" width="2.109375" style="35" customWidth="1"/>
    <col min="15874" max="15874" width="2.44140625" style="35" customWidth="1"/>
    <col min="15875" max="15875" width="40.88671875" style="35" customWidth="1"/>
    <col min="15876" max="15876" width="9" style="35"/>
    <col min="15877" max="15877" width="8.5546875" style="35" bestFit="1" customWidth="1"/>
    <col min="15878" max="16128" width="9" style="35"/>
    <col min="16129" max="16129" width="2.109375" style="35" customWidth="1"/>
    <col min="16130" max="16130" width="2.44140625" style="35" customWidth="1"/>
    <col min="16131" max="16131" width="40.88671875" style="35" customWidth="1"/>
    <col min="16132" max="16132" width="9" style="35"/>
    <col min="16133" max="16133" width="8.5546875" style="35" bestFit="1" customWidth="1"/>
    <col min="16134" max="16384" width="9" style="35"/>
  </cols>
  <sheetData>
    <row r="1" spans="1:11" ht="14.4" thickBot="1">
      <c r="C1" s="480"/>
    </row>
    <row r="2" spans="1:11" ht="14.4" thickBot="1">
      <c r="C2" s="480"/>
      <c r="D2" s="1" t="s">
        <v>0</v>
      </c>
      <c r="E2" s="467" t="s">
        <v>310</v>
      </c>
    </row>
    <row r="3" spans="1:11" ht="14.4" thickBot="1">
      <c r="A3" s="36" t="s">
        <v>69</v>
      </c>
      <c r="C3" s="36"/>
      <c r="D3" s="1" t="s">
        <v>3</v>
      </c>
      <c r="E3" s="468">
        <v>45809</v>
      </c>
    </row>
    <row r="4" spans="1:11" ht="14.4" thickBot="1">
      <c r="A4" s="14" t="s">
        <v>4</v>
      </c>
      <c r="C4" s="14"/>
      <c r="D4" s="1" t="s">
        <v>5</v>
      </c>
      <c r="E4" s="467" t="s">
        <v>6</v>
      </c>
    </row>
    <row r="5" spans="1:11" s="37" customFormat="1" ht="14.4" thickBot="1">
      <c r="C5" s="38"/>
    </row>
    <row r="6" spans="1:11" s="39" customFormat="1" ht="14.4" thickTop="1">
      <c r="C6" s="40"/>
      <c r="D6" s="481" t="s">
        <v>7</v>
      </c>
      <c r="E6" s="482"/>
      <c r="F6" s="483"/>
      <c r="G6" s="484" t="s">
        <v>8</v>
      </c>
      <c r="H6" s="485"/>
      <c r="I6" s="485"/>
      <c r="J6" s="485"/>
      <c r="K6" s="486"/>
    </row>
    <row r="7" spans="1:11" s="41" customFormat="1">
      <c r="A7" s="17" t="s">
        <v>147</v>
      </c>
      <c r="C7" s="42"/>
      <c r="D7" s="23">
        <v>2023</v>
      </c>
      <c r="E7" s="5">
        <f t="shared" ref="E7:K7" si="0">D7+1</f>
        <v>2024</v>
      </c>
      <c r="F7" s="24">
        <f t="shared" si="0"/>
        <v>2025</v>
      </c>
      <c r="G7" s="25">
        <f t="shared" si="0"/>
        <v>2026</v>
      </c>
      <c r="H7" s="6">
        <f t="shared" si="0"/>
        <v>2027</v>
      </c>
      <c r="I7" s="6">
        <f t="shared" si="0"/>
        <v>2028</v>
      </c>
      <c r="J7" s="6">
        <f t="shared" si="0"/>
        <v>2029</v>
      </c>
      <c r="K7" s="26">
        <f t="shared" si="0"/>
        <v>2030</v>
      </c>
    </row>
    <row r="8" spans="1:11" ht="10.199999999999999" customHeight="1">
      <c r="C8" s="18"/>
    </row>
    <row r="9" spans="1:11">
      <c r="A9" s="7" t="s">
        <v>9</v>
      </c>
      <c r="C9" s="36"/>
      <c r="D9" s="73"/>
      <c r="E9" s="73"/>
      <c r="F9" s="73"/>
    </row>
    <row r="10" spans="1:11">
      <c r="B10" s="1" t="s">
        <v>10</v>
      </c>
      <c r="C10" s="36"/>
      <c r="D10" s="74">
        <v>605881</v>
      </c>
      <c r="E10" s="74">
        <v>642637</v>
      </c>
      <c r="F10" s="74">
        <v>674538</v>
      </c>
      <c r="G10" s="93"/>
      <c r="H10" s="93"/>
      <c r="I10" s="93"/>
      <c r="J10" s="93"/>
      <c r="K10" s="93"/>
    </row>
    <row r="11" spans="1:11">
      <c r="C11" s="19" t="s">
        <v>11</v>
      </c>
      <c r="D11" s="89"/>
      <c r="E11" s="96">
        <f>(E10-D10)/D10</f>
        <v>6.0665378184825071E-2</v>
      </c>
      <c r="F11" s="96">
        <f>(F10-E10)/E10</f>
        <v>4.9640776986074567E-2</v>
      </c>
      <c r="G11" s="94"/>
      <c r="H11" s="94"/>
      <c r="I11" s="94"/>
      <c r="J11" s="94"/>
      <c r="K11" s="94"/>
    </row>
    <row r="12" spans="1:11">
      <c r="B12" s="1" t="s">
        <v>312</v>
      </c>
      <c r="C12" s="36"/>
      <c r="D12" s="74">
        <v>5408</v>
      </c>
      <c r="E12" s="74">
        <v>5488</v>
      </c>
      <c r="F12" s="74">
        <v>6447</v>
      </c>
      <c r="G12" s="93"/>
      <c r="H12" s="93"/>
      <c r="I12" s="93"/>
      <c r="J12" s="93"/>
      <c r="K12" s="93"/>
    </row>
    <row r="13" spans="1:11">
      <c r="C13" s="19" t="s">
        <v>11</v>
      </c>
      <c r="D13" s="89"/>
      <c r="E13" s="96">
        <f>(E12-D12)/D12</f>
        <v>1.4792899408284023E-2</v>
      </c>
      <c r="F13" s="96">
        <f>(F12-E12)/E12</f>
        <v>0.17474489795918369</v>
      </c>
      <c r="G13" s="94"/>
      <c r="H13" s="94"/>
      <c r="I13" s="94"/>
      <c r="J13" s="94"/>
      <c r="K13" s="94"/>
    </row>
    <row r="14" spans="1:11">
      <c r="B14" s="1" t="s">
        <v>12</v>
      </c>
      <c r="C14" s="36"/>
      <c r="D14" s="82">
        <f>D10+D12</f>
        <v>611289</v>
      </c>
      <c r="E14" s="82">
        <f t="shared" ref="E14:F14" si="1">E10+E12</f>
        <v>648125</v>
      </c>
      <c r="F14" s="82">
        <f t="shared" si="1"/>
        <v>680985</v>
      </c>
      <c r="G14" s="82">
        <f>F14*(1+G15)</f>
        <v>708224.4</v>
      </c>
      <c r="H14" s="82">
        <f t="shared" ref="H14:K14" si="2">G14*(1+H15)</f>
        <v>743862.1683163566</v>
      </c>
      <c r="I14" s="82">
        <f t="shared" si="2"/>
        <v>778828.64398807916</v>
      </c>
      <c r="J14" s="82">
        <f t="shared" si="2"/>
        <v>814479.92538739974</v>
      </c>
      <c r="K14" s="82">
        <f t="shared" si="2"/>
        <v>853331.17588314868</v>
      </c>
    </row>
    <row r="15" spans="1:11">
      <c r="C15" s="19" t="s">
        <v>13</v>
      </c>
      <c r="D15" s="89"/>
      <c r="E15" s="96">
        <f>(E14-D14)/D14</f>
        <v>6.0259549901928548E-2</v>
      </c>
      <c r="F15" s="96">
        <f>(F14-E14)/E14</f>
        <v>5.070009643201543E-2</v>
      </c>
      <c r="G15" s="98">
        <v>0.04</v>
      </c>
      <c r="H15" s="98">
        <f>AVERAGE(E15:G15)</f>
        <v>5.0319882111314662E-2</v>
      </c>
      <c r="I15" s="98">
        <f t="shared" ref="I15:K15" si="3">AVERAGE(F15:H15)</f>
        <v>4.7006659514443362E-2</v>
      </c>
      <c r="J15" s="98">
        <f t="shared" si="3"/>
        <v>4.5775513875252673E-2</v>
      </c>
      <c r="K15" s="98">
        <f t="shared" si="3"/>
        <v>4.7700685167003563E-2</v>
      </c>
    </row>
    <row r="16" spans="1:11">
      <c r="C16" s="36"/>
      <c r="D16" s="77"/>
      <c r="E16" s="77"/>
      <c r="F16" s="77"/>
    </row>
    <row r="17" spans="1:14">
      <c r="A17" s="7" t="s">
        <v>14</v>
      </c>
      <c r="C17" s="36"/>
      <c r="D17" s="81"/>
      <c r="E17" s="81"/>
      <c r="F17" s="81"/>
      <c r="G17" s="95"/>
      <c r="H17" s="95"/>
      <c r="I17" s="95"/>
      <c r="J17" s="95"/>
      <c r="K17" s="95"/>
      <c r="N17" s="99"/>
    </row>
    <row r="18" spans="1:14">
      <c r="B18" s="1" t="s">
        <v>46</v>
      </c>
      <c r="C18" s="36"/>
      <c r="D18" s="74">
        <v>463721</v>
      </c>
      <c r="E18" s="74">
        <v>490142</v>
      </c>
      <c r="F18" s="74">
        <v>511753</v>
      </c>
      <c r="G18" s="100">
        <f>G14*G19</f>
        <v>527627.17799999996</v>
      </c>
      <c r="H18" s="100">
        <f t="shared" ref="H18:K18" si="4">H14*H19</f>
        <v>554177.31539568561</v>
      </c>
      <c r="I18" s="100">
        <f t="shared" si="4"/>
        <v>580227.33977111895</v>
      </c>
      <c r="J18" s="100">
        <f t="shared" si="4"/>
        <v>606787.54441361281</v>
      </c>
      <c r="K18" s="100">
        <f t="shared" si="4"/>
        <v>635731.72603294579</v>
      </c>
    </row>
    <row r="19" spans="1:14">
      <c r="C19" s="19" t="s">
        <v>15</v>
      </c>
      <c r="D19" s="96">
        <f>D18/D14</f>
        <v>0.75859536160474017</v>
      </c>
      <c r="E19" s="96">
        <f t="shared" ref="E19:F19" si="5">E18/E14</f>
        <v>0.7562460945033751</v>
      </c>
      <c r="F19" s="96">
        <f t="shared" si="5"/>
        <v>0.75148938669721066</v>
      </c>
      <c r="G19" s="98">
        <v>0.745</v>
      </c>
      <c r="H19" s="98">
        <f>G19</f>
        <v>0.745</v>
      </c>
      <c r="I19" s="98">
        <f t="shared" ref="I19:K19" si="6">H19</f>
        <v>0.745</v>
      </c>
      <c r="J19" s="98">
        <f t="shared" si="6"/>
        <v>0.745</v>
      </c>
      <c r="K19" s="98">
        <f t="shared" si="6"/>
        <v>0.745</v>
      </c>
    </row>
    <row r="20" spans="1:14">
      <c r="C20" s="36"/>
      <c r="D20" s="78"/>
      <c r="E20" s="78"/>
      <c r="F20" s="78"/>
      <c r="G20" s="44"/>
      <c r="H20" s="44"/>
      <c r="I20" s="44"/>
      <c r="J20" s="44"/>
      <c r="K20" s="44"/>
    </row>
    <row r="21" spans="1:14">
      <c r="B21" s="1" t="s">
        <v>16</v>
      </c>
      <c r="C21" s="36"/>
      <c r="D21" s="80">
        <f>D14-D18</f>
        <v>147568</v>
      </c>
      <c r="E21" s="80">
        <f t="shared" ref="E21:F21" si="7">E14-E18</f>
        <v>157983</v>
      </c>
      <c r="F21" s="80">
        <f t="shared" si="7"/>
        <v>169232</v>
      </c>
      <c r="G21" s="80">
        <f>G14-G18</f>
        <v>180597.22200000007</v>
      </c>
      <c r="H21" s="80">
        <f t="shared" ref="H21:K21" si="8">H14-H18</f>
        <v>189684.85292067099</v>
      </c>
      <c r="I21" s="80">
        <f t="shared" si="8"/>
        <v>198601.30421696021</v>
      </c>
      <c r="J21" s="80">
        <f t="shared" si="8"/>
        <v>207692.38097378693</v>
      </c>
      <c r="K21" s="80">
        <f t="shared" si="8"/>
        <v>217599.44985020289</v>
      </c>
    </row>
    <row r="22" spans="1:14">
      <c r="C22" s="19" t="s">
        <v>17</v>
      </c>
      <c r="D22" s="97">
        <f>D21/D14</f>
        <v>0.24140463839525986</v>
      </c>
      <c r="E22" s="97">
        <f t="shared" ref="E22:K22" si="9">E21/E14</f>
        <v>0.24375390549662487</v>
      </c>
      <c r="F22" s="97">
        <f t="shared" si="9"/>
        <v>0.24851061330278934</v>
      </c>
      <c r="G22" s="97">
        <f t="shared" si="9"/>
        <v>0.25500000000000006</v>
      </c>
      <c r="H22" s="97">
        <f t="shared" si="9"/>
        <v>0.25500000000000006</v>
      </c>
      <c r="I22" s="97">
        <f t="shared" si="9"/>
        <v>0.25500000000000006</v>
      </c>
      <c r="J22" s="97">
        <f t="shared" si="9"/>
        <v>0.255</v>
      </c>
      <c r="K22" s="97">
        <f t="shared" si="9"/>
        <v>0.25499999999999995</v>
      </c>
    </row>
    <row r="23" spans="1:14">
      <c r="C23" s="36"/>
      <c r="D23" s="77"/>
      <c r="E23" s="77"/>
      <c r="F23" s="77"/>
    </row>
    <row r="24" spans="1:14">
      <c r="A24" s="7" t="s">
        <v>18</v>
      </c>
      <c r="C24" s="36"/>
      <c r="D24" s="77"/>
      <c r="E24" s="77"/>
      <c r="F24" s="77"/>
    </row>
    <row r="25" spans="1:14">
      <c r="B25" s="9" t="s">
        <v>313</v>
      </c>
      <c r="C25" s="20"/>
      <c r="D25" s="74">
        <v>116195</v>
      </c>
      <c r="E25" s="74">
        <v>119118</v>
      </c>
      <c r="F25" s="74">
        <v>126911</v>
      </c>
      <c r="G25" s="100">
        <f>G26*G14</f>
        <v>134620.66904197526</v>
      </c>
      <c r="H25" s="100">
        <f t="shared" ref="H25:K25" si="10">H26*H14</f>
        <v>141394.76523791376</v>
      </c>
      <c r="I25" s="100">
        <f t="shared" si="10"/>
        <v>148041.26082457701</v>
      </c>
      <c r="J25" s="100">
        <f t="shared" si="10"/>
        <v>154817.92561356234</v>
      </c>
      <c r="K25" s="100">
        <f t="shared" si="10"/>
        <v>162202.84674146347</v>
      </c>
    </row>
    <row r="26" spans="1:14">
      <c r="B26" s="9"/>
      <c r="C26" s="19" t="s">
        <v>314</v>
      </c>
      <c r="D26" s="96">
        <f>D25/D14</f>
        <v>0.19008194160209002</v>
      </c>
      <c r="E26" s="96">
        <f t="shared" ref="E26:F26" si="11">E25/E14</f>
        <v>0.18378862102217935</v>
      </c>
      <c r="F26" s="96">
        <f t="shared" si="11"/>
        <v>0.18636386998245189</v>
      </c>
      <c r="G26" s="98">
        <v>0.19008194160209002</v>
      </c>
      <c r="H26" s="98">
        <v>0.19008194160209002</v>
      </c>
      <c r="I26" s="98">
        <v>0.19008194160209002</v>
      </c>
      <c r="J26" s="98">
        <v>0.19008194160209002</v>
      </c>
      <c r="K26" s="98">
        <v>0.19008194160209002</v>
      </c>
    </row>
    <row r="27" spans="1:14" customFormat="1" ht="14.4"/>
    <row r="28" spans="1:14">
      <c r="B28" s="1" t="s">
        <v>19</v>
      </c>
      <c r="C28" s="20"/>
      <c r="D28" s="88">
        <f>D25</f>
        <v>116195</v>
      </c>
      <c r="E28" s="88">
        <f t="shared" ref="E28:K28" si="12">E25</f>
        <v>119118</v>
      </c>
      <c r="F28" s="88">
        <f t="shared" si="12"/>
        <v>126911</v>
      </c>
      <c r="G28" s="88">
        <f t="shared" si="12"/>
        <v>134620.66904197526</v>
      </c>
      <c r="H28" s="88">
        <f t="shared" si="12"/>
        <v>141394.76523791376</v>
      </c>
      <c r="I28" s="88">
        <f t="shared" si="12"/>
        <v>148041.26082457701</v>
      </c>
      <c r="J28" s="88">
        <f t="shared" si="12"/>
        <v>154817.92561356234</v>
      </c>
      <c r="K28" s="88">
        <f t="shared" si="12"/>
        <v>162202.84674146347</v>
      </c>
    </row>
    <row r="29" spans="1:14">
      <c r="B29" s="1"/>
      <c r="C29" s="20"/>
      <c r="D29" s="77"/>
      <c r="E29" s="77"/>
      <c r="F29" s="77"/>
    </row>
    <row r="30" spans="1:14">
      <c r="B30" s="1" t="s">
        <v>20</v>
      </c>
      <c r="C30" s="36"/>
      <c r="D30" s="87">
        <f>D21-D28</f>
        <v>31373</v>
      </c>
      <c r="E30" s="87">
        <f t="shared" ref="E30:K30" si="13">E21-E28</f>
        <v>38865</v>
      </c>
      <c r="F30" s="87">
        <f t="shared" si="13"/>
        <v>42321</v>
      </c>
      <c r="G30" s="87">
        <f t="shared" si="13"/>
        <v>45976.552958024811</v>
      </c>
      <c r="H30" s="87">
        <f t="shared" si="13"/>
        <v>48290.087682757236</v>
      </c>
      <c r="I30" s="87">
        <f t="shared" si="13"/>
        <v>50560.043392383202</v>
      </c>
      <c r="J30" s="87">
        <f t="shared" si="13"/>
        <v>52874.455360224587</v>
      </c>
      <c r="K30" s="87">
        <f t="shared" si="13"/>
        <v>55396.603108739422</v>
      </c>
    </row>
    <row r="31" spans="1:14">
      <c r="C31" s="19" t="s">
        <v>21</v>
      </c>
      <c r="D31" s="97">
        <f>D30/D14</f>
        <v>5.1322696793169843E-2</v>
      </c>
      <c r="E31" s="97">
        <f t="shared" ref="E31:K31" si="14">E30/E14</f>
        <v>5.9965284474445518E-2</v>
      </c>
      <c r="F31" s="97">
        <f t="shared" si="14"/>
        <v>6.2146743320337455E-2</v>
      </c>
      <c r="G31" s="97">
        <f t="shared" si="14"/>
        <v>6.4918058397910053E-2</v>
      </c>
      <c r="H31" s="97">
        <f t="shared" si="14"/>
        <v>6.4918058397910053E-2</v>
      </c>
      <c r="I31" s="97">
        <f t="shared" si="14"/>
        <v>6.4918058397910025E-2</v>
      </c>
      <c r="J31" s="97">
        <f t="shared" si="14"/>
        <v>6.4918058397909983E-2</v>
      </c>
      <c r="K31" s="97">
        <f t="shared" si="14"/>
        <v>6.4918058397909956E-2</v>
      </c>
    </row>
    <row r="32" spans="1:14">
      <c r="C32" s="19"/>
      <c r="D32" s="77"/>
      <c r="E32" s="77"/>
      <c r="F32" s="77"/>
    </row>
    <row r="33" spans="1:14">
      <c r="B33" s="9" t="s">
        <v>22</v>
      </c>
      <c r="C33" s="36"/>
      <c r="D33" s="75">
        <v>10945</v>
      </c>
      <c r="E33" s="75">
        <v>11853</v>
      </c>
      <c r="F33" s="75">
        <v>12973</v>
      </c>
      <c r="G33" s="479">
        <f>'Depr'' Schedule'!G23</f>
        <v>7112.6696802674269</v>
      </c>
      <c r="H33" s="479">
        <f>'Depr'' Schedule'!H23</f>
        <v>8329.4909762227326</v>
      </c>
      <c r="I33" s="479">
        <f>'Depr'' Schedule'!I23</f>
        <v>9615.4927499997684</v>
      </c>
      <c r="J33" s="479">
        <f>'Depr'' Schedule'!J23</f>
        <v>10934.564443825066</v>
      </c>
      <c r="K33" s="479">
        <f>'Depr'' Schedule'!K23</f>
        <v>12330.199465084728</v>
      </c>
      <c r="N33" s="125"/>
    </row>
    <row r="34" spans="1:14">
      <c r="B34" s="9"/>
      <c r="C34" s="36"/>
      <c r="D34" s="124"/>
      <c r="E34" s="97"/>
      <c r="F34" s="97"/>
      <c r="G34" s="93"/>
      <c r="H34" s="93"/>
      <c r="I34" s="93"/>
      <c r="J34" s="93"/>
      <c r="K34" s="93"/>
    </row>
    <row r="35" spans="1:14">
      <c r="B35" s="9"/>
      <c r="C35" s="36"/>
      <c r="D35" s="77"/>
      <c r="E35" s="77"/>
      <c r="F35" s="77"/>
    </row>
    <row r="36" spans="1:14">
      <c r="B36" s="1" t="s">
        <v>23</v>
      </c>
      <c r="C36" s="36"/>
      <c r="D36" s="87">
        <f>D30-D33</f>
        <v>20428</v>
      </c>
      <c r="E36" s="87">
        <f t="shared" ref="E36:K36" si="15">E30-E33</f>
        <v>27012</v>
      </c>
      <c r="F36" s="87">
        <f t="shared" si="15"/>
        <v>29348</v>
      </c>
      <c r="G36" s="87">
        <f t="shared" si="15"/>
        <v>38863.883277757384</v>
      </c>
      <c r="H36" s="87">
        <f t="shared" si="15"/>
        <v>39960.596706534503</v>
      </c>
      <c r="I36" s="87">
        <f t="shared" si="15"/>
        <v>40944.55064238343</v>
      </c>
      <c r="J36" s="87">
        <f t="shared" si="15"/>
        <v>41939.890916399519</v>
      </c>
      <c r="K36" s="87">
        <f t="shared" si="15"/>
        <v>43066.403643654696</v>
      </c>
    </row>
    <row r="37" spans="1:14">
      <c r="C37" s="19" t="s">
        <v>24</v>
      </c>
      <c r="D37" s="97">
        <f>D36/D14</f>
        <v>3.3417908714208827E-2</v>
      </c>
      <c r="E37" s="97">
        <f t="shared" ref="E37:K37" si="16">E36/E14</f>
        <v>4.16771456123433E-2</v>
      </c>
      <c r="F37" s="97">
        <f t="shared" si="16"/>
        <v>4.3096397130626962E-2</v>
      </c>
      <c r="G37" s="97">
        <f t="shared" si="16"/>
        <v>5.487509788953527E-2</v>
      </c>
      <c r="H37" s="97">
        <f t="shared" si="16"/>
        <v>5.3720431564600941E-2</v>
      </c>
      <c r="I37" s="97">
        <f t="shared" si="16"/>
        <v>5.2571962983695979E-2</v>
      </c>
      <c r="J37" s="97">
        <f t="shared" si="16"/>
        <v>5.1492847901010212E-2</v>
      </c>
      <c r="K37" s="97">
        <f t="shared" si="16"/>
        <v>5.0468569367670697E-2</v>
      </c>
    </row>
    <row r="38" spans="1:14">
      <c r="C38" s="36"/>
      <c r="D38" s="77"/>
      <c r="E38" s="77"/>
      <c r="F38" s="77"/>
    </row>
    <row r="39" spans="1:14">
      <c r="B39" s="1" t="s">
        <v>315</v>
      </c>
      <c r="C39" s="20"/>
      <c r="D39" s="74">
        <v>1538</v>
      </c>
      <c r="E39" s="74">
        <v>3027</v>
      </c>
      <c r="F39" s="74">
        <v>794</v>
      </c>
      <c r="G39" s="127">
        <f>D39</f>
        <v>1538</v>
      </c>
      <c r="H39" s="127">
        <f t="shared" ref="H39:K39" si="17">E39</f>
        <v>3027</v>
      </c>
      <c r="I39" s="127">
        <f t="shared" si="17"/>
        <v>794</v>
      </c>
      <c r="J39" s="127">
        <f t="shared" si="17"/>
        <v>1538</v>
      </c>
      <c r="K39" s="127">
        <f t="shared" si="17"/>
        <v>3027</v>
      </c>
    </row>
    <row r="40" spans="1:14">
      <c r="A40" s="7"/>
      <c r="C40" s="36"/>
      <c r="D40" s="77"/>
      <c r="E40" s="77"/>
      <c r="F40" s="77"/>
    </row>
    <row r="41" spans="1:14">
      <c r="A41" s="7" t="s">
        <v>25</v>
      </c>
      <c r="C41" s="36"/>
    </row>
    <row r="42" spans="1:14">
      <c r="B42" s="9" t="s">
        <v>26</v>
      </c>
      <c r="C42" s="20"/>
      <c r="D42" s="469">
        <v>2128</v>
      </c>
      <c r="E42" s="469">
        <v>2683</v>
      </c>
      <c r="F42" s="469">
        <v>2728</v>
      </c>
      <c r="G42" s="529">
        <f>'Debt Schedule'!G56</f>
        <v>2295.395</v>
      </c>
      <c r="H42" s="529">
        <f>'Debt Schedule'!H56</f>
        <v>1861.1820000000002</v>
      </c>
      <c r="I42" s="529">
        <f>'Debt Schedule'!I56</f>
        <v>2228.5929999999998</v>
      </c>
      <c r="J42" s="529">
        <f>'Debt Schedule'!J56</f>
        <v>2061.5880000000002</v>
      </c>
      <c r="K42" s="529">
        <f>'Debt Schedule'!K56</f>
        <v>2428.9990000000003</v>
      </c>
    </row>
    <row r="43" spans="1:14">
      <c r="B43" s="9" t="s">
        <v>27</v>
      </c>
      <c r="C43" s="20"/>
      <c r="D43" s="74">
        <v>-254</v>
      </c>
      <c r="E43" s="74">
        <v>-546</v>
      </c>
      <c r="F43" s="74">
        <v>-483</v>
      </c>
      <c r="G43" s="529">
        <f ca="1">-'Debt Schedule'!G59</f>
        <v>-731.70093631170096</v>
      </c>
      <c r="H43" s="529">
        <f ca="1">-'Debt Schedule'!H59</f>
        <v>-1411.0296875199854</v>
      </c>
      <c r="I43" s="529">
        <f ca="1">-'Debt Schedule'!I59</f>
        <v>-2111.9126304446745</v>
      </c>
      <c r="J43" s="529">
        <f ca="1">-'Debt Schedule'!J59</f>
        <v>-2910.5934568191547</v>
      </c>
      <c r="K43" s="529">
        <f ca="1">-'Debt Schedule'!K59</f>
        <v>-3754.8906730734002</v>
      </c>
    </row>
    <row r="44" spans="1:14">
      <c r="B44" s="1" t="s">
        <v>28</v>
      </c>
      <c r="C44" s="20"/>
      <c r="D44" s="86">
        <f>SUM(D42:D43)</f>
        <v>1874</v>
      </c>
      <c r="E44" s="86">
        <f t="shared" ref="E44:K44" si="18">SUM(E42:E43)</f>
        <v>2137</v>
      </c>
      <c r="F44" s="86">
        <f t="shared" si="18"/>
        <v>2245</v>
      </c>
      <c r="G44" s="86">
        <f t="shared" ca="1" si="18"/>
        <v>1563.6940636882991</v>
      </c>
      <c r="H44" s="86">
        <f t="shared" ca="1" si="18"/>
        <v>450.15231248001487</v>
      </c>
      <c r="I44" s="86">
        <f t="shared" ca="1" si="18"/>
        <v>116.68036955532534</v>
      </c>
      <c r="J44" s="86">
        <f t="shared" ca="1" si="18"/>
        <v>-849.00545681915446</v>
      </c>
      <c r="K44" s="86">
        <f t="shared" ca="1" si="18"/>
        <v>-1325.8916730733999</v>
      </c>
    </row>
    <row r="45" spans="1:14">
      <c r="B45" s="1"/>
      <c r="C45" s="20"/>
      <c r="D45" s="127"/>
      <c r="E45" s="127"/>
      <c r="F45" s="127"/>
      <c r="G45" s="127"/>
      <c r="H45" s="127"/>
      <c r="I45" s="127"/>
      <c r="J45" s="127"/>
      <c r="K45" s="127"/>
    </row>
    <row r="47" spans="1:14">
      <c r="B47" s="1"/>
      <c r="C47" s="20"/>
      <c r="D47" s="77"/>
      <c r="E47" s="77"/>
      <c r="F47" s="77"/>
    </row>
    <row r="48" spans="1:14">
      <c r="B48" s="1" t="s">
        <v>29</v>
      </c>
      <c r="C48" s="20"/>
      <c r="D48" s="81">
        <f>D36-D39-D44</f>
        <v>17016</v>
      </c>
      <c r="E48" s="81">
        <f t="shared" ref="E48:K48" si="19">E36-E39-E44</f>
        <v>21848</v>
      </c>
      <c r="F48" s="81">
        <f t="shared" si="19"/>
        <v>26309</v>
      </c>
      <c r="G48" s="81">
        <f t="shared" ca="1" si="19"/>
        <v>35762.189214069083</v>
      </c>
      <c r="H48" s="81">
        <f t="shared" ca="1" si="19"/>
        <v>36483.444394054488</v>
      </c>
      <c r="I48" s="81">
        <f t="shared" ca="1" si="19"/>
        <v>40033.870272828106</v>
      </c>
      <c r="J48" s="81">
        <f t="shared" ca="1" si="19"/>
        <v>41250.896373218675</v>
      </c>
      <c r="K48" s="81">
        <f t="shared" ca="1" si="19"/>
        <v>41365.295316728094</v>
      </c>
    </row>
    <row r="49" spans="1:11">
      <c r="C49" s="19" t="s">
        <v>30</v>
      </c>
      <c r="D49" s="111">
        <f>D48/D14</f>
        <v>2.7836260753915088E-2</v>
      </c>
      <c r="E49" s="111">
        <f t="shared" ref="E49:K49" si="20">E48/E14</f>
        <v>3.3709546769527483E-2</v>
      </c>
      <c r="F49" s="111">
        <f t="shared" si="20"/>
        <v>3.8633743768218098E-2</v>
      </c>
      <c r="G49" s="111">
        <f t="shared" ca="1" si="20"/>
        <v>5.04955621609042E-2</v>
      </c>
      <c r="H49" s="111">
        <f t="shared" ca="1" si="20"/>
        <v>4.9045973767734979E-2</v>
      </c>
      <c r="I49" s="111">
        <f t="shared" ca="1" si="20"/>
        <v>5.1402668073210811E-2</v>
      </c>
      <c r="J49" s="111">
        <f t="shared" ca="1" si="20"/>
        <v>5.0646916010358478E-2</v>
      </c>
      <c r="K49" s="111">
        <f t="shared" ca="1" si="20"/>
        <v>4.8475078006985264E-2</v>
      </c>
    </row>
    <row r="50" spans="1:11">
      <c r="C50" s="19"/>
      <c r="D50" s="77"/>
      <c r="E50" s="77"/>
      <c r="F50" s="77"/>
    </row>
    <row r="51" spans="1:11">
      <c r="B51" s="9" t="s">
        <v>31</v>
      </c>
      <c r="C51" s="20"/>
      <c r="D51" s="74">
        <v>5724</v>
      </c>
      <c r="E51" s="74">
        <v>5578</v>
      </c>
      <c r="F51" s="74">
        <v>6152</v>
      </c>
      <c r="G51" s="100">
        <f ca="1">G48*G52</f>
        <v>7510.0597349545069</v>
      </c>
      <c r="H51" s="100">
        <f t="shared" ref="H51:K51" ca="1" si="21">H48*H52</f>
        <v>7661.5233227514418</v>
      </c>
      <c r="I51" s="100">
        <f t="shared" ca="1" si="21"/>
        <v>8407.1127572939022</v>
      </c>
      <c r="J51" s="100">
        <f t="shared" ca="1" si="21"/>
        <v>8662.6882383759221</v>
      </c>
      <c r="K51" s="100">
        <f t="shared" ca="1" si="21"/>
        <v>8686.7120165128999</v>
      </c>
    </row>
    <row r="52" spans="1:11">
      <c r="B52" s="9"/>
      <c r="C52" s="20" t="s">
        <v>32</v>
      </c>
      <c r="D52" s="92">
        <f>D51/D48</f>
        <v>0.33638928067700985</v>
      </c>
      <c r="E52" s="92">
        <f t="shared" ref="E52:F52" si="22">E51/E48</f>
        <v>0.25530941047235445</v>
      </c>
      <c r="F52" s="92">
        <f t="shared" si="22"/>
        <v>0.23383632977308144</v>
      </c>
      <c r="G52" s="102">
        <v>0.21</v>
      </c>
      <c r="H52" s="102">
        <v>0.21</v>
      </c>
      <c r="I52" s="102">
        <v>0.21</v>
      </c>
      <c r="J52" s="102">
        <v>0.21</v>
      </c>
      <c r="K52" s="102">
        <v>0.21</v>
      </c>
    </row>
    <row r="53" spans="1:11">
      <c r="B53" s="9"/>
      <c r="C53" s="20"/>
      <c r="D53" s="77"/>
      <c r="E53" s="77"/>
      <c r="F53" s="77"/>
    </row>
    <row r="54" spans="1:11">
      <c r="B54" s="1" t="s">
        <v>33</v>
      </c>
      <c r="C54" s="20"/>
      <c r="D54" s="84">
        <f>D48-D51</f>
        <v>11292</v>
      </c>
      <c r="E54" s="84">
        <f t="shared" ref="E54:K54" si="23">E48-E51</f>
        <v>16270</v>
      </c>
      <c r="F54" s="84">
        <f t="shared" si="23"/>
        <v>20157</v>
      </c>
      <c r="G54" s="84">
        <f t="shared" ca="1" si="23"/>
        <v>28252.129479114577</v>
      </c>
      <c r="H54" s="84">
        <f t="shared" ca="1" si="23"/>
        <v>28821.921071303048</v>
      </c>
      <c r="I54" s="84">
        <f t="shared" ca="1" si="23"/>
        <v>31626.757515534206</v>
      </c>
      <c r="J54" s="84">
        <f t="shared" ca="1" si="23"/>
        <v>32588.208134842753</v>
      </c>
      <c r="K54" s="84">
        <f t="shared" ca="1" si="23"/>
        <v>32678.583300215192</v>
      </c>
    </row>
    <row r="55" spans="1:11">
      <c r="B55" s="1"/>
      <c r="C55" s="20"/>
      <c r="D55" s="77"/>
      <c r="E55" s="77"/>
      <c r="F55" s="77"/>
    </row>
    <row r="56" spans="1:11">
      <c r="A56" s="7" t="s">
        <v>34</v>
      </c>
      <c r="C56" s="36"/>
      <c r="D56" s="77"/>
      <c r="E56" s="77"/>
      <c r="F56" s="77"/>
    </row>
    <row r="57" spans="1:11">
      <c r="B57" s="9" t="s">
        <v>35</v>
      </c>
      <c r="C57" s="20"/>
      <c r="D57" s="74">
        <v>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</row>
    <row r="58" spans="1:11">
      <c r="B58" s="9" t="s">
        <v>36</v>
      </c>
      <c r="C58" s="20"/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</row>
    <row r="59" spans="1:11">
      <c r="B59" s="9" t="s">
        <v>37</v>
      </c>
      <c r="C59" s="20"/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</row>
    <row r="60" spans="1:11">
      <c r="B60" s="9" t="s">
        <v>38</v>
      </c>
      <c r="C60" s="20"/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</row>
    <row r="61" spans="1:11">
      <c r="B61" s="1" t="s">
        <v>39</v>
      </c>
      <c r="C61" s="20"/>
      <c r="D61" s="85">
        <f>SUM(D57:D60)</f>
        <v>0</v>
      </c>
      <c r="E61" s="85">
        <f t="shared" ref="E61:F61" si="24">SUM(E57:E60)</f>
        <v>0</v>
      </c>
      <c r="F61" s="85">
        <f t="shared" si="24"/>
        <v>0</v>
      </c>
      <c r="G61" s="85">
        <f t="shared" ref="G61" si="25">SUM(G57:G60)</f>
        <v>0</v>
      </c>
      <c r="H61" s="85">
        <f t="shared" ref="H61" si="26">SUM(H57:H60)</f>
        <v>0</v>
      </c>
      <c r="I61" s="85">
        <f t="shared" ref="I61" si="27">SUM(I57:I60)</f>
        <v>0</v>
      </c>
      <c r="J61" s="85">
        <f t="shared" ref="J61" si="28">SUM(J57:J60)</f>
        <v>0</v>
      </c>
      <c r="K61" s="85">
        <f t="shared" ref="K61" si="29">SUM(K57:K60)</f>
        <v>0</v>
      </c>
    </row>
    <row r="62" spans="1:11">
      <c r="B62" s="1"/>
      <c r="C62" s="20"/>
      <c r="D62" s="77"/>
      <c r="E62" s="77"/>
      <c r="F62" s="77"/>
    </row>
    <row r="63" spans="1:11">
      <c r="B63" s="1" t="s">
        <v>40</v>
      </c>
      <c r="C63" s="20"/>
      <c r="D63" s="84">
        <f>D54-D61</f>
        <v>11292</v>
      </c>
      <c r="E63" s="84">
        <f t="shared" ref="E63:K63" si="30">E54-E61</f>
        <v>16270</v>
      </c>
      <c r="F63" s="84">
        <f t="shared" si="30"/>
        <v>20157</v>
      </c>
      <c r="G63" s="84">
        <f t="shared" ca="1" si="30"/>
        <v>28252.129479114577</v>
      </c>
      <c r="H63" s="84">
        <f t="shared" ca="1" si="30"/>
        <v>28821.921071303048</v>
      </c>
      <c r="I63" s="84">
        <f t="shared" ca="1" si="30"/>
        <v>31626.757515534206</v>
      </c>
      <c r="J63" s="84">
        <f t="shared" ca="1" si="30"/>
        <v>32588.208134842753</v>
      </c>
      <c r="K63" s="84">
        <f t="shared" ca="1" si="30"/>
        <v>32678.583300215192</v>
      </c>
    </row>
    <row r="64" spans="1:11">
      <c r="B64" s="1" t="s">
        <v>316</v>
      </c>
      <c r="C64" s="36"/>
      <c r="D64" s="77">
        <v>388</v>
      </c>
      <c r="E64" s="77">
        <v>-759</v>
      </c>
      <c r="F64" s="77">
        <v>-721</v>
      </c>
      <c r="G64" s="77">
        <f>D64</f>
        <v>388</v>
      </c>
      <c r="H64" s="77">
        <f t="shared" ref="H64:K64" si="31">E64</f>
        <v>-759</v>
      </c>
      <c r="I64" s="77">
        <f t="shared" si="31"/>
        <v>-721</v>
      </c>
      <c r="J64" s="77">
        <f t="shared" si="31"/>
        <v>388</v>
      </c>
      <c r="K64" s="77">
        <f t="shared" si="31"/>
        <v>-759</v>
      </c>
    </row>
    <row r="65" spans="1:15" ht="21.45" customHeight="1" thickBot="1">
      <c r="B65" s="1" t="s">
        <v>41</v>
      </c>
      <c r="C65" s="20"/>
      <c r="D65" s="79">
        <f>SUM(D63:D64)</f>
        <v>11680</v>
      </c>
      <c r="E65" s="79">
        <f t="shared" ref="E65:K65" si="32">SUM(E63:E64)</f>
        <v>15511</v>
      </c>
      <c r="F65" s="79">
        <f t="shared" si="32"/>
        <v>19436</v>
      </c>
      <c r="G65" s="79">
        <f t="shared" ca="1" si="32"/>
        <v>28640.129479114577</v>
      </c>
      <c r="H65" s="79">
        <f t="shared" ca="1" si="32"/>
        <v>28062.921071303048</v>
      </c>
      <c r="I65" s="79">
        <f t="shared" ca="1" si="32"/>
        <v>30905.757515534206</v>
      </c>
      <c r="J65" s="79">
        <f t="shared" ca="1" si="32"/>
        <v>32976.208134842753</v>
      </c>
      <c r="K65" s="79">
        <f t="shared" ca="1" si="32"/>
        <v>31919.583300215192</v>
      </c>
      <c r="O65" s="74"/>
    </row>
    <row r="66" spans="1:15" ht="14.4" thickTop="1">
      <c r="C66" s="36"/>
      <c r="D66" s="77"/>
      <c r="E66" s="77"/>
      <c r="F66" s="77"/>
    </row>
    <row r="67" spans="1:15">
      <c r="A67" s="7" t="s">
        <v>42</v>
      </c>
      <c r="C67" s="36"/>
      <c r="D67" s="77"/>
      <c r="E67" s="77"/>
      <c r="F67" s="77"/>
    </row>
    <row r="68" spans="1:15">
      <c r="B68" s="9" t="s">
        <v>43</v>
      </c>
      <c r="C68" s="36"/>
      <c r="D68" s="83">
        <f>D65/D72</f>
        <v>1.4294456002937217</v>
      </c>
      <c r="E68" s="83">
        <f t="shared" ref="E68:K68" si="33">E65/E72</f>
        <v>1.9203912343691965</v>
      </c>
      <c r="F68" s="83">
        <f t="shared" si="33"/>
        <v>2.4171122994652405</v>
      </c>
      <c r="G68" s="83">
        <f t="shared" ca="1" si="33"/>
        <v>3.5751004218093345</v>
      </c>
      <c r="H68" s="83">
        <f t="shared" ca="1" si="33"/>
        <v>3.5030484423047121</v>
      </c>
      <c r="I68" s="83">
        <f t="shared" ca="1" si="33"/>
        <v>3.8579150562394466</v>
      </c>
      <c r="J68" s="83">
        <f t="shared" ca="1" si="33"/>
        <v>4.1163660135866627</v>
      </c>
      <c r="K68" s="83">
        <f t="shared" ca="1" si="33"/>
        <v>3.9844692672843829</v>
      </c>
      <c r="O68" s="74"/>
    </row>
    <row r="69" spans="1:15">
      <c r="B69" s="9" t="s">
        <v>44</v>
      </c>
      <c r="C69" s="36"/>
      <c r="D69" s="83">
        <f>D$65/D73</f>
        <v>1.4240429163618629</v>
      </c>
      <c r="E69" s="83">
        <f t="shared" ref="E69:K69" si="34">E$65/E73</f>
        <v>1.9130488406512087</v>
      </c>
      <c r="F69" s="83">
        <f t="shared" si="34"/>
        <v>2.4051478777379036</v>
      </c>
      <c r="G69" s="83">
        <f t="shared" ca="1" si="34"/>
        <v>3.5555716299335294</v>
      </c>
      <c r="H69" s="83">
        <f t="shared" ca="1" si="34"/>
        <v>3.483913230453513</v>
      </c>
      <c r="I69" s="83">
        <f t="shared" ca="1" si="34"/>
        <v>3.8368414047838866</v>
      </c>
      <c r="J69" s="83">
        <f t="shared" ca="1" si="34"/>
        <v>4.0938805878141222</v>
      </c>
      <c r="K69" s="83">
        <f t="shared" ca="1" si="34"/>
        <v>3.9627043203246668</v>
      </c>
    </row>
    <row r="70" spans="1:15" ht="14.4">
      <c r="C70" s="36"/>
      <c r="D70" s="77"/>
      <c r="E70" s="77"/>
      <c r="F70" s="77"/>
      <c r="O70" s="103"/>
    </row>
    <row r="71" spans="1:15">
      <c r="A71" s="7" t="s">
        <v>45</v>
      </c>
      <c r="C71" s="36"/>
      <c r="D71" s="77"/>
      <c r="E71" s="77"/>
      <c r="F71" s="77"/>
    </row>
    <row r="72" spans="1:15">
      <c r="B72" s="9" t="s">
        <v>43</v>
      </c>
      <c r="C72" s="36"/>
      <c r="D72" s="74">
        <v>8171</v>
      </c>
      <c r="E72" s="74">
        <v>8077</v>
      </c>
      <c r="F72" s="74">
        <v>8041</v>
      </c>
      <c r="G72" s="74">
        <v>8011</v>
      </c>
      <c r="H72" s="74">
        <v>8011</v>
      </c>
      <c r="I72" s="74">
        <v>8011</v>
      </c>
      <c r="J72" s="74">
        <v>8011</v>
      </c>
      <c r="K72" s="74">
        <v>8011</v>
      </c>
    </row>
    <row r="73" spans="1:15" s="37" customFormat="1" ht="14.4" thickBot="1">
      <c r="B73" s="91" t="s">
        <v>44</v>
      </c>
      <c r="C73" s="38"/>
      <c r="D73" s="76">
        <v>8202</v>
      </c>
      <c r="E73" s="76">
        <v>8108</v>
      </c>
      <c r="F73" s="76">
        <v>8081</v>
      </c>
      <c r="G73" s="76">
        <v>8055</v>
      </c>
      <c r="H73" s="76">
        <v>8055</v>
      </c>
      <c r="I73" s="76">
        <v>8055</v>
      </c>
      <c r="J73" s="76">
        <v>8055</v>
      </c>
      <c r="K73" s="76">
        <v>8055</v>
      </c>
    </row>
    <row r="74" spans="1:15" ht="14.4" thickTop="1"/>
    <row r="75" spans="1:15">
      <c r="F75" s="125"/>
    </row>
  </sheetData>
  <mergeCells count="3">
    <mergeCell ref="C1:C2"/>
    <mergeCell ref="D6:F6"/>
    <mergeCell ref="G6:K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8A75-F1CA-46C8-BDDA-A55DE7C07394}">
  <sheetPr>
    <tabColor theme="0"/>
  </sheetPr>
  <dimension ref="A1:N78"/>
  <sheetViews>
    <sheetView showGridLines="0" topLeftCell="A47" zoomScale="90" zoomScaleNormal="90" workbookViewId="0">
      <selection activeCell="G3" sqref="G3"/>
    </sheetView>
  </sheetViews>
  <sheetFormatPr defaultRowHeight="14.4"/>
  <cols>
    <col min="1" max="1" width="2.109375" customWidth="1"/>
    <col min="2" max="2" width="2.44140625" customWidth="1"/>
    <col min="3" max="3" width="34.44140625" customWidth="1"/>
    <col min="4" max="4" width="12.5546875" bestFit="1" customWidth="1"/>
    <col min="5" max="5" width="14.21875" bestFit="1" customWidth="1"/>
    <col min="6" max="6" width="10.33203125" bestFit="1" customWidth="1"/>
    <col min="7" max="7" width="13.21875" bestFit="1" customWidth="1"/>
  </cols>
  <sheetData>
    <row r="1" spans="1:14" ht="15" thickBot="1">
      <c r="C1" s="480"/>
    </row>
    <row r="2" spans="1:14" ht="15" thickBot="1">
      <c r="C2" s="480"/>
      <c r="D2" s="1" t="s">
        <v>0</v>
      </c>
      <c r="E2" s="2" t="s">
        <v>1</v>
      </c>
      <c r="G2" s="1"/>
      <c r="I2" s="1"/>
      <c r="J2" s="1"/>
      <c r="K2" s="1"/>
      <c r="N2" s="174"/>
    </row>
    <row r="3" spans="1:14" ht="15" thickBot="1">
      <c r="A3" s="13" t="s">
        <v>2</v>
      </c>
      <c r="C3" s="13"/>
      <c r="D3" s="1" t="s">
        <v>3</v>
      </c>
      <c r="E3" s="3">
        <v>45220</v>
      </c>
    </row>
    <row r="4" spans="1:14" ht="15" thickBot="1">
      <c r="A4" s="14" t="s">
        <v>4</v>
      </c>
      <c r="C4" s="14"/>
      <c r="D4" s="1" t="s">
        <v>5</v>
      </c>
      <c r="E4" s="2" t="s">
        <v>6</v>
      </c>
      <c r="G4" s="1"/>
      <c r="I4" s="1"/>
    </row>
    <row r="5" spans="1:14" s="4" customFormat="1" ht="15" thickBot="1">
      <c r="C5" s="15"/>
    </row>
    <row r="6" spans="1:14" s="11" customFormat="1" ht="15" thickTop="1">
      <c r="A6" s="190" t="s">
        <v>261</v>
      </c>
      <c r="C6" s="21"/>
      <c r="D6" s="500" t="s">
        <v>7</v>
      </c>
      <c r="E6" s="501"/>
      <c r="F6" s="501"/>
      <c r="G6" s="502"/>
      <c r="H6" s="191" t="s">
        <v>194</v>
      </c>
    </row>
    <row r="7" spans="1:14" s="12" customFormat="1" ht="15.75" customHeight="1">
      <c r="C7" s="22"/>
      <c r="D7" s="192" t="s">
        <v>190</v>
      </c>
      <c r="E7" s="192" t="s">
        <v>189</v>
      </c>
      <c r="F7" s="192" t="s">
        <v>191</v>
      </c>
      <c r="G7" s="192" t="s">
        <v>192</v>
      </c>
      <c r="H7" s="193" t="s">
        <v>193</v>
      </c>
    </row>
    <row r="8" spans="1:14" s="11" customFormat="1" ht="7.5" customHeight="1">
      <c r="A8" s="57"/>
      <c r="C8" s="16"/>
      <c r="D8" s="194"/>
      <c r="E8" s="194"/>
      <c r="F8" s="194"/>
      <c r="G8" s="195"/>
      <c r="H8" s="196"/>
    </row>
    <row r="9" spans="1:14" ht="15.75" customHeight="1">
      <c r="A9" s="27" t="s">
        <v>9</v>
      </c>
      <c r="B9" s="64"/>
      <c r="C9" s="64"/>
      <c r="D9" s="226">
        <v>364779</v>
      </c>
      <c r="E9" s="202">
        <v>513983</v>
      </c>
      <c r="F9" s="202">
        <v>404824</v>
      </c>
      <c r="G9" s="202">
        <f>E9+F9-D9</f>
        <v>554028</v>
      </c>
      <c r="H9" s="202">
        <f>G9*(1+H10)</f>
        <v>620511.3600000001</v>
      </c>
    </row>
    <row r="10" spans="1:14">
      <c r="A10" s="28"/>
      <c r="B10" s="28" t="s">
        <v>195</v>
      </c>
      <c r="C10" s="28"/>
      <c r="D10" s="224"/>
      <c r="E10" s="212"/>
      <c r="F10" s="212"/>
      <c r="G10" s="212"/>
      <c r="H10" s="312">
        <v>0.12</v>
      </c>
    </row>
    <row r="11" spans="1:14" ht="9" customHeight="1">
      <c r="A11" s="28"/>
      <c r="B11" s="28"/>
      <c r="C11" s="28"/>
      <c r="D11" s="208"/>
      <c r="E11" s="207"/>
      <c r="F11" s="206"/>
      <c r="G11" s="206"/>
      <c r="H11" s="206"/>
    </row>
    <row r="12" spans="1:14">
      <c r="A12" s="27" t="s">
        <v>253</v>
      </c>
      <c r="B12" s="28"/>
      <c r="C12" s="28"/>
      <c r="D12" s="215">
        <v>203191</v>
      </c>
      <c r="E12" s="202">
        <v>288831</v>
      </c>
      <c r="F12" s="202">
        <v>212186</v>
      </c>
      <c r="G12" s="216">
        <f>E12+F12-D12</f>
        <v>297826</v>
      </c>
      <c r="H12" s="202">
        <f>H13*H9</f>
        <v>348694.24984904175</v>
      </c>
    </row>
    <row r="13" spans="1:14">
      <c r="A13" s="27"/>
      <c r="B13" s="28" t="s">
        <v>196</v>
      </c>
      <c r="C13" s="28"/>
      <c r="D13" s="224">
        <f>D12/D9</f>
        <v>0.55702493838735234</v>
      </c>
      <c r="E13" s="212">
        <f>E12/E9</f>
        <v>0.56194660134673713</v>
      </c>
      <c r="F13" s="211">
        <f>F12/F9</f>
        <v>0.52414382546489335</v>
      </c>
      <c r="G13" s="212">
        <f>G12/G9</f>
        <v>0.53756488841719197</v>
      </c>
      <c r="H13" s="238">
        <f>E13</f>
        <v>0.56194660134673713</v>
      </c>
    </row>
    <row r="14" spans="1:14" ht="9" customHeight="1">
      <c r="A14" s="27"/>
      <c r="B14" s="28"/>
      <c r="C14" s="28"/>
      <c r="D14" s="210"/>
      <c r="E14" s="227"/>
      <c r="F14" s="206"/>
      <c r="G14" s="236"/>
      <c r="H14" s="206"/>
    </row>
    <row r="15" spans="1:14">
      <c r="A15" s="27" t="s">
        <v>197</v>
      </c>
      <c r="B15" s="28"/>
      <c r="C15" s="28"/>
      <c r="D15" s="225">
        <f>D9-D12</f>
        <v>161588</v>
      </c>
      <c r="E15" s="204">
        <f>E9-E12</f>
        <v>225152</v>
      </c>
      <c r="F15" s="204">
        <f>F9-F12</f>
        <v>192638</v>
      </c>
      <c r="G15" s="204">
        <f>G9-G12</f>
        <v>256202</v>
      </c>
      <c r="H15" s="204">
        <f>H9-H12</f>
        <v>271817.11015095835</v>
      </c>
    </row>
    <row r="16" spans="1:14">
      <c r="A16" s="28"/>
      <c r="B16" s="28" t="s">
        <v>17</v>
      </c>
      <c r="C16" s="201"/>
      <c r="D16" s="224">
        <f>D15/D9</f>
        <v>0.44297506161264766</v>
      </c>
      <c r="E16" s="212">
        <f>E15/E9</f>
        <v>0.43805339865326287</v>
      </c>
      <c r="F16" s="212">
        <f>F15/F9</f>
        <v>0.47585617453510659</v>
      </c>
      <c r="G16" s="212">
        <f>G15/G9</f>
        <v>0.46243511158280809</v>
      </c>
      <c r="H16" s="212">
        <f>H15/H9</f>
        <v>0.43805339865326287</v>
      </c>
    </row>
    <row r="17" spans="1:8" ht="7.5" customHeight="1">
      <c r="A17" s="27"/>
      <c r="B17" s="28"/>
      <c r="C17" s="27"/>
      <c r="D17" s="208"/>
      <c r="E17" s="209"/>
      <c r="F17" s="206"/>
      <c r="G17" s="206"/>
      <c r="H17" s="206"/>
    </row>
    <row r="18" spans="1:8">
      <c r="A18" s="27" t="s">
        <v>18</v>
      </c>
      <c r="B18" s="28"/>
      <c r="C18" s="28"/>
      <c r="D18" s="225">
        <f>152077-D24</f>
        <v>122841</v>
      </c>
      <c r="E18" s="203">
        <f>212904-E24</f>
        <v>170983</v>
      </c>
      <c r="F18" s="204">
        <f>168995-F24</f>
        <v>134152</v>
      </c>
      <c r="G18" s="204">
        <f>E18+F18-D18</f>
        <v>182294</v>
      </c>
      <c r="H18" s="204">
        <f>H19*H9</f>
        <v>206421.01755676747</v>
      </c>
    </row>
    <row r="19" spans="1:8">
      <c r="A19" s="27"/>
      <c r="B19" s="28" t="s">
        <v>198</v>
      </c>
      <c r="C19" s="28"/>
      <c r="D19" s="224">
        <f>D18/D9</f>
        <v>0.33675458291184523</v>
      </c>
      <c r="E19" s="212">
        <f>E18/E9</f>
        <v>0.33266275343737051</v>
      </c>
      <c r="F19" s="212">
        <f>F18/F9</f>
        <v>0.33138351481137485</v>
      </c>
      <c r="G19" s="212">
        <f>G18/G9</f>
        <v>0.32903391164345486</v>
      </c>
      <c r="H19" s="239">
        <f>E19</f>
        <v>0.33266275343737051</v>
      </c>
    </row>
    <row r="20" spans="1:8" ht="10.5" customHeight="1">
      <c r="A20" s="27"/>
      <c r="B20" s="28"/>
      <c r="C20" s="28"/>
      <c r="D20" s="208"/>
      <c r="E20" s="209"/>
      <c r="F20" s="206"/>
      <c r="G20" s="206"/>
      <c r="H20" s="206"/>
    </row>
    <row r="21" spans="1:8">
      <c r="A21" s="27" t="s">
        <v>20</v>
      </c>
      <c r="B21" s="28"/>
      <c r="C21" s="28"/>
      <c r="D21" s="228">
        <f>D15-D18</f>
        <v>38747</v>
      </c>
      <c r="E21" s="204">
        <f>E15-E18</f>
        <v>54169</v>
      </c>
      <c r="F21" s="232">
        <f>F15-F18</f>
        <v>58486</v>
      </c>
      <c r="G21" s="233">
        <f>G15-G18</f>
        <v>73908</v>
      </c>
      <c r="H21" s="241">
        <f>H15-H18</f>
        <v>65396.092594190879</v>
      </c>
    </row>
    <row r="22" spans="1:8">
      <c r="A22" s="28"/>
      <c r="B22" s="28" t="s">
        <v>21</v>
      </c>
      <c r="C22" s="201"/>
      <c r="D22" s="224">
        <f>D21/D9</f>
        <v>0.10622047870080241</v>
      </c>
      <c r="E22" s="212">
        <f>E21/E9</f>
        <v>0.10539064521589235</v>
      </c>
      <c r="F22" s="212">
        <f>F21/F9</f>
        <v>0.1444726597237318</v>
      </c>
      <c r="G22" s="212">
        <f>G21/G9</f>
        <v>0.13340119993935323</v>
      </c>
      <c r="H22" s="239">
        <f>H21/H9</f>
        <v>0.10539064521589236</v>
      </c>
    </row>
    <row r="23" spans="1:8" ht="8.25" customHeight="1">
      <c r="A23" s="27"/>
      <c r="B23" s="28"/>
      <c r="C23" s="27"/>
      <c r="D23" s="208"/>
      <c r="E23" s="209"/>
      <c r="F23" s="206"/>
      <c r="G23" s="206"/>
      <c r="H23" s="206"/>
    </row>
    <row r="24" spans="1:8">
      <c r="A24" s="28" t="s">
        <v>22</v>
      </c>
      <c r="B24" s="28"/>
      <c r="C24" s="28"/>
      <c r="D24" s="215">
        <v>29236</v>
      </c>
      <c r="E24" s="216">
        <v>41921</v>
      </c>
      <c r="F24" s="216">
        <v>34843</v>
      </c>
      <c r="G24" s="216">
        <f>E24+F24-D24</f>
        <v>47528</v>
      </c>
      <c r="H24" s="240">
        <f>H25*H9</f>
        <v>50609.566313594041</v>
      </c>
    </row>
    <row r="25" spans="1:8">
      <c r="A25" s="27"/>
      <c r="B25" s="28" t="s">
        <v>199</v>
      </c>
      <c r="C25" s="28"/>
      <c r="D25" s="229">
        <f>D24/D9</f>
        <v>8.0147157594050097E-2</v>
      </c>
      <c r="E25" s="211">
        <f>E24/E9</f>
        <v>8.1561063303650122E-2</v>
      </c>
      <c r="F25" s="211">
        <f>F24/F9</f>
        <v>8.6069501808193186E-2</v>
      </c>
      <c r="G25" s="212">
        <f>G24/G9</f>
        <v>8.5786277949850914E-2</v>
      </c>
      <c r="H25" s="238">
        <f>E25</f>
        <v>8.1561063303650122E-2</v>
      </c>
    </row>
    <row r="26" spans="1:8" ht="7.5" customHeight="1">
      <c r="A26" s="27"/>
      <c r="B26" s="28"/>
      <c r="C26" s="28"/>
      <c r="D26" s="208"/>
      <c r="E26" s="206"/>
      <c r="F26" s="206"/>
      <c r="G26" s="235"/>
      <c r="H26" s="206"/>
    </row>
    <row r="27" spans="1:8">
      <c r="A27" s="27" t="s">
        <v>23</v>
      </c>
      <c r="B27" s="28"/>
      <c r="C27" s="201"/>
      <c r="D27" s="228">
        <f>D21-D24</f>
        <v>9511</v>
      </c>
      <c r="E27" s="203">
        <f>E21-E24</f>
        <v>12248</v>
      </c>
      <c r="F27" s="203">
        <f>F21-F24</f>
        <v>23643</v>
      </c>
      <c r="G27" s="204">
        <f>G21-G24</f>
        <v>26380</v>
      </c>
      <c r="H27" s="241">
        <f>H21-H24</f>
        <v>14786.526280596838</v>
      </c>
    </row>
    <row r="28" spans="1:8">
      <c r="A28" s="28"/>
      <c r="B28" s="28" t="s">
        <v>24</v>
      </c>
      <c r="C28" s="200"/>
      <c r="D28" s="230">
        <f>D27/D9</f>
        <v>2.6073321106752308E-2</v>
      </c>
      <c r="E28" s="213">
        <f>E27/E9</f>
        <v>2.3829581912242232E-2</v>
      </c>
      <c r="F28" s="213">
        <f>F27/F9</f>
        <v>5.8403157915538607E-2</v>
      </c>
      <c r="G28" s="213">
        <f>G27/G9</f>
        <v>4.7614921989502339E-2</v>
      </c>
      <c r="H28" s="213">
        <f>H27/H9</f>
        <v>2.3829581912242243E-2</v>
      </c>
    </row>
    <row r="29" spans="1:8" ht="8.25" customHeight="1">
      <c r="A29" s="28"/>
      <c r="B29" s="28"/>
      <c r="C29" s="68"/>
      <c r="D29" s="206"/>
      <c r="E29" s="206"/>
      <c r="F29" s="204"/>
      <c r="G29" s="206"/>
      <c r="H29" s="206"/>
    </row>
    <row r="30" spans="1:8">
      <c r="A30" s="27" t="s">
        <v>200</v>
      </c>
      <c r="B30" s="28"/>
      <c r="C30" s="200"/>
      <c r="D30" s="225">
        <v>13356</v>
      </c>
      <c r="E30" s="203">
        <v>16806</v>
      </c>
      <c r="F30" s="204">
        <v>-649</v>
      </c>
      <c r="G30" s="204">
        <f>E30+F30-D30</f>
        <v>2801</v>
      </c>
      <c r="H30" s="204">
        <f>G30</f>
        <v>2801</v>
      </c>
    </row>
    <row r="31" spans="1:8" ht="7.5" customHeight="1">
      <c r="A31" s="28"/>
      <c r="B31" s="28"/>
      <c r="C31" s="68"/>
      <c r="D31" s="206"/>
      <c r="E31" s="209"/>
      <c r="F31" s="204"/>
      <c r="G31" s="206"/>
      <c r="H31" s="206"/>
    </row>
    <row r="32" spans="1:8">
      <c r="A32" s="27" t="s">
        <v>25</v>
      </c>
      <c r="B32" s="28"/>
      <c r="C32" s="68"/>
      <c r="D32" s="206"/>
      <c r="E32" s="209"/>
      <c r="F32" s="206"/>
      <c r="G32" s="206"/>
      <c r="H32" s="206"/>
    </row>
    <row r="33" spans="1:8">
      <c r="A33" s="27"/>
      <c r="B33" s="28" t="s">
        <v>26</v>
      </c>
      <c r="C33" s="68"/>
      <c r="D33" s="202">
        <v>-544</v>
      </c>
      <c r="E33" s="202">
        <v>-989</v>
      </c>
      <c r="F33" s="202">
        <v>-2048</v>
      </c>
      <c r="G33" s="237">
        <f>E33+F33-D33</f>
        <v>-2493</v>
      </c>
      <c r="H33" s="237">
        <f>E33</f>
        <v>-989</v>
      </c>
    </row>
    <row r="34" spans="1:8">
      <c r="A34" s="28"/>
      <c r="B34" s="28" t="s">
        <v>201</v>
      </c>
      <c r="C34" s="68"/>
      <c r="D34" s="202">
        <v>1673</v>
      </c>
      <c r="E34" s="202">
        <v>2367</v>
      </c>
      <c r="F34" s="202">
        <v>2469</v>
      </c>
      <c r="G34" s="237">
        <f>E34+F34-D34</f>
        <v>3163</v>
      </c>
      <c r="H34" s="237">
        <f>E34</f>
        <v>2367</v>
      </c>
    </row>
    <row r="35" spans="1:8">
      <c r="A35" s="28"/>
      <c r="B35" s="27" t="s">
        <v>28</v>
      </c>
      <c r="C35" s="200"/>
      <c r="D35" s="231">
        <f>SUM(D33:D34)</f>
        <v>1129</v>
      </c>
      <c r="E35" s="205">
        <f>SUM(E33:E34)</f>
        <v>1378</v>
      </c>
      <c r="F35" s="205">
        <f>SUM(F33:F34)</f>
        <v>421</v>
      </c>
      <c r="G35" s="205">
        <f>SUM(G33:G34)</f>
        <v>670</v>
      </c>
      <c r="H35" s="242">
        <f>SUM(H33:H34)</f>
        <v>1378</v>
      </c>
    </row>
    <row r="36" spans="1:8" ht="11.25" customHeight="1">
      <c r="B36" s="28"/>
      <c r="C36" s="28"/>
      <c r="D36" s="210"/>
      <c r="E36" s="209"/>
      <c r="F36" s="206"/>
      <c r="G36" s="206"/>
      <c r="H36" s="206"/>
    </row>
    <row r="37" spans="1:8">
      <c r="A37" s="139" t="s">
        <v>29</v>
      </c>
      <c r="B37" s="28"/>
      <c r="C37" s="31"/>
      <c r="D37" s="228">
        <f>D27-D30-D35</f>
        <v>-4974</v>
      </c>
      <c r="E37" s="203">
        <f>E27-E30-E35</f>
        <v>-5936</v>
      </c>
      <c r="F37" s="233">
        <f>F27-F30-F35</f>
        <v>23871</v>
      </c>
      <c r="G37" s="233">
        <f>G27-G30-G35</f>
        <v>22909</v>
      </c>
      <c r="H37" s="241">
        <f>H27-H30-H35</f>
        <v>10607.526280596838</v>
      </c>
    </row>
    <row r="38" spans="1:8">
      <c r="B38" s="28" t="s">
        <v>30</v>
      </c>
      <c r="C38" s="31"/>
      <c r="D38" s="214">
        <f>D37/D9</f>
        <v>-1.3635653368203762E-2</v>
      </c>
      <c r="E38" s="214">
        <f>E37/E9</f>
        <v>-1.1549020103777752E-2</v>
      </c>
      <c r="F38" s="214">
        <f>F37/F9</f>
        <v>5.8966365630496217E-2</v>
      </c>
      <c r="G38" s="214">
        <f>G37/G9</f>
        <v>4.1349895673142872E-2</v>
      </c>
      <c r="H38" s="214">
        <f>H37/H9</f>
        <v>1.7094813994375277E-2</v>
      </c>
    </row>
    <row r="39" spans="1:8" ht="9" customHeight="1">
      <c r="A39" s="28"/>
      <c r="B39" s="28"/>
      <c r="C39" s="68"/>
      <c r="D39" s="206"/>
      <c r="E39" s="209"/>
      <c r="F39" s="206"/>
      <c r="G39" s="206"/>
      <c r="H39" s="206"/>
    </row>
    <row r="40" spans="1:8">
      <c r="A40" s="28" t="s">
        <v>31</v>
      </c>
      <c r="B40" s="27"/>
      <c r="C40" s="68"/>
      <c r="D40" s="202">
        <v>-1990</v>
      </c>
      <c r="E40" s="202">
        <v>-3217</v>
      </c>
      <c r="F40" s="202">
        <v>4058</v>
      </c>
      <c r="G40" s="237">
        <f>E40+F40-D40</f>
        <v>2831</v>
      </c>
      <c r="H40" s="240">
        <f>E40</f>
        <v>-3217</v>
      </c>
    </row>
    <row r="41" spans="1:8">
      <c r="B41" s="28" t="s">
        <v>202</v>
      </c>
      <c r="C41" s="31"/>
      <c r="D41" s="213">
        <f>D40/D37</f>
        <v>0.40008041817450746</v>
      </c>
      <c r="E41" s="213">
        <f>E40/E37</f>
        <v>0.54194743935309975</v>
      </c>
      <c r="F41" s="213">
        <f>F40/F37</f>
        <v>0.1699970675715303</v>
      </c>
      <c r="G41" s="213">
        <f>G40/G37</f>
        <v>0.12357588720590161</v>
      </c>
      <c r="H41" s="238">
        <f>H40/H37</f>
        <v>-0.30327523259447386</v>
      </c>
    </row>
    <row r="42" spans="1:8" ht="6" customHeight="1">
      <c r="A42" s="139"/>
      <c r="B42" s="28"/>
      <c r="C42" s="31"/>
      <c r="D42" s="206"/>
      <c r="E42" s="209"/>
      <c r="F42" s="206"/>
      <c r="G42" s="206"/>
      <c r="H42" s="206"/>
    </row>
    <row r="43" spans="1:8">
      <c r="A43" s="139" t="s">
        <v>33</v>
      </c>
      <c r="B43" s="28"/>
      <c r="C43" s="28"/>
      <c r="D43" s="228">
        <f>D37-D40</f>
        <v>-2984</v>
      </c>
      <c r="E43" s="203">
        <f>E37-E40</f>
        <v>-2719</v>
      </c>
      <c r="F43" s="233">
        <f>F37-F40</f>
        <v>19813</v>
      </c>
      <c r="G43" s="233">
        <f>G37-G40</f>
        <v>20078</v>
      </c>
      <c r="H43" s="241">
        <f>H37-H40</f>
        <v>13824.526280596838</v>
      </c>
    </row>
    <row r="44" spans="1:8" ht="9" customHeight="1">
      <c r="A44" s="28"/>
      <c r="B44" s="28"/>
      <c r="C44" s="68"/>
      <c r="D44" s="206"/>
      <c r="E44" s="209"/>
      <c r="F44" s="206"/>
      <c r="G44" s="206"/>
      <c r="H44" s="206"/>
    </row>
    <row r="45" spans="1:8">
      <c r="A45" s="28"/>
      <c r="B45" s="28" t="s">
        <v>254</v>
      </c>
      <c r="C45" s="68"/>
      <c r="D45" s="202">
        <v>16</v>
      </c>
      <c r="E45" s="202">
        <v>3</v>
      </c>
      <c r="F45" s="202">
        <v>12</v>
      </c>
      <c r="G45" s="237">
        <f>E45+F45-D45</f>
        <v>-1</v>
      </c>
      <c r="H45" s="237">
        <f>E45</f>
        <v>3</v>
      </c>
    </row>
    <row r="46" spans="1:8">
      <c r="B46" s="28" t="s">
        <v>204</v>
      </c>
      <c r="C46" s="31"/>
      <c r="D46" s="202">
        <v>0</v>
      </c>
      <c r="E46" s="202">
        <v>0</v>
      </c>
      <c r="F46" s="202">
        <v>0</v>
      </c>
      <c r="G46" s="202">
        <v>0</v>
      </c>
      <c r="H46" s="202">
        <v>0</v>
      </c>
    </row>
    <row r="47" spans="1:8">
      <c r="A47" s="28"/>
      <c r="B47" s="28" t="s">
        <v>219</v>
      </c>
      <c r="C47" s="68"/>
      <c r="D47" s="202">
        <v>0</v>
      </c>
      <c r="E47" s="202">
        <v>0</v>
      </c>
      <c r="F47" s="202">
        <v>0</v>
      </c>
      <c r="G47" s="202">
        <v>0</v>
      </c>
      <c r="H47" s="202">
        <v>0</v>
      </c>
    </row>
    <row r="48" spans="1:8">
      <c r="A48" s="28"/>
      <c r="B48" s="28" t="s">
        <v>150</v>
      </c>
      <c r="C48" s="68"/>
      <c r="D48" s="202">
        <v>0</v>
      </c>
      <c r="E48" s="202">
        <v>0</v>
      </c>
      <c r="F48" s="202">
        <v>0</v>
      </c>
      <c r="G48" s="202">
        <v>0</v>
      </c>
      <c r="H48" s="202">
        <v>0</v>
      </c>
    </row>
    <row r="49" spans="1:8" ht="9.75" customHeight="1">
      <c r="B49" s="28"/>
      <c r="C49" s="31"/>
      <c r="D49" s="206"/>
      <c r="E49" s="206"/>
      <c r="F49" s="220"/>
      <c r="G49" s="221"/>
      <c r="H49" s="206"/>
    </row>
    <row r="50" spans="1:8" ht="15" thickBot="1">
      <c r="A50" s="139" t="s">
        <v>205</v>
      </c>
      <c r="B50" s="28"/>
      <c r="C50" s="31"/>
      <c r="D50" s="223">
        <f>D43-SUM(D45:D48)</f>
        <v>-3000</v>
      </c>
      <c r="E50" s="223">
        <f>E43-SUM(E45:E48)</f>
        <v>-2722</v>
      </c>
      <c r="F50" s="223">
        <f>F43-SUM(F45:F48)</f>
        <v>19801</v>
      </c>
      <c r="G50" s="223">
        <f>G43-G45</f>
        <v>20079</v>
      </c>
      <c r="H50" s="223">
        <f>H43-H45</f>
        <v>13821.526280596838</v>
      </c>
    </row>
    <row r="51" spans="1:8" ht="9.75" customHeight="1">
      <c r="B51" s="28"/>
      <c r="C51" s="31"/>
      <c r="D51" s="206"/>
      <c r="E51" s="206"/>
      <c r="F51" s="206"/>
      <c r="G51" s="206"/>
      <c r="H51" s="206"/>
    </row>
    <row r="52" spans="1:8">
      <c r="A52" s="27" t="s">
        <v>206</v>
      </c>
      <c r="B52" s="28"/>
      <c r="C52" s="68"/>
      <c r="D52" s="206"/>
      <c r="E52" s="206"/>
      <c r="F52" s="206"/>
      <c r="G52" s="206"/>
      <c r="H52" s="206"/>
    </row>
    <row r="53" spans="1:8">
      <c r="A53" s="27"/>
      <c r="B53" s="28" t="s">
        <v>43</v>
      </c>
      <c r="C53" s="68"/>
      <c r="D53" s="234">
        <f>D50/D61</f>
        <v>-0.29475338966398112</v>
      </c>
      <c r="E53" s="234">
        <f>E50/E61</f>
        <v>-0.2671508489547551</v>
      </c>
      <c r="F53" s="234">
        <f t="shared" ref="F53:H53" si="0">F50/F61</f>
        <v>1.925043748784756</v>
      </c>
      <c r="G53" s="234">
        <f t="shared" si="0"/>
        <v>1.952070775811783</v>
      </c>
      <c r="H53" s="234">
        <f t="shared" si="0"/>
        <v>1.3374768117409592</v>
      </c>
    </row>
    <row r="54" spans="1:8">
      <c r="A54" s="27"/>
      <c r="B54" s="28" t="s">
        <v>44</v>
      </c>
      <c r="C54" s="68"/>
      <c r="D54" s="234">
        <f>D50/D62</f>
        <v>-0.29475338966398112</v>
      </c>
      <c r="E54" s="234">
        <f>E50/E62</f>
        <v>-0.2671508489547551</v>
      </c>
      <c r="F54" s="234">
        <f t="shared" ref="F54:H54" si="1">F50/F62</f>
        <v>1.8944699579027937</v>
      </c>
      <c r="G54" s="234">
        <f t="shared" si="1"/>
        <v>1.9210677382319172</v>
      </c>
      <c r="H54" s="234">
        <f t="shared" si="1"/>
        <v>1.3223810065630346</v>
      </c>
    </row>
    <row r="55" spans="1:8" ht="7.5" customHeight="1">
      <c r="A55" s="27"/>
      <c r="B55" s="28"/>
      <c r="C55" s="68"/>
      <c r="D55" s="234"/>
      <c r="E55" s="234"/>
      <c r="F55" s="234"/>
      <c r="G55" s="234"/>
      <c r="H55" s="234"/>
    </row>
    <row r="56" spans="1:8">
      <c r="A56" s="27" t="s">
        <v>207</v>
      </c>
      <c r="B56" s="28"/>
      <c r="C56" s="68"/>
      <c r="D56" s="234"/>
      <c r="E56" s="234"/>
      <c r="F56" s="234"/>
      <c r="G56" s="234"/>
      <c r="H56" s="234"/>
    </row>
    <row r="57" spans="1:8">
      <c r="A57" s="27"/>
      <c r="B57" s="28" t="s">
        <v>43</v>
      </c>
      <c r="C57" s="68"/>
      <c r="D57" s="234">
        <f>D43/D61</f>
        <v>-0.29318137158577323</v>
      </c>
      <c r="E57" s="234">
        <f>E43/E61</f>
        <v>-0.2668564137795662</v>
      </c>
      <c r="F57" s="234">
        <f t="shared" ref="F57:H57" si="2">F43/F61</f>
        <v>1.9262103830449153</v>
      </c>
      <c r="G57" s="234">
        <f t="shared" si="2"/>
        <v>1.9519735562901031</v>
      </c>
      <c r="H57" s="234">
        <f t="shared" si="2"/>
        <v>1.3377671147331009</v>
      </c>
    </row>
    <row r="58" spans="1:8">
      <c r="A58" s="27"/>
      <c r="B58" s="28" t="s">
        <v>44</v>
      </c>
      <c r="C58" s="68"/>
      <c r="D58" s="234">
        <f>D43/D62</f>
        <v>-0.29318137158577323</v>
      </c>
      <c r="E58" s="234">
        <f>E43/E62</f>
        <v>-0.2668564137795662</v>
      </c>
      <c r="F58" s="234">
        <f t="shared" ref="F58:H58" si="3">F43/F62</f>
        <v>1.8956180635285114</v>
      </c>
      <c r="G58" s="234">
        <f t="shared" si="3"/>
        <v>1.9209720627631075</v>
      </c>
      <c r="H58" s="234">
        <f t="shared" si="3"/>
        <v>1.322668032969464</v>
      </c>
    </row>
    <row r="59" spans="1:8" ht="7.5" customHeight="1">
      <c r="A59" s="27"/>
      <c r="B59" s="28"/>
      <c r="C59" s="68"/>
      <c r="D59" s="206"/>
      <c r="E59" s="206"/>
      <c r="F59" s="206"/>
      <c r="G59" s="206"/>
      <c r="H59" s="206"/>
    </row>
    <row r="60" spans="1:8">
      <c r="A60" s="27" t="s">
        <v>45</v>
      </c>
      <c r="B60" s="28"/>
      <c r="C60" s="68"/>
      <c r="D60" s="206"/>
      <c r="E60" s="206"/>
      <c r="F60" s="206"/>
      <c r="G60" s="206"/>
      <c r="H60" s="206"/>
    </row>
    <row r="61" spans="1:8">
      <c r="A61" s="27"/>
      <c r="B61" t="s">
        <v>43</v>
      </c>
      <c r="C61" s="68"/>
      <c r="D61" s="215">
        <v>10178</v>
      </c>
      <c r="E61" s="202">
        <v>10189</v>
      </c>
      <c r="F61" s="216">
        <v>10286</v>
      </c>
      <c r="G61" s="216">
        <f>F61</f>
        <v>10286</v>
      </c>
      <c r="H61" s="216">
        <f>E66/1000000</f>
        <v>10334.030586000001</v>
      </c>
    </row>
    <row r="62" spans="1:8" s="4" customFormat="1" ht="15" thickBot="1">
      <c r="B62" s="4" t="s">
        <v>44</v>
      </c>
      <c r="C62" s="15"/>
      <c r="D62" s="217">
        <v>10178</v>
      </c>
      <c r="E62" s="202">
        <v>10189</v>
      </c>
      <c r="F62" s="219">
        <v>10452</v>
      </c>
      <c r="G62" s="216">
        <f>F62</f>
        <v>10452</v>
      </c>
      <c r="H62" s="219">
        <f>E67/1000000</f>
        <v>10452</v>
      </c>
    </row>
    <row r="63" spans="1:8" ht="15" thickTop="1">
      <c r="E63" s="218"/>
      <c r="G63" s="121"/>
    </row>
    <row r="64" spans="1:8">
      <c r="A64" s="503" t="s">
        <v>218</v>
      </c>
      <c r="B64" s="504"/>
      <c r="C64" s="504"/>
      <c r="D64" s="504"/>
      <c r="E64" s="505"/>
    </row>
    <row r="65" spans="1:5">
      <c r="A65" s="199" t="s">
        <v>208</v>
      </c>
      <c r="B65" s="199"/>
      <c r="E65" s="244">
        <v>147.03</v>
      </c>
    </row>
    <row r="66" spans="1:5">
      <c r="A66" s="199" t="s">
        <v>209</v>
      </c>
      <c r="B66" s="199"/>
      <c r="E66" s="245">
        <v>10334030586</v>
      </c>
    </row>
    <row r="67" spans="1:5">
      <c r="A67" s="373" t="s">
        <v>210</v>
      </c>
      <c r="B67" s="10"/>
      <c r="C67" s="10"/>
      <c r="D67" s="10"/>
      <c r="E67" s="245">
        <v>10452000000</v>
      </c>
    </row>
    <row r="69" spans="1:5">
      <c r="A69" s="503" t="s">
        <v>217</v>
      </c>
      <c r="B69" s="504"/>
      <c r="C69" s="504"/>
      <c r="D69" s="504"/>
      <c r="E69" s="505"/>
    </row>
    <row r="70" spans="1:5">
      <c r="A70" s="199" t="s">
        <v>211</v>
      </c>
      <c r="E70" s="244">
        <f>E65*E67/1000000</f>
        <v>1536757.56</v>
      </c>
    </row>
    <row r="71" spans="1:5">
      <c r="A71" s="199" t="s">
        <v>145</v>
      </c>
      <c r="E71" s="244">
        <v>0</v>
      </c>
    </row>
    <row r="72" spans="1:5">
      <c r="A72" s="199" t="s">
        <v>220</v>
      </c>
      <c r="E72" s="244">
        <v>61098</v>
      </c>
    </row>
    <row r="73" spans="1:5">
      <c r="A73" s="199" t="s">
        <v>221</v>
      </c>
      <c r="E73" s="244">
        <v>0</v>
      </c>
    </row>
    <row r="74" spans="1:5">
      <c r="A74" s="199" t="s">
        <v>212</v>
      </c>
      <c r="E74" s="244">
        <v>0</v>
      </c>
    </row>
    <row r="75" spans="1:5">
      <c r="A75" s="199" t="s">
        <v>213</v>
      </c>
      <c r="E75" s="244">
        <v>0</v>
      </c>
    </row>
    <row r="76" spans="1:5">
      <c r="A76" s="199" t="s">
        <v>214</v>
      </c>
      <c r="E76" s="244">
        <v>0</v>
      </c>
    </row>
    <row r="77" spans="1:5">
      <c r="A77" s="322" t="s">
        <v>215</v>
      </c>
      <c r="E77" s="244">
        <v>-49605</v>
      </c>
    </row>
    <row r="78" spans="1:5">
      <c r="A78" s="197" t="s">
        <v>216</v>
      </c>
      <c r="B78" s="198"/>
      <c r="C78" s="198"/>
      <c r="D78" s="198"/>
      <c r="E78" s="313">
        <f>SUM(E70:E77)</f>
        <v>1548250.56</v>
      </c>
    </row>
  </sheetData>
  <mergeCells count="4">
    <mergeCell ref="C1:C2"/>
    <mergeCell ref="D6:G6"/>
    <mergeCell ref="A64:E64"/>
    <mergeCell ref="A69:E69"/>
  </mergeCells>
  <conditionalFormatting sqref="N2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0AC7-05D4-49AE-B932-9E43CAD5BB83}">
  <sheetPr>
    <tabColor theme="0"/>
  </sheetPr>
  <dimension ref="A1:N78"/>
  <sheetViews>
    <sheetView showGridLines="0" topLeftCell="A46" zoomScale="90" zoomScaleNormal="90" workbookViewId="0">
      <selection activeCell="G3" sqref="G3"/>
    </sheetView>
  </sheetViews>
  <sheetFormatPr defaultRowHeight="14.4"/>
  <cols>
    <col min="1" max="1" width="2.109375" customWidth="1"/>
    <col min="2" max="2" width="2.44140625" customWidth="1"/>
    <col min="3" max="3" width="34.44140625" customWidth="1"/>
    <col min="4" max="4" width="12.5546875" bestFit="1" customWidth="1"/>
    <col min="5" max="5" width="10.5546875" bestFit="1" customWidth="1"/>
    <col min="6" max="6" width="8.5546875" customWidth="1"/>
  </cols>
  <sheetData>
    <row r="1" spans="1:14" ht="15" thickBot="1">
      <c r="C1" s="480"/>
    </row>
    <row r="2" spans="1:14" ht="15" thickBot="1">
      <c r="C2" s="480"/>
      <c r="D2" s="1" t="s">
        <v>0</v>
      </c>
      <c r="E2" s="2" t="s">
        <v>1</v>
      </c>
      <c r="G2" s="1"/>
      <c r="I2" s="1"/>
      <c r="J2" s="1"/>
      <c r="K2" s="1"/>
      <c r="N2" s="174"/>
    </row>
    <row r="3" spans="1:14" ht="15" thickBot="1">
      <c r="A3" s="13" t="s">
        <v>2</v>
      </c>
      <c r="C3" s="13"/>
      <c r="D3" s="1" t="s">
        <v>3</v>
      </c>
      <c r="E3" s="3">
        <v>45220</v>
      </c>
    </row>
    <row r="4" spans="1:14" ht="15" thickBot="1">
      <c r="A4" s="14" t="s">
        <v>4</v>
      </c>
      <c r="C4" s="14"/>
      <c r="D4" s="1" t="s">
        <v>5</v>
      </c>
      <c r="E4" s="2" t="s">
        <v>6</v>
      </c>
      <c r="G4" s="1"/>
      <c r="I4" s="1"/>
    </row>
    <row r="5" spans="1:14" s="4" customFormat="1" ht="15" thickBot="1">
      <c r="C5" s="15"/>
    </row>
    <row r="6" spans="1:14" s="11" customFormat="1" ht="15" thickTop="1">
      <c r="A6" s="190" t="s">
        <v>188</v>
      </c>
      <c r="C6" s="21"/>
      <c r="D6" s="500" t="s">
        <v>7</v>
      </c>
      <c r="E6" s="501"/>
      <c r="F6" s="501"/>
      <c r="G6" s="502"/>
      <c r="H6" s="191" t="s">
        <v>194</v>
      </c>
    </row>
    <row r="7" spans="1:14" s="12" customFormat="1" ht="15.75" customHeight="1">
      <c r="C7" s="22"/>
      <c r="D7" s="192" t="s">
        <v>190</v>
      </c>
      <c r="E7" s="192" t="s">
        <v>189</v>
      </c>
      <c r="F7" s="192" t="s">
        <v>191</v>
      </c>
      <c r="G7" s="192" t="s">
        <v>192</v>
      </c>
      <c r="H7" s="193" t="s">
        <v>193</v>
      </c>
    </row>
    <row r="8" spans="1:14" s="11" customFormat="1" ht="7.5" customHeight="1">
      <c r="A8" s="57"/>
      <c r="C8" s="16"/>
      <c r="D8" s="194"/>
      <c r="E8" s="194"/>
      <c r="F8" s="194"/>
      <c r="G8" s="195"/>
      <c r="H8" s="196"/>
    </row>
    <row r="9" spans="1:14" ht="15.75" customHeight="1">
      <c r="A9" s="27" t="s">
        <v>9</v>
      </c>
      <c r="B9" s="64"/>
      <c r="C9" s="64"/>
      <c r="D9" s="226">
        <v>7285</v>
      </c>
      <c r="E9" s="202">
        <v>9795</v>
      </c>
      <c r="F9" s="202">
        <v>7550</v>
      </c>
      <c r="G9" s="202">
        <f>E9+F9-D9</f>
        <v>10060</v>
      </c>
      <c r="H9" s="202">
        <f>(1+H10)*G9</f>
        <v>10301.44</v>
      </c>
    </row>
    <row r="10" spans="1:14">
      <c r="A10" s="28"/>
      <c r="B10" s="28" t="s">
        <v>195</v>
      </c>
      <c r="C10" s="28"/>
      <c r="D10" s="224"/>
      <c r="E10" s="212"/>
      <c r="F10" s="212"/>
      <c r="G10" s="212"/>
      <c r="H10" s="312">
        <v>2.4E-2</v>
      </c>
    </row>
    <row r="11" spans="1:14" ht="9" customHeight="1">
      <c r="A11" s="28"/>
      <c r="B11" s="28"/>
      <c r="C11" s="28"/>
      <c r="D11" s="208"/>
      <c r="E11" s="207"/>
      <c r="F11" s="206"/>
      <c r="G11" s="206"/>
      <c r="H11" s="206"/>
    </row>
    <row r="12" spans="1:14">
      <c r="A12" s="27" t="s">
        <v>253</v>
      </c>
      <c r="B12" s="28"/>
      <c r="C12" s="28"/>
      <c r="D12" s="215">
        <f>1999 - 332</f>
        <v>1667</v>
      </c>
      <c r="E12" s="202">
        <f>2680 - 440</f>
        <v>2240</v>
      </c>
      <c r="F12" s="202">
        <f>2123-288</f>
        <v>1835</v>
      </c>
      <c r="G12" s="216">
        <f>E12+F12-D12</f>
        <v>2408</v>
      </c>
      <c r="H12" s="202">
        <f>H13*H9</f>
        <v>2355.8168044920881</v>
      </c>
    </row>
    <row r="13" spans="1:14">
      <c r="A13" s="27"/>
      <c r="B13" s="28" t="s">
        <v>196</v>
      </c>
      <c r="C13" s="28"/>
      <c r="D13" s="224">
        <f>D12/D9</f>
        <v>0.22882635552505148</v>
      </c>
      <c r="E13" s="212">
        <f>E12/E9</f>
        <v>0.22868810617662072</v>
      </c>
      <c r="F13" s="211">
        <f>F12/F9</f>
        <v>0.24304635761589405</v>
      </c>
      <c r="G13" s="212">
        <f>G12/G9</f>
        <v>0.2393638170974155</v>
      </c>
      <c r="H13" s="238">
        <f>E13</f>
        <v>0.22868810617662072</v>
      </c>
    </row>
    <row r="14" spans="1:14" ht="9" customHeight="1">
      <c r="A14" s="27"/>
      <c r="B14" s="28"/>
      <c r="C14" s="28"/>
      <c r="D14" s="210"/>
      <c r="E14" s="227"/>
      <c r="F14" s="206"/>
      <c r="G14" s="236"/>
      <c r="H14" s="206"/>
    </row>
    <row r="15" spans="1:14">
      <c r="A15" s="27" t="s">
        <v>197</v>
      </c>
      <c r="B15" s="28"/>
      <c r="C15" s="28"/>
      <c r="D15" s="225">
        <f>D9-D12</f>
        <v>5618</v>
      </c>
      <c r="E15" s="204">
        <f>E9-E12</f>
        <v>7555</v>
      </c>
      <c r="F15" s="204">
        <f>F9-F12</f>
        <v>5715</v>
      </c>
      <c r="G15" s="204">
        <f>G9-G12</f>
        <v>7652</v>
      </c>
      <c r="H15" s="204">
        <f>H9-H12</f>
        <v>7945.6231955079129</v>
      </c>
    </row>
    <row r="16" spans="1:14">
      <c r="A16" s="28"/>
      <c r="B16" s="28" t="s">
        <v>17</v>
      </c>
      <c r="C16" s="201"/>
      <c r="D16" s="224">
        <f>D15/D9</f>
        <v>0.77117364447494852</v>
      </c>
      <c r="E16" s="212">
        <f>E15/E9</f>
        <v>0.77131189382337928</v>
      </c>
      <c r="F16" s="212">
        <f>F15/F9</f>
        <v>0.75695364238410601</v>
      </c>
      <c r="G16" s="212">
        <f>G15/G9</f>
        <v>0.7606361829025845</v>
      </c>
      <c r="H16" s="212">
        <f>H15/H9</f>
        <v>0.77131189382337928</v>
      </c>
    </row>
    <row r="17" spans="1:8" ht="7.5" customHeight="1">
      <c r="A17" s="27"/>
      <c r="B17" s="28"/>
      <c r="C17" s="27"/>
      <c r="D17" s="208"/>
      <c r="E17" s="209"/>
      <c r="F17" s="206"/>
      <c r="G17" s="206"/>
      <c r="H17" s="206"/>
    </row>
    <row r="18" spans="1:8">
      <c r="A18" s="27" t="s">
        <v>18</v>
      </c>
      <c r="B18" s="28"/>
      <c r="C18" s="28"/>
      <c r="D18" s="225">
        <f>3501-3</f>
        <v>3498</v>
      </c>
      <c r="E18" s="204">
        <f>4765 - 2</f>
        <v>4763</v>
      </c>
      <c r="F18" s="204">
        <f>3896-17</f>
        <v>3879</v>
      </c>
      <c r="G18" s="204">
        <f t="shared" ref="G18:G24" si="0">E18+F18-D18</f>
        <v>5144</v>
      </c>
      <c r="H18" s="204">
        <f>H19*H9</f>
        <v>5009.2658213374179</v>
      </c>
    </row>
    <row r="19" spans="1:8">
      <c r="A19" s="27"/>
      <c r="B19" s="28" t="s">
        <v>198</v>
      </c>
      <c r="C19" s="28"/>
      <c r="D19" s="224">
        <f>D18/D9</f>
        <v>0.48016472203157173</v>
      </c>
      <c r="E19" s="212">
        <f>E18/E9</f>
        <v>0.48626850433894847</v>
      </c>
      <c r="F19" s="212">
        <f>F18/F9</f>
        <v>0.51377483443708605</v>
      </c>
      <c r="G19" s="212">
        <f>G18/G9</f>
        <v>0.51133200795228628</v>
      </c>
      <c r="H19" s="239">
        <f>E19</f>
        <v>0.48626850433894847</v>
      </c>
    </row>
    <row r="20" spans="1:8" ht="10.5" customHeight="1">
      <c r="A20" s="27"/>
      <c r="B20" s="28"/>
      <c r="C20" s="28"/>
      <c r="D20" s="208"/>
      <c r="E20" s="209"/>
      <c r="F20" s="206"/>
      <c r="G20" s="206"/>
      <c r="H20" s="206"/>
    </row>
    <row r="21" spans="1:8">
      <c r="A21" s="27" t="s">
        <v>20</v>
      </c>
      <c r="B21" s="28"/>
      <c r="C21" s="28"/>
      <c r="D21" s="228">
        <f>D15-D18</f>
        <v>2120</v>
      </c>
      <c r="E21" s="204">
        <f>E15-E18</f>
        <v>2792</v>
      </c>
      <c r="F21" s="232">
        <f>F15-F18</f>
        <v>1836</v>
      </c>
      <c r="G21" s="233">
        <f>G15-G18</f>
        <v>2508</v>
      </c>
      <c r="H21" s="241">
        <f>G21*(1+H22)</f>
        <v>3222.8888208269527</v>
      </c>
    </row>
    <row r="22" spans="1:8">
      <c r="A22" s="28"/>
      <c r="B22" s="28" t="s">
        <v>21</v>
      </c>
      <c r="C22" s="201"/>
      <c r="D22" s="224">
        <f>D21/D9</f>
        <v>0.29100892244337678</v>
      </c>
      <c r="E22" s="212">
        <f>E21/E9</f>
        <v>0.28504338948443081</v>
      </c>
      <c r="F22" s="212">
        <f>F21/F9</f>
        <v>0.24317880794701988</v>
      </c>
      <c r="G22" s="212">
        <f>G21/G9</f>
        <v>0.24930417495029822</v>
      </c>
      <c r="H22" s="239">
        <f>E22</f>
        <v>0.28504338948443081</v>
      </c>
    </row>
    <row r="23" spans="1:8" ht="8.25" customHeight="1">
      <c r="A23" s="27"/>
      <c r="B23" s="28"/>
      <c r="C23" s="27"/>
      <c r="D23" s="208"/>
      <c r="E23" s="209"/>
      <c r="F23" s="206"/>
      <c r="G23" s="206"/>
      <c r="H23" s="206"/>
    </row>
    <row r="24" spans="1:8">
      <c r="A24" s="28" t="s">
        <v>22</v>
      </c>
      <c r="B24" s="28"/>
      <c r="C24" s="28"/>
      <c r="D24" s="215">
        <v>335</v>
      </c>
      <c r="E24" s="216">
        <v>442</v>
      </c>
      <c r="F24" s="216">
        <v>305</v>
      </c>
      <c r="G24" s="216">
        <f t="shared" si="0"/>
        <v>412</v>
      </c>
      <c r="H24" s="240">
        <f>H25*H9</f>
        <v>464.8531373149566</v>
      </c>
    </row>
    <row r="25" spans="1:8">
      <c r="A25" s="27"/>
      <c r="B25" s="28" t="s">
        <v>199</v>
      </c>
      <c r="C25" s="28"/>
      <c r="D25" s="229">
        <f>D24/D9</f>
        <v>4.598490048043926E-2</v>
      </c>
      <c r="E25" s="211">
        <f>E24/E9</f>
        <v>4.5125063808065337E-2</v>
      </c>
      <c r="F25" s="211">
        <f>F24/F9</f>
        <v>4.0397350993377483E-2</v>
      </c>
      <c r="G25" s="212">
        <f>G24/G9</f>
        <v>4.0954274353876739E-2</v>
      </c>
      <c r="H25" s="238">
        <f>E25</f>
        <v>4.5125063808065337E-2</v>
      </c>
    </row>
    <row r="26" spans="1:8" ht="7.5" customHeight="1">
      <c r="A26" s="27"/>
      <c r="B26" s="28"/>
      <c r="C26" s="28"/>
      <c r="D26" s="208"/>
      <c r="E26" s="206"/>
      <c r="F26" s="206"/>
      <c r="G26" s="235"/>
      <c r="H26" s="206"/>
    </row>
    <row r="27" spans="1:8">
      <c r="A27" s="27" t="s">
        <v>23</v>
      </c>
      <c r="B27" s="28"/>
      <c r="C27" s="201"/>
      <c r="D27" s="228">
        <f>D21-D24</f>
        <v>1785</v>
      </c>
      <c r="E27" s="203">
        <f>E21-E24</f>
        <v>2350</v>
      </c>
      <c r="F27" s="203">
        <f>F21-F24</f>
        <v>1531</v>
      </c>
      <c r="G27" s="204">
        <f>G21-G24</f>
        <v>2096</v>
      </c>
      <c r="H27" s="241">
        <f>H21-H24</f>
        <v>2758.035683511996</v>
      </c>
    </row>
    <row r="28" spans="1:8">
      <c r="A28" s="28"/>
      <c r="B28" s="28" t="s">
        <v>24</v>
      </c>
      <c r="C28" s="200"/>
      <c r="D28" s="230">
        <f>D27/D9</f>
        <v>0.24502402196293754</v>
      </c>
      <c r="E28" s="213">
        <f>E27/E9</f>
        <v>0.23991832567636548</v>
      </c>
      <c r="F28" s="213">
        <f>F27/F9</f>
        <v>0.20278145695364239</v>
      </c>
      <c r="G28" s="213">
        <f>G27/G9</f>
        <v>0.20834990059642147</v>
      </c>
      <c r="H28" s="213">
        <f>H27/H9</f>
        <v>0.26773302407352717</v>
      </c>
    </row>
    <row r="29" spans="1:8" ht="8.25" customHeight="1">
      <c r="A29" s="28"/>
      <c r="B29" s="28"/>
      <c r="C29" s="68"/>
      <c r="D29" s="206"/>
      <c r="E29" s="206"/>
      <c r="F29" s="204"/>
      <c r="G29" s="206"/>
      <c r="H29" s="206"/>
    </row>
    <row r="30" spans="1:8">
      <c r="A30" s="27" t="s">
        <v>200</v>
      </c>
      <c r="B30" s="28"/>
      <c r="C30" s="200"/>
      <c r="D30" s="225">
        <v>0</v>
      </c>
      <c r="E30" s="203">
        <v>0</v>
      </c>
      <c r="F30" s="204">
        <v>0</v>
      </c>
      <c r="G30" s="204">
        <v>0</v>
      </c>
      <c r="H30" s="204">
        <v>0</v>
      </c>
    </row>
    <row r="31" spans="1:8" ht="7.5" customHeight="1">
      <c r="A31" s="28"/>
      <c r="B31" s="28"/>
      <c r="C31" s="68"/>
      <c r="D31" s="206"/>
      <c r="E31" s="209"/>
      <c r="F31" s="204"/>
      <c r="G31" s="206"/>
      <c r="H31" s="206"/>
    </row>
    <row r="32" spans="1:8">
      <c r="A32" s="27" t="s">
        <v>25</v>
      </c>
      <c r="B32" s="28"/>
      <c r="C32" s="68"/>
      <c r="D32" s="206"/>
      <c r="E32" s="209"/>
      <c r="F32" s="206"/>
      <c r="G32" s="206"/>
      <c r="H32" s="206"/>
    </row>
    <row r="33" spans="1:8">
      <c r="A33" s="27"/>
      <c r="B33" s="28" t="s">
        <v>26</v>
      </c>
      <c r="C33" s="68"/>
      <c r="D33" s="206"/>
      <c r="E33" s="209"/>
      <c r="F33" s="206"/>
      <c r="G33" s="206"/>
      <c r="H33" s="206"/>
    </row>
    <row r="34" spans="1:8">
      <c r="A34" s="28"/>
      <c r="B34" s="28" t="s">
        <v>201</v>
      </c>
      <c r="C34" s="68"/>
      <c r="D34" s="206"/>
      <c r="E34" s="209"/>
      <c r="F34" s="206"/>
      <c r="G34" s="206"/>
      <c r="H34" s="206"/>
    </row>
    <row r="35" spans="1:8">
      <c r="A35" s="28"/>
      <c r="B35" s="27" t="s">
        <v>28</v>
      </c>
      <c r="C35" s="200"/>
      <c r="D35" s="231">
        <v>110</v>
      </c>
      <c r="E35" s="205">
        <v>165</v>
      </c>
      <c r="F35" s="205">
        <v>51</v>
      </c>
      <c r="G35" s="205">
        <f t="shared" ref="G35" si="1">E35+F35-D35</f>
        <v>106</v>
      </c>
      <c r="H35" s="242">
        <f>E35</f>
        <v>165</v>
      </c>
    </row>
    <row r="36" spans="1:8" ht="11.25" customHeight="1">
      <c r="B36" s="28"/>
      <c r="C36" s="28"/>
      <c r="D36" s="210"/>
      <c r="E36" s="209"/>
      <c r="F36" s="206"/>
      <c r="G36" s="206"/>
      <c r="H36" s="206"/>
    </row>
    <row r="37" spans="1:8">
      <c r="A37" s="139" t="s">
        <v>29</v>
      </c>
      <c r="B37" s="28"/>
      <c r="C37" s="31"/>
      <c r="D37" s="228">
        <f>D27-D30-D35</f>
        <v>1675</v>
      </c>
      <c r="E37" s="203">
        <f>E27-E30-E35</f>
        <v>2185</v>
      </c>
      <c r="F37" s="233">
        <f>F27-F35</f>
        <v>1480</v>
      </c>
      <c r="G37" s="233">
        <f>E37+F37-D37</f>
        <v>1990</v>
      </c>
      <c r="H37" s="241">
        <f>H27-H30-H35</f>
        <v>2593.035683511996</v>
      </c>
    </row>
    <row r="38" spans="1:8">
      <c r="B38" s="28" t="s">
        <v>30</v>
      </c>
      <c r="C38" s="31"/>
      <c r="D38" s="214">
        <f>D37/D9</f>
        <v>0.22992450240219631</v>
      </c>
      <c r="E38" s="214">
        <f>E37/E9</f>
        <v>0.22307299642674835</v>
      </c>
      <c r="F38" s="214">
        <f>F37/F9</f>
        <v>0.19602649006622516</v>
      </c>
      <c r="G38" s="214">
        <f>G37/G9</f>
        <v>0.19781312127236581</v>
      </c>
      <c r="H38" s="214">
        <f>H37/H9</f>
        <v>0.2517158458926127</v>
      </c>
    </row>
    <row r="39" spans="1:8" ht="9" customHeight="1">
      <c r="A39" s="28"/>
      <c r="B39" s="28"/>
      <c r="C39" s="68"/>
      <c r="D39" s="206"/>
      <c r="E39" s="209"/>
      <c r="F39" s="206"/>
      <c r="G39" s="206"/>
      <c r="H39" s="206"/>
    </row>
    <row r="40" spans="1:8">
      <c r="A40" s="28" t="s">
        <v>31</v>
      </c>
      <c r="B40" s="27"/>
      <c r="C40" s="68"/>
      <c r="D40" s="202">
        <v>-485</v>
      </c>
      <c r="E40" s="202">
        <v>-327</v>
      </c>
      <c r="F40" s="202">
        <v>629</v>
      </c>
      <c r="G40" s="237">
        <f>E40+F40-D40</f>
        <v>787</v>
      </c>
      <c r="H40" s="240">
        <f>H41*H37</f>
        <v>388.06529451186395</v>
      </c>
    </row>
    <row r="41" spans="1:8">
      <c r="B41" s="28" t="s">
        <v>202</v>
      </c>
      <c r="C41" s="31"/>
      <c r="D41" s="213">
        <f>-D40/D37</f>
        <v>0.28955223880597014</v>
      </c>
      <c r="E41" s="213">
        <f>-E40/E37</f>
        <v>0.14965675057208239</v>
      </c>
      <c r="F41" s="213">
        <f>F40/F37</f>
        <v>0.42499999999999999</v>
      </c>
      <c r="G41" s="213">
        <f>G40/G37</f>
        <v>0.39547738693467338</v>
      </c>
      <c r="H41" s="238">
        <f>E41</f>
        <v>0.14965675057208239</v>
      </c>
    </row>
    <row r="42" spans="1:8" ht="6" customHeight="1">
      <c r="A42" s="139"/>
      <c r="B42" s="28"/>
      <c r="C42" s="31"/>
      <c r="D42" s="206"/>
      <c r="E42" s="209"/>
      <c r="F42" s="206"/>
      <c r="G42" s="206"/>
      <c r="H42" s="206"/>
    </row>
    <row r="43" spans="1:8">
      <c r="A43" s="139" t="s">
        <v>33</v>
      </c>
      <c r="B43" s="28"/>
      <c r="C43" s="28"/>
      <c r="D43" s="228">
        <f>D37-D40</f>
        <v>2160</v>
      </c>
      <c r="E43" s="203">
        <f>E37-E40</f>
        <v>2512</v>
      </c>
      <c r="F43" s="233">
        <f>F37-F40</f>
        <v>851</v>
      </c>
      <c r="G43" s="233">
        <f>G37-G40</f>
        <v>1203</v>
      </c>
      <c r="H43" s="241">
        <f>H37-H40</f>
        <v>2204.9703890001319</v>
      </c>
    </row>
    <row r="44" spans="1:8" ht="9" customHeight="1">
      <c r="A44" s="28"/>
      <c r="B44" s="28"/>
      <c r="C44" s="68"/>
      <c r="D44" s="206"/>
      <c r="E44" s="209"/>
      <c r="F44" s="206"/>
      <c r="G44" s="206"/>
      <c r="H44" s="206"/>
    </row>
    <row r="45" spans="1:8">
      <c r="A45" s="28"/>
      <c r="B45" s="28" t="s">
        <v>203</v>
      </c>
      <c r="C45" s="68"/>
      <c r="D45" s="202">
        <v>0</v>
      </c>
      <c r="E45" s="202">
        <v>0</v>
      </c>
      <c r="F45" s="202">
        <v>0</v>
      </c>
      <c r="G45" s="237">
        <f t="shared" ref="G45:G48" si="2">E45+F45-D45</f>
        <v>0</v>
      </c>
      <c r="H45" s="237">
        <v>0</v>
      </c>
    </row>
    <row r="46" spans="1:8">
      <c r="B46" s="28" t="s">
        <v>204</v>
      </c>
      <c r="C46" s="31"/>
      <c r="D46" s="202">
        <v>-4</v>
      </c>
      <c r="E46" s="202">
        <v>-5</v>
      </c>
      <c r="F46" s="202">
        <v>4</v>
      </c>
      <c r="G46" s="237">
        <f t="shared" si="2"/>
        <v>3</v>
      </c>
      <c r="H46" s="237">
        <v>0</v>
      </c>
    </row>
    <row r="47" spans="1:8">
      <c r="A47" s="28"/>
      <c r="B47" s="28" t="s">
        <v>219</v>
      </c>
      <c r="C47" s="68"/>
      <c r="D47" s="202">
        <v>4105</v>
      </c>
      <c r="E47" s="202">
        <v>3786</v>
      </c>
      <c r="F47" s="202">
        <v>-1196</v>
      </c>
      <c r="G47" s="237">
        <f t="shared" si="2"/>
        <v>-1515</v>
      </c>
      <c r="H47" s="237">
        <v>0</v>
      </c>
    </row>
    <row r="48" spans="1:8">
      <c r="A48" s="28"/>
      <c r="B48" s="28" t="s">
        <v>150</v>
      </c>
      <c r="C48" s="68"/>
      <c r="D48" s="202">
        <v>0</v>
      </c>
      <c r="E48" s="202">
        <v>0</v>
      </c>
      <c r="F48" s="202">
        <v>0</v>
      </c>
      <c r="G48" s="237">
        <f t="shared" si="2"/>
        <v>0</v>
      </c>
      <c r="H48" s="237">
        <v>0</v>
      </c>
    </row>
    <row r="49" spans="1:8" ht="9.75" customHeight="1">
      <c r="B49" s="28"/>
      <c r="C49" s="31"/>
      <c r="D49" s="206"/>
      <c r="E49" s="206"/>
      <c r="F49" s="220"/>
      <c r="G49" s="221"/>
      <c r="H49" s="206"/>
    </row>
    <row r="50" spans="1:8" ht="15" thickBot="1">
      <c r="A50" s="139" t="s">
        <v>205</v>
      </c>
      <c r="B50" s="28"/>
      <c r="C50" s="31"/>
      <c r="D50" s="222">
        <f>D43-D45-D46-D47</f>
        <v>-1941</v>
      </c>
      <c r="E50" s="223">
        <f>E43-E46-E47</f>
        <v>-1269</v>
      </c>
      <c r="F50" s="223">
        <f>F43-F46-F47-F48-F45</f>
        <v>2043</v>
      </c>
      <c r="G50" s="223">
        <f>G43-G46-G47-G48-G45</f>
        <v>2715</v>
      </c>
      <c r="H50" s="223">
        <f>H43-(SUM(H45:H48))</f>
        <v>2204.9703890001319</v>
      </c>
    </row>
    <row r="51" spans="1:8" ht="9.75" customHeight="1">
      <c r="B51" s="28"/>
      <c r="C51" s="31"/>
      <c r="D51" s="206"/>
      <c r="E51" s="206"/>
      <c r="F51" s="206"/>
      <c r="G51" s="206"/>
      <c r="H51" s="206"/>
    </row>
    <row r="52" spans="1:8">
      <c r="A52" s="27" t="s">
        <v>206</v>
      </c>
      <c r="B52" s="28"/>
      <c r="C52" s="68"/>
      <c r="D52" s="206"/>
      <c r="E52" s="206"/>
      <c r="F52" s="206"/>
      <c r="G52" s="206"/>
      <c r="H52" s="206"/>
    </row>
    <row r="53" spans="1:8">
      <c r="A53" s="27"/>
      <c r="B53" s="28" t="s">
        <v>43</v>
      </c>
      <c r="C53" s="68"/>
      <c r="D53" s="234">
        <f>D50/D61</f>
        <v>-3.4476021314387211</v>
      </c>
      <c r="E53" s="234">
        <f>E50/E61</f>
        <v>-2.274193548387097</v>
      </c>
      <c r="F53" s="234">
        <f>F50/F61</f>
        <v>3.8330206378986866</v>
      </c>
      <c r="G53" s="234">
        <f>G50/G61</f>
        <v>5.0938086303939967</v>
      </c>
      <c r="H53" s="234">
        <f>H50/H61</f>
        <v>4.2484978593451483</v>
      </c>
    </row>
    <row r="54" spans="1:8">
      <c r="A54" s="27"/>
      <c r="B54" s="28" t="s">
        <v>44</v>
      </c>
      <c r="C54" s="68"/>
      <c r="D54" s="234">
        <f>D50/D62</f>
        <v>-3.4476021314387211</v>
      </c>
      <c r="E54" s="234">
        <f>E50/E62</f>
        <v>-2.274193548387097</v>
      </c>
      <c r="F54" s="234">
        <f>F50/F62</f>
        <v>3.8044692737430168</v>
      </c>
      <c r="G54" s="234">
        <f>G50/G62</f>
        <v>5.0558659217877091</v>
      </c>
      <c r="H54" s="234">
        <f>H50/H62</f>
        <v>4.2484978593451483</v>
      </c>
    </row>
    <row r="55" spans="1:8" ht="7.5" customHeight="1">
      <c r="A55" s="27"/>
      <c r="B55" s="28"/>
      <c r="C55" s="68"/>
      <c r="D55" s="234"/>
      <c r="E55" s="234"/>
      <c r="F55" s="234"/>
      <c r="G55" s="234"/>
      <c r="H55" s="234"/>
    </row>
    <row r="56" spans="1:8">
      <c r="A56" s="27" t="s">
        <v>207</v>
      </c>
      <c r="B56" s="28"/>
      <c r="C56" s="68"/>
      <c r="D56" s="234"/>
      <c r="E56" s="234"/>
      <c r="F56" s="234"/>
      <c r="G56" s="234"/>
      <c r="H56" s="234"/>
    </row>
    <row r="57" spans="1:8">
      <c r="A57" s="27"/>
      <c r="B57" s="28" t="s">
        <v>43</v>
      </c>
      <c r="C57" s="68"/>
      <c r="D57" s="234">
        <f>D43/D61</f>
        <v>3.8365896980461813</v>
      </c>
      <c r="E57" s="234">
        <f>E43/E61</f>
        <v>4.5017921146953404</v>
      </c>
      <c r="F57" s="234">
        <f>F43/F61</f>
        <v>1.5966228893058161</v>
      </c>
      <c r="G57" s="234">
        <f>G43/G61</f>
        <v>2.2570356472795496</v>
      </c>
      <c r="H57" s="234">
        <f>H43/H61</f>
        <v>4.2484978593451483</v>
      </c>
    </row>
    <row r="58" spans="1:8">
      <c r="A58" s="27"/>
      <c r="B58" s="28" t="s">
        <v>44</v>
      </c>
      <c r="C58" s="68"/>
      <c r="D58" s="234">
        <f>D43/D62</f>
        <v>3.8365896980461813</v>
      </c>
      <c r="E58" s="234">
        <f>E43/E62</f>
        <v>4.5017921146953404</v>
      </c>
      <c r="F58" s="234">
        <f>F43/F62</f>
        <v>1.584729981378026</v>
      </c>
      <c r="G58" s="234">
        <f>G43/G62</f>
        <v>2.2402234636871508</v>
      </c>
      <c r="H58" s="234">
        <f>H43/H62</f>
        <v>4.2484978593451483</v>
      </c>
    </row>
    <row r="59" spans="1:8" ht="7.5" customHeight="1">
      <c r="A59" s="27"/>
      <c r="B59" s="28"/>
      <c r="C59" s="68"/>
      <c r="D59" s="206"/>
      <c r="E59" s="206"/>
      <c r="F59" s="206"/>
      <c r="G59" s="206"/>
      <c r="H59" s="206"/>
    </row>
    <row r="60" spans="1:8">
      <c r="A60" s="27" t="s">
        <v>45</v>
      </c>
      <c r="B60" s="28"/>
      <c r="C60" s="68"/>
      <c r="D60" s="206"/>
      <c r="E60" s="206"/>
      <c r="F60" s="206"/>
      <c r="G60" s="206"/>
      <c r="H60" s="206"/>
    </row>
    <row r="61" spans="1:8">
      <c r="A61" s="27"/>
      <c r="B61" t="s">
        <v>43</v>
      </c>
      <c r="C61" s="68"/>
      <c r="D61" s="215">
        <v>563</v>
      </c>
      <c r="E61" s="216">
        <v>558</v>
      </c>
      <c r="F61" s="216">
        <v>533</v>
      </c>
      <c r="G61" s="216">
        <f>F61</f>
        <v>533</v>
      </c>
      <c r="H61" s="216">
        <f>E66/1000000</f>
        <v>519</v>
      </c>
    </row>
    <row r="62" spans="1:8" s="4" customFormat="1" ht="15" thickBot="1">
      <c r="B62" s="4" t="s">
        <v>44</v>
      </c>
      <c r="C62" s="15"/>
      <c r="D62" s="217">
        <v>563</v>
      </c>
      <c r="E62" s="216">
        <v>558</v>
      </c>
      <c r="F62" s="219">
        <v>537</v>
      </c>
      <c r="G62" s="216">
        <f>F62</f>
        <v>537</v>
      </c>
      <c r="H62" s="219">
        <f>E67/1000000</f>
        <v>519</v>
      </c>
    </row>
    <row r="63" spans="1:8" ht="15" thickTop="1">
      <c r="E63" s="218"/>
      <c r="G63" s="121"/>
    </row>
    <row r="64" spans="1:8">
      <c r="A64" s="503" t="s">
        <v>218</v>
      </c>
      <c r="B64" s="504"/>
      <c r="C64" s="504"/>
      <c r="D64" s="504"/>
      <c r="E64" s="505"/>
    </row>
    <row r="65" spans="1:5">
      <c r="A65" s="199" t="s">
        <v>208</v>
      </c>
      <c r="B65" s="199"/>
      <c r="E65" s="244">
        <v>41.73</v>
      </c>
    </row>
    <row r="66" spans="1:5">
      <c r="A66" s="199" t="s">
        <v>209</v>
      </c>
      <c r="B66" s="199"/>
      <c r="E66" s="245">
        <v>519000000</v>
      </c>
    </row>
    <row r="67" spans="1:5">
      <c r="A67" s="373" t="s">
        <v>210</v>
      </c>
      <c r="B67" s="10"/>
      <c r="C67" s="10"/>
      <c r="D67" s="10"/>
      <c r="E67" s="245">
        <f>SUM(E66:E66)</f>
        <v>519000000</v>
      </c>
    </row>
    <row r="69" spans="1:5">
      <c r="A69" s="503" t="s">
        <v>217</v>
      </c>
      <c r="B69" s="504"/>
      <c r="C69" s="504"/>
      <c r="D69" s="504"/>
      <c r="E69" s="505"/>
    </row>
    <row r="70" spans="1:5">
      <c r="A70" s="199" t="s">
        <v>211</v>
      </c>
      <c r="E70" s="244">
        <f>E65*E67/1000000</f>
        <v>21657.87</v>
      </c>
    </row>
    <row r="71" spans="1:5">
      <c r="A71" s="199" t="s">
        <v>145</v>
      </c>
      <c r="E71" s="244">
        <v>750</v>
      </c>
    </row>
    <row r="72" spans="1:5">
      <c r="A72" s="199" t="s">
        <v>220</v>
      </c>
      <c r="E72" s="244">
        <v>6973</v>
      </c>
    </row>
    <row r="73" spans="1:5">
      <c r="A73" s="199" t="s">
        <v>221</v>
      </c>
      <c r="E73" s="244">
        <v>355</v>
      </c>
    </row>
    <row r="74" spans="1:5">
      <c r="A74" s="199" t="s">
        <v>212</v>
      </c>
      <c r="E74" s="244">
        <v>0</v>
      </c>
    </row>
    <row r="75" spans="1:5">
      <c r="A75" s="199" t="s">
        <v>213</v>
      </c>
      <c r="E75" s="244">
        <v>0</v>
      </c>
    </row>
    <row r="76" spans="1:5">
      <c r="A76" s="199" t="s">
        <v>214</v>
      </c>
      <c r="E76" s="244">
        <v>0</v>
      </c>
    </row>
    <row r="77" spans="1:5">
      <c r="A77" s="322" t="s">
        <v>215</v>
      </c>
      <c r="E77" s="244">
        <v>-2550</v>
      </c>
    </row>
    <row r="78" spans="1:5">
      <c r="A78" s="197" t="s">
        <v>216</v>
      </c>
      <c r="B78" s="198"/>
      <c r="C78" s="198"/>
      <c r="D78" s="198"/>
      <c r="E78" s="243">
        <f>SUM(E70:E77)</f>
        <v>27185.87</v>
      </c>
    </row>
  </sheetData>
  <mergeCells count="4">
    <mergeCell ref="C1:C2"/>
    <mergeCell ref="D6:G6"/>
    <mergeCell ref="A64:E64"/>
    <mergeCell ref="A69:E69"/>
  </mergeCells>
  <conditionalFormatting sqref="N2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" right="0.7" top="0.75" bottom="0.75" header="0.3" footer="0.3"/>
  <ignoredErrors>
    <ignoredError sqref="E67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DE78-BA8D-41A2-9819-F694A56530AC}">
  <sheetPr>
    <tabColor theme="0"/>
  </sheetPr>
  <dimension ref="A1:N78"/>
  <sheetViews>
    <sheetView showGridLines="0" topLeftCell="A52" zoomScale="90" zoomScaleNormal="90" workbookViewId="0">
      <selection activeCell="G3" sqref="G3"/>
    </sheetView>
  </sheetViews>
  <sheetFormatPr defaultRowHeight="14.4"/>
  <cols>
    <col min="1" max="1" width="2.109375" customWidth="1"/>
    <col min="2" max="2" width="2.44140625" customWidth="1"/>
    <col min="3" max="3" width="34.44140625" customWidth="1"/>
    <col min="4" max="4" width="12.5546875" bestFit="1" customWidth="1"/>
    <col min="5" max="5" width="14.21875" bestFit="1" customWidth="1"/>
    <col min="6" max="6" width="10.33203125" bestFit="1" customWidth="1"/>
  </cols>
  <sheetData>
    <row r="1" spans="1:14" ht="15" thickBot="1">
      <c r="C1" s="480"/>
    </row>
    <row r="2" spans="1:14" ht="15" thickBot="1">
      <c r="C2" s="480"/>
      <c r="D2" s="1" t="s">
        <v>0</v>
      </c>
      <c r="E2" s="2" t="s">
        <v>1</v>
      </c>
      <c r="G2" s="1"/>
      <c r="I2" s="1"/>
      <c r="J2" s="1"/>
      <c r="K2" s="1"/>
      <c r="N2" s="174"/>
    </row>
    <row r="3" spans="1:14" ht="15" thickBot="1">
      <c r="A3" s="13" t="s">
        <v>2</v>
      </c>
      <c r="C3" s="13"/>
      <c r="D3" s="1" t="s">
        <v>3</v>
      </c>
      <c r="E3" s="3">
        <v>45220</v>
      </c>
    </row>
    <row r="4" spans="1:14" ht="15" thickBot="1">
      <c r="A4" s="14" t="s">
        <v>4</v>
      </c>
      <c r="C4" s="14"/>
      <c r="D4" s="1" t="s">
        <v>5</v>
      </c>
      <c r="E4" s="2" t="s">
        <v>6</v>
      </c>
      <c r="G4" s="1"/>
      <c r="I4" s="1"/>
    </row>
    <row r="5" spans="1:14" s="4" customFormat="1" ht="15" thickBot="1">
      <c r="C5" s="15"/>
    </row>
    <row r="6" spans="1:14" s="11" customFormat="1" ht="15" thickTop="1">
      <c r="A6" s="190" t="s">
        <v>260</v>
      </c>
      <c r="C6" s="21"/>
      <c r="D6" s="500" t="s">
        <v>7</v>
      </c>
      <c r="E6" s="501"/>
      <c r="F6" s="501"/>
      <c r="G6" s="502"/>
      <c r="H6" s="191" t="s">
        <v>194</v>
      </c>
    </row>
    <row r="7" spans="1:14" s="12" customFormat="1" ht="15.75" customHeight="1">
      <c r="C7" s="22"/>
      <c r="D7" s="192" t="s">
        <v>190</v>
      </c>
      <c r="E7" s="192" t="s">
        <v>189</v>
      </c>
      <c r="F7" s="192" t="s">
        <v>191</v>
      </c>
      <c r="G7" s="192" t="s">
        <v>192</v>
      </c>
      <c r="H7" s="193" t="s">
        <v>193</v>
      </c>
    </row>
    <row r="8" spans="1:14" s="11" customFormat="1" ht="7.5" customHeight="1">
      <c r="A8" s="57"/>
      <c r="C8" s="16"/>
      <c r="D8" s="194"/>
      <c r="E8" s="194"/>
      <c r="F8" s="194"/>
      <c r="G8" s="195"/>
      <c r="H8" s="196"/>
    </row>
    <row r="9" spans="1:14" ht="15.75" customHeight="1">
      <c r="A9" s="27" t="s">
        <v>9</v>
      </c>
      <c r="B9" s="64"/>
      <c r="C9" s="64"/>
      <c r="D9" s="226">
        <f>1758870/1000</f>
        <v>1758.87</v>
      </c>
      <c r="E9" s="202">
        <f>2566111/1000</f>
        <v>2566.1109999999999</v>
      </c>
      <c r="F9" s="202">
        <f>1906055/1000</f>
        <v>1906.0550000000001</v>
      </c>
      <c r="G9" s="202">
        <f>E9+F9-D9</f>
        <v>2713.2960000000003</v>
      </c>
      <c r="H9" s="202">
        <f>G9*(1+H10)</f>
        <v>2884.2336480000004</v>
      </c>
    </row>
    <row r="10" spans="1:14">
      <c r="A10" s="28"/>
      <c r="B10" s="28" t="s">
        <v>195</v>
      </c>
      <c r="C10" s="28"/>
      <c r="D10" s="224"/>
      <c r="E10" s="212"/>
      <c r="F10" s="212"/>
      <c r="G10" s="212"/>
      <c r="H10" s="312">
        <v>6.3E-2</v>
      </c>
    </row>
    <row r="11" spans="1:14" ht="9" customHeight="1">
      <c r="A11" s="28"/>
      <c r="B11" s="28"/>
      <c r="C11" s="28"/>
      <c r="D11" s="208"/>
      <c r="E11" s="207"/>
      <c r="F11" s="206"/>
      <c r="G11" s="206"/>
      <c r="H11" s="206"/>
    </row>
    <row r="12" spans="1:14">
      <c r="A12" s="27" t="s">
        <v>253</v>
      </c>
      <c r="B12" s="28"/>
      <c r="C12" s="28"/>
      <c r="D12" s="215">
        <f>(518817/1000)-D24</f>
        <v>450.52699999999999</v>
      </c>
      <c r="E12" s="202">
        <f>(744592/1000)-E24</f>
        <v>647.89</v>
      </c>
      <c r="F12" s="202">
        <f>(572918/1000)-F24</f>
        <v>498.93799999999999</v>
      </c>
      <c r="G12" s="216">
        <f>E12+F12-D12</f>
        <v>696.30099999999993</v>
      </c>
      <c r="H12" s="202">
        <f>H13*H9</f>
        <v>728.20939476223759</v>
      </c>
    </row>
    <row r="13" spans="1:14">
      <c r="A13" s="27"/>
      <c r="B13" s="28" t="s">
        <v>196</v>
      </c>
      <c r="C13" s="28"/>
      <c r="D13" s="224">
        <f>D12/D9</f>
        <v>0.25614570718700075</v>
      </c>
      <c r="E13" s="212">
        <f>E12/E9</f>
        <v>0.2524793354613265</v>
      </c>
      <c r="F13" s="211">
        <f>F12/F9</f>
        <v>0.2617647444591053</v>
      </c>
      <c r="G13" s="212">
        <f>G12/G9</f>
        <v>0.25662552113739151</v>
      </c>
      <c r="H13" s="238">
        <f>E13</f>
        <v>0.2524793354613265</v>
      </c>
    </row>
    <row r="14" spans="1:14" ht="9" customHeight="1">
      <c r="A14" s="27"/>
      <c r="B14" s="28"/>
      <c r="C14" s="28"/>
      <c r="D14" s="210"/>
      <c r="E14" s="227"/>
      <c r="F14" s="206"/>
      <c r="G14" s="236"/>
      <c r="H14" s="206"/>
    </row>
    <row r="15" spans="1:14">
      <c r="A15" s="27" t="s">
        <v>197</v>
      </c>
      <c r="B15" s="28"/>
      <c r="C15" s="28"/>
      <c r="D15" s="225">
        <f>D9-D12</f>
        <v>1308.3429999999998</v>
      </c>
      <c r="E15" s="204">
        <f>E9-E12</f>
        <v>1918.221</v>
      </c>
      <c r="F15" s="204">
        <f>F9-F12</f>
        <v>1407.1170000000002</v>
      </c>
      <c r="G15" s="204">
        <f>G9-G12</f>
        <v>2016.9950000000003</v>
      </c>
      <c r="H15" s="204">
        <f>H9-H12</f>
        <v>2156.0242532377629</v>
      </c>
    </row>
    <row r="16" spans="1:14">
      <c r="A16" s="28"/>
      <c r="B16" s="28" t="s">
        <v>17</v>
      </c>
      <c r="C16" s="201"/>
      <c r="D16" s="224">
        <f>D15/D9</f>
        <v>0.7438542928129992</v>
      </c>
      <c r="E16" s="212">
        <f>E15/E9</f>
        <v>0.7475206645386735</v>
      </c>
      <c r="F16" s="212">
        <f>F15/F9</f>
        <v>0.73823525554089475</v>
      </c>
      <c r="G16" s="212">
        <f>G15/G9</f>
        <v>0.74337447886260843</v>
      </c>
      <c r="H16" s="212">
        <f>H15/H9</f>
        <v>0.7475206645386735</v>
      </c>
    </row>
    <row r="17" spans="1:8" ht="7.5" customHeight="1">
      <c r="A17" s="27"/>
      <c r="B17" s="28"/>
      <c r="C17" s="27"/>
      <c r="D17" s="208"/>
      <c r="E17" s="209"/>
      <c r="F17" s="206"/>
      <c r="G17" s="206"/>
      <c r="H17" s="206"/>
    </row>
    <row r="18" spans="1:8">
      <c r="A18" s="27" t="s">
        <v>18</v>
      </c>
      <c r="B18" s="28"/>
      <c r="C18" s="28"/>
      <c r="D18" s="225">
        <f>2037957/1000</f>
        <v>2037.9570000000001</v>
      </c>
      <c r="E18" s="204">
        <f>2480079/1000</f>
        <v>2480.0790000000002</v>
      </c>
      <c r="F18" s="204">
        <f>1168754/1000</f>
        <v>1168.7539999999999</v>
      </c>
      <c r="G18" s="204">
        <f>E18+F18-D18</f>
        <v>1610.876</v>
      </c>
      <c r="H18" s="204">
        <f>H19*H9</f>
        <v>2787.5361983554858</v>
      </c>
    </row>
    <row r="19" spans="1:8">
      <c r="A19" s="27"/>
      <c r="B19" s="28" t="s">
        <v>198</v>
      </c>
      <c r="C19" s="28"/>
      <c r="D19" s="224">
        <f>D18/D9</f>
        <v>1.1586740350338571</v>
      </c>
      <c r="E19" s="212">
        <f>E18/E9</f>
        <v>0.96647378075227464</v>
      </c>
      <c r="F19" s="212">
        <f>F18/F9</f>
        <v>0.61317957771417919</v>
      </c>
      <c r="G19" s="212">
        <f>G18/G9</f>
        <v>0.59369711229441968</v>
      </c>
      <c r="H19" s="239">
        <f>E19</f>
        <v>0.96647378075227464</v>
      </c>
    </row>
    <row r="20" spans="1:8" ht="10.5" customHeight="1">
      <c r="A20" s="27"/>
      <c r="B20" s="28"/>
      <c r="C20" s="28"/>
      <c r="D20" s="208"/>
      <c r="E20" s="209"/>
      <c r="F20" s="206"/>
      <c r="G20" s="206"/>
      <c r="H20" s="206"/>
    </row>
    <row r="21" spans="1:8">
      <c r="A21" s="27" t="s">
        <v>20</v>
      </c>
      <c r="B21" s="28"/>
      <c r="C21" s="28"/>
      <c r="D21" s="228">
        <f>D15-D18</f>
        <v>-729.61400000000026</v>
      </c>
      <c r="E21" s="204">
        <f>E15-E18</f>
        <v>-561.85800000000017</v>
      </c>
      <c r="F21" s="232">
        <f>F15-F18</f>
        <v>238.36300000000028</v>
      </c>
      <c r="G21" s="233">
        <f>G15-G18</f>
        <v>406.11900000000037</v>
      </c>
      <c r="H21" s="241">
        <f>H15-H18</f>
        <v>-631.51194511772292</v>
      </c>
    </row>
    <row r="22" spans="1:8">
      <c r="A22" s="28"/>
      <c r="B22" s="28" t="s">
        <v>21</v>
      </c>
      <c r="C22" s="201"/>
      <c r="D22" s="224">
        <f>D21/D9</f>
        <v>-0.41481974222085788</v>
      </c>
      <c r="E22" s="212">
        <f>E21/E9</f>
        <v>-0.21895311621360114</v>
      </c>
      <c r="F22" s="212">
        <f>F21/F9</f>
        <v>0.12505567782671553</v>
      </c>
      <c r="G22" s="212">
        <f>G21/G9</f>
        <v>0.14967736656818878</v>
      </c>
      <c r="H22" s="239">
        <f>H21/H18</f>
        <v>-0.22654842849764067</v>
      </c>
    </row>
    <row r="23" spans="1:8" ht="8.25" customHeight="1">
      <c r="A23" s="27"/>
      <c r="B23" s="28"/>
      <c r="C23" s="27"/>
      <c r="D23" s="208"/>
      <c r="E23" s="209"/>
      <c r="F23" s="206"/>
      <c r="G23" s="206"/>
      <c r="H23" s="206"/>
    </row>
    <row r="24" spans="1:8">
      <c r="A24" s="28" t="s">
        <v>22</v>
      </c>
      <c r="B24" s="28"/>
      <c r="C24" s="28"/>
      <c r="D24" s="215">
        <f>68290/1000</f>
        <v>68.290000000000006</v>
      </c>
      <c r="E24" s="216">
        <f>96702/1000</f>
        <v>96.701999999999998</v>
      </c>
      <c r="F24" s="216">
        <f>73980/1000</f>
        <v>73.98</v>
      </c>
      <c r="G24" s="216">
        <f>E24+F24-D24</f>
        <v>102.39200000000001</v>
      </c>
      <c r="H24" s="240">
        <f>H25*H9</f>
        <v>108.69021730895352</v>
      </c>
    </row>
    <row r="25" spans="1:8">
      <c r="A25" s="27"/>
      <c r="B25" s="28" t="s">
        <v>199</v>
      </c>
      <c r="C25" s="28"/>
      <c r="D25" s="229">
        <f>D24/D9</f>
        <v>3.8826064461841982E-2</v>
      </c>
      <c r="E25" s="211">
        <f>E24/E9</f>
        <v>3.7684262294187587E-2</v>
      </c>
      <c r="F25" s="211">
        <f>F24/F9</f>
        <v>3.8813150722303395E-2</v>
      </c>
      <c r="G25" s="212">
        <f>G24/G9</f>
        <v>3.7737128569827985E-2</v>
      </c>
      <c r="H25" s="238">
        <f>E25</f>
        <v>3.7684262294187587E-2</v>
      </c>
    </row>
    <row r="26" spans="1:8" ht="7.5" customHeight="1">
      <c r="A26" s="27"/>
      <c r="B26" s="28"/>
      <c r="C26" s="28"/>
      <c r="D26" s="208"/>
      <c r="E26" s="206"/>
      <c r="F26" s="206"/>
      <c r="G26" s="235"/>
      <c r="H26" s="206"/>
    </row>
    <row r="27" spans="1:8">
      <c r="A27" s="27" t="s">
        <v>23</v>
      </c>
      <c r="B27" s="28"/>
      <c r="C27" s="201"/>
      <c r="D27" s="228">
        <f>D21-D24</f>
        <v>-797.90400000000022</v>
      </c>
      <c r="E27" s="203">
        <f>E21-E24</f>
        <v>-658.56000000000017</v>
      </c>
      <c r="F27" s="203">
        <f>F21-F24</f>
        <v>164.38300000000027</v>
      </c>
      <c r="G27" s="204">
        <f>G21-G24</f>
        <v>303.72700000000037</v>
      </c>
      <c r="H27" s="241">
        <f>H21-H24</f>
        <v>-740.20216242667641</v>
      </c>
    </row>
    <row r="28" spans="1:8">
      <c r="A28" s="28"/>
      <c r="B28" s="28" t="s">
        <v>24</v>
      </c>
      <c r="C28" s="200"/>
      <c r="D28" s="230">
        <f>D27/D9</f>
        <v>-0.45364580668269983</v>
      </c>
      <c r="E28" s="213">
        <f>E27/E9</f>
        <v>-0.25663737850778873</v>
      </c>
      <c r="F28" s="213">
        <f>F27/F9</f>
        <v>8.6242527104412131E-2</v>
      </c>
      <c r="G28" s="213">
        <f>G27/G9</f>
        <v>0.11194023799836079</v>
      </c>
      <c r="H28" s="213">
        <f>H27/H9</f>
        <v>-0.25663737850778873</v>
      </c>
    </row>
    <row r="29" spans="1:8" ht="8.25" customHeight="1">
      <c r="A29" s="28"/>
      <c r="B29" s="28"/>
      <c r="C29" s="68"/>
      <c r="D29" s="206"/>
      <c r="E29" s="206"/>
      <c r="F29" s="204"/>
      <c r="G29" s="206"/>
      <c r="H29" s="206"/>
    </row>
    <row r="30" spans="1:8">
      <c r="A30" s="27" t="s">
        <v>200</v>
      </c>
      <c r="B30" s="28"/>
      <c r="C30" s="200"/>
      <c r="D30" s="225">
        <v>-8.0359999999999996</v>
      </c>
      <c r="E30" s="203">
        <v>0</v>
      </c>
      <c r="F30" s="204">
        <f>-19269/1000</f>
        <v>-19.268999999999998</v>
      </c>
      <c r="G30" s="204">
        <f>E30+F30-D30</f>
        <v>-11.232999999999999</v>
      </c>
      <c r="H30" s="204">
        <f>G30</f>
        <v>-11.232999999999999</v>
      </c>
    </row>
    <row r="31" spans="1:8" ht="7.5" customHeight="1">
      <c r="A31" s="28"/>
      <c r="B31" s="28"/>
      <c r="C31" s="68"/>
      <c r="D31" s="206"/>
      <c r="E31" s="209"/>
      <c r="F31" s="204"/>
      <c r="G31" s="206"/>
      <c r="H31" s="206"/>
    </row>
    <row r="32" spans="1:8">
      <c r="A32" s="27" t="s">
        <v>25</v>
      </c>
      <c r="B32" s="28"/>
      <c r="C32" s="68"/>
      <c r="D32" s="206"/>
      <c r="E32" s="209"/>
      <c r="F32" s="206"/>
      <c r="G32" s="206"/>
      <c r="H32" s="206"/>
    </row>
    <row r="33" spans="1:8">
      <c r="A33" s="27"/>
      <c r="B33" s="28" t="s">
        <v>26</v>
      </c>
      <c r="C33" s="68"/>
      <c r="D33" s="215">
        <v>0</v>
      </c>
      <c r="E33" s="209">
        <f>14168/1000</f>
        <v>14.167999999999999</v>
      </c>
      <c r="F33" s="216">
        <v>0</v>
      </c>
      <c r="G33" s="240">
        <f>E33+F33-D33</f>
        <v>14.167999999999999</v>
      </c>
      <c r="H33" s="240">
        <f>G33</f>
        <v>14.167999999999999</v>
      </c>
    </row>
    <row r="34" spans="1:8">
      <c r="A34" s="28"/>
      <c r="B34" s="28" t="s">
        <v>201</v>
      </c>
      <c r="C34" s="68"/>
      <c r="D34" s="215">
        <v>0</v>
      </c>
      <c r="E34" s="209">
        <f>-10956/1000</f>
        <v>-10.956</v>
      </c>
      <c r="F34" s="311">
        <v>0</v>
      </c>
      <c r="G34" s="240">
        <f>E34+F34-D34</f>
        <v>-10.956</v>
      </c>
      <c r="H34" s="240">
        <f>G34</f>
        <v>-10.956</v>
      </c>
    </row>
    <row r="35" spans="1:8">
      <c r="A35" s="28"/>
      <c r="B35" s="27" t="s">
        <v>28</v>
      </c>
      <c r="C35" s="200"/>
      <c r="D35" s="231">
        <f>SUM(D33:D34)</f>
        <v>0</v>
      </c>
      <c r="E35" s="205">
        <f>SUM(E33:E34)</f>
        <v>3.2119999999999997</v>
      </c>
      <c r="F35" s="310">
        <f>SUM(F33:F34)</f>
        <v>0</v>
      </c>
      <c r="G35" s="205">
        <f>SUM(G33:G34)</f>
        <v>3.2119999999999997</v>
      </c>
      <c r="H35" s="242">
        <f>SUM(H33:H34)</f>
        <v>3.2119999999999997</v>
      </c>
    </row>
    <row r="36" spans="1:8" ht="11.25" customHeight="1">
      <c r="B36" s="28"/>
      <c r="C36" s="28"/>
      <c r="D36" s="210"/>
      <c r="E36" s="209"/>
      <c r="F36" s="206"/>
      <c r="G36" s="206"/>
      <c r="H36" s="206"/>
    </row>
    <row r="37" spans="1:8">
      <c r="A37" s="139" t="s">
        <v>29</v>
      </c>
      <c r="B37" s="28"/>
      <c r="C37" s="31"/>
      <c r="D37" s="228">
        <f>D27-D30-D35</f>
        <v>-789.86800000000028</v>
      </c>
      <c r="E37" s="203">
        <f>E27-E30-E35</f>
        <v>-661.77200000000016</v>
      </c>
      <c r="F37" s="233">
        <f>F27-F30-F35</f>
        <v>183.65200000000027</v>
      </c>
      <c r="G37" s="233">
        <f>G27-G30-G35</f>
        <v>311.74800000000039</v>
      </c>
      <c r="H37" s="233">
        <f>H27-H30-H35</f>
        <v>-732.18116242667645</v>
      </c>
    </row>
    <row r="38" spans="1:8">
      <c r="B38" s="28" t="s">
        <v>30</v>
      </c>
      <c r="C38" s="31"/>
      <c r="D38" s="214">
        <f>D37/D9</f>
        <v>-0.44907696418723403</v>
      </c>
      <c r="E38" s="214">
        <f>E37/E9</f>
        <v>-0.25788907806404326</v>
      </c>
      <c r="F38" s="214">
        <f>F37/F9</f>
        <v>9.6351889111279718E-2</v>
      </c>
      <c r="G38" s="214">
        <f>G37/G9</f>
        <v>0.11489642117925961</v>
      </c>
      <c r="H38" s="214">
        <f>H37/H9</f>
        <v>-0.25385639715228658</v>
      </c>
    </row>
    <row r="39" spans="1:8" ht="9" customHeight="1">
      <c r="A39" s="28"/>
      <c r="B39" s="28"/>
      <c r="C39" s="68"/>
      <c r="D39" s="206"/>
      <c r="E39" s="209"/>
      <c r="F39" s="206"/>
      <c r="G39" s="206"/>
      <c r="H39" s="206"/>
    </row>
    <row r="40" spans="1:8">
      <c r="A40" s="28" t="s">
        <v>31</v>
      </c>
      <c r="B40" s="27"/>
      <c r="C40" s="68"/>
      <c r="D40" s="202">
        <f>13968/1000</f>
        <v>13.968</v>
      </c>
      <c r="E40" s="202">
        <f>32310/1000</f>
        <v>32.31</v>
      </c>
      <c r="F40" s="202">
        <f>-40650/1000</f>
        <v>-40.65</v>
      </c>
      <c r="G40" s="237">
        <f>E40+F40-D40</f>
        <v>-22.307999999999996</v>
      </c>
      <c r="H40" s="240">
        <f>H41*H37</f>
        <v>35.747619056118893</v>
      </c>
    </row>
    <row r="41" spans="1:8">
      <c r="B41" s="28" t="s">
        <v>202</v>
      </c>
      <c r="C41" s="31"/>
      <c r="D41" s="213">
        <f>D40/D37</f>
        <v>-1.7683967447725435E-2</v>
      </c>
      <c r="E41" s="213">
        <f>E40/E37</f>
        <v>-4.8823461856953743E-2</v>
      </c>
      <c r="F41" s="213">
        <f>F40/F9</f>
        <v>-2.1326771787802554E-2</v>
      </c>
      <c r="G41" s="213">
        <f>G40/G37</f>
        <v>-7.1557796681935307E-2</v>
      </c>
      <c r="H41" s="238">
        <f>E41</f>
        <v>-4.8823461856953743E-2</v>
      </c>
    </row>
    <row r="42" spans="1:8" ht="6" customHeight="1">
      <c r="A42" s="139"/>
      <c r="B42" s="28"/>
      <c r="C42" s="31"/>
      <c r="D42" s="206"/>
      <c r="E42" s="209"/>
      <c r="F42" s="206"/>
      <c r="G42" s="206"/>
      <c r="H42" s="206"/>
    </row>
    <row r="43" spans="1:8">
      <c r="A43" s="139" t="s">
        <v>33</v>
      </c>
      <c r="B43" s="28"/>
      <c r="C43" s="28"/>
      <c r="D43" s="228">
        <f>D37-D40</f>
        <v>-803.83600000000024</v>
      </c>
      <c r="E43" s="203">
        <f>E37-E40</f>
        <v>-694.08200000000011</v>
      </c>
      <c r="F43" s="233">
        <f>F37-F40</f>
        <v>224.30200000000028</v>
      </c>
      <c r="G43" s="233">
        <f>G37-G40</f>
        <v>334.05600000000038</v>
      </c>
      <c r="H43" s="233">
        <f>H37-H40</f>
        <v>-767.92878148279533</v>
      </c>
    </row>
    <row r="44" spans="1:8" ht="9" customHeight="1">
      <c r="A44" s="28"/>
      <c r="B44" s="28"/>
      <c r="C44" s="68"/>
      <c r="D44" s="206"/>
      <c r="E44" s="209"/>
      <c r="F44" s="206"/>
      <c r="G44" s="206"/>
      <c r="H44" s="206"/>
    </row>
    <row r="45" spans="1:8">
      <c r="A45" s="28"/>
      <c r="B45" s="28" t="s">
        <v>252</v>
      </c>
      <c r="C45" s="68"/>
      <c r="D45" s="202">
        <v>0</v>
      </c>
      <c r="E45" s="202">
        <f>206/1000</f>
        <v>0.20599999999999999</v>
      </c>
      <c r="F45" s="202">
        <v>0</v>
      </c>
      <c r="G45" s="237">
        <f>E45+F45-D45</f>
        <v>0.20599999999999999</v>
      </c>
      <c r="H45" s="237">
        <v>0</v>
      </c>
    </row>
    <row r="46" spans="1:8">
      <c r="B46" s="28" t="s">
        <v>204</v>
      </c>
      <c r="C46" s="31"/>
      <c r="D46" s="202">
        <v>0</v>
      </c>
      <c r="E46" s="202">
        <v>0</v>
      </c>
      <c r="F46" s="202">
        <v>0</v>
      </c>
      <c r="G46" s="237">
        <f t="shared" ref="G46:G48" si="0">E46+F46-D46</f>
        <v>0</v>
      </c>
      <c r="H46" s="237">
        <v>0</v>
      </c>
    </row>
    <row r="47" spans="1:8">
      <c r="A47" s="28"/>
      <c r="B47" s="28" t="s">
        <v>219</v>
      </c>
      <c r="C47" s="68"/>
      <c r="D47" s="202">
        <v>0</v>
      </c>
      <c r="E47" s="202">
        <v>0</v>
      </c>
      <c r="F47" s="202">
        <v>0</v>
      </c>
      <c r="G47" s="237">
        <f t="shared" si="0"/>
        <v>0</v>
      </c>
      <c r="H47" s="237">
        <v>0</v>
      </c>
    </row>
    <row r="48" spans="1:8">
      <c r="A48" s="28"/>
      <c r="B48" s="28" t="s">
        <v>150</v>
      </c>
      <c r="C48" s="68"/>
      <c r="D48" s="202">
        <v>0</v>
      </c>
      <c r="E48" s="202">
        <v>0</v>
      </c>
      <c r="F48" s="202">
        <v>0</v>
      </c>
      <c r="G48" s="237">
        <f t="shared" si="0"/>
        <v>0</v>
      </c>
      <c r="H48" s="237">
        <v>0</v>
      </c>
    </row>
    <row r="49" spans="1:8" ht="9.75" customHeight="1">
      <c r="B49" s="28"/>
      <c r="C49" s="31"/>
      <c r="D49" s="206"/>
      <c r="E49" s="206"/>
      <c r="F49" s="220"/>
      <c r="G49" s="221"/>
      <c r="H49" s="206"/>
    </row>
    <row r="50" spans="1:8" ht="15" thickBot="1">
      <c r="A50" s="139" t="s">
        <v>205</v>
      </c>
      <c r="B50" s="28"/>
      <c r="C50" s="31"/>
      <c r="D50" s="223">
        <f>D43-D45-D46-D47-D48</f>
        <v>-803.83600000000024</v>
      </c>
      <c r="E50" s="223">
        <f>E43-E45-E46-E47-E48</f>
        <v>-694.28800000000012</v>
      </c>
      <c r="F50" s="223">
        <f>F43-F45-F46-F47-F48</f>
        <v>224.30200000000028</v>
      </c>
      <c r="G50" s="223">
        <f>G43-G45-G46-G47-G48</f>
        <v>333.85000000000036</v>
      </c>
      <c r="H50" s="223">
        <f>H43-H45-H46-H47-H48</f>
        <v>-767.92878148279533</v>
      </c>
    </row>
    <row r="51" spans="1:8" ht="9.75" customHeight="1">
      <c r="B51" s="28"/>
      <c r="C51" s="31"/>
      <c r="D51" s="206"/>
      <c r="E51" s="206"/>
      <c r="F51" s="206"/>
      <c r="G51" s="206"/>
      <c r="H51" s="206"/>
    </row>
    <row r="52" spans="1:8">
      <c r="A52" s="27" t="s">
        <v>206</v>
      </c>
      <c r="B52" s="28"/>
      <c r="C52" s="68"/>
      <c r="D52" s="206"/>
      <c r="E52" s="206"/>
      <c r="F52" s="206"/>
      <c r="G52" s="206"/>
      <c r="H52" s="206"/>
    </row>
    <row r="53" spans="1:8">
      <c r="A53" s="27"/>
      <c r="B53" s="28" t="s">
        <v>43</v>
      </c>
      <c r="C53" s="68"/>
      <c r="D53" s="234">
        <f>D50/D61</f>
        <v>-6.3301285401900804</v>
      </c>
      <c r="E53" s="234">
        <f>E50/E61</f>
        <v>-5.4763805375205763</v>
      </c>
      <c r="F53" s="234">
        <f>F50/F61</f>
        <v>1.8185456714835719</v>
      </c>
      <c r="G53" s="234">
        <f>G50/G61</f>
        <v>2.7067144850460112</v>
      </c>
      <c r="H53" s="234">
        <f>H50/H61</f>
        <v>-6.4129670518360884</v>
      </c>
    </row>
    <row r="54" spans="1:8">
      <c r="A54" s="27"/>
      <c r="B54" s="28" t="s">
        <v>44</v>
      </c>
      <c r="C54" s="68"/>
      <c r="D54" s="234">
        <f>D50/D62</f>
        <v>-6.3301285401900804</v>
      </c>
      <c r="E54" s="234">
        <f>E50/E62</f>
        <v>-5.4763805375205763</v>
      </c>
      <c r="F54" s="234">
        <f>F50/F62</f>
        <v>1.5902750506836294</v>
      </c>
      <c r="G54" s="234">
        <f>G50/G62</f>
        <v>2.3669576092532818</v>
      </c>
      <c r="H54" s="234">
        <f>H50/H62</f>
        <v>-6.4129670518360884</v>
      </c>
    </row>
    <row r="55" spans="1:8" ht="7.5" customHeight="1">
      <c r="A55" s="27"/>
      <c r="B55" s="28"/>
      <c r="C55" s="68"/>
      <c r="D55" s="234"/>
      <c r="E55" s="234"/>
      <c r="F55" s="234"/>
      <c r="G55" s="234"/>
      <c r="H55" s="234"/>
    </row>
    <row r="56" spans="1:8">
      <c r="A56" s="27" t="s">
        <v>207</v>
      </c>
      <c r="B56" s="28"/>
      <c r="C56" s="68"/>
      <c r="D56" s="234"/>
      <c r="E56" s="234"/>
      <c r="F56" s="234"/>
      <c r="G56" s="234"/>
      <c r="H56" s="234"/>
    </row>
    <row r="57" spans="1:8">
      <c r="A57" s="27"/>
      <c r="B57" s="28" t="s">
        <v>43</v>
      </c>
      <c r="C57" s="68"/>
      <c r="D57" s="234">
        <f>D43/D61</f>
        <v>-6.3301285401900804</v>
      </c>
      <c r="E57" s="234">
        <f>E43/E61</f>
        <v>-5.4747556579450549</v>
      </c>
      <c r="F57" s="234">
        <f>F43/F61</f>
        <v>1.8185456714835719</v>
      </c>
      <c r="G57" s="234">
        <f>G43/G61</f>
        <v>2.7083846458485259</v>
      </c>
      <c r="H57" s="234">
        <f>H43/H61</f>
        <v>-6.4129670518360884</v>
      </c>
    </row>
    <row r="58" spans="1:8">
      <c r="A58" s="27"/>
      <c r="B58" s="28" t="s">
        <v>44</v>
      </c>
      <c r="C58" s="68"/>
      <c r="D58" s="234">
        <f>D43/D62</f>
        <v>-6.3301285401900804</v>
      </c>
      <c r="E58" s="234">
        <f>E43/E62</f>
        <v>-5.4747556579450549</v>
      </c>
      <c r="F58" s="234">
        <f>F43/F62</f>
        <v>1.5902750506836294</v>
      </c>
      <c r="G58" s="234">
        <f>G43/G62</f>
        <v>2.3684181252559964</v>
      </c>
      <c r="H58" s="234">
        <f>H43/H62</f>
        <v>-6.4129670518360884</v>
      </c>
    </row>
    <row r="59" spans="1:8" ht="7.5" customHeight="1">
      <c r="A59" s="27"/>
      <c r="B59" s="28"/>
      <c r="C59" s="68"/>
      <c r="D59" s="206"/>
      <c r="E59" s="206"/>
      <c r="F59" s="206"/>
      <c r="G59" s="206"/>
      <c r="H59" s="206"/>
    </row>
    <row r="60" spans="1:8">
      <c r="A60" s="27" t="s">
        <v>45</v>
      </c>
      <c r="B60" s="28"/>
      <c r="C60" s="68"/>
      <c r="D60" s="206"/>
      <c r="E60" s="206"/>
      <c r="F60" s="206"/>
      <c r="G60" s="206"/>
      <c r="H60" s="206"/>
    </row>
    <row r="61" spans="1:8">
      <c r="A61" s="27"/>
      <c r="B61" t="s">
        <v>43</v>
      </c>
      <c r="C61" s="68"/>
      <c r="D61" s="215">
        <f>126985731/1000000</f>
        <v>126.985731</v>
      </c>
      <c r="E61" s="216">
        <f>126778626/1000000</f>
        <v>126.778626</v>
      </c>
      <c r="F61" s="216">
        <f>123341417/1000000</f>
        <v>123.34141700000001</v>
      </c>
      <c r="G61" s="216">
        <f>F61</f>
        <v>123.34141700000001</v>
      </c>
      <c r="H61" s="216">
        <f>E66/1000000</f>
        <v>119.74625399999999</v>
      </c>
    </row>
    <row r="62" spans="1:8" s="4" customFormat="1" ht="15" thickBot="1">
      <c r="B62" s="4" t="s">
        <v>44</v>
      </c>
      <c r="C62" s="15"/>
      <c r="D62" s="217">
        <f>126985731/1000000</f>
        <v>126.985731</v>
      </c>
      <c r="E62" s="216">
        <f>126778626/1000000</f>
        <v>126.778626</v>
      </c>
      <c r="F62" s="219">
        <f>141046041/1000000</f>
        <v>141.046041</v>
      </c>
      <c r="G62" s="216">
        <f>F62</f>
        <v>141.046041</v>
      </c>
      <c r="H62" s="219">
        <f>E67/1000000</f>
        <v>119.74625399999999</v>
      </c>
    </row>
    <row r="63" spans="1:8" ht="15" thickTop="1">
      <c r="E63" s="218"/>
      <c r="G63" s="121"/>
    </row>
    <row r="64" spans="1:8">
      <c r="A64" s="503" t="s">
        <v>218</v>
      </c>
      <c r="B64" s="504"/>
      <c r="C64" s="504"/>
      <c r="D64" s="504"/>
      <c r="E64" s="505"/>
    </row>
    <row r="65" spans="1:5">
      <c r="A65" s="199" t="s">
        <v>208</v>
      </c>
      <c r="B65" s="199"/>
      <c r="E65" s="244">
        <v>82.04</v>
      </c>
    </row>
    <row r="66" spans="1:5">
      <c r="A66" s="199" t="s">
        <v>209</v>
      </c>
      <c r="B66" s="199"/>
      <c r="E66" s="245">
        <v>119746254</v>
      </c>
    </row>
    <row r="67" spans="1:5">
      <c r="A67" s="373" t="s">
        <v>210</v>
      </c>
      <c r="B67" s="10"/>
      <c r="C67" s="10"/>
      <c r="D67" s="10"/>
      <c r="E67" s="245">
        <f>SUM(E66:E66)</f>
        <v>119746254</v>
      </c>
    </row>
    <row r="69" spans="1:5">
      <c r="A69" s="503" t="s">
        <v>217</v>
      </c>
      <c r="B69" s="504"/>
      <c r="C69" s="504"/>
      <c r="D69" s="504"/>
      <c r="E69" s="505"/>
    </row>
    <row r="70" spans="1:5">
      <c r="A70" s="199" t="s">
        <v>211</v>
      </c>
      <c r="E70" s="244">
        <f>E65*E67/1000000</f>
        <v>9823.9826781600004</v>
      </c>
    </row>
    <row r="71" spans="1:5">
      <c r="A71" s="199" t="s">
        <v>145</v>
      </c>
      <c r="E71" s="244">
        <f>5221/1000</f>
        <v>5.2210000000000001</v>
      </c>
    </row>
    <row r="72" spans="1:5">
      <c r="A72" s="199" t="s">
        <v>220</v>
      </c>
      <c r="E72" s="244">
        <f>2282751/1000</f>
        <v>2282.7510000000002</v>
      </c>
    </row>
    <row r="73" spans="1:5">
      <c r="A73" s="199" t="s">
        <v>221</v>
      </c>
      <c r="E73" s="244">
        <f>101114/1000</f>
        <v>101.114</v>
      </c>
    </row>
    <row r="74" spans="1:5">
      <c r="A74" s="199" t="s">
        <v>212</v>
      </c>
      <c r="E74" s="244">
        <v>0</v>
      </c>
    </row>
    <row r="75" spans="1:5">
      <c r="A75" s="199" t="s">
        <v>213</v>
      </c>
      <c r="E75" s="244">
        <v>0</v>
      </c>
    </row>
    <row r="76" spans="1:5">
      <c r="A76" s="199" t="s">
        <v>214</v>
      </c>
      <c r="E76" s="244">
        <v>0</v>
      </c>
    </row>
    <row r="77" spans="1:5">
      <c r="A77" s="322" t="s">
        <v>215</v>
      </c>
      <c r="E77" s="244">
        <f>-234930/1000</f>
        <v>-234.93</v>
      </c>
    </row>
    <row r="78" spans="1:5">
      <c r="A78" s="197" t="s">
        <v>216</v>
      </c>
      <c r="B78" s="198"/>
      <c r="C78" s="198"/>
      <c r="D78" s="198"/>
      <c r="E78" s="313">
        <f>SUM(E70:E77)</f>
        <v>11978.138678159999</v>
      </c>
    </row>
  </sheetData>
  <mergeCells count="4">
    <mergeCell ref="C1:C2"/>
    <mergeCell ref="D6:G6"/>
    <mergeCell ref="A64:E64"/>
    <mergeCell ref="A69:E69"/>
  </mergeCells>
  <conditionalFormatting sqref="N2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  <ignoredErrors>
    <ignoredError sqref="F41" formula="1"/>
    <ignoredError sqref="E67" formulaRange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BFE2-78DE-4C69-AB43-1F9024E62894}">
  <sheetPr>
    <tabColor theme="0"/>
  </sheetPr>
  <dimension ref="A1:P78"/>
  <sheetViews>
    <sheetView showGridLines="0" topLeftCell="C1" zoomScale="90" zoomScaleNormal="90" workbookViewId="0">
      <selection activeCell="G3" sqref="G3"/>
    </sheetView>
  </sheetViews>
  <sheetFormatPr defaultRowHeight="14.4"/>
  <cols>
    <col min="1" max="1" width="2.109375" customWidth="1"/>
    <col min="2" max="2" width="2.44140625" customWidth="1"/>
    <col min="3" max="3" width="34.44140625" customWidth="1"/>
    <col min="4" max="4" width="12.5546875" bestFit="1" customWidth="1"/>
    <col min="5" max="5" width="10.109375" customWidth="1"/>
    <col min="6" max="6" width="11.88671875" bestFit="1" customWidth="1"/>
    <col min="7" max="7" width="10.33203125" bestFit="1" customWidth="1"/>
    <col min="8" max="8" width="10.33203125" customWidth="1"/>
  </cols>
  <sheetData>
    <row r="1" spans="1:16" ht="15" thickBot="1">
      <c r="C1" s="480"/>
    </row>
    <row r="2" spans="1:16" ht="15" thickBot="1">
      <c r="C2" s="480"/>
      <c r="D2" s="1" t="s">
        <v>0</v>
      </c>
      <c r="E2" s="1"/>
      <c r="F2" s="2" t="s">
        <v>1</v>
      </c>
      <c r="I2" s="1"/>
      <c r="K2" s="1"/>
      <c r="L2" s="1"/>
      <c r="M2" s="1"/>
      <c r="P2" s="174"/>
    </row>
    <row r="3" spans="1:16" ht="15" thickBot="1">
      <c r="A3" s="13" t="s">
        <v>2</v>
      </c>
      <c r="C3" s="13"/>
      <c r="D3" s="1" t="s">
        <v>3</v>
      </c>
      <c r="E3" s="1"/>
      <c r="F3" s="3">
        <v>45220</v>
      </c>
    </row>
    <row r="4" spans="1:16" ht="15" thickBot="1">
      <c r="A4" s="14" t="s">
        <v>4</v>
      </c>
      <c r="C4" s="14"/>
      <c r="D4" s="1" t="s">
        <v>5</v>
      </c>
      <c r="E4" s="1"/>
      <c r="F4" s="2" t="s">
        <v>6</v>
      </c>
      <c r="I4" s="1"/>
      <c r="K4" s="1"/>
    </row>
    <row r="5" spans="1:16" s="4" customFormat="1" ht="15" thickBot="1">
      <c r="C5" s="15"/>
    </row>
    <row r="6" spans="1:16" s="11" customFormat="1" ht="15" thickTop="1">
      <c r="A6" s="190" t="s">
        <v>259</v>
      </c>
      <c r="C6" s="21"/>
      <c r="D6" s="500" t="s">
        <v>7</v>
      </c>
      <c r="E6" s="501"/>
      <c r="F6" s="501"/>
      <c r="G6" s="501"/>
      <c r="H6" s="501"/>
      <c r="I6" s="502"/>
      <c r="J6" s="191" t="s">
        <v>194</v>
      </c>
    </row>
    <row r="7" spans="1:16" s="12" customFormat="1" ht="15.75" customHeight="1">
      <c r="C7" s="22"/>
      <c r="D7" s="192" t="s">
        <v>190</v>
      </c>
      <c r="E7" s="192" t="s">
        <v>257</v>
      </c>
      <c r="F7" s="192" t="s">
        <v>189</v>
      </c>
      <c r="G7" s="192" t="s">
        <v>191</v>
      </c>
      <c r="H7" s="192" t="s">
        <v>256</v>
      </c>
      <c r="I7" s="192" t="s">
        <v>192</v>
      </c>
      <c r="J7" s="193" t="s">
        <v>193</v>
      </c>
    </row>
    <row r="8" spans="1:16" s="11" customFormat="1" ht="7.5" customHeight="1">
      <c r="A8" s="57"/>
      <c r="C8" s="16"/>
      <c r="D8" s="194"/>
      <c r="E8" s="194"/>
      <c r="F8" s="194"/>
      <c r="G8" s="194"/>
      <c r="H8" s="194"/>
      <c r="I8" s="195"/>
      <c r="J8" s="196"/>
    </row>
    <row r="9" spans="1:16" ht="15.75" customHeight="1">
      <c r="A9" s="27" t="s">
        <v>9</v>
      </c>
      <c r="B9" s="64"/>
      <c r="C9" s="64"/>
      <c r="D9" s="226">
        <v>447241</v>
      </c>
      <c r="E9" s="202">
        <v>152813</v>
      </c>
      <c r="F9" s="202">
        <v>611289</v>
      </c>
      <c r="G9" s="202">
        <v>474737</v>
      </c>
      <c r="H9" s="216">
        <v>160804</v>
      </c>
      <c r="I9" s="202">
        <f>(F9+G9-D9)+(1/3 * E9) -(1/3 * H9)</f>
        <v>636121.33333333326</v>
      </c>
      <c r="J9" s="202">
        <f>I9*(1+J10)</f>
        <v>671108.0066666666</v>
      </c>
    </row>
    <row r="10" spans="1:16">
      <c r="A10" s="28"/>
      <c r="B10" s="28" t="s">
        <v>195</v>
      </c>
      <c r="C10" s="28"/>
      <c r="D10" s="224"/>
      <c r="E10" s="212"/>
      <c r="F10" s="212"/>
      <c r="G10" s="212"/>
      <c r="H10" s="212"/>
      <c r="I10" s="212"/>
      <c r="J10" s="312">
        <v>5.5E-2</v>
      </c>
    </row>
    <row r="11" spans="1:16" ht="9" customHeight="1">
      <c r="A11" s="28"/>
      <c r="B11" s="28"/>
      <c r="C11" s="28"/>
      <c r="D11" s="208"/>
      <c r="E11" s="206"/>
      <c r="F11" s="207"/>
      <c r="G11" s="206"/>
      <c r="H11" s="206"/>
      <c r="I11" s="206"/>
      <c r="J11" s="206"/>
    </row>
    <row r="12" spans="1:16">
      <c r="A12" s="27" t="s">
        <v>253</v>
      </c>
      <c r="B12" s="28"/>
      <c r="C12" s="28"/>
      <c r="D12" s="215">
        <f>338298-D24</f>
        <v>330164</v>
      </c>
      <c r="E12" s="216">
        <v>115613</v>
      </c>
      <c r="F12" s="202">
        <f>463721-F24</f>
        <v>452776</v>
      </c>
      <c r="G12" s="202">
        <f>358317-G24</f>
        <v>349581</v>
      </c>
      <c r="H12" s="202">
        <v>121183</v>
      </c>
      <c r="I12" s="202">
        <f>(F12+G12-D12)+(1/3 * E12) -(1/3 * H12)</f>
        <v>470336.33333333337</v>
      </c>
      <c r="J12" s="202">
        <f>J13*J9</f>
        <v>497083.37435567571</v>
      </c>
    </row>
    <row r="13" spans="1:16">
      <c r="A13" s="27"/>
      <c r="B13" s="28" t="s">
        <v>196</v>
      </c>
      <c r="C13" s="28"/>
      <c r="D13" s="229">
        <f t="shared" ref="D13:I13" si="0">D12/D9</f>
        <v>0.73822391059853631</v>
      </c>
      <c r="E13" s="211">
        <f t="shared" si="0"/>
        <v>0.75656521369255236</v>
      </c>
      <c r="F13" s="211">
        <f t="shared" si="0"/>
        <v>0.74069057352577916</v>
      </c>
      <c r="G13" s="211">
        <f t="shared" si="0"/>
        <v>0.73636771517703481</v>
      </c>
      <c r="H13" s="211">
        <f t="shared" si="0"/>
        <v>0.75360687545085947</v>
      </c>
      <c r="I13" s="211">
        <f t="shared" si="0"/>
        <v>0.7393814806818827</v>
      </c>
      <c r="J13" s="238">
        <f>F13</f>
        <v>0.74069057352577916</v>
      </c>
    </row>
    <row r="14" spans="1:16" ht="9" customHeight="1">
      <c r="A14" s="27"/>
      <c r="B14" s="28"/>
      <c r="C14" s="28"/>
      <c r="D14" s="208"/>
      <c r="E14" s="206"/>
      <c r="F14" s="209"/>
      <c r="G14" s="206"/>
      <c r="H14" s="206"/>
      <c r="I14" s="206"/>
      <c r="J14" s="206"/>
    </row>
    <row r="15" spans="1:16">
      <c r="A15" s="27" t="s">
        <v>197</v>
      </c>
      <c r="B15" s="28"/>
      <c r="C15" s="28"/>
      <c r="D15" s="225">
        <f t="shared" ref="D15:J15" si="1">D9-D12</f>
        <v>117077</v>
      </c>
      <c r="E15" s="204">
        <f t="shared" si="1"/>
        <v>37200</v>
      </c>
      <c r="F15" s="204">
        <f t="shared" si="1"/>
        <v>158513</v>
      </c>
      <c r="G15" s="204">
        <f t="shared" si="1"/>
        <v>125156</v>
      </c>
      <c r="H15" s="204">
        <f t="shared" si="1"/>
        <v>39621</v>
      </c>
      <c r="I15" s="204">
        <f t="shared" si="1"/>
        <v>165784.99999999988</v>
      </c>
      <c r="J15" s="204">
        <f t="shared" si="1"/>
        <v>174024.63231099088</v>
      </c>
    </row>
    <row r="16" spans="1:16">
      <c r="A16" s="28"/>
      <c r="B16" s="28" t="s">
        <v>17</v>
      </c>
      <c r="C16" s="201"/>
      <c r="D16" s="224">
        <f t="shared" ref="D16:J16" si="2">D15/D9</f>
        <v>0.26177608940146363</v>
      </c>
      <c r="E16" s="212">
        <f t="shared" si="2"/>
        <v>0.24343478630744766</v>
      </c>
      <c r="F16" s="212">
        <f t="shared" si="2"/>
        <v>0.25930942647422089</v>
      </c>
      <c r="G16" s="212">
        <f t="shared" si="2"/>
        <v>0.26363228482296513</v>
      </c>
      <c r="H16" s="212">
        <f t="shared" si="2"/>
        <v>0.24639312454914056</v>
      </c>
      <c r="I16" s="212">
        <f t="shared" si="2"/>
        <v>0.26061851931811736</v>
      </c>
      <c r="J16" s="212">
        <f t="shared" si="2"/>
        <v>0.25930942647422084</v>
      </c>
    </row>
    <row r="17" spans="1:10" ht="7.5" customHeight="1">
      <c r="A17" s="27"/>
      <c r="B17" s="28"/>
      <c r="C17" s="27"/>
      <c r="D17" s="208"/>
      <c r="E17" s="206"/>
      <c r="F17" s="209"/>
      <c r="G17" s="206"/>
      <c r="H17" s="206"/>
      <c r="I17" s="206"/>
      <c r="J17" s="206"/>
    </row>
    <row r="18" spans="1:10">
      <c r="A18" s="27" t="s">
        <v>18</v>
      </c>
      <c r="B18" s="28"/>
      <c r="C18" s="28"/>
      <c r="D18" s="225">
        <v>94076</v>
      </c>
      <c r="E18" s="204">
        <v>34505</v>
      </c>
      <c r="F18" s="204">
        <v>127140</v>
      </c>
      <c r="G18" s="204">
        <v>96662</v>
      </c>
      <c r="H18" s="204">
        <v>33419</v>
      </c>
      <c r="I18" s="203">
        <f>(F18+G18-D18)+(1/3 * E18) -(1/3 * H18)</f>
        <v>130087.99999999999</v>
      </c>
      <c r="J18" s="204">
        <f>J19*J9</f>
        <v>139581.55956936898</v>
      </c>
    </row>
    <row r="19" spans="1:10">
      <c r="A19" s="27"/>
      <c r="B19" s="28" t="s">
        <v>198</v>
      </c>
      <c r="C19" s="28"/>
      <c r="D19" s="224">
        <f t="shared" ref="D19:I19" si="3">D18/D9</f>
        <v>0.21034744131240204</v>
      </c>
      <c r="E19" s="212">
        <f t="shared" si="3"/>
        <v>0.22579885219189466</v>
      </c>
      <c r="F19" s="212">
        <f t="shared" si="3"/>
        <v>0.20798672968105103</v>
      </c>
      <c r="G19" s="212">
        <f t="shared" si="3"/>
        <v>0.20361168394289891</v>
      </c>
      <c r="H19" s="212">
        <f t="shared" si="3"/>
        <v>0.20782443222805402</v>
      </c>
      <c r="I19" s="212">
        <f t="shared" si="3"/>
        <v>0.20450186652022362</v>
      </c>
      <c r="J19" s="239">
        <f>F19</f>
        <v>0.20798672968105103</v>
      </c>
    </row>
    <row r="20" spans="1:10" ht="10.5" customHeight="1">
      <c r="A20" s="27"/>
      <c r="B20" s="28"/>
      <c r="C20" s="28"/>
      <c r="D20" s="208"/>
      <c r="E20" s="206"/>
      <c r="F20" s="209"/>
      <c r="G20" s="206"/>
      <c r="H20" s="206"/>
      <c r="I20" s="206"/>
      <c r="J20" s="206"/>
    </row>
    <row r="21" spans="1:10">
      <c r="A21" s="27" t="s">
        <v>20</v>
      </c>
      <c r="B21" s="28"/>
      <c r="C21" s="28"/>
      <c r="D21" s="228">
        <f t="shared" ref="D21:J21" si="4">D15-D18</f>
        <v>23001</v>
      </c>
      <c r="E21" s="233">
        <f t="shared" si="4"/>
        <v>2695</v>
      </c>
      <c r="F21" s="204">
        <f t="shared" si="4"/>
        <v>31373</v>
      </c>
      <c r="G21" s="232">
        <f t="shared" si="4"/>
        <v>28494</v>
      </c>
      <c r="H21" s="232">
        <f t="shared" si="4"/>
        <v>6202</v>
      </c>
      <c r="I21" s="233">
        <f t="shared" si="4"/>
        <v>35696.999999999898</v>
      </c>
      <c r="J21" s="241">
        <f t="shared" si="4"/>
        <v>34443.072741621902</v>
      </c>
    </row>
    <row r="22" spans="1:10">
      <c r="A22" s="28"/>
      <c r="B22" s="28" t="s">
        <v>21</v>
      </c>
      <c r="C22" s="201"/>
      <c r="D22" s="224">
        <f t="shared" ref="D22:J22" si="5">D21/D9</f>
        <v>5.1428648089061599E-2</v>
      </c>
      <c r="E22" s="212">
        <f t="shared" si="5"/>
        <v>1.7635934115552997E-2</v>
      </c>
      <c r="F22" s="212">
        <f t="shared" si="5"/>
        <v>5.1322696793169843E-2</v>
      </c>
      <c r="G22" s="212">
        <f t="shared" si="5"/>
        <v>6.0020600880066229E-2</v>
      </c>
      <c r="H22" s="212">
        <f t="shared" si="5"/>
        <v>3.8568692321086541E-2</v>
      </c>
      <c r="I22" s="212">
        <f t="shared" si="5"/>
        <v>5.6116652797893747E-2</v>
      </c>
      <c r="J22" s="239">
        <f t="shared" si="5"/>
        <v>5.1322696793169795E-2</v>
      </c>
    </row>
    <row r="23" spans="1:10" ht="8.25" customHeight="1">
      <c r="A23" s="27"/>
      <c r="B23" s="28"/>
      <c r="C23" s="27"/>
      <c r="D23" s="208"/>
      <c r="E23" s="206"/>
      <c r="F23" s="209"/>
      <c r="G23" s="206"/>
      <c r="H23" s="206"/>
      <c r="I23" s="206"/>
      <c r="J23" s="206"/>
    </row>
    <row r="24" spans="1:10">
      <c r="A24" s="28" t="s">
        <v>22</v>
      </c>
      <c r="B24" s="28"/>
      <c r="C24" s="28"/>
      <c r="D24" s="215">
        <v>8134</v>
      </c>
      <c r="E24" s="216">
        <v>0</v>
      </c>
      <c r="F24" s="216">
        <v>10945</v>
      </c>
      <c r="G24" s="216">
        <v>8736</v>
      </c>
      <c r="H24" s="216">
        <v>0</v>
      </c>
      <c r="I24" s="202">
        <f>(F24+G24-D24)+(1/3 * E24) -(1/3 * H24)</f>
        <v>11547</v>
      </c>
      <c r="J24" s="240">
        <f>J25*J9</f>
        <v>12016.046637460622</v>
      </c>
    </row>
    <row r="25" spans="1:10">
      <c r="A25" s="27"/>
      <c r="B25" s="28" t="s">
        <v>199</v>
      </c>
      <c r="C25" s="28"/>
      <c r="D25" s="229">
        <f t="shared" ref="D25:I25" si="6">D24/D9</f>
        <v>1.81870624562596E-2</v>
      </c>
      <c r="E25" s="211">
        <f t="shared" si="6"/>
        <v>0</v>
      </c>
      <c r="F25" s="211">
        <f t="shared" si="6"/>
        <v>1.7904788078961016E-2</v>
      </c>
      <c r="G25" s="211">
        <f t="shared" si="6"/>
        <v>1.840176771559832E-2</v>
      </c>
      <c r="H25" s="211">
        <f t="shared" si="6"/>
        <v>0</v>
      </c>
      <c r="I25" s="211">
        <f t="shared" si="6"/>
        <v>1.8152197379535561E-2</v>
      </c>
      <c r="J25" s="238">
        <f>F25</f>
        <v>1.7904788078961016E-2</v>
      </c>
    </row>
    <row r="26" spans="1:10" ht="7.5" customHeight="1">
      <c r="A26" s="27"/>
      <c r="B26" s="28"/>
      <c r="C26" s="28"/>
      <c r="D26" s="208"/>
      <c r="E26" s="206"/>
      <c r="F26" s="206"/>
      <c r="G26" s="206"/>
      <c r="H26" s="206"/>
      <c r="I26" s="216"/>
      <c r="J26" s="206"/>
    </row>
    <row r="27" spans="1:10">
      <c r="A27" s="27" t="s">
        <v>23</v>
      </c>
      <c r="B27" s="28"/>
      <c r="C27" s="201"/>
      <c r="D27" s="228">
        <f t="shared" ref="D27:J27" si="7">D21-D24</f>
        <v>14867</v>
      </c>
      <c r="E27" s="233">
        <f t="shared" si="7"/>
        <v>2695</v>
      </c>
      <c r="F27" s="203">
        <f t="shared" si="7"/>
        <v>20428</v>
      </c>
      <c r="G27" s="203">
        <f t="shared" si="7"/>
        <v>19758</v>
      </c>
      <c r="H27" s="203">
        <f t="shared" si="7"/>
        <v>6202</v>
      </c>
      <c r="I27" s="204">
        <f t="shared" si="7"/>
        <v>24149.999999999898</v>
      </c>
      <c r="J27" s="241">
        <f t="shared" si="7"/>
        <v>22427.026104161279</v>
      </c>
    </row>
    <row r="28" spans="1:10">
      <c r="A28" s="28"/>
      <c r="B28" s="28" t="s">
        <v>24</v>
      </c>
      <c r="C28" s="200"/>
      <c r="D28" s="230">
        <f t="shared" ref="D28:J28" si="8">D27/D9</f>
        <v>3.3241585632802002E-2</v>
      </c>
      <c r="E28" s="213">
        <f t="shared" si="8"/>
        <v>1.7635934115552997E-2</v>
      </c>
      <c r="F28" s="213">
        <f t="shared" si="8"/>
        <v>3.3417908714208827E-2</v>
      </c>
      <c r="G28" s="213">
        <f t="shared" si="8"/>
        <v>4.1618833164467905E-2</v>
      </c>
      <c r="H28" s="213">
        <f t="shared" si="8"/>
        <v>3.8568692321086541E-2</v>
      </c>
      <c r="I28" s="213">
        <f t="shared" si="8"/>
        <v>3.7964455418358189E-2</v>
      </c>
      <c r="J28" s="213">
        <f t="shared" si="8"/>
        <v>3.3417908714208779E-2</v>
      </c>
    </row>
    <row r="29" spans="1:10" ht="8.25" customHeight="1">
      <c r="A29" s="28"/>
      <c r="B29" s="28"/>
      <c r="C29" s="68"/>
      <c r="D29" s="206"/>
      <c r="E29" s="206"/>
      <c r="F29" s="206"/>
      <c r="G29" s="204"/>
      <c r="H29" s="204"/>
      <c r="I29" s="206"/>
      <c r="J29" s="206"/>
    </row>
    <row r="30" spans="1:10">
      <c r="A30" s="27" t="s">
        <v>200</v>
      </c>
      <c r="B30" s="28"/>
      <c r="C30" s="200"/>
      <c r="D30" s="225">
        <v>5386</v>
      </c>
      <c r="E30" s="204">
        <v>3626</v>
      </c>
      <c r="F30" s="203">
        <v>1538</v>
      </c>
      <c r="G30" s="204">
        <v>3840</v>
      </c>
      <c r="H30" s="204">
        <v>4750</v>
      </c>
      <c r="I30" s="203">
        <f>(F30+G30-D30)+(1/3 * E30) -(1/3 * H30)</f>
        <v>-382.66666666666674</v>
      </c>
      <c r="J30" s="204">
        <f>I30</f>
        <v>-382.66666666666674</v>
      </c>
    </row>
    <row r="31" spans="1:10" ht="7.5" customHeight="1">
      <c r="A31" s="28"/>
      <c r="B31" s="28"/>
      <c r="C31" s="68"/>
      <c r="D31" s="206"/>
      <c r="E31" s="206"/>
      <c r="F31" s="209"/>
      <c r="G31" s="204"/>
      <c r="H31" s="204"/>
      <c r="I31" s="206"/>
      <c r="J31" s="206"/>
    </row>
    <row r="32" spans="1:10">
      <c r="A32" s="27" t="s">
        <v>25</v>
      </c>
      <c r="B32" s="28"/>
      <c r="C32" s="68"/>
      <c r="D32" s="206"/>
      <c r="E32" s="206"/>
      <c r="F32" s="209"/>
      <c r="G32" s="206"/>
      <c r="H32" s="206"/>
      <c r="I32" s="206"/>
      <c r="J32" s="206"/>
    </row>
    <row r="33" spans="1:10">
      <c r="A33" s="27"/>
      <c r="B33" s="28" t="s">
        <v>26</v>
      </c>
      <c r="C33" s="68"/>
      <c r="D33" s="202">
        <v>0</v>
      </c>
      <c r="E33" s="202">
        <v>0</v>
      </c>
      <c r="F33" s="202">
        <v>0</v>
      </c>
      <c r="G33" s="202">
        <v>0</v>
      </c>
      <c r="H33" s="202">
        <v>0</v>
      </c>
      <c r="I33" s="202">
        <v>0</v>
      </c>
      <c r="J33" s="202">
        <v>0</v>
      </c>
    </row>
    <row r="34" spans="1:10">
      <c r="A34" s="28"/>
      <c r="B34" s="28" t="s">
        <v>201</v>
      </c>
      <c r="C34" s="68"/>
      <c r="D34" s="202">
        <v>0</v>
      </c>
      <c r="E34" s="202">
        <v>0</v>
      </c>
      <c r="F34" s="202">
        <v>0</v>
      </c>
      <c r="G34" s="202">
        <v>0</v>
      </c>
      <c r="H34" s="202">
        <v>0</v>
      </c>
      <c r="I34" s="202">
        <v>0</v>
      </c>
      <c r="J34" s="202">
        <v>0</v>
      </c>
    </row>
    <row r="35" spans="1:10">
      <c r="A35" s="28"/>
      <c r="B35" s="27" t="s">
        <v>28</v>
      </c>
      <c r="C35" s="200"/>
      <c r="D35" s="231">
        <v>1367</v>
      </c>
      <c r="E35" s="205">
        <v>500</v>
      </c>
      <c r="F35" s="205">
        <v>1874</v>
      </c>
      <c r="G35" s="205">
        <v>1588</v>
      </c>
      <c r="H35" s="205">
        <v>537</v>
      </c>
      <c r="I35" s="205">
        <f>(F35+G35-D35)+(1/3 * E35) -(1/3 * H35)</f>
        <v>2082.6666666666665</v>
      </c>
      <c r="J35" s="242">
        <f>I35</f>
        <v>2082.6666666666665</v>
      </c>
    </row>
    <row r="36" spans="1:10" ht="11.25" customHeight="1">
      <c r="B36" s="28"/>
      <c r="C36" s="28"/>
      <c r="D36" s="210"/>
      <c r="E36" s="206"/>
      <c r="F36" s="209"/>
      <c r="G36" s="206"/>
      <c r="H36" s="206"/>
      <c r="I36" s="206"/>
      <c r="J36" s="206"/>
    </row>
    <row r="37" spans="1:10">
      <c r="A37" s="139" t="s">
        <v>29</v>
      </c>
      <c r="B37" s="28"/>
      <c r="C37" s="31"/>
      <c r="D37" s="228">
        <f t="shared" ref="D37:J37" si="9">D27-D30-D35</f>
        <v>8114</v>
      </c>
      <c r="E37" s="233">
        <f t="shared" si="9"/>
        <v>-1431</v>
      </c>
      <c r="F37" s="203">
        <f t="shared" si="9"/>
        <v>17016</v>
      </c>
      <c r="G37" s="233">
        <f t="shared" si="9"/>
        <v>14330</v>
      </c>
      <c r="H37" s="233">
        <f t="shared" si="9"/>
        <v>915</v>
      </c>
      <c r="I37" s="233">
        <f t="shared" si="9"/>
        <v>22449.999999999898</v>
      </c>
      <c r="J37" s="233">
        <f t="shared" si="9"/>
        <v>20727.026104161279</v>
      </c>
    </row>
    <row r="38" spans="1:10">
      <c r="B38" s="28" t="s">
        <v>30</v>
      </c>
      <c r="C38" s="31"/>
      <c r="D38" s="214">
        <f>D37/D9</f>
        <v>1.814234383699169E-2</v>
      </c>
      <c r="E38" s="214">
        <f t="shared" ref="E38:H38" si="10">E37/E9</f>
        <v>-9.3643865377945595E-3</v>
      </c>
      <c r="F38" s="214">
        <f t="shared" si="10"/>
        <v>2.7836260753915088E-2</v>
      </c>
      <c r="G38" s="214">
        <f t="shared" si="10"/>
        <v>3.0185134084766935E-2</v>
      </c>
      <c r="H38" s="214">
        <f t="shared" si="10"/>
        <v>5.6901569612696204E-3</v>
      </c>
      <c r="I38" s="214">
        <f>I37/I9</f>
        <v>3.5292009281248073E-2</v>
      </c>
      <c r="J38" s="214">
        <f>J37/J9</f>
        <v>3.0884784413630472E-2</v>
      </c>
    </row>
    <row r="39" spans="1:10" ht="9" customHeight="1">
      <c r="A39" s="28"/>
      <c r="B39" s="28"/>
      <c r="C39" s="68"/>
      <c r="D39" s="206"/>
      <c r="E39" s="206"/>
      <c r="F39" s="209"/>
      <c r="G39" s="206"/>
      <c r="H39" s="206"/>
      <c r="I39" s="206"/>
      <c r="J39" s="206"/>
    </row>
    <row r="40" spans="1:10">
      <c r="A40" s="28" t="s">
        <v>31</v>
      </c>
      <c r="B40" s="27"/>
      <c r="C40" s="68"/>
      <c r="D40" s="202">
        <v>2631</v>
      </c>
      <c r="E40" s="202">
        <v>336</v>
      </c>
      <c r="F40" s="202">
        <v>5724</v>
      </c>
      <c r="G40" s="202">
        <v>3738</v>
      </c>
      <c r="H40" s="202">
        <v>272</v>
      </c>
      <c r="I40" s="202">
        <f>(F40+G40-D40)+(1/3 * E40) -(1/3 * H40)</f>
        <v>6852.333333333333</v>
      </c>
      <c r="J40" s="240">
        <f>J41*J37</f>
        <v>6972.349401752419</v>
      </c>
    </row>
    <row r="41" spans="1:10">
      <c r="B41" s="28" t="s">
        <v>202</v>
      </c>
      <c r="C41" s="31"/>
      <c r="D41" s="213">
        <f>D40/D37</f>
        <v>0.3242543751540547</v>
      </c>
      <c r="E41" s="213">
        <f>E40/E37</f>
        <v>-0.23480083857442349</v>
      </c>
      <c r="F41" s="213">
        <f>F40/F37</f>
        <v>0.33638928067700985</v>
      </c>
      <c r="G41" s="213">
        <f>G40/G37</f>
        <v>0.26085136078157711</v>
      </c>
      <c r="H41" s="213">
        <f>H40/H37</f>
        <v>0.29726775956284152</v>
      </c>
      <c r="I41" s="213">
        <f>I40/I9</f>
        <v>1.0772053968739717E-2</v>
      </c>
      <c r="J41" s="238">
        <f>F41</f>
        <v>0.33638928067700985</v>
      </c>
    </row>
    <row r="42" spans="1:10" ht="6" customHeight="1">
      <c r="A42" s="139"/>
      <c r="B42" s="28"/>
      <c r="C42" s="31"/>
      <c r="D42" s="206"/>
      <c r="E42" s="206"/>
      <c r="F42" s="209"/>
      <c r="G42" s="206"/>
      <c r="H42" s="206"/>
      <c r="I42" s="206"/>
      <c r="J42" s="206"/>
    </row>
    <row r="43" spans="1:10">
      <c r="A43" s="139" t="s">
        <v>33</v>
      </c>
      <c r="B43" s="28"/>
      <c r="C43" s="28"/>
      <c r="D43" s="228">
        <f t="shared" ref="D43:J43" si="11">D37-D40</f>
        <v>5483</v>
      </c>
      <c r="E43" s="233">
        <f t="shared" si="11"/>
        <v>-1767</v>
      </c>
      <c r="F43" s="203">
        <f t="shared" si="11"/>
        <v>11292</v>
      </c>
      <c r="G43" s="233">
        <f t="shared" si="11"/>
        <v>10592</v>
      </c>
      <c r="H43" s="233">
        <f t="shared" si="11"/>
        <v>643</v>
      </c>
      <c r="I43" s="233">
        <f t="shared" si="11"/>
        <v>15597.666666666566</v>
      </c>
      <c r="J43" s="241">
        <f t="shared" si="11"/>
        <v>13754.67670240886</v>
      </c>
    </row>
    <row r="44" spans="1:10" ht="6" customHeight="1">
      <c r="A44" s="28"/>
      <c r="B44" s="28"/>
      <c r="C44" s="68"/>
      <c r="D44" s="206"/>
      <c r="E44" s="206"/>
      <c r="F44" s="209"/>
      <c r="G44" s="206"/>
      <c r="H44" s="206"/>
      <c r="I44" s="206"/>
      <c r="J44" s="206"/>
    </row>
    <row r="45" spans="1:10">
      <c r="A45" s="28"/>
      <c r="B45" s="28" t="s">
        <v>255</v>
      </c>
      <c r="C45" s="68"/>
      <c r="D45" s="202">
        <v>78</v>
      </c>
      <c r="E45" s="202">
        <v>31</v>
      </c>
      <c r="F45" s="202">
        <v>-388</v>
      </c>
      <c r="G45" s="202">
        <v>575</v>
      </c>
      <c r="H45" s="202">
        <v>190</v>
      </c>
      <c r="I45" s="202">
        <f>(F45+G45-D45)-(1/3 * E45) -(1/3 * H45)</f>
        <v>35.333333333333343</v>
      </c>
      <c r="J45" s="237">
        <v>0</v>
      </c>
    </row>
    <row r="46" spans="1:10">
      <c r="B46" s="28" t="s">
        <v>204</v>
      </c>
      <c r="C46" s="31"/>
      <c r="D46" s="202">
        <v>0</v>
      </c>
      <c r="E46" s="202">
        <v>0</v>
      </c>
      <c r="F46" s="202">
        <v>0</v>
      </c>
      <c r="G46" s="202">
        <v>0</v>
      </c>
      <c r="H46" s="202">
        <v>0</v>
      </c>
      <c r="I46" s="202">
        <v>0</v>
      </c>
      <c r="J46" s="237">
        <v>0</v>
      </c>
    </row>
    <row r="47" spans="1:10">
      <c r="A47" s="28"/>
      <c r="B47" s="28" t="s">
        <v>219</v>
      </c>
      <c r="C47" s="68"/>
      <c r="D47" s="202">
        <v>0</v>
      </c>
      <c r="E47" s="202">
        <v>0</v>
      </c>
      <c r="F47" s="202">
        <v>0</v>
      </c>
      <c r="G47" s="202">
        <v>0</v>
      </c>
      <c r="H47" s="202">
        <v>0</v>
      </c>
      <c r="I47" s="202">
        <v>0</v>
      </c>
      <c r="J47" s="237">
        <v>0</v>
      </c>
    </row>
    <row r="48" spans="1:10">
      <c r="A48" s="28"/>
      <c r="B48" s="28" t="s">
        <v>150</v>
      </c>
      <c r="C48" s="68"/>
      <c r="D48" s="202">
        <v>0</v>
      </c>
      <c r="E48" s="202">
        <v>0</v>
      </c>
      <c r="F48" s="202">
        <v>0</v>
      </c>
      <c r="G48" s="202">
        <v>0</v>
      </c>
      <c r="H48" s="202">
        <v>0</v>
      </c>
      <c r="I48" s="202">
        <v>0</v>
      </c>
      <c r="J48" s="237">
        <v>0</v>
      </c>
    </row>
    <row r="49" spans="1:10" ht="9.75" customHeight="1">
      <c r="B49" s="28"/>
      <c r="C49" s="31"/>
      <c r="D49" s="206"/>
      <c r="E49" s="206"/>
      <c r="F49" s="206"/>
      <c r="G49" s="220"/>
      <c r="H49" s="220"/>
      <c r="I49" s="221"/>
      <c r="J49" s="206"/>
    </row>
    <row r="50" spans="1:10" ht="15" thickBot="1">
      <c r="A50" s="139" t="s">
        <v>205</v>
      </c>
      <c r="B50" s="28"/>
      <c r="C50" s="31"/>
      <c r="D50" s="223">
        <f>D43-SUM(D45:D48)</f>
        <v>5405</v>
      </c>
      <c r="E50" s="223">
        <f>E43-SUM(E45:E48)</f>
        <v>-1798</v>
      </c>
      <c r="F50" s="223">
        <f>F43-SUM(F45:F48)</f>
        <v>11680</v>
      </c>
      <c r="G50" s="223">
        <f>G43-SUM(G45:G48)</f>
        <v>10017</v>
      </c>
      <c r="H50" s="223">
        <f>H43-SUM(H45:H48)</f>
        <v>453</v>
      </c>
      <c r="I50" s="223">
        <f>I43-I45</f>
        <v>15562.333333333232</v>
      </c>
      <c r="J50" s="223">
        <f>J43-J45</f>
        <v>13754.67670240886</v>
      </c>
    </row>
    <row r="51" spans="1:10" ht="9.75" customHeight="1">
      <c r="B51" s="28"/>
      <c r="C51" s="31"/>
      <c r="D51" s="206"/>
      <c r="E51" s="206"/>
      <c r="F51" s="206"/>
      <c r="G51" s="206"/>
      <c r="H51" s="206"/>
      <c r="I51" s="206"/>
      <c r="J51" s="206"/>
    </row>
    <row r="52" spans="1:10">
      <c r="A52" s="27" t="s">
        <v>206</v>
      </c>
      <c r="B52" s="28"/>
      <c r="C52" s="68"/>
      <c r="D52" s="206"/>
      <c r="E52" s="206"/>
      <c r="F52" s="206"/>
      <c r="G52" s="206"/>
      <c r="H52" s="206"/>
      <c r="I52" s="206"/>
      <c r="J52" s="206"/>
    </row>
    <row r="53" spans="1:10">
      <c r="A53" s="27"/>
      <c r="B53" s="28" t="s">
        <v>43</v>
      </c>
      <c r="C53" s="68"/>
      <c r="D53" s="234">
        <f>D50/D61</f>
        <v>1.9776802049030369</v>
      </c>
      <c r="E53" s="234">
        <f>E50/E61</f>
        <v>-0.6632239026189598</v>
      </c>
      <c r="F53" s="234">
        <f>F50/F61</f>
        <v>4.2878120411160054</v>
      </c>
      <c r="G53" s="234">
        <f t="shared" ref="G53:J53" si="12">G50/G61</f>
        <v>3.719643520237653</v>
      </c>
      <c r="H53" s="234">
        <f>H50/H61</f>
        <v>0.1682138878574081</v>
      </c>
      <c r="I53" s="234">
        <f t="shared" si="12"/>
        <v>5.7788092585715676</v>
      </c>
      <c r="J53" s="234">
        <f t="shared" si="12"/>
        <v>5.1090203228203404</v>
      </c>
    </row>
    <row r="54" spans="1:10">
      <c r="A54" s="27"/>
      <c r="B54" s="28" t="s">
        <v>44</v>
      </c>
      <c r="C54" s="68"/>
      <c r="D54" s="234">
        <f>D50/D62</f>
        <v>1.9704702880058331</v>
      </c>
      <c r="E54" s="234">
        <f>E50/E62</f>
        <v>-0.6632239026189598</v>
      </c>
      <c r="F54" s="234">
        <f>F50/F62</f>
        <v>4.2721287490855886</v>
      </c>
      <c r="G54" s="234">
        <f t="shared" ref="G54:J54" si="13">G50/G62</f>
        <v>3.7058823529411766</v>
      </c>
      <c r="H54" s="234">
        <f>H50/H62</f>
        <v>0.16759156492785793</v>
      </c>
      <c r="I54" s="234">
        <f t="shared" si="13"/>
        <v>5.7574300160315328</v>
      </c>
      <c r="J54" s="234">
        <f t="shared" si="13"/>
        <v>5.1090203228203404</v>
      </c>
    </row>
    <row r="55" spans="1:10" ht="7.5" customHeight="1">
      <c r="A55" s="27"/>
      <c r="B55" s="28"/>
      <c r="C55" s="68"/>
      <c r="D55" s="234"/>
      <c r="E55" s="234"/>
      <c r="F55" s="234"/>
      <c r="G55" s="234"/>
      <c r="H55" s="234"/>
      <c r="I55" s="234"/>
      <c r="J55" s="234"/>
    </row>
    <row r="56" spans="1:10">
      <c r="A56" s="27" t="s">
        <v>207</v>
      </c>
      <c r="B56" s="28"/>
      <c r="C56" s="68"/>
      <c r="D56" s="234"/>
      <c r="E56" s="234"/>
      <c r="F56" s="234"/>
      <c r="G56" s="234"/>
      <c r="H56" s="234"/>
      <c r="I56" s="234"/>
      <c r="J56" s="234"/>
    </row>
    <row r="57" spans="1:10">
      <c r="A57" s="27"/>
      <c r="B57" s="28" t="s">
        <v>43</v>
      </c>
      <c r="C57" s="68"/>
      <c r="D57" s="234">
        <f>D43/D61</f>
        <v>2.0062202707647274</v>
      </c>
      <c r="E57" s="234">
        <f>E43/E61</f>
        <v>-0.65178900774621906</v>
      </c>
      <c r="F57" s="234">
        <f>F43/F61</f>
        <v>4.1453744493392071</v>
      </c>
      <c r="G57" s="234">
        <f t="shared" ref="G57:J57" si="14">G43/G61</f>
        <v>3.9331600445599704</v>
      </c>
      <c r="H57" s="234">
        <f>H43/H61</f>
        <v>0.23876717415521723</v>
      </c>
      <c r="I57" s="234">
        <f t="shared" si="14"/>
        <v>5.7919296942690552</v>
      </c>
      <c r="J57" s="234">
        <f t="shared" si="14"/>
        <v>5.1090203228203404</v>
      </c>
    </row>
    <row r="58" spans="1:10">
      <c r="A58" s="27"/>
      <c r="B58" s="28" t="s">
        <v>44</v>
      </c>
      <c r="C58" s="68"/>
      <c r="D58" s="234">
        <f>D43/D62</f>
        <v>1.9989063069631789</v>
      </c>
      <c r="E58" s="234">
        <f>E43/E62</f>
        <v>-0.65178900774621906</v>
      </c>
      <c r="F58" s="234">
        <f>F43/F62</f>
        <v>4.1302121433796639</v>
      </c>
      <c r="G58" s="234">
        <f t="shared" ref="G58:J58" si="15">G43/G62</f>
        <v>3.9186089530151684</v>
      </c>
      <c r="H58" s="234">
        <f>H43/H62</f>
        <v>0.23788383277839437</v>
      </c>
      <c r="I58" s="234">
        <f t="shared" si="15"/>
        <v>5.7705019114563694</v>
      </c>
      <c r="J58" s="234">
        <f t="shared" si="15"/>
        <v>5.1090203228203404</v>
      </c>
    </row>
    <row r="59" spans="1:10" ht="7.5" customHeight="1">
      <c r="A59" s="27"/>
      <c r="B59" s="28"/>
      <c r="C59" s="68"/>
      <c r="D59" s="206"/>
      <c r="E59" s="206"/>
      <c r="F59" s="206"/>
      <c r="G59" s="206"/>
      <c r="H59" s="206"/>
      <c r="I59" s="206"/>
      <c r="J59" s="206"/>
    </row>
    <row r="60" spans="1:10">
      <c r="A60" s="27" t="s">
        <v>45</v>
      </c>
      <c r="B60" s="28"/>
      <c r="C60" s="68"/>
      <c r="D60" s="206"/>
      <c r="E60" s="206"/>
      <c r="F60" s="206"/>
      <c r="G60" s="206"/>
      <c r="H60" s="206"/>
      <c r="I60" s="206"/>
      <c r="J60" s="206"/>
    </row>
    <row r="61" spans="1:10">
      <c r="A61" s="27"/>
      <c r="B61" t="s">
        <v>43</v>
      </c>
      <c r="C61" s="68"/>
      <c r="D61" s="215">
        <v>2733</v>
      </c>
      <c r="E61" s="216">
        <v>2711</v>
      </c>
      <c r="F61" s="216">
        <v>2724</v>
      </c>
      <c r="G61" s="216">
        <v>2693</v>
      </c>
      <c r="H61" s="216">
        <v>2693</v>
      </c>
      <c r="I61" s="216">
        <f>H61</f>
        <v>2693</v>
      </c>
      <c r="J61" s="216">
        <f>F66/1000000</f>
        <v>2692.2337029999999</v>
      </c>
    </row>
    <row r="62" spans="1:10" s="4" customFormat="1" ht="15" thickBot="1">
      <c r="B62" s="4" t="s">
        <v>44</v>
      </c>
      <c r="C62" s="15"/>
      <c r="D62" s="217">
        <v>2743</v>
      </c>
      <c r="E62" s="219">
        <v>2711</v>
      </c>
      <c r="F62" s="219">
        <v>2734</v>
      </c>
      <c r="G62" s="219">
        <v>2703</v>
      </c>
      <c r="H62" s="219">
        <v>2703</v>
      </c>
      <c r="I62" s="216">
        <f>H62</f>
        <v>2703</v>
      </c>
      <c r="J62" s="219">
        <f>F67/1000000</f>
        <v>2692.2337029999999</v>
      </c>
    </row>
    <row r="63" spans="1:10" ht="15" thickTop="1">
      <c r="F63" s="218"/>
      <c r="I63" s="121"/>
    </row>
    <row r="64" spans="1:10">
      <c r="A64" s="503" t="s">
        <v>218</v>
      </c>
      <c r="B64" s="504"/>
      <c r="C64" s="504"/>
      <c r="D64" s="504"/>
      <c r="E64" s="504"/>
      <c r="F64" s="505"/>
    </row>
    <row r="65" spans="1:13">
      <c r="A65" s="199" t="s">
        <v>208</v>
      </c>
      <c r="B65" s="199"/>
      <c r="F65" s="244">
        <v>154.30000000000001</v>
      </c>
    </row>
    <row r="66" spans="1:13">
      <c r="A66" s="199" t="s">
        <v>209</v>
      </c>
      <c r="B66" s="199"/>
      <c r="F66" s="245">
        <v>2692233703</v>
      </c>
    </row>
    <row r="67" spans="1:13">
      <c r="A67" s="373" t="s">
        <v>265</v>
      </c>
      <c r="B67" s="10"/>
      <c r="C67" s="10"/>
      <c r="D67" s="10"/>
      <c r="E67" s="10"/>
      <c r="F67" s="245">
        <f>SUM(F66:F66)</f>
        <v>2692233703</v>
      </c>
      <c r="M67" s="103"/>
    </row>
    <row r="69" spans="1:13">
      <c r="A69" s="503" t="s">
        <v>217</v>
      </c>
      <c r="B69" s="504"/>
      <c r="C69" s="504"/>
      <c r="D69" s="504"/>
      <c r="E69" s="504"/>
      <c r="F69" s="505"/>
    </row>
    <row r="70" spans="1:13">
      <c r="A70" s="199" t="s">
        <v>211</v>
      </c>
      <c r="F70" s="244">
        <f>(F65*F67)/1000000</f>
        <v>415411.66037290002</v>
      </c>
    </row>
    <row r="71" spans="1:13">
      <c r="A71" s="199" t="s">
        <v>145</v>
      </c>
      <c r="F71" s="244">
        <v>9942</v>
      </c>
    </row>
    <row r="72" spans="1:13">
      <c r="A72" s="199" t="s">
        <v>220</v>
      </c>
      <c r="F72" s="244">
        <v>36342</v>
      </c>
    </row>
    <row r="73" spans="1:13">
      <c r="A73" s="199" t="s">
        <v>221</v>
      </c>
      <c r="F73" s="244">
        <v>18487</v>
      </c>
    </row>
    <row r="74" spans="1:13">
      <c r="A74" s="199" t="s">
        <v>212</v>
      </c>
      <c r="F74" s="244">
        <v>0</v>
      </c>
    </row>
    <row r="75" spans="1:13">
      <c r="A75" s="199" t="s">
        <v>213</v>
      </c>
      <c r="F75" s="244">
        <v>0</v>
      </c>
    </row>
    <row r="76" spans="1:13">
      <c r="A76" s="199" t="s">
        <v>214</v>
      </c>
      <c r="F76" s="244">
        <v>6127</v>
      </c>
    </row>
    <row r="77" spans="1:13">
      <c r="A77" s="322" t="s">
        <v>215</v>
      </c>
      <c r="F77" s="244">
        <v>-12154</v>
      </c>
    </row>
    <row r="78" spans="1:13">
      <c r="A78" s="197" t="s">
        <v>216</v>
      </c>
      <c r="B78" s="198"/>
      <c r="C78" s="198"/>
      <c r="D78" s="198"/>
      <c r="E78" s="198"/>
      <c r="F78" s="313">
        <f>SUM(F70:F77)</f>
        <v>474155.66037290002</v>
      </c>
    </row>
  </sheetData>
  <mergeCells count="4">
    <mergeCell ref="C1:C2"/>
    <mergeCell ref="D6:I6"/>
    <mergeCell ref="A64:F64"/>
    <mergeCell ref="A69:F69"/>
  </mergeCells>
  <conditionalFormatting sqref="P2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ignoredErrors>
    <ignoredError sqref="F67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0465-73B8-4ECB-82C7-4DA9622D98EE}">
  <sheetPr>
    <tabColor theme="0"/>
  </sheetPr>
  <dimension ref="A1:P78"/>
  <sheetViews>
    <sheetView showGridLines="0" topLeftCell="A56" zoomScaleNormal="90" workbookViewId="0">
      <selection activeCell="G3" sqref="G3"/>
    </sheetView>
  </sheetViews>
  <sheetFormatPr defaultRowHeight="14.4"/>
  <cols>
    <col min="1" max="1" width="2.109375" customWidth="1"/>
    <col min="2" max="2" width="2.44140625" customWidth="1"/>
    <col min="3" max="3" width="34.44140625" customWidth="1"/>
    <col min="4" max="4" width="12.5546875" bestFit="1" customWidth="1"/>
    <col min="5" max="5" width="10.109375" customWidth="1"/>
    <col min="6" max="6" width="10.5546875" bestFit="1" customWidth="1"/>
    <col min="7" max="7" width="10.33203125" bestFit="1" customWidth="1"/>
    <col min="8" max="8" width="10.33203125" customWidth="1"/>
    <col min="9" max="9" width="8.77734375" bestFit="1" customWidth="1"/>
  </cols>
  <sheetData>
    <row r="1" spans="1:16" ht="15" thickBot="1">
      <c r="C1" s="480"/>
    </row>
    <row r="2" spans="1:16" ht="15" thickBot="1">
      <c r="C2" s="480"/>
      <c r="D2" s="1" t="s">
        <v>0</v>
      </c>
      <c r="E2" s="1"/>
      <c r="F2" s="2" t="s">
        <v>1</v>
      </c>
      <c r="I2" s="1"/>
      <c r="K2" s="1"/>
      <c r="L2" s="1"/>
      <c r="M2" s="1"/>
      <c r="P2" s="174"/>
    </row>
    <row r="3" spans="1:16" ht="15" thickBot="1">
      <c r="A3" s="13" t="s">
        <v>2</v>
      </c>
      <c r="C3" s="13"/>
      <c r="D3" s="1" t="s">
        <v>3</v>
      </c>
      <c r="E3" s="1"/>
      <c r="F3" s="3">
        <v>45220</v>
      </c>
    </row>
    <row r="4" spans="1:16" ht="15" thickBot="1">
      <c r="A4" s="14" t="s">
        <v>4</v>
      </c>
      <c r="C4" s="14"/>
      <c r="D4" s="1" t="s">
        <v>5</v>
      </c>
      <c r="E4" s="1"/>
      <c r="F4" s="2" t="s">
        <v>6</v>
      </c>
      <c r="I4" s="1"/>
      <c r="K4" s="1"/>
    </row>
    <row r="5" spans="1:16" s="4" customFormat="1" ht="15" thickBot="1">
      <c r="C5" s="15"/>
    </row>
    <row r="6" spans="1:16" s="11" customFormat="1" ht="15" thickTop="1">
      <c r="A6" s="190" t="s">
        <v>258</v>
      </c>
      <c r="C6" s="21"/>
      <c r="D6" s="500" t="s">
        <v>7</v>
      </c>
      <c r="E6" s="501"/>
      <c r="F6" s="501"/>
      <c r="G6" s="501"/>
      <c r="H6" s="501"/>
      <c r="I6" s="502"/>
      <c r="J6" s="191" t="s">
        <v>194</v>
      </c>
    </row>
    <row r="7" spans="1:16" s="12" customFormat="1" ht="15.75" customHeight="1">
      <c r="C7" s="22"/>
      <c r="D7" s="192" t="s">
        <v>190</v>
      </c>
      <c r="E7" s="192" t="s">
        <v>257</v>
      </c>
      <c r="F7" s="192" t="s">
        <v>189</v>
      </c>
      <c r="G7" s="192" t="s">
        <v>191</v>
      </c>
      <c r="H7" s="192" t="s">
        <v>256</v>
      </c>
      <c r="I7" s="192" t="s">
        <v>192</v>
      </c>
      <c r="J7" s="193" t="s">
        <v>193</v>
      </c>
    </row>
    <row r="8" spans="1:16" s="11" customFormat="1" ht="7.5" customHeight="1">
      <c r="A8" s="57"/>
      <c r="C8" s="16"/>
      <c r="D8" s="194"/>
      <c r="E8" s="315"/>
      <c r="F8" s="194"/>
      <c r="G8" s="194"/>
      <c r="H8" s="194"/>
      <c r="I8" s="195"/>
      <c r="J8" s="196"/>
    </row>
    <row r="9" spans="1:16" ht="15.75" customHeight="1">
      <c r="A9" s="27" t="s">
        <v>9</v>
      </c>
      <c r="B9" s="64"/>
      <c r="C9" s="64"/>
      <c r="D9" s="226">
        <v>77725</v>
      </c>
      <c r="E9" s="216">
        <v>26518</v>
      </c>
      <c r="F9" s="202">
        <v>109120</v>
      </c>
      <c r="G9" s="202">
        <v>75493</v>
      </c>
      <c r="H9" s="216">
        <v>25398</v>
      </c>
      <c r="I9" s="202">
        <f>(F9+G9-D9)+(1/3*E9)-(1/3*H9)</f>
        <v>107261.33333333333</v>
      </c>
      <c r="J9" s="202">
        <f>I9*(1+J10)</f>
        <v>108870.25333333331</v>
      </c>
    </row>
    <row r="10" spans="1:16">
      <c r="A10" s="28"/>
      <c r="B10" s="28" t="s">
        <v>195</v>
      </c>
      <c r="C10" s="28"/>
      <c r="D10" s="224"/>
      <c r="E10" s="212"/>
      <c r="F10" s="212"/>
      <c r="G10" s="212"/>
      <c r="H10" s="212"/>
      <c r="I10" s="212"/>
      <c r="J10" s="312">
        <v>1.4999999999999999E-2</v>
      </c>
    </row>
    <row r="11" spans="1:16" ht="9" customHeight="1">
      <c r="A11" s="28"/>
      <c r="B11" s="28"/>
      <c r="C11" s="28"/>
      <c r="D11" s="208"/>
      <c r="E11" s="206"/>
      <c r="F11" s="206"/>
      <c r="G11" s="206"/>
      <c r="H11" s="206"/>
      <c r="I11" s="206"/>
      <c r="J11" s="206"/>
    </row>
    <row r="12" spans="1:16">
      <c r="A12" s="27" t="s">
        <v>253</v>
      </c>
      <c r="B12" s="28"/>
      <c r="C12" s="28"/>
      <c r="D12" s="215">
        <v>58283</v>
      </c>
      <c r="E12" s="216">
        <v>19680</v>
      </c>
      <c r="F12" s="216">
        <v>82229</v>
      </c>
      <c r="G12" s="202">
        <v>54333</v>
      </c>
      <c r="H12" s="202">
        <v>18149</v>
      </c>
      <c r="I12" s="202">
        <f>(F12+G12-D12)+(1/3*E12)-(1/3*H12)</f>
        <v>78789.333333333328</v>
      </c>
      <c r="J12" s="202">
        <f>J9*J13</f>
        <v>82040.799682429119</v>
      </c>
    </row>
    <row r="13" spans="1:16">
      <c r="A13" s="27"/>
      <c r="B13" s="28" t="s">
        <v>196</v>
      </c>
      <c r="C13" s="28"/>
      <c r="D13" s="229">
        <f t="shared" ref="D13:I13" si="0">D12/D9</f>
        <v>0.7498616918623352</v>
      </c>
      <c r="E13" s="211">
        <f t="shared" si="0"/>
        <v>0.74213741609472816</v>
      </c>
      <c r="F13" s="211">
        <f t="shared" si="0"/>
        <v>0.75356488269794719</v>
      </c>
      <c r="G13" s="211">
        <f t="shared" si="0"/>
        <v>0.71970911210310895</v>
      </c>
      <c r="H13" s="211">
        <f t="shared" si="0"/>
        <v>0.71458382549807076</v>
      </c>
      <c r="I13" s="211">
        <f t="shared" si="0"/>
        <v>0.73455485667404219</v>
      </c>
      <c r="J13" s="238">
        <f>F13</f>
        <v>0.75356488269794719</v>
      </c>
    </row>
    <row r="14" spans="1:16" ht="9" customHeight="1">
      <c r="A14" s="27"/>
      <c r="B14" s="28"/>
      <c r="C14" s="28"/>
      <c r="D14" s="208"/>
      <c r="F14" s="206"/>
      <c r="G14" s="206"/>
      <c r="H14" s="206"/>
      <c r="I14" s="206"/>
      <c r="J14" s="206"/>
    </row>
    <row r="15" spans="1:16">
      <c r="A15" s="27" t="s">
        <v>197</v>
      </c>
      <c r="B15" s="28"/>
      <c r="C15" s="28"/>
      <c r="D15" s="225">
        <f>D9-D12</f>
        <v>19442</v>
      </c>
      <c r="E15" s="204">
        <f>E9-E12</f>
        <v>6838</v>
      </c>
      <c r="F15" s="204">
        <f>F9-F12</f>
        <v>26891</v>
      </c>
      <c r="G15" s="204">
        <f t="shared" ref="G15:H15" si="1">G9-G12</f>
        <v>21160</v>
      </c>
      <c r="H15" s="204">
        <f t="shared" si="1"/>
        <v>7249</v>
      </c>
      <c r="I15" s="204">
        <f>I9-I12</f>
        <v>28472</v>
      </c>
      <c r="J15" s="204">
        <f>J9-J12</f>
        <v>26829.453650904194</v>
      </c>
    </row>
    <row r="16" spans="1:16">
      <c r="A16" s="28"/>
      <c r="B16" s="28" t="s">
        <v>17</v>
      </c>
      <c r="C16" s="201"/>
      <c r="D16" s="224">
        <f>D15/D9</f>
        <v>0.25013830813766486</v>
      </c>
      <c r="E16" s="212">
        <f>E15/E9</f>
        <v>0.25786258390527189</v>
      </c>
      <c r="F16" s="212">
        <f>F15/F9</f>
        <v>0.24643511730205278</v>
      </c>
      <c r="G16" s="212">
        <f t="shared" ref="G16:H16" si="2">G15/G9</f>
        <v>0.28029088789689111</v>
      </c>
      <c r="H16" s="212">
        <f t="shared" si="2"/>
        <v>0.2854161745019293</v>
      </c>
      <c r="I16" s="212">
        <f>I15/I9</f>
        <v>0.26544514332595781</v>
      </c>
      <c r="J16" s="212">
        <f>J15/J9</f>
        <v>0.24643511730205275</v>
      </c>
    </row>
    <row r="17" spans="1:10" ht="7.5" customHeight="1">
      <c r="A17" s="27"/>
      <c r="B17" s="28"/>
      <c r="C17" s="27"/>
      <c r="D17" s="208"/>
      <c r="F17" s="206"/>
      <c r="G17" s="206"/>
      <c r="H17" s="206"/>
      <c r="I17" s="206"/>
      <c r="J17" s="206"/>
    </row>
    <row r="18" spans="1:10">
      <c r="A18" s="27" t="s">
        <v>18</v>
      </c>
      <c r="B18" s="28"/>
      <c r="C18" s="28"/>
      <c r="D18" s="225">
        <v>14983</v>
      </c>
      <c r="E18" s="204">
        <v>5219</v>
      </c>
      <c r="F18" s="204">
        <v>20658</v>
      </c>
      <c r="G18" s="204">
        <v>15525</v>
      </c>
      <c r="H18" s="204">
        <v>5316</v>
      </c>
      <c r="I18" s="204">
        <f>(F18+G18-D18)+(1/3*E18)-(1/3*H18)</f>
        <v>21167.666666666668</v>
      </c>
      <c r="J18" s="204">
        <f>J19*J9</f>
        <v>20610.719330645155</v>
      </c>
    </row>
    <row r="19" spans="1:10">
      <c r="A19" s="27"/>
      <c r="B19" s="28" t="s">
        <v>198</v>
      </c>
      <c r="C19" s="28"/>
      <c r="D19" s="224">
        <f>D18/D9</f>
        <v>0.19276937922161466</v>
      </c>
      <c r="E19" s="212">
        <f>E18/E9</f>
        <v>0.19680971415642207</v>
      </c>
      <c r="F19" s="212">
        <f>F18/F9</f>
        <v>0.18931451612903225</v>
      </c>
      <c r="G19" s="212">
        <f t="shared" ref="G19:H19" si="3">G18/G9</f>
        <v>0.20564820579391466</v>
      </c>
      <c r="H19" s="212">
        <f t="shared" si="3"/>
        <v>0.20930781951334751</v>
      </c>
      <c r="I19" s="212">
        <f>I18/I9</f>
        <v>0.19734666732963729</v>
      </c>
      <c r="J19" s="239">
        <f>F19</f>
        <v>0.18931451612903225</v>
      </c>
    </row>
    <row r="20" spans="1:10" ht="10.5" customHeight="1">
      <c r="A20" s="27"/>
      <c r="B20" s="28"/>
      <c r="C20" s="28"/>
      <c r="D20" s="208"/>
      <c r="F20" s="206"/>
      <c r="G20" s="206"/>
      <c r="H20" s="206"/>
      <c r="I20" s="206"/>
      <c r="J20" s="206"/>
    </row>
    <row r="21" spans="1:10">
      <c r="A21" s="27" t="s">
        <v>20</v>
      </c>
      <c r="B21" s="28"/>
      <c r="C21" s="28"/>
      <c r="D21" s="228">
        <f>D15-D18</f>
        <v>4459</v>
      </c>
      <c r="E21" s="233">
        <f>E15-E18</f>
        <v>1619</v>
      </c>
      <c r="F21" s="233">
        <f>F15-F18</f>
        <v>6233</v>
      </c>
      <c r="G21" s="233">
        <f t="shared" ref="G21:H21" si="4">G15-G18</f>
        <v>5635</v>
      </c>
      <c r="H21" s="233">
        <f t="shared" si="4"/>
        <v>1933</v>
      </c>
      <c r="I21" s="233">
        <f>I15-I18</f>
        <v>7304.3333333333321</v>
      </c>
      <c r="J21" s="241">
        <f>J15-J18</f>
        <v>6218.7343202590382</v>
      </c>
    </row>
    <row r="22" spans="1:10">
      <c r="A22" s="28"/>
      <c r="B22" s="28" t="s">
        <v>21</v>
      </c>
      <c r="C22" s="201"/>
      <c r="D22" s="224">
        <f>D21/D9</f>
        <v>5.736892891605018E-2</v>
      </c>
      <c r="E22" s="212">
        <f>E21/E9</f>
        <v>6.1052869748849839E-2</v>
      </c>
      <c r="F22" s="212">
        <f>F21/F9</f>
        <v>5.7120601173020528E-2</v>
      </c>
      <c r="G22" s="212">
        <f t="shared" ref="G22:H22" si="5">G21/G9</f>
        <v>7.4642682102976435E-2</v>
      </c>
      <c r="H22" s="212">
        <f t="shared" si="5"/>
        <v>7.6108354988581775E-2</v>
      </c>
      <c r="I22" s="212">
        <f>I21/I9</f>
        <v>6.8098475996320504E-2</v>
      </c>
      <c r="J22" s="239">
        <f>J21/J9</f>
        <v>5.7120601173020501E-2</v>
      </c>
    </row>
    <row r="23" spans="1:10" ht="8.25" customHeight="1">
      <c r="A23" s="27"/>
      <c r="B23" s="28"/>
      <c r="C23" s="27"/>
      <c r="D23" s="208"/>
      <c r="F23" s="206"/>
      <c r="G23" s="206"/>
      <c r="H23" s="206"/>
      <c r="I23" s="206"/>
      <c r="J23" s="206"/>
    </row>
    <row r="24" spans="1:10">
      <c r="A24" s="28" t="s">
        <v>22</v>
      </c>
      <c r="B24" s="28"/>
      <c r="C24" s="28"/>
      <c r="D24" s="215">
        <v>1770</v>
      </c>
      <c r="E24" s="216">
        <v>597</v>
      </c>
      <c r="F24" s="216">
        <v>2385</v>
      </c>
      <c r="G24" s="216">
        <v>1793</v>
      </c>
      <c r="H24" s="216">
        <v>616</v>
      </c>
      <c r="I24" s="202">
        <f>(F24+G24-D24)+(1/3*E24)-(1/3*H24)</f>
        <v>2401.6666666666665</v>
      </c>
      <c r="J24" s="240">
        <f>J25*J9</f>
        <v>2379.5413691348972</v>
      </c>
    </row>
    <row r="25" spans="1:10">
      <c r="A25" s="27"/>
      <c r="B25" s="28" t="s">
        <v>199</v>
      </c>
      <c r="C25" s="28"/>
      <c r="D25" s="229">
        <f>D24/D9</f>
        <v>2.2772595689932455E-2</v>
      </c>
      <c r="E25" s="211">
        <f>E24/E9</f>
        <v>2.2513010030922393E-2</v>
      </c>
      <c r="F25" s="211">
        <f>F24/F9</f>
        <v>2.1856671554252201E-2</v>
      </c>
      <c r="G25" s="211">
        <f t="shared" ref="G25:H25" si="6">G24/G9</f>
        <v>2.3750546408276264E-2</v>
      </c>
      <c r="H25" s="211">
        <f t="shared" si="6"/>
        <v>2.4253878258130562E-2</v>
      </c>
      <c r="I25" s="211">
        <f>I24/I9</f>
        <v>2.2390796310568579E-2</v>
      </c>
      <c r="J25" s="238">
        <f>F25</f>
        <v>2.1856671554252201E-2</v>
      </c>
    </row>
    <row r="26" spans="1:10" ht="7.5" customHeight="1">
      <c r="A26" s="27"/>
      <c r="B26" s="28"/>
      <c r="C26" s="28"/>
      <c r="D26" s="208"/>
      <c r="F26" s="206"/>
      <c r="G26" s="206"/>
      <c r="H26" s="206"/>
      <c r="I26" s="216"/>
      <c r="J26" s="206"/>
    </row>
    <row r="27" spans="1:10">
      <c r="A27" s="27" t="s">
        <v>23</v>
      </c>
      <c r="B27" s="28"/>
      <c r="C27" s="201"/>
      <c r="D27" s="228">
        <f>D21-D24</f>
        <v>2689</v>
      </c>
      <c r="E27" s="233">
        <f>E21-E24</f>
        <v>1022</v>
      </c>
      <c r="F27" s="233">
        <f>F21-F24</f>
        <v>3848</v>
      </c>
      <c r="G27" s="233">
        <f t="shared" ref="G27:H27" si="7">G21-G24</f>
        <v>3842</v>
      </c>
      <c r="H27" s="233">
        <f t="shared" si="7"/>
        <v>1317</v>
      </c>
      <c r="I27" s="204">
        <f>I21-I24</f>
        <v>4902.6666666666661</v>
      </c>
      <c r="J27" s="241">
        <f>J21-J24</f>
        <v>3839.192951124141</v>
      </c>
    </row>
    <row r="28" spans="1:10">
      <c r="A28" s="28"/>
      <c r="B28" s="28" t="s">
        <v>24</v>
      </c>
      <c r="C28" s="200"/>
      <c r="D28" s="230">
        <f>D27/D9</f>
        <v>3.4596333226117722E-2</v>
      </c>
      <c r="E28" s="213">
        <f>E27/E9</f>
        <v>3.8539859717927442E-2</v>
      </c>
      <c r="F28" s="213">
        <f>F27/F9</f>
        <v>3.5263929618768328E-2</v>
      </c>
      <c r="G28" s="213">
        <f t="shared" ref="G28:H28" si="8">G27/G9</f>
        <v>5.089213569470017E-2</v>
      </c>
      <c r="H28" s="213">
        <f t="shared" si="8"/>
        <v>5.1854476730451217E-2</v>
      </c>
      <c r="I28" s="213">
        <f>I27/I9</f>
        <v>4.5707679685751929E-2</v>
      </c>
      <c r="J28" s="213">
        <f>J27/J9</f>
        <v>3.52639296187683E-2</v>
      </c>
    </row>
    <row r="29" spans="1:10" ht="8.25" customHeight="1">
      <c r="A29" s="28"/>
      <c r="B29" s="28"/>
      <c r="C29" s="200"/>
      <c r="D29" s="208"/>
      <c r="F29" s="206"/>
      <c r="G29" s="206"/>
      <c r="H29" s="206"/>
      <c r="I29" s="206"/>
      <c r="J29" s="206"/>
    </row>
    <row r="30" spans="1:10">
      <c r="A30" s="27" t="s">
        <v>200</v>
      </c>
      <c r="B30" s="28"/>
      <c r="C30" s="200"/>
      <c r="D30" s="225">
        <v>-35</v>
      </c>
      <c r="E30" s="204">
        <v>-12</v>
      </c>
      <c r="F30" s="204">
        <v>-48</v>
      </c>
      <c r="G30" s="204">
        <v>-48</v>
      </c>
      <c r="H30" s="204">
        <v>-48</v>
      </c>
      <c r="I30" s="203">
        <f>(F30+G30-D30)+(1/3*E30)-(1/3*H30)</f>
        <v>-49</v>
      </c>
      <c r="J30" s="204">
        <f>F30</f>
        <v>-48</v>
      </c>
    </row>
    <row r="31" spans="1:10" ht="7.5" customHeight="1">
      <c r="A31" s="28"/>
      <c r="B31" s="28"/>
      <c r="C31" s="200"/>
      <c r="D31" s="208"/>
      <c r="F31" s="206"/>
      <c r="G31" s="206"/>
      <c r="H31" s="206"/>
      <c r="I31" s="206"/>
      <c r="J31" s="206"/>
    </row>
    <row r="32" spans="1:10">
      <c r="A32" s="27" t="s">
        <v>25</v>
      </c>
      <c r="B32" s="28"/>
      <c r="C32" s="68"/>
      <c r="D32" s="206"/>
      <c r="F32" s="206"/>
      <c r="G32" s="206"/>
      <c r="H32" s="206"/>
      <c r="I32" s="206"/>
      <c r="J32" s="206"/>
    </row>
    <row r="33" spans="1:10">
      <c r="A33" s="27"/>
      <c r="B33" s="28" t="s">
        <v>26</v>
      </c>
      <c r="C33" s="68"/>
      <c r="D33" s="202">
        <v>0</v>
      </c>
      <c r="E33" s="202">
        <v>0</v>
      </c>
      <c r="F33" s="202">
        <v>0</v>
      </c>
      <c r="G33" s="202">
        <v>0</v>
      </c>
      <c r="H33" s="202">
        <v>0</v>
      </c>
      <c r="I33" s="202">
        <v>0</v>
      </c>
      <c r="J33" s="202">
        <v>0</v>
      </c>
    </row>
    <row r="34" spans="1:10">
      <c r="A34" s="28"/>
      <c r="B34" s="28" t="s">
        <v>201</v>
      </c>
      <c r="C34" s="68"/>
      <c r="D34" s="202">
        <v>0</v>
      </c>
      <c r="E34" s="202">
        <v>0</v>
      </c>
      <c r="F34" s="202">
        <v>0</v>
      </c>
      <c r="G34" s="202">
        <v>0</v>
      </c>
      <c r="H34" s="202">
        <v>0</v>
      </c>
      <c r="I34" s="202">
        <v>0</v>
      </c>
      <c r="J34" s="202">
        <v>0</v>
      </c>
    </row>
    <row r="35" spans="1:10">
      <c r="A35" s="28"/>
      <c r="B35" s="27" t="s">
        <v>28</v>
      </c>
      <c r="C35" s="200"/>
      <c r="D35" s="231">
        <v>349</v>
      </c>
      <c r="E35" s="205">
        <v>125</v>
      </c>
      <c r="F35" s="205">
        <v>478</v>
      </c>
      <c r="G35" s="205">
        <v>395</v>
      </c>
      <c r="H35" s="205">
        <v>107</v>
      </c>
      <c r="I35" s="205">
        <f>(F35+G35-D35)+(1/3*E35)-(1/3*H35)</f>
        <v>530</v>
      </c>
      <c r="J35" s="242">
        <f>F35</f>
        <v>478</v>
      </c>
    </row>
    <row r="36" spans="1:10" ht="11.25" customHeight="1">
      <c r="B36" s="28"/>
      <c r="C36" s="28"/>
      <c r="D36" s="210"/>
      <c r="F36" s="206"/>
      <c r="G36" s="206"/>
      <c r="H36" s="206"/>
      <c r="I36" s="206"/>
      <c r="J36" s="206"/>
    </row>
    <row r="37" spans="1:10">
      <c r="A37" s="139" t="s">
        <v>29</v>
      </c>
      <c r="B37" s="28"/>
      <c r="C37" s="31"/>
      <c r="D37" s="233">
        <f>D27-D30-D35</f>
        <v>2375</v>
      </c>
      <c r="E37" s="233">
        <f>E27-E30-E35</f>
        <v>909</v>
      </c>
      <c r="F37" s="233">
        <f>F27-F30-F35</f>
        <v>3418</v>
      </c>
      <c r="G37" s="233">
        <f t="shared" ref="G37:I37" si="9">G27-G30-G35</f>
        <v>3495</v>
      </c>
      <c r="H37" s="233">
        <f t="shared" si="9"/>
        <v>1258</v>
      </c>
      <c r="I37" s="233">
        <f t="shared" si="9"/>
        <v>4421.6666666666661</v>
      </c>
      <c r="J37" s="233">
        <f>J27-J30-J35</f>
        <v>3409.192951124141</v>
      </c>
    </row>
    <row r="38" spans="1:10">
      <c r="B38" s="28" t="s">
        <v>30</v>
      </c>
      <c r="C38" s="31"/>
      <c r="D38" s="214">
        <f>D37/D9</f>
        <v>3.0556449018977163E-2</v>
      </c>
      <c r="E38" s="214">
        <f>E37/E9</f>
        <v>3.4278603212911984E-2</v>
      </c>
      <c r="F38" s="214">
        <f>F37/F9</f>
        <v>3.1323313782991205E-2</v>
      </c>
      <c r="G38" s="214">
        <f t="shared" ref="G38:H38" si="10">G37/G9</f>
        <v>4.6295683043460982E-2</v>
      </c>
      <c r="H38" s="214">
        <f t="shared" si="10"/>
        <v>4.9531459170013385E-2</v>
      </c>
      <c r="I38" s="214">
        <f>I37/I9</f>
        <v>4.1223305074211271E-2</v>
      </c>
      <c r="J38" s="214">
        <f>J37/J9</f>
        <v>3.1314274071596496E-2</v>
      </c>
    </row>
    <row r="39" spans="1:10" ht="9" customHeight="1">
      <c r="A39" s="28"/>
      <c r="B39" s="28"/>
      <c r="C39" s="68"/>
      <c r="D39" s="206"/>
      <c r="F39" s="206"/>
      <c r="G39" s="206"/>
      <c r="H39" s="206"/>
      <c r="I39" s="206"/>
      <c r="J39" s="206"/>
    </row>
    <row r="40" spans="1:10">
      <c r="A40" s="28" t="s">
        <v>31</v>
      </c>
      <c r="B40" s="27"/>
      <c r="C40" s="68"/>
      <c r="D40" s="202">
        <v>471</v>
      </c>
      <c r="E40" s="202">
        <v>197</v>
      </c>
      <c r="F40" s="202">
        <v>638</v>
      </c>
      <c r="G40" s="202">
        <v>755</v>
      </c>
      <c r="H40" s="202">
        <v>264</v>
      </c>
      <c r="I40" s="202">
        <f>(F40+G40-D40)+(1/3*E40)-(1/3*H40)</f>
        <v>899.66666666666663</v>
      </c>
      <c r="J40" s="240">
        <f>J41*J37</f>
        <v>636.35608625430143</v>
      </c>
    </row>
    <row r="41" spans="1:10">
      <c r="B41" s="28" t="s">
        <v>202</v>
      </c>
      <c r="C41" s="31"/>
      <c r="D41" s="213">
        <f>D40/D37</f>
        <v>0.19831578947368422</v>
      </c>
      <c r="E41" s="213">
        <f>E40/E37</f>
        <v>0.21672167216721672</v>
      </c>
      <c r="F41" s="213">
        <f>F40/F37</f>
        <v>0.18665886483323582</v>
      </c>
      <c r="G41" s="213">
        <f t="shared" ref="G41:H41" si="11">G40/G37</f>
        <v>0.21602288984263232</v>
      </c>
      <c r="H41" s="213">
        <f t="shared" si="11"/>
        <v>0.20985691573926868</v>
      </c>
      <c r="I41" s="213">
        <f>I40/I37</f>
        <v>0.2034677723332077</v>
      </c>
      <c r="J41" s="238">
        <f>F41</f>
        <v>0.18665886483323582</v>
      </c>
    </row>
    <row r="42" spans="1:10" ht="6" customHeight="1">
      <c r="A42" s="139"/>
      <c r="B42" s="28"/>
      <c r="C42" s="31"/>
      <c r="D42" s="206"/>
      <c r="F42" s="206"/>
      <c r="G42" s="206"/>
      <c r="H42" s="206"/>
      <c r="I42" s="206"/>
      <c r="J42" s="206"/>
    </row>
    <row r="43" spans="1:10">
      <c r="A43" s="139" t="s">
        <v>33</v>
      </c>
      <c r="B43" s="28"/>
      <c r="C43" s="28"/>
      <c r="D43" s="228">
        <f>D37-D40</f>
        <v>1904</v>
      </c>
      <c r="E43" s="233">
        <f>E37-E40</f>
        <v>712</v>
      </c>
      <c r="F43" s="233">
        <f>F37-F40</f>
        <v>2780</v>
      </c>
      <c r="G43" s="233">
        <f t="shared" ref="G43:J43" si="12">G37-G40</f>
        <v>2740</v>
      </c>
      <c r="H43" s="233">
        <f t="shared" si="12"/>
        <v>994</v>
      </c>
      <c r="I43" s="233">
        <f t="shared" si="12"/>
        <v>3521.9999999999995</v>
      </c>
      <c r="J43" s="233">
        <f t="shared" si="12"/>
        <v>2772.8368648698397</v>
      </c>
    </row>
    <row r="44" spans="1:10" ht="6" customHeight="1">
      <c r="A44" s="28"/>
      <c r="B44" s="28"/>
      <c r="C44" s="68"/>
      <c r="D44" s="206"/>
      <c r="F44" s="206"/>
      <c r="G44" s="206"/>
      <c r="H44" s="206"/>
      <c r="I44" s="206"/>
      <c r="J44" s="206"/>
    </row>
    <row r="45" spans="1:10">
      <c r="A45" s="28"/>
      <c r="B45" s="28" t="s">
        <v>255</v>
      </c>
      <c r="C45" s="68"/>
      <c r="D45" s="202">
        <v>0</v>
      </c>
      <c r="E45" s="202">
        <v>0</v>
      </c>
      <c r="F45" s="202">
        <v>0</v>
      </c>
      <c r="G45" s="202">
        <v>0</v>
      </c>
      <c r="H45" s="202">
        <v>0</v>
      </c>
      <c r="I45" s="202">
        <v>0</v>
      </c>
      <c r="J45" s="202">
        <v>0</v>
      </c>
    </row>
    <row r="46" spans="1:10">
      <c r="B46" s="28" t="s">
        <v>204</v>
      </c>
      <c r="C46" s="31"/>
      <c r="D46" s="202">
        <v>0</v>
      </c>
      <c r="E46" s="202">
        <v>0</v>
      </c>
      <c r="F46" s="202">
        <v>0</v>
      </c>
      <c r="G46" s="202">
        <v>0</v>
      </c>
      <c r="H46" s="202">
        <v>0</v>
      </c>
      <c r="I46" s="202">
        <v>0</v>
      </c>
      <c r="J46" s="202">
        <v>0</v>
      </c>
    </row>
    <row r="47" spans="1:10">
      <c r="A47" s="28"/>
      <c r="B47" s="28" t="s">
        <v>219</v>
      </c>
      <c r="C47" s="68"/>
      <c r="D47" s="202">
        <v>0</v>
      </c>
      <c r="E47" s="202">
        <v>0</v>
      </c>
      <c r="F47" s="202">
        <v>0</v>
      </c>
      <c r="G47" s="202">
        <v>0</v>
      </c>
      <c r="H47" s="202">
        <v>0</v>
      </c>
      <c r="I47" s="202">
        <v>0</v>
      </c>
      <c r="J47" s="202">
        <v>0</v>
      </c>
    </row>
    <row r="48" spans="1:10">
      <c r="A48" s="28"/>
      <c r="B48" s="28" t="s">
        <v>150</v>
      </c>
      <c r="C48" s="68"/>
      <c r="D48" s="202">
        <v>0</v>
      </c>
      <c r="E48" s="202">
        <v>0</v>
      </c>
      <c r="F48" s="202">
        <v>0</v>
      </c>
      <c r="G48" s="202">
        <v>0</v>
      </c>
      <c r="H48" s="202">
        <v>0</v>
      </c>
      <c r="I48" s="202">
        <v>0</v>
      </c>
      <c r="J48" s="202">
        <v>0</v>
      </c>
    </row>
    <row r="49" spans="1:10" ht="9.75" customHeight="1">
      <c r="B49" s="28"/>
      <c r="C49" s="31"/>
      <c r="D49" s="206"/>
      <c r="E49" s="10"/>
      <c r="F49" s="206"/>
      <c r="G49" s="206"/>
      <c r="H49" s="206"/>
      <c r="I49" s="221"/>
      <c r="J49" s="206"/>
    </row>
    <row r="50" spans="1:10" ht="15" thickBot="1">
      <c r="A50" s="139" t="s">
        <v>205</v>
      </c>
      <c r="B50" s="28"/>
      <c r="C50" s="31"/>
      <c r="D50" s="223">
        <f>D43-SUM(D45:D48)</f>
        <v>1904</v>
      </c>
      <c r="E50" s="223">
        <f>E43-SUM(E45:E48)</f>
        <v>712</v>
      </c>
      <c r="F50" s="223">
        <f>F43-SUM(F45:F48)</f>
        <v>2780</v>
      </c>
      <c r="G50" s="223">
        <f t="shared" ref="G50:H50" si="13">G43-SUM(G45:G48)</f>
        <v>2740</v>
      </c>
      <c r="H50" s="223">
        <f t="shared" si="13"/>
        <v>994</v>
      </c>
      <c r="I50" s="223">
        <f>I43-SUM(I45:I48)</f>
        <v>3521.9999999999995</v>
      </c>
      <c r="J50" s="223">
        <f>J43-SUM(J45:J48)</f>
        <v>2772.8368648698397</v>
      </c>
    </row>
    <row r="51" spans="1:10" ht="9.75" customHeight="1">
      <c r="B51" s="28"/>
      <c r="C51" s="31"/>
      <c r="D51" s="206"/>
      <c r="F51" s="206"/>
      <c r="G51" s="206"/>
      <c r="H51" s="206"/>
      <c r="I51" s="206"/>
      <c r="J51" s="206"/>
    </row>
    <row r="52" spans="1:10">
      <c r="A52" s="27" t="s">
        <v>206</v>
      </c>
      <c r="B52" s="28"/>
      <c r="C52" s="68"/>
      <c r="D52" s="206"/>
      <c r="F52" s="206"/>
      <c r="G52" s="206"/>
      <c r="H52" s="206"/>
      <c r="I52" s="206"/>
      <c r="J52" s="206"/>
    </row>
    <row r="53" spans="1:10">
      <c r="A53" s="27"/>
      <c r="B53" s="28" t="s">
        <v>43</v>
      </c>
      <c r="C53" s="68"/>
      <c r="D53" s="234">
        <f t="shared" ref="D53:E53" si="14">D50/D61</f>
        <v>4.1158668396022478</v>
      </c>
      <c r="E53" s="234">
        <f t="shared" si="14"/>
        <v>1.546817293069737</v>
      </c>
      <c r="F53" s="234">
        <f>F50/F61</f>
        <v>6.0160138498160567</v>
      </c>
      <c r="G53" s="234">
        <f t="shared" ref="G53:H53" si="15">G50/G61</f>
        <v>5.938448201127005</v>
      </c>
      <c r="H53" s="234">
        <f t="shared" si="15"/>
        <v>2.153379549393414</v>
      </c>
      <c r="I53" s="234">
        <f t="shared" ref="I53:J53" si="16">I50/I61</f>
        <v>7.6289612872453372</v>
      </c>
      <c r="J53" s="234">
        <f t="shared" si="16"/>
        <v>6.0062081481938501</v>
      </c>
    </row>
    <row r="54" spans="1:10">
      <c r="A54" s="27"/>
      <c r="B54" s="28" t="s">
        <v>44</v>
      </c>
      <c r="C54" s="68"/>
      <c r="D54" s="234">
        <f t="shared" ref="D54:E54" si="17">D50/D62</f>
        <v>4.0919836664517515</v>
      </c>
      <c r="E54" s="234">
        <f t="shared" si="17"/>
        <v>1.5394594594594595</v>
      </c>
      <c r="F54" s="234">
        <f>F50/F62</f>
        <v>5.9823542070152786</v>
      </c>
      <c r="G54" s="234">
        <f t="shared" ref="G54:H54" si="18">G50/G62</f>
        <v>5.9217635617030471</v>
      </c>
      <c r="H54" s="234">
        <f t="shared" si="18"/>
        <v>2.1487246000864677</v>
      </c>
      <c r="I54" s="234">
        <f t="shared" ref="I54:J54" si="19">I50/I62</f>
        <v>7.6289612872453372</v>
      </c>
      <c r="J54" s="234">
        <f t="shared" si="19"/>
        <v>6.0062081481938501</v>
      </c>
    </row>
    <row r="55" spans="1:10" ht="7.5" customHeight="1">
      <c r="A55" s="27"/>
      <c r="B55" s="28"/>
      <c r="C55" s="68"/>
      <c r="D55" s="234"/>
      <c r="E55" s="234"/>
      <c r="F55" s="234"/>
      <c r="G55" s="234"/>
      <c r="H55" s="234"/>
      <c r="I55" s="234"/>
      <c r="J55" s="234"/>
    </row>
    <row r="56" spans="1:10">
      <c r="A56" s="27" t="s">
        <v>207</v>
      </c>
      <c r="B56" s="28"/>
      <c r="C56" s="68"/>
      <c r="D56" s="234"/>
      <c r="E56" s="234"/>
      <c r="F56" s="234"/>
      <c r="G56" s="234"/>
      <c r="H56" s="234"/>
      <c r="I56" s="234"/>
      <c r="J56" s="234"/>
    </row>
    <row r="57" spans="1:10">
      <c r="A57" s="27"/>
      <c r="B57" s="28" t="s">
        <v>43</v>
      </c>
      <c r="C57" s="68"/>
      <c r="D57" s="234">
        <f t="shared" ref="D57:E57" si="20">D43/D61</f>
        <v>4.1158668396022478</v>
      </c>
      <c r="E57" s="234">
        <f t="shared" si="20"/>
        <v>1.546817293069737</v>
      </c>
      <c r="F57" s="234">
        <f>F43/F61</f>
        <v>6.0160138498160567</v>
      </c>
      <c r="G57" s="234">
        <f t="shared" ref="G57:H57" si="21">G43/G61</f>
        <v>5.938448201127005</v>
      </c>
      <c r="H57" s="234">
        <f t="shared" si="21"/>
        <v>2.153379549393414</v>
      </c>
      <c r="I57" s="234">
        <f t="shared" ref="I57:J57" si="22">I43/I61</f>
        <v>7.6289612872453372</v>
      </c>
      <c r="J57" s="234">
        <f t="shared" si="22"/>
        <v>6.0062081481938501</v>
      </c>
    </row>
    <row r="58" spans="1:10">
      <c r="A58" s="27"/>
      <c r="B58" s="28" t="s">
        <v>44</v>
      </c>
      <c r="C58" s="68"/>
      <c r="D58" s="234">
        <f t="shared" ref="D58:E58" si="23">D43/D62</f>
        <v>4.0919836664517515</v>
      </c>
      <c r="E58" s="234">
        <f t="shared" si="23"/>
        <v>1.5394594594594595</v>
      </c>
      <c r="F58" s="234">
        <f>F43/F62</f>
        <v>5.9823542070152786</v>
      </c>
      <c r="G58" s="234">
        <f t="shared" ref="G58:H58" si="24">G43/G62</f>
        <v>5.9217635617030471</v>
      </c>
      <c r="H58" s="234">
        <f t="shared" si="24"/>
        <v>2.1487246000864677</v>
      </c>
      <c r="I58" s="234">
        <f t="shared" ref="I58:J58" si="25">I43/I62</f>
        <v>7.6289612872453372</v>
      </c>
      <c r="J58" s="234">
        <f t="shared" si="25"/>
        <v>6.0062081481938501</v>
      </c>
    </row>
    <row r="59" spans="1:10" ht="7.5" customHeight="1">
      <c r="A59" s="27"/>
      <c r="B59" s="28"/>
      <c r="C59" s="68"/>
      <c r="D59" s="206"/>
      <c r="F59" s="206"/>
      <c r="G59" s="206"/>
      <c r="H59" s="206"/>
      <c r="I59" s="206"/>
      <c r="J59" s="206"/>
    </row>
    <row r="60" spans="1:10">
      <c r="A60" s="27" t="s">
        <v>45</v>
      </c>
      <c r="B60" s="28"/>
      <c r="C60" s="68"/>
      <c r="D60" s="206"/>
      <c r="F60" s="206"/>
      <c r="G60" s="206"/>
      <c r="H60" s="206"/>
      <c r="I60" s="206"/>
      <c r="J60" s="206"/>
    </row>
    <row r="61" spans="1:10">
      <c r="A61" s="27"/>
      <c r="B61" s="28" t="s">
        <v>43</v>
      </c>
      <c r="C61" s="68"/>
      <c r="D61" s="215">
        <v>462.6</v>
      </c>
      <c r="E61" s="216">
        <v>460.3</v>
      </c>
      <c r="F61" s="216">
        <v>462.1</v>
      </c>
      <c r="G61" s="216">
        <v>461.4</v>
      </c>
      <c r="H61" s="216">
        <v>461.6</v>
      </c>
      <c r="I61" s="216">
        <f>F66/1000000</f>
        <v>461.66180000000003</v>
      </c>
      <c r="J61" s="216">
        <f>I61</f>
        <v>461.66180000000003</v>
      </c>
    </row>
    <row r="62" spans="1:10" s="4" customFormat="1" ht="15" thickBot="1">
      <c r="B62" s="374" t="s">
        <v>44</v>
      </c>
      <c r="C62" s="15"/>
      <c r="D62" s="217">
        <v>465.3</v>
      </c>
      <c r="E62" s="219">
        <v>462.5</v>
      </c>
      <c r="F62" s="219">
        <v>464.7</v>
      </c>
      <c r="G62" s="219">
        <v>462.7</v>
      </c>
      <c r="H62" s="219">
        <v>462.6</v>
      </c>
      <c r="I62" s="216">
        <f>F67/1000000</f>
        <v>461.66180000000003</v>
      </c>
      <c r="J62" s="219">
        <f>I62</f>
        <v>461.66180000000003</v>
      </c>
    </row>
    <row r="63" spans="1:10" ht="15" thickTop="1">
      <c r="F63" s="218"/>
      <c r="I63" s="121"/>
    </row>
    <row r="64" spans="1:10">
      <c r="A64" s="503" t="s">
        <v>218</v>
      </c>
      <c r="B64" s="504"/>
      <c r="C64" s="504"/>
      <c r="D64" s="504"/>
      <c r="E64" s="504"/>
      <c r="F64" s="505"/>
    </row>
    <row r="65" spans="1:13">
      <c r="A65" s="199" t="s">
        <v>208</v>
      </c>
      <c r="B65" s="199"/>
      <c r="F65" s="244">
        <v>132.88</v>
      </c>
    </row>
    <row r="66" spans="1:13">
      <c r="A66" s="199" t="s">
        <v>209</v>
      </c>
      <c r="B66" s="199"/>
      <c r="F66" s="245">
        <v>461661800</v>
      </c>
    </row>
    <row r="67" spans="1:13">
      <c r="A67" s="373" t="s">
        <v>210</v>
      </c>
      <c r="B67" s="10"/>
      <c r="C67" s="10"/>
      <c r="D67" s="10"/>
      <c r="E67" s="10"/>
      <c r="F67" s="245">
        <v>461661800</v>
      </c>
      <c r="M67" s="103"/>
    </row>
    <row r="69" spans="1:13">
      <c r="A69" s="503" t="s">
        <v>217</v>
      </c>
      <c r="B69" s="504"/>
      <c r="C69" s="504"/>
      <c r="D69" s="504"/>
      <c r="E69" s="504"/>
      <c r="F69" s="505"/>
    </row>
    <row r="70" spans="1:13">
      <c r="A70" s="199" t="s">
        <v>211</v>
      </c>
      <c r="F70" s="244">
        <f>F65*F67/1000000</f>
        <v>61345.619983999997</v>
      </c>
    </row>
    <row r="71" spans="1:13">
      <c r="A71" s="199" t="s">
        <v>145</v>
      </c>
      <c r="F71" s="244">
        <v>1112</v>
      </c>
    </row>
    <row r="72" spans="1:13">
      <c r="A72" s="199" t="s">
        <v>220</v>
      </c>
      <c r="F72" s="244">
        <v>14883</v>
      </c>
    </row>
    <row r="73" spans="1:13">
      <c r="A73" s="199" t="s">
        <v>221</v>
      </c>
      <c r="F73" s="244">
        <v>3031</v>
      </c>
    </row>
    <row r="74" spans="1:13">
      <c r="A74" s="199" t="s">
        <v>212</v>
      </c>
      <c r="F74" s="244">
        <v>0</v>
      </c>
    </row>
    <row r="75" spans="1:13">
      <c r="A75" s="199" t="s">
        <v>213</v>
      </c>
      <c r="F75" s="244">
        <v>0</v>
      </c>
    </row>
    <row r="76" spans="1:13">
      <c r="A76" s="199" t="s">
        <v>214</v>
      </c>
      <c r="F76" s="244">
        <v>0</v>
      </c>
    </row>
    <row r="77" spans="1:13">
      <c r="A77" s="322" t="s">
        <v>215</v>
      </c>
      <c r="F77" s="244">
        <v>-1910</v>
      </c>
    </row>
    <row r="78" spans="1:13">
      <c r="A78" s="197" t="s">
        <v>216</v>
      </c>
      <c r="B78" s="198"/>
      <c r="C78" s="198"/>
      <c r="D78" s="198"/>
      <c r="E78" s="198"/>
      <c r="F78" s="313">
        <f>SUM(F70:F77)</f>
        <v>78461.61998399999</v>
      </c>
    </row>
  </sheetData>
  <mergeCells count="4">
    <mergeCell ref="C1:C2"/>
    <mergeCell ref="D6:I6"/>
    <mergeCell ref="A64:F64"/>
    <mergeCell ref="A69:F69"/>
  </mergeCells>
  <conditionalFormatting sqref="P2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9FC-53FA-4953-8DEA-3E250394978B}">
  <sheetPr>
    <tabColor theme="0"/>
  </sheetPr>
  <dimension ref="A1:N78"/>
  <sheetViews>
    <sheetView showGridLines="0" topLeftCell="A47" zoomScale="90" zoomScaleNormal="90" workbookViewId="0">
      <selection activeCell="G3" sqref="G3"/>
    </sheetView>
  </sheetViews>
  <sheetFormatPr defaultRowHeight="14.4"/>
  <cols>
    <col min="1" max="1" width="2.109375" customWidth="1"/>
    <col min="2" max="2" width="2.44140625" customWidth="1"/>
    <col min="3" max="3" width="34.44140625" customWidth="1"/>
    <col min="4" max="4" width="12.5546875" bestFit="1" customWidth="1"/>
    <col min="5" max="5" width="12.88671875" bestFit="1" customWidth="1"/>
    <col min="6" max="6" width="10.33203125" bestFit="1" customWidth="1"/>
    <col min="8" max="8" width="9.6640625" bestFit="1" customWidth="1"/>
  </cols>
  <sheetData>
    <row r="1" spans="1:14" ht="15" thickBot="1">
      <c r="C1" s="480"/>
    </row>
    <row r="2" spans="1:14" ht="15" thickBot="1">
      <c r="C2" s="480"/>
      <c r="D2" s="1" t="s">
        <v>0</v>
      </c>
      <c r="E2" s="2" t="s">
        <v>1</v>
      </c>
      <c r="G2" s="1"/>
      <c r="I2" s="1"/>
      <c r="J2" s="1"/>
      <c r="K2" s="1"/>
      <c r="N2" s="174"/>
    </row>
    <row r="3" spans="1:14" ht="15" thickBot="1">
      <c r="A3" s="13" t="s">
        <v>2</v>
      </c>
      <c r="C3" s="13"/>
      <c r="D3" s="1" t="s">
        <v>3</v>
      </c>
      <c r="E3" s="3">
        <v>45220</v>
      </c>
    </row>
    <row r="4" spans="1:14" ht="15" thickBot="1">
      <c r="A4" s="14" t="s">
        <v>4</v>
      </c>
      <c r="C4" s="14"/>
      <c r="D4" s="1" t="s">
        <v>5</v>
      </c>
      <c r="E4" s="2" t="s">
        <v>6</v>
      </c>
      <c r="G4" s="1"/>
      <c r="I4" s="1"/>
    </row>
    <row r="5" spans="1:14" s="4" customFormat="1" ht="15" thickBot="1">
      <c r="C5" s="15"/>
    </row>
    <row r="6" spans="1:14" s="11" customFormat="1" ht="15" thickTop="1">
      <c r="A6" s="190" t="s">
        <v>262</v>
      </c>
      <c r="C6" s="21"/>
      <c r="D6" s="500" t="s">
        <v>7</v>
      </c>
      <c r="E6" s="501"/>
      <c r="F6" s="501"/>
      <c r="G6" s="502"/>
      <c r="H6" s="191" t="s">
        <v>194</v>
      </c>
    </row>
    <row r="7" spans="1:14" s="12" customFormat="1" ht="15.75" customHeight="1">
      <c r="C7" s="22"/>
      <c r="D7" s="192" t="s">
        <v>190</v>
      </c>
      <c r="E7" s="192" t="s">
        <v>189</v>
      </c>
      <c r="F7" s="192" t="s">
        <v>191</v>
      </c>
      <c r="G7" s="192" t="s">
        <v>192</v>
      </c>
      <c r="H7" s="193" t="s">
        <v>193</v>
      </c>
    </row>
    <row r="8" spans="1:14" s="11" customFormat="1" ht="7.5" customHeight="1">
      <c r="A8" s="57"/>
      <c r="C8" s="16"/>
      <c r="D8" s="194"/>
      <c r="E8" s="194"/>
      <c r="F8" s="194"/>
      <c r="G8" s="195"/>
      <c r="H8" s="196"/>
    </row>
    <row r="9" spans="1:14" ht="15.75" customHeight="1">
      <c r="A9" s="27" t="s">
        <v>9</v>
      </c>
      <c r="B9" s="64"/>
      <c r="C9" s="64"/>
      <c r="D9" s="226">
        <v>206788</v>
      </c>
      <c r="E9" s="202">
        <v>282836</v>
      </c>
      <c r="F9" s="202">
        <v>221084</v>
      </c>
      <c r="G9" s="202">
        <f>E9+F9-D9</f>
        <v>297132</v>
      </c>
      <c r="H9" s="202">
        <f>G9*(1+H10)</f>
        <v>310681.21920000005</v>
      </c>
    </row>
    <row r="10" spans="1:14">
      <c r="A10" s="28"/>
      <c r="B10" s="28" t="s">
        <v>195</v>
      </c>
      <c r="C10" s="28"/>
      <c r="D10" s="224"/>
      <c r="E10" s="212"/>
      <c r="F10" s="212"/>
      <c r="G10" s="212"/>
      <c r="H10" s="312">
        <v>4.5600000000000002E-2</v>
      </c>
    </row>
    <row r="11" spans="1:14" ht="9" customHeight="1">
      <c r="A11" s="28"/>
      <c r="B11" s="28"/>
      <c r="C11" s="28"/>
      <c r="D11" s="208"/>
      <c r="E11" s="207"/>
      <c r="F11" s="206"/>
      <c r="G11" s="206"/>
      <c r="H11" s="206"/>
    </row>
    <row r="12" spans="1:14">
      <c r="A12" s="27" t="s">
        <v>253</v>
      </c>
      <c r="B12" s="28"/>
      <c r="C12" s="28"/>
      <c r="D12" s="215">
        <f>90861-11222</f>
        <v>79639</v>
      </c>
      <c r="E12" s="202">
        <f>126203-15287</f>
        <v>110916</v>
      </c>
      <c r="F12" s="202">
        <f>95757-10010</f>
        <v>85747</v>
      </c>
      <c r="G12" s="216">
        <f>E12+F12-D12</f>
        <v>117024</v>
      </c>
      <c r="H12" s="202">
        <f>H13*H9</f>
        <v>121835.6860823488</v>
      </c>
    </row>
    <row r="13" spans="1:14">
      <c r="A13" s="27"/>
      <c r="B13" s="28" t="s">
        <v>196</v>
      </c>
      <c r="C13" s="28"/>
      <c r="D13" s="224">
        <f>D12/D9</f>
        <v>0.38512389500357852</v>
      </c>
      <c r="E13" s="212">
        <f>E12/E9</f>
        <v>0.39215658544174009</v>
      </c>
      <c r="F13" s="211">
        <f>F12/F9</f>
        <v>0.38784805775180475</v>
      </c>
      <c r="G13" s="212">
        <f>G12/G9</f>
        <v>0.39384515972699002</v>
      </c>
      <c r="H13" s="238">
        <f>E13</f>
        <v>0.39215658544174009</v>
      </c>
    </row>
    <row r="14" spans="1:14" ht="9" customHeight="1">
      <c r="A14" s="27"/>
      <c r="B14" s="28"/>
      <c r="C14" s="28"/>
      <c r="D14" s="210"/>
      <c r="E14" s="227"/>
      <c r="F14" s="206"/>
      <c r="G14" s="236"/>
      <c r="H14" s="206"/>
    </row>
    <row r="15" spans="1:14">
      <c r="A15" s="27" t="s">
        <v>197</v>
      </c>
      <c r="B15" s="28"/>
      <c r="C15" s="28"/>
      <c r="D15" s="225">
        <f>D9-D12</f>
        <v>127149</v>
      </c>
      <c r="E15" s="204">
        <f>E9-E12</f>
        <v>171920</v>
      </c>
      <c r="F15" s="204">
        <f>F9-F12</f>
        <v>135337</v>
      </c>
      <c r="G15" s="204">
        <f>G9-G12</f>
        <v>180108</v>
      </c>
      <c r="H15" s="204">
        <f>H9-H12</f>
        <v>188845.53311765124</v>
      </c>
    </row>
    <row r="16" spans="1:14">
      <c r="A16" s="28"/>
      <c r="B16" s="28" t="s">
        <v>17</v>
      </c>
      <c r="C16" s="201"/>
      <c r="D16" s="224">
        <f>D15/D9</f>
        <v>0.61487610499642142</v>
      </c>
      <c r="E16" s="212">
        <f>E15/E9</f>
        <v>0.60784341455825996</v>
      </c>
      <c r="F16" s="212">
        <f>F15/F9</f>
        <v>0.61215194224819525</v>
      </c>
      <c r="G16" s="212">
        <f>G15/G9</f>
        <v>0.60615484027300992</v>
      </c>
      <c r="H16" s="212">
        <f>H15/H9</f>
        <v>0.60784341455825985</v>
      </c>
      <c r="J16" s="103"/>
      <c r="K16" s="103"/>
    </row>
    <row r="17" spans="1:13" ht="7.5" customHeight="1">
      <c r="A17" s="27"/>
      <c r="B17" s="28"/>
      <c r="C17" s="27"/>
      <c r="D17" s="208"/>
      <c r="E17" s="209"/>
      <c r="F17" s="206"/>
      <c r="G17" s="206"/>
      <c r="H17" s="206"/>
    </row>
    <row r="18" spans="1:13">
      <c r="A18" s="27" t="s">
        <v>18</v>
      </c>
      <c r="B18" s="28"/>
      <c r="C18" s="28"/>
      <c r="D18" s="225">
        <f>59245-505</f>
        <v>58740</v>
      </c>
      <c r="E18" s="203">
        <f>81791-641</f>
        <v>81150</v>
      </c>
      <c r="F18" s="204">
        <f>64731-373</f>
        <v>64358</v>
      </c>
      <c r="G18" s="204">
        <f>E18+F18-D18</f>
        <v>86768</v>
      </c>
      <c r="H18" s="204">
        <f>H19*H9</f>
        <v>89139.22180373079</v>
      </c>
      <c r="J18" s="314"/>
    </row>
    <row r="19" spans="1:13">
      <c r="A19" s="27"/>
      <c r="B19" s="28" t="s">
        <v>198</v>
      </c>
      <c r="C19" s="28"/>
      <c r="D19" s="224">
        <f>D18/D9</f>
        <v>0.28405903630771612</v>
      </c>
      <c r="E19" s="212">
        <f>E18/E9</f>
        <v>0.28691538559447877</v>
      </c>
      <c r="F19" s="212">
        <f>F18/F9</f>
        <v>0.29110202456984674</v>
      </c>
      <c r="G19" s="212">
        <f>G18/G9</f>
        <v>0.29201836220938843</v>
      </c>
      <c r="H19" s="239">
        <f>E19</f>
        <v>0.28691538559447877</v>
      </c>
      <c r="J19" s="314"/>
      <c r="M19" s="103"/>
    </row>
    <row r="20" spans="1:13" ht="10.5" customHeight="1">
      <c r="A20" s="27"/>
      <c r="B20" s="28"/>
      <c r="C20" s="28"/>
      <c r="D20" s="208"/>
      <c r="E20" s="209"/>
      <c r="F20" s="206"/>
      <c r="G20" s="206"/>
      <c r="H20" s="206"/>
      <c r="L20" s="314"/>
    </row>
    <row r="21" spans="1:13">
      <c r="A21" s="27" t="s">
        <v>20</v>
      </c>
      <c r="B21" s="28"/>
      <c r="C21" s="28"/>
      <c r="D21" s="228">
        <f>D15-D18</f>
        <v>68409</v>
      </c>
      <c r="E21" s="204">
        <f>E15-E18</f>
        <v>90770</v>
      </c>
      <c r="F21" s="232">
        <f>F15-F18</f>
        <v>70979</v>
      </c>
      <c r="G21" s="233">
        <f>G15-G18</f>
        <v>93340</v>
      </c>
      <c r="H21" s="241">
        <f>H15-H18</f>
        <v>99706.311313920451</v>
      </c>
      <c r="M21" s="103"/>
    </row>
    <row r="22" spans="1:13">
      <c r="A22" s="28"/>
      <c r="B22" s="28" t="s">
        <v>21</v>
      </c>
      <c r="C22" s="201"/>
      <c r="D22" s="224">
        <f>D21/D9</f>
        <v>0.33081706868870536</v>
      </c>
      <c r="E22" s="212">
        <f>E21/E9</f>
        <v>0.32092802896378114</v>
      </c>
      <c r="F22" s="212">
        <f>F21/F9</f>
        <v>0.32104991767834851</v>
      </c>
      <c r="G22" s="212">
        <f>G21/G9</f>
        <v>0.31413647806362155</v>
      </c>
      <c r="H22" s="239">
        <f>H21/H9</f>
        <v>0.32092802896378114</v>
      </c>
    </row>
    <row r="23" spans="1:13" ht="8.25" customHeight="1">
      <c r="A23" s="27"/>
      <c r="B23" s="28"/>
      <c r="C23" s="27"/>
      <c r="D23" s="208"/>
      <c r="E23" s="209"/>
      <c r="F23" s="206"/>
      <c r="G23" s="206"/>
      <c r="H23" s="206"/>
    </row>
    <row r="24" spans="1:13">
      <c r="A24" s="28" t="s">
        <v>22</v>
      </c>
      <c r="B24" s="28"/>
      <c r="C24" s="28"/>
      <c r="D24" s="215">
        <v>11727</v>
      </c>
      <c r="E24" s="216">
        <v>15928</v>
      </c>
      <c r="F24">
        <v>10383</v>
      </c>
      <c r="G24" s="216">
        <f>E24+F24-D24</f>
        <v>14584</v>
      </c>
      <c r="H24" s="240">
        <f>H25*H9</f>
        <v>17496.11244472981</v>
      </c>
    </row>
    <row r="25" spans="1:13">
      <c r="A25" s="27"/>
      <c r="B25" s="28" t="s">
        <v>199</v>
      </c>
      <c r="C25" s="28"/>
      <c r="D25" s="229">
        <f>D24/D9</f>
        <v>5.6710253979921466E-2</v>
      </c>
      <c r="E25" s="211">
        <f>E24/E9</f>
        <v>5.6315320539111001E-2</v>
      </c>
      <c r="F25" s="211">
        <f>F24/F9</f>
        <v>4.6964049863400338E-2</v>
      </c>
      <c r="G25" s="212">
        <f>G24/G9</f>
        <v>4.908256263209617E-2</v>
      </c>
      <c r="H25" s="238">
        <f>E25</f>
        <v>5.6315320539111001E-2</v>
      </c>
    </row>
    <row r="26" spans="1:13" ht="7.5" customHeight="1">
      <c r="A26" s="27"/>
      <c r="B26" s="28"/>
      <c r="C26" s="28"/>
      <c r="D26" s="208"/>
      <c r="E26" s="206"/>
      <c r="F26" s="206"/>
      <c r="G26" s="235"/>
      <c r="H26" s="206"/>
    </row>
    <row r="27" spans="1:13">
      <c r="A27" s="27" t="s">
        <v>23</v>
      </c>
      <c r="B27" s="28"/>
      <c r="C27" s="201"/>
      <c r="D27" s="228">
        <f>D21-D24</f>
        <v>56682</v>
      </c>
      <c r="E27" s="203">
        <f>E21-E24</f>
        <v>74842</v>
      </c>
      <c r="F27" s="203">
        <f>F21-F24</f>
        <v>60596</v>
      </c>
      <c r="G27" s="204">
        <f>G21-G24</f>
        <v>78756</v>
      </c>
      <c r="H27" s="241">
        <f>H21-H24</f>
        <v>82210.198869190644</v>
      </c>
    </row>
    <row r="28" spans="1:13">
      <c r="A28" s="28"/>
      <c r="B28" s="28" t="s">
        <v>24</v>
      </c>
      <c r="C28" s="200"/>
      <c r="D28" s="230">
        <f>D27/D9</f>
        <v>0.2741068147087839</v>
      </c>
      <c r="E28" s="213">
        <f>E27/E9</f>
        <v>0.26461270842467011</v>
      </c>
      <c r="F28" s="213">
        <f>F27/F9</f>
        <v>0.27408586781494815</v>
      </c>
      <c r="G28" s="213">
        <f>G27/G9</f>
        <v>0.2650539154315254</v>
      </c>
      <c r="H28" s="213">
        <f>H27/H9</f>
        <v>0.26461270842467016</v>
      </c>
    </row>
    <row r="29" spans="1:13" ht="8.25" customHeight="1">
      <c r="A29" s="28"/>
      <c r="B29" s="28"/>
      <c r="C29" s="68"/>
      <c r="D29" s="206"/>
      <c r="E29" s="206"/>
      <c r="F29" s="204"/>
      <c r="G29" s="206"/>
      <c r="H29" s="206"/>
    </row>
    <row r="30" spans="1:13">
      <c r="A30" s="27" t="s">
        <v>200</v>
      </c>
      <c r="B30" s="28"/>
      <c r="C30" s="200"/>
      <c r="D30" s="225">
        <v>2501</v>
      </c>
      <c r="E30" s="203">
        <v>3514</v>
      </c>
      <c r="F30" s="204">
        <v>-709</v>
      </c>
      <c r="G30" s="204">
        <f>E30+F30-D30</f>
        <v>304</v>
      </c>
      <c r="H30" s="204">
        <f>E30</f>
        <v>3514</v>
      </c>
    </row>
    <row r="31" spans="1:13" ht="7.5" customHeight="1">
      <c r="A31" s="28"/>
      <c r="B31" s="28"/>
      <c r="C31" s="68"/>
      <c r="D31" s="206"/>
      <c r="E31" s="209"/>
      <c r="F31" s="204"/>
      <c r="G31" s="206"/>
      <c r="H31" s="206"/>
    </row>
    <row r="32" spans="1:13">
      <c r="A32" s="27" t="s">
        <v>25</v>
      </c>
      <c r="B32" s="28"/>
      <c r="C32" s="68"/>
      <c r="D32" s="206"/>
      <c r="E32" s="209"/>
      <c r="F32" s="206"/>
      <c r="G32" s="206"/>
      <c r="H32" s="206"/>
    </row>
    <row r="33" spans="1:8">
      <c r="A33" s="27"/>
      <c r="B33" s="28" t="s">
        <v>26</v>
      </c>
      <c r="C33" s="68"/>
      <c r="D33" s="216">
        <v>0</v>
      </c>
      <c r="E33" s="216">
        <v>0</v>
      </c>
      <c r="F33" s="216">
        <v>0</v>
      </c>
      <c r="G33" s="216">
        <v>0</v>
      </c>
      <c r="H33" s="216">
        <v>0</v>
      </c>
    </row>
    <row r="34" spans="1:8">
      <c r="A34" s="28"/>
      <c r="B34" s="28" t="s">
        <v>201</v>
      </c>
      <c r="C34" s="68"/>
      <c r="D34" s="311">
        <v>0</v>
      </c>
      <c r="E34" s="311">
        <v>0</v>
      </c>
      <c r="F34" s="311">
        <v>0</v>
      </c>
      <c r="G34" s="311">
        <v>0</v>
      </c>
      <c r="H34" s="311">
        <v>0</v>
      </c>
    </row>
    <row r="35" spans="1:8">
      <c r="A35" s="28"/>
      <c r="B35" s="27" t="s">
        <v>28</v>
      </c>
      <c r="C35" s="200"/>
      <c r="D35" s="231">
        <f>SUM(D33:D34)</f>
        <v>0</v>
      </c>
      <c r="E35" s="205">
        <f>SUM(E33:E34)</f>
        <v>0</v>
      </c>
      <c r="F35" s="205">
        <f>SUM(F33:F34)</f>
        <v>0</v>
      </c>
      <c r="G35" s="205">
        <f>SUM(G33:G34)</f>
        <v>0</v>
      </c>
      <c r="H35" s="205">
        <f>SUM(H33:H34)</f>
        <v>0</v>
      </c>
    </row>
    <row r="36" spans="1:8" ht="11.25" customHeight="1">
      <c r="B36" s="28"/>
      <c r="C36" s="28"/>
      <c r="D36" s="210"/>
      <c r="E36" s="209"/>
      <c r="F36" s="206"/>
      <c r="G36" s="206"/>
      <c r="H36" s="206"/>
    </row>
    <row r="37" spans="1:8">
      <c r="A37" s="139" t="s">
        <v>29</v>
      </c>
      <c r="B37" s="28"/>
      <c r="C37" s="31"/>
      <c r="D37" s="228">
        <f>D27-D30-D35</f>
        <v>54181</v>
      </c>
      <c r="E37" s="203">
        <f>E27-E30-E35</f>
        <v>71328</v>
      </c>
      <c r="F37" s="233">
        <f>F27-F30-F35</f>
        <v>61305</v>
      </c>
      <c r="G37" s="233">
        <f>G27-G30-G35</f>
        <v>78452</v>
      </c>
      <c r="H37" s="233">
        <f>H27-H30-H35</f>
        <v>78696.198869190644</v>
      </c>
    </row>
    <row r="38" spans="1:8">
      <c r="B38" s="28" t="s">
        <v>30</v>
      </c>
      <c r="C38" s="31"/>
      <c r="D38" s="214">
        <f>D37/D9</f>
        <v>0.26201230245468787</v>
      </c>
      <c r="E38" s="214">
        <f>E37/E9</f>
        <v>0.25218854742677738</v>
      </c>
      <c r="F38" s="214">
        <f>F37/F9</f>
        <v>0.27729279368927645</v>
      </c>
      <c r="G38" s="214">
        <f>G37/G9</f>
        <v>0.26403080112542576</v>
      </c>
      <c r="H38" s="214">
        <f>H37/H9</f>
        <v>0.25330207944925764</v>
      </c>
    </row>
    <row r="39" spans="1:8" ht="9" customHeight="1">
      <c r="A39" s="28"/>
      <c r="B39" s="28"/>
      <c r="C39" s="68"/>
      <c r="D39" s="206"/>
      <c r="E39" s="209"/>
      <c r="F39" s="206"/>
      <c r="G39" s="206"/>
      <c r="H39" s="206"/>
    </row>
    <row r="40" spans="1:8">
      <c r="A40" s="28" t="s">
        <v>31</v>
      </c>
      <c r="B40" s="27"/>
      <c r="C40" s="68"/>
      <c r="D40" s="202">
        <v>7833</v>
      </c>
      <c r="E40" s="202">
        <v>11356</v>
      </c>
      <c r="F40" s="202">
        <v>8197</v>
      </c>
      <c r="G40" s="237">
        <f>E40+F40-D40</f>
        <v>11720</v>
      </c>
      <c r="H40" s="240">
        <f>H41*H37</f>
        <v>12529.077422029623</v>
      </c>
    </row>
    <row r="41" spans="1:8">
      <c r="B41" s="28" t="s">
        <v>202</v>
      </c>
      <c r="C41" s="31"/>
      <c r="D41" s="213">
        <f>D40/D37</f>
        <v>0.1445709750650597</v>
      </c>
      <c r="E41" s="213">
        <f>E40/E37</f>
        <v>0.1592081650964558</v>
      </c>
      <c r="F41" s="213">
        <f>F40/F37</f>
        <v>0.13370850664709241</v>
      </c>
      <c r="G41" s="213">
        <f>G40/G37</f>
        <v>0.14939071024320605</v>
      </c>
      <c r="H41" s="238">
        <f>E41</f>
        <v>0.1592081650964558</v>
      </c>
    </row>
    <row r="42" spans="1:8" ht="6" customHeight="1">
      <c r="A42" s="139"/>
      <c r="B42" s="28"/>
      <c r="C42" s="31"/>
      <c r="D42" s="206"/>
      <c r="E42" s="209"/>
      <c r="F42" s="206"/>
      <c r="G42" s="206"/>
      <c r="H42" s="206"/>
    </row>
    <row r="43" spans="1:8">
      <c r="A43" s="139" t="s">
        <v>33</v>
      </c>
      <c r="B43" s="28"/>
      <c r="C43" s="28"/>
      <c r="D43" s="228">
        <f>D37-D40</f>
        <v>46348</v>
      </c>
      <c r="E43" s="203">
        <f>E37-E40</f>
        <v>59972</v>
      </c>
      <c r="F43" s="233">
        <f>F37-F40</f>
        <v>53108</v>
      </c>
      <c r="G43" s="233">
        <f>G37-G40</f>
        <v>66732</v>
      </c>
      <c r="H43" s="241">
        <f>H37-H40</f>
        <v>66167.121447161015</v>
      </c>
    </row>
    <row r="44" spans="1:8" ht="9" customHeight="1">
      <c r="A44" s="28"/>
      <c r="B44" s="28"/>
      <c r="C44" s="68"/>
      <c r="D44" s="206"/>
      <c r="E44" s="209"/>
      <c r="F44" s="206"/>
      <c r="G44" s="206"/>
      <c r="H44" s="206"/>
    </row>
    <row r="45" spans="1:8">
      <c r="A45" s="28"/>
      <c r="B45" s="28" t="s">
        <v>203</v>
      </c>
      <c r="C45" s="68"/>
      <c r="D45" s="202">
        <v>0</v>
      </c>
      <c r="E45" s="202">
        <v>0</v>
      </c>
      <c r="F45" s="202">
        <v>0</v>
      </c>
      <c r="G45" s="202">
        <v>0</v>
      </c>
      <c r="H45" s="202">
        <v>0</v>
      </c>
    </row>
    <row r="46" spans="1:8">
      <c r="B46" s="28" t="s">
        <v>204</v>
      </c>
      <c r="C46" s="31"/>
      <c r="D46" s="202">
        <v>0</v>
      </c>
      <c r="E46" s="202">
        <v>0</v>
      </c>
      <c r="F46" s="202">
        <v>0</v>
      </c>
      <c r="G46" s="202">
        <v>0</v>
      </c>
      <c r="H46" s="202">
        <v>0</v>
      </c>
    </row>
    <row r="47" spans="1:8">
      <c r="A47" s="28"/>
      <c r="B47" s="28" t="s">
        <v>219</v>
      </c>
      <c r="C47" s="68"/>
      <c r="D47" s="202">
        <v>0</v>
      </c>
      <c r="E47" s="202">
        <v>0</v>
      </c>
      <c r="F47" s="202">
        <v>0</v>
      </c>
      <c r="G47" s="202">
        <v>0</v>
      </c>
      <c r="H47" s="202">
        <v>0</v>
      </c>
    </row>
    <row r="48" spans="1:8">
      <c r="A48" s="28"/>
      <c r="B48" s="28" t="s">
        <v>150</v>
      </c>
      <c r="C48" s="68"/>
      <c r="D48" s="202">
        <v>0</v>
      </c>
      <c r="E48" s="202">
        <v>0</v>
      </c>
      <c r="F48" s="202">
        <v>0</v>
      </c>
      <c r="G48" s="202">
        <v>0</v>
      </c>
      <c r="H48" s="202">
        <v>0</v>
      </c>
    </row>
    <row r="49" spans="1:8" ht="9.75" customHeight="1">
      <c r="B49" s="28"/>
      <c r="C49" s="31"/>
      <c r="D49" s="206"/>
      <c r="E49" s="206"/>
      <c r="F49" s="206"/>
      <c r="G49" s="206"/>
      <c r="H49" s="206"/>
    </row>
    <row r="50" spans="1:8" ht="15" thickBot="1">
      <c r="A50" s="139" t="s">
        <v>205</v>
      </c>
      <c r="B50" s="28"/>
      <c r="C50" s="31"/>
      <c r="D50" s="223">
        <f>D43-SUM(D45:D48)</f>
        <v>46348</v>
      </c>
      <c r="E50" s="223">
        <f>E43-SUM(E45:E48)</f>
        <v>59972</v>
      </c>
      <c r="F50" s="223">
        <f>F43-SUM(F45:F48)</f>
        <v>53108</v>
      </c>
      <c r="G50" s="223">
        <f>G43-SUM(G45:G48)</f>
        <v>66732</v>
      </c>
      <c r="H50" s="223">
        <f>H43-SUM(H45:H48)</f>
        <v>66167.121447161015</v>
      </c>
    </row>
    <row r="51" spans="1:8" ht="9.75" customHeight="1">
      <c r="B51" s="28"/>
      <c r="C51" s="31"/>
      <c r="D51" s="206"/>
      <c r="E51" s="206"/>
      <c r="F51" s="206"/>
      <c r="G51" s="206"/>
      <c r="H51" s="206"/>
    </row>
    <row r="52" spans="1:8">
      <c r="A52" s="27" t="s">
        <v>206</v>
      </c>
      <c r="B52" s="28"/>
      <c r="C52" s="68"/>
      <c r="D52" s="206"/>
      <c r="E52" s="206"/>
      <c r="F52" s="206"/>
      <c r="G52" s="206"/>
      <c r="H52" s="206"/>
    </row>
    <row r="53" spans="1:8">
      <c r="A53" s="27"/>
      <c r="B53" s="28" t="s">
        <v>43</v>
      </c>
      <c r="C53" s="68"/>
      <c r="D53" s="234">
        <f>D50/D61</f>
        <v>3.5732017577673272</v>
      </c>
      <c r="E53" s="234">
        <f>E50/E61</f>
        <v>4.6674449373492104</v>
      </c>
      <c r="F53" s="234">
        <f>F50/F61</f>
        <v>4.2347500199346149</v>
      </c>
      <c r="G53" s="234">
        <f>G50/G61</f>
        <v>5.3211067697950725</v>
      </c>
      <c r="H53" s="234">
        <f>H50/H61</f>
        <v>5.2866028641068246</v>
      </c>
    </row>
    <row r="54" spans="1:8">
      <c r="A54" s="27"/>
      <c r="B54" s="28" t="s">
        <v>44</v>
      </c>
      <c r="C54" s="68"/>
      <c r="D54" s="234">
        <f>D50/D62</f>
        <v>3.5732017577673272</v>
      </c>
      <c r="E54" s="234">
        <f>E50/E62</f>
        <v>4.6674449373492104</v>
      </c>
      <c r="F54" s="234">
        <f>F50/F62</f>
        <v>4.2347500199346149</v>
      </c>
      <c r="G54" s="234">
        <f>G50/G62</f>
        <v>5.3211067697950725</v>
      </c>
      <c r="H54" s="234">
        <f>H50/H62</f>
        <v>5.2866028641068246</v>
      </c>
    </row>
    <row r="55" spans="1:8" ht="7.5" customHeight="1">
      <c r="A55" s="27"/>
      <c r="B55" s="28"/>
      <c r="C55" s="68"/>
      <c r="D55" s="234"/>
      <c r="E55" s="234"/>
      <c r="F55" s="234"/>
      <c r="G55" s="234"/>
      <c r="H55" s="234"/>
    </row>
    <row r="56" spans="1:8">
      <c r="A56" s="27" t="s">
        <v>207</v>
      </c>
      <c r="B56" s="28"/>
      <c r="C56" s="68"/>
      <c r="D56" s="234"/>
      <c r="E56" s="234"/>
      <c r="F56" s="234"/>
      <c r="G56" s="234"/>
      <c r="H56" s="234"/>
    </row>
    <row r="57" spans="1:8">
      <c r="A57" s="27"/>
      <c r="B57" s="28" t="s">
        <v>43</v>
      </c>
      <c r="C57" s="68"/>
      <c r="D57" s="234">
        <f>D50/D61</f>
        <v>3.5732017577673272</v>
      </c>
      <c r="E57" s="234">
        <f>E50/E61</f>
        <v>4.6674449373492104</v>
      </c>
      <c r="F57" s="234">
        <f>F50/F61</f>
        <v>4.2347500199346149</v>
      </c>
      <c r="G57" s="234">
        <f>G50/G61</f>
        <v>5.3211067697950725</v>
      </c>
      <c r="H57" s="234">
        <f>H50/H61</f>
        <v>5.2866028641068246</v>
      </c>
    </row>
    <row r="58" spans="1:8">
      <c r="A58" s="27"/>
      <c r="B58" s="28" t="s">
        <v>44</v>
      </c>
      <c r="C58" s="68"/>
      <c r="D58" s="234">
        <f>D50/D62</f>
        <v>3.5732017577673272</v>
      </c>
      <c r="E58" s="234">
        <f>E50/E62</f>
        <v>4.6674449373492104</v>
      </c>
      <c r="F58" s="234">
        <f>F50/F62</f>
        <v>4.2347500199346149</v>
      </c>
      <c r="G58" s="234">
        <f>G50/G62</f>
        <v>5.3211067697950725</v>
      </c>
      <c r="H58" s="234">
        <f>H50/H62</f>
        <v>5.2866028641068246</v>
      </c>
    </row>
    <row r="59" spans="1:8" ht="7.5" customHeight="1">
      <c r="A59" s="27"/>
      <c r="B59" s="28"/>
      <c r="C59" s="68"/>
      <c r="D59" s="206"/>
      <c r="E59" s="206"/>
      <c r="F59" s="206"/>
      <c r="G59" s="206"/>
      <c r="H59" s="206"/>
    </row>
    <row r="60" spans="1:8">
      <c r="A60" s="27" t="s">
        <v>45</v>
      </c>
      <c r="B60" s="28"/>
      <c r="C60" s="68"/>
      <c r="D60" s="206"/>
      <c r="E60" s="206"/>
      <c r="F60" s="206"/>
      <c r="G60" s="206"/>
      <c r="H60" s="206"/>
    </row>
    <row r="61" spans="1:8">
      <c r="A61" s="27"/>
      <c r="B61" t="s">
        <v>43</v>
      </c>
      <c r="C61" s="68"/>
      <c r="D61" s="215">
        <v>12971</v>
      </c>
      <c r="E61" s="216">
        <v>12849</v>
      </c>
      <c r="F61" s="216">
        <v>12541</v>
      </c>
      <c r="G61" s="216">
        <f>F61</f>
        <v>12541</v>
      </c>
      <c r="H61" s="216">
        <f>E66/1000000</f>
        <v>12516</v>
      </c>
    </row>
    <row r="62" spans="1:8" s="4" customFormat="1" ht="15" thickBot="1">
      <c r="B62" s="4" t="s">
        <v>44</v>
      </c>
      <c r="C62" s="15"/>
      <c r="D62" s="217">
        <v>12971</v>
      </c>
      <c r="E62" s="216">
        <v>12849</v>
      </c>
      <c r="F62" s="219">
        <v>12541</v>
      </c>
      <c r="G62" s="216">
        <f>F62</f>
        <v>12541</v>
      </c>
      <c r="H62" s="219">
        <f>E67/1000000</f>
        <v>12516</v>
      </c>
    </row>
    <row r="63" spans="1:8" ht="15" thickTop="1">
      <c r="E63" s="218"/>
      <c r="G63" s="121"/>
    </row>
    <row r="64" spans="1:8">
      <c r="A64" s="503" t="s">
        <v>218</v>
      </c>
      <c r="B64" s="504"/>
      <c r="C64" s="504"/>
      <c r="D64" s="504"/>
      <c r="E64" s="505"/>
    </row>
    <row r="65" spans="1:5">
      <c r="A65" s="199" t="s">
        <v>208</v>
      </c>
      <c r="B65" s="199"/>
      <c r="E65" s="244">
        <v>131.86000000000001</v>
      </c>
    </row>
    <row r="66" spans="1:5">
      <c r="A66" s="199" t="s">
        <v>209</v>
      </c>
      <c r="B66" s="199"/>
      <c r="E66" s="245">
        <v>12516000000</v>
      </c>
    </row>
    <row r="67" spans="1:5">
      <c r="A67" s="373" t="s">
        <v>210</v>
      </c>
      <c r="B67" s="10"/>
      <c r="C67" s="10"/>
      <c r="D67" s="10"/>
      <c r="E67" s="245">
        <f>SUM(E66:E66)</f>
        <v>12516000000</v>
      </c>
    </row>
    <row r="69" spans="1:5">
      <c r="A69" s="503" t="s">
        <v>217</v>
      </c>
      <c r="B69" s="504"/>
      <c r="C69" s="504"/>
      <c r="D69" s="504"/>
      <c r="E69" s="505"/>
    </row>
    <row r="70" spans="1:5">
      <c r="A70" s="199" t="s">
        <v>211</v>
      </c>
      <c r="E70" s="244">
        <f>(E65*E67)/1000000</f>
        <v>1650359.7600000002</v>
      </c>
    </row>
    <row r="71" spans="1:5">
      <c r="A71" s="199" t="s">
        <v>145</v>
      </c>
      <c r="E71" s="244">
        <v>0</v>
      </c>
    </row>
    <row r="72" spans="1:5">
      <c r="A72" s="199" t="s">
        <v>220</v>
      </c>
      <c r="E72" s="244">
        <v>13781</v>
      </c>
    </row>
    <row r="73" spans="1:5">
      <c r="A73" s="199" t="s">
        <v>221</v>
      </c>
      <c r="E73" s="244">
        <v>12550</v>
      </c>
    </row>
    <row r="74" spans="1:5">
      <c r="A74" s="199" t="s">
        <v>212</v>
      </c>
      <c r="E74" s="244">
        <v>0</v>
      </c>
    </row>
    <row r="75" spans="1:5">
      <c r="A75" s="199" t="s">
        <v>213</v>
      </c>
      <c r="E75" s="244">
        <v>0</v>
      </c>
    </row>
    <row r="76" spans="1:5">
      <c r="A76" s="199" t="s">
        <v>214</v>
      </c>
      <c r="E76" s="244">
        <v>0</v>
      </c>
    </row>
    <row r="77" spans="1:5">
      <c r="A77" s="322" t="s">
        <v>215</v>
      </c>
      <c r="E77" s="244">
        <v>-30702</v>
      </c>
    </row>
    <row r="78" spans="1:5">
      <c r="A78" s="197" t="s">
        <v>216</v>
      </c>
      <c r="B78" s="198"/>
      <c r="C78" s="198"/>
      <c r="D78" s="198"/>
      <c r="E78" s="313">
        <f>SUM(E70:E77)</f>
        <v>1645988.7600000002</v>
      </c>
    </row>
  </sheetData>
  <mergeCells count="4">
    <mergeCell ref="C1:C2"/>
    <mergeCell ref="D6:G6"/>
    <mergeCell ref="A64:E64"/>
    <mergeCell ref="A69:E69"/>
  </mergeCells>
  <conditionalFormatting sqref="N2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ignoredErrors>
    <ignoredError sqref="E67" formulaRange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B298-DAA3-42B8-BC8F-2AB313379126}">
  <sheetPr>
    <tabColor theme="0"/>
  </sheetPr>
  <dimension ref="A1:N78"/>
  <sheetViews>
    <sheetView showGridLines="0" topLeftCell="A30" zoomScale="90" zoomScaleNormal="90" workbookViewId="0">
      <selection activeCell="G3" sqref="G3"/>
    </sheetView>
  </sheetViews>
  <sheetFormatPr defaultRowHeight="14.4"/>
  <cols>
    <col min="1" max="1" width="2.109375" customWidth="1"/>
    <col min="2" max="2" width="2.44140625" customWidth="1"/>
    <col min="3" max="3" width="34.44140625" customWidth="1"/>
    <col min="4" max="4" width="12.5546875" bestFit="1" customWidth="1"/>
    <col min="5" max="5" width="12.88671875" bestFit="1" customWidth="1"/>
    <col min="6" max="6" width="10.33203125" bestFit="1" customWidth="1"/>
    <col min="8" max="8" width="9.6640625" bestFit="1" customWidth="1"/>
  </cols>
  <sheetData>
    <row r="1" spans="1:14" ht="15" thickBot="1">
      <c r="C1" s="480"/>
    </row>
    <row r="2" spans="1:14" ht="15" thickBot="1">
      <c r="C2" s="480"/>
      <c r="D2" s="1" t="s">
        <v>0</v>
      </c>
      <c r="E2" s="2" t="s">
        <v>1</v>
      </c>
      <c r="G2" s="1"/>
      <c r="I2" s="1"/>
      <c r="J2" s="1"/>
      <c r="K2" s="1"/>
      <c r="N2" s="174"/>
    </row>
    <row r="3" spans="1:14" ht="15" thickBot="1">
      <c r="A3" s="13" t="s">
        <v>2</v>
      </c>
      <c r="C3" s="13"/>
      <c r="D3" s="1" t="s">
        <v>3</v>
      </c>
      <c r="E3" s="3">
        <v>45220</v>
      </c>
    </row>
    <row r="4" spans="1:14" ht="15" thickBot="1">
      <c r="A4" s="14" t="s">
        <v>4</v>
      </c>
      <c r="C4" s="14"/>
      <c r="D4" s="1" t="s">
        <v>5</v>
      </c>
      <c r="E4" s="2" t="s">
        <v>6</v>
      </c>
      <c r="G4" s="1"/>
      <c r="I4" s="1"/>
    </row>
    <row r="5" spans="1:14" s="4" customFormat="1" ht="15" thickBot="1">
      <c r="C5" s="15"/>
    </row>
    <row r="6" spans="1:14" s="11" customFormat="1" ht="15" thickTop="1">
      <c r="A6" s="190" t="s">
        <v>263</v>
      </c>
      <c r="C6" s="21"/>
      <c r="D6" s="500" t="s">
        <v>7</v>
      </c>
      <c r="E6" s="501"/>
      <c r="F6" s="501"/>
      <c r="G6" s="502"/>
      <c r="H6" s="191" t="s">
        <v>194</v>
      </c>
    </row>
    <row r="7" spans="1:14" s="12" customFormat="1" ht="15.75" customHeight="1">
      <c r="C7" s="22"/>
      <c r="D7" s="192" t="s">
        <v>190</v>
      </c>
      <c r="E7" s="192" t="s">
        <v>189</v>
      </c>
      <c r="F7" s="192" t="s">
        <v>191</v>
      </c>
      <c r="G7" s="192" t="s">
        <v>192</v>
      </c>
      <c r="H7" s="193" t="s">
        <v>193</v>
      </c>
    </row>
    <row r="8" spans="1:14" s="11" customFormat="1" ht="7.5" customHeight="1">
      <c r="A8" s="57"/>
      <c r="C8" s="16"/>
      <c r="D8" s="194"/>
      <c r="E8" s="194"/>
      <c r="F8" s="315"/>
      <c r="G8" s="195"/>
      <c r="H8" s="196"/>
    </row>
    <row r="9" spans="1:14" ht="15.75" customHeight="1">
      <c r="A9" s="27" t="s">
        <v>9</v>
      </c>
      <c r="B9" s="64"/>
      <c r="C9" s="64"/>
      <c r="D9" s="226">
        <f>23763497/1000</f>
        <v>23763.496999999999</v>
      </c>
      <c r="E9" s="202">
        <f>31615550/1000</f>
        <v>31615.55</v>
      </c>
      <c r="F9" s="216">
        <f>24890472/1000</f>
        <v>24890.472000000002</v>
      </c>
      <c r="G9" s="202">
        <f>E9+F9-D9</f>
        <v>32742.524999999998</v>
      </c>
      <c r="H9" s="202">
        <f>G9*(1+H10)</f>
        <v>36016.777500000004</v>
      </c>
    </row>
    <row r="10" spans="1:14">
      <c r="A10" s="28"/>
      <c r="B10" s="28" t="s">
        <v>195</v>
      </c>
      <c r="C10" s="28"/>
      <c r="D10" s="224"/>
      <c r="E10" s="212"/>
      <c r="F10" s="212"/>
      <c r="G10" s="212"/>
      <c r="H10" s="312">
        <v>0.1</v>
      </c>
    </row>
    <row r="11" spans="1:14" ht="9" customHeight="1">
      <c r="A11" s="28"/>
      <c r="B11" s="28"/>
      <c r="C11" s="28"/>
      <c r="D11" s="208"/>
      <c r="E11" s="207"/>
      <c r="F11" s="206"/>
      <c r="G11" s="206"/>
      <c r="H11" s="206"/>
    </row>
    <row r="12" spans="1:14">
      <c r="A12" s="27" t="s">
        <v>253</v>
      </c>
      <c r="B12" s="28"/>
      <c r="C12" s="28"/>
      <c r="D12" s="215">
        <f>(13764125-243295)/1000</f>
        <v>13520.83</v>
      </c>
      <c r="E12" s="202">
        <f>(19168285-336682)/1000</f>
        <v>18831.602999999999</v>
      </c>
      <c r="F12" s="216">
        <f>(14407883-270380)/1000</f>
        <v>14137.503000000001</v>
      </c>
      <c r="G12" s="216">
        <f>E12+F12-D12</f>
        <v>19448.275999999998</v>
      </c>
      <c r="H12" s="202">
        <f>H9*H13</f>
        <v>21453.166407648532</v>
      </c>
    </row>
    <row r="13" spans="1:14">
      <c r="A13" s="27"/>
      <c r="B13" s="28" t="s">
        <v>196</v>
      </c>
      <c r="C13" s="28"/>
      <c r="D13" s="224">
        <f>D12/D9</f>
        <v>0.56897475990170976</v>
      </c>
      <c r="E13" s="212">
        <f>E12/E9</f>
        <v>0.59564369432130704</v>
      </c>
      <c r="F13" s="211">
        <f>F12/F9</f>
        <v>0.56798854597855752</v>
      </c>
      <c r="G13" s="212">
        <f>G12/G9</f>
        <v>0.59397606018472915</v>
      </c>
      <c r="H13" s="238">
        <f>E13</f>
        <v>0.59564369432130704</v>
      </c>
    </row>
    <row r="14" spans="1:14" ht="9" customHeight="1">
      <c r="A14" s="27"/>
      <c r="B14" s="28"/>
      <c r="C14" s="28"/>
      <c r="D14" s="210"/>
      <c r="E14" s="227"/>
      <c r="F14" s="206"/>
      <c r="G14" s="236"/>
      <c r="H14" s="206"/>
    </row>
    <row r="15" spans="1:14">
      <c r="A15" s="27" t="s">
        <v>197</v>
      </c>
      <c r="B15" s="28"/>
      <c r="C15" s="28"/>
      <c r="D15" s="225">
        <f>D9-D12</f>
        <v>10242.666999999999</v>
      </c>
      <c r="E15" s="204">
        <f>E9-E12</f>
        <v>12783.947</v>
      </c>
      <c r="F15" s="204">
        <f>F9-F12</f>
        <v>10752.969000000001</v>
      </c>
      <c r="G15" s="204">
        <f>G9-G12</f>
        <v>13294.249</v>
      </c>
      <c r="H15" s="204">
        <f>H9-H12</f>
        <v>14563.611092351472</v>
      </c>
    </row>
    <row r="16" spans="1:14">
      <c r="A16" s="28"/>
      <c r="B16" s="28" t="s">
        <v>17</v>
      </c>
      <c r="C16" s="201"/>
      <c r="D16" s="224">
        <f>D15/D9</f>
        <v>0.43102524009829024</v>
      </c>
      <c r="E16" s="212">
        <f>E15/E9</f>
        <v>0.40435630567869296</v>
      </c>
      <c r="F16" s="212">
        <f>F15/F9</f>
        <v>0.43201145402144242</v>
      </c>
      <c r="G16" s="212">
        <f>G15/G9</f>
        <v>0.40602393981527085</v>
      </c>
      <c r="H16" s="212">
        <f>H15/H9</f>
        <v>0.40435630567869296</v>
      </c>
    </row>
    <row r="17" spans="1:8" ht="7.5" customHeight="1">
      <c r="A17" s="27"/>
      <c r="B17" s="28"/>
      <c r="C17" s="27"/>
      <c r="D17" s="208"/>
      <c r="E17" s="209"/>
      <c r="F17" s="206"/>
      <c r="G17" s="206"/>
      <c r="H17" s="206"/>
    </row>
    <row r="18" spans="1:8">
      <c r="A18" s="27" t="s">
        <v>18</v>
      </c>
      <c r="B18" s="28"/>
      <c r="C18" s="28"/>
      <c r="D18" s="225">
        <f>(4916445-10081305)/1000</f>
        <v>-5164.8599999999997</v>
      </c>
      <c r="E18" s="204">
        <f>(6814434-14026132)/1000</f>
        <v>-7211.6980000000003</v>
      </c>
      <c r="F18" s="204">
        <f>(5024695-10443358)/1000</f>
        <v>-5418.6629999999996</v>
      </c>
      <c r="G18" s="204">
        <f>E18+F18-D18</f>
        <v>-7465.5010000000011</v>
      </c>
      <c r="H18" s="204">
        <f>H9*H19</f>
        <v>-8215.6445882863027</v>
      </c>
    </row>
    <row r="19" spans="1:8">
      <c r="A19" s="27"/>
      <c r="B19" s="28" t="s">
        <v>198</v>
      </c>
      <c r="C19" s="28"/>
      <c r="D19" s="224">
        <f>D18/D9</f>
        <v>-0.21734427386676294</v>
      </c>
      <c r="E19" s="212">
        <f>E18/E9</f>
        <v>-0.22810604275427757</v>
      </c>
      <c r="F19" s="212">
        <f>F18/F9</f>
        <v>-0.21770029109934111</v>
      </c>
      <c r="G19" s="212">
        <f>G18/G9</f>
        <v>-0.22800627013341218</v>
      </c>
      <c r="H19" s="239">
        <f>E19</f>
        <v>-0.22810604275427757</v>
      </c>
    </row>
    <row r="20" spans="1:8" ht="10.5" customHeight="1">
      <c r="A20" s="27"/>
      <c r="B20" s="28"/>
      <c r="C20" s="28"/>
      <c r="D20" s="208"/>
      <c r="E20" s="209"/>
      <c r="F20" s="206"/>
      <c r="G20" s="206"/>
      <c r="H20" s="206"/>
    </row>
    <row r="21" spans="1:8">
      <c r="A21" s="27" t="s">
        <v>20</v>
      </c>
      <c r="B21" s="28"/>
      <c r="C21" s="28"/>
      <c r="D21" s="228">
        <f>D15-D18</f>
        <v>15407.526999999998</v>
      </c>
      <c r="E21" s="204">
        <f>E15-E18</f>
        <v>19995.645</v>
      </c>
      <c r="F21" s="233">
        <f>F15-F18</f>
        <v>16171.632000000001</v>
      </c>
      <c r="G21" s="233">
        <f>E21+F21-D21</f>
        <v>20759.750000000004</v>
      </c>
      <c r="H21" s="241">
        <f>H22*H9</f>
        <v>22779.255680637776</v>
      </c>
    </row>
    <row r="22" spans="1:8">
      <c r="A22" s="28"/>
      <c r="B22" s="28" t="s">
        <v>21</v>
      </c>
      <c r="C22" s="201"/>
      <c r="D22" s="224">
        <f>D21/D9</f>
        <v>0.64836951396505316</v>
      </c>
      <c r="E22" s="212">
        <f>E21/E9</f>
        <v>0.63246234843297056</v>
      </c>
      <c r="F22" s="212">
        <f>F21/F9</f>
        <v>0.64971174512078356</v>
      </c>
      <c r="G22" s="212">
        <f>G21/G9</f>
        <v>0.63403020994868309</v>
      </c>
      <c r="H22" s="239">
        <f>E22</f>
        <v>0.63246234843297056</v>
      </c>
    </row>
    <row r="23" spans="1:8" ht="8.25" customHeight="1">
      <c r="A23" s="27"/>
      <c r="B23" s="28"/>
      <c r="C23" s="27"/>
      <c r="D23" s="208"/>
      <c r="E23" s="209"/>
      <c r="F23" s="206"/>
      <c r="G23" s="206"/>
      <c r="H23" s="206"/>
    </row>
    <row r="24" spans="1:8">
      <c r="A24" s="28" t="s">
        <v>22</v>
      </c>
      <c r="B24" s="28"/>
      <c r="C24" s="28"/>
      <c r="D24" s="215">
        <f>10324600/1000</f>
        <v>10324.6</v>
      </c>
      <c r="E24" s="216">
        <f>14362814/1000</f>
        <v>14362.814</v>
      </c>
      <c r="F24" s="216">
        <f>10713738/1000</f>
        <v>10713.737999999999</v>
      </c>
      <c r="G24" s="216">
        <f>E24+F24-D24</f>
        <v>14751.951999999999</v>
      </c>
      <c r="H24" s="240">
        <f>H25*H9</f>
        <v>16362.273505027908</v>
      </c>
    </row>
    <row r="25" spans="1:8">
      <c r="A25" s="27"/>
      <c r="B25" s="28" t="s">
        <v>199</v>
      </c>
      <c r="C25" s="28"/>
      <c r="D25" s="229">
        <f>D24/D9</f>
        <v>0.43447309122895511</v>
      </c>
      <c r="E25" s="211">
        <f>E24/E9</f>
        <v>0.45429587655441706</v>
      </c>
      <c r="F25" s="211">
        <f>F24/F9</f>
        <v>0.43043530873982616</v>
      </c>
      <c r="G25" s="212">
        <f>G24/G9</f>
        <v>0.45054411655790139</v>
      </c>
      <c r="H25" s="238">
        <f>E25</f>
        <v>0.45429587655441706</v>
      </c>
    </row>
    <row r="26" spans="1:8" ht="7.5" customHeight="1">
      <c r="A26" s="27"/>
      <c r="B26" s="28"/>
      <c r="C26" s="28"/>
      <c r="D26" s="208"/>
      <c r="E26" s="206"/>
      <c r="F26" s="206"/>
      <c r="G26" s="235"/>
      <c r="H26" s="206"/>
    </row>
    <row r="27" spans="1:8">
      <c r="A27" s="27" t="s">
        <v>23</v>
      </c>
      <c r="B27" s="28"/>
      <c r="C27" s="201"/>
      <c r="D27" s="228">
        <f>D21-D24</f>
        <v>5082.9269999999979</v>
      </c>
      <c r="E27" s="203">
        <f>E21-E24</f>
        <v>5632.8310000000001</v>
      </c>
      <c r="F27" s="203">
        <f>F21-F24</f>
        <v>5457.8940000000021</v>
      </c>
      <c r="G27" s="204">
        <f>G21-G24</f>
        <v>6007.7980000000043</v>
      </c>
      <c r="H27" s="241">
        <f>H21-H24</f>
        <v>6416.9821756098681</v>
      </c>
    </row>
    <row r="28" spans="1:8">
      <c r="A28" s="28"/>
      <c r="B28" s="28" t="s">
        <v>24</v>
      </c>
      <c r="C28" s="200"/>
      <c r="D28" s="230">
        <f>D27/D9</f>
        <v>0.21389642273609805</v>
      </c>
      <c r="E28" s="213">
        <f>E27/E9</f>
        <v>0.17816647187855345</v>
      </c>
      <c r="F28" s="213">
        <f>F27/F9</f>
        <v>0.2192764363809574</v>
      </c>
      <c r="G28" s="213">
        <f>G27/G9</f>
        <v>0.1834860933907817</v>
      </c>
      <c r="H28" s="213">
        <f>H27/H9</f>
        <v>0.17816647187855347</v>
      </c>
    </row>
    <row r="29" spans="1:8" ht="8.25" customHeight="1">
      <c r="A29" s="28"/>
      <c r="B29" s="28"/>
      <c r="C29" s="68"/>
      <c r="D29" s="206"/>
      <c r="E29" s="206"/>
      <c r="F29" s="204"/>
      <c r="G29" s="206"/>
      <c r="H29" s="206"/>
    </row>
    <row r="30" spans="1:8">
      <c r="A30" s="27" t="s">
        <v>200</v>
      </c>
      <c r="B30" s="28"/>
      <c r="C30" s="200"/>
      <c r="D30" s="225">
        <v>0</v>
      </c>
      <c r="E30" s="203">
        <v>0</v>
      </c>
      <c r="F30" s="204">
        <v>0</v>
      </c>
      <c r="G30" s="204">
        <f>E30+F30-D30</f>
        <v>0</v>
      </c>
      <c r="H30" s="204">
        <f>G30</f>
        <v>0</v>
      </c>
    </row>
    <row r="31" spans="1:8" ht="7.5" customHeight="1">
      <c r="A31" s="28"/>
      <c r="B31" s="28"/>
      <c r="C31" s="68"/>
      <c r="D31" s="206"/>
      <c r="E31" s="209"/>
      <c r="F31" s="204"/>
      <c r="G31" s="206"/>
      <c r="H31" s="206"/>
    </row>
    <row r="32" spans="1:8">
      <c r="A32" s="27" t="s">
        <v>25</v>
      </c>
      <c r="B32" s="28"/>
      <c r="C32" s="68"/>
      <c r="D32" s="206"/>
      <c r="E32" s="209"/>
      <c r="F32" s="206"/>
      <c r="G32" s="206"/>
      <c r="H32" s="206"/>
    </row>
    <row r="33" spans="1:8">
      <c r="A33" s="27"/>
      <c r="B33" s="28" t="s">
        <v>26</v>
      </c>
      <c r="C33" s="68"/>
      <c r="D33" s="316">
        <f>535609/1000</f>
        <v>535.60900000000004</v>
      </c>
      <c r="E33" s="216">
        <f>706212/1000</f>
        <v>706.21199999999999</v>
      </c>
      <c r="F33" s="316">
        <f>524614/1000</f>
        <v>524.61400000000003</v>
      </c>
      <c r="G33" s="240">
        <f>E33+F33-D33</f>
        <v>695.21699999999998</v>
      </c>
      <c r="H33" s="240">
        <f>G33</f>
        <v>695.21699999999998</v>
      </c>
    </row>
    <row r="34" spans="1:8">
      <c r="A34" s="28"/>
      <c r="B34" s="28" t="s">
        <v>201</v>
      </c>
      <c r="C34" s="68"/>
      <c r="D34" s="316">
        <f>-677275/1000</f>
        <v>-677.27499999999998</v>
      </c>
      <c r="E34" s="311">
        <f>-337310/1000</f>
        <v>-337.31</v>
      </c>
      <c r="F34" s="311">
        <f>-123975/1000</f>
        <v>-123.97499999999999</v>
      </c>
      <c r="G34" s="240">
        <f>E34+F34-D34</f>
        <v>215.99</v>
      </c>
      <c r="H34" s="240">
        <f>G34</f>
        <v>215.99</v>
      </c>
    </row>
    <row r="35" spans="1:8">
      <c r="A35" s="28"/>
      <c r="B35" s="27" t="s">
        <v>28</v>
      </c>
      <c r="C35" s="200"/>
      <c r="D35" s="231">
        <f>SUM(D33:D34)</f>
        <v>-141.66599999999994</v>
      </c>
      <c r="E35" s="205">
        <f>SUM(E33:E34)</f>
        <v>368.90199999999999</v>
      </c>
      <c r="F35" s="205">
        <f>SUM(F33:F34)</f>
        <v>400.63900000000001</v>
      </c>
      <c r="G35" s="205">
        <f>SUM(G33:G34)</f>
        <v>911.20699999999999</v>
      </c>
      <c r="H35" s="242">
        <f>SUM(H33:H34)</f>
        <v>911.20699999999999</v>
      </c>
    </row>
    <row r="36" spans="1:8" ht="11.25" customHeight="1">
      <c r="B36" s="28"/>
      <c r="C36" s="28"/>
      <c r="D36" s="210"/>
      <c r="E36" s="209"/>
      <c r="F36" s="206"/>
      <c r="G36" s="206"/>
      <c r="H36" s="206"/>
    </row>
    <row r="37" spans="1:8">
      <c r="A37" s="139" t="s">
        <v>29</v>
      </c>
      <c r="B37" s="28"/>
      <c r="C37" s="31"/>
      <c r="D37" s="228">
        <f>D27-D30-D35</f>
        <v>5224.592999999998</v>
      </c>
      <c r="E37" s="203">
        <f>E27-E30-E35</f>
        <v>5263.9290000000001</v>
      </c>
      <c r="F37" s="203">
        <f>F27-F30-F35</f>
        <v>5057.2550000000019</v>
      </c>
      <c r="G37" s="203">
        <f>G27-G30-G35</f>
        <v>5096.591000000004</v>
      </c>
      <c r="H37" s="203">
        <f>H27-H30-H35</f>
        <v>5505.7751756098678</v>
      </c>
    </row>
    <row r="38" spans="1:8">
      <c r="B38" s="28" t="s">
        <v>30</v>
      </c>
      <c r="C38" s="31"/>
      <c r="D38" s="214">
        <f>D37/D9</f>
        <v>0.21985791905964</v>
      </c>
      <c r="E38" s="214">
        <f>E37/E9</f>
        <v>0.16649809982745833</v>
      </c>
      <c r="F38" s="214">
        <f>F37/F9</f>
        <v>0.203180357527973</v>
      </c>
      <c r="G38" s="214">
        <f>G37/G9</f>
        <v>0.15565662697058349</v>
      </c>
      <c r="H38" s="214">
        <f>H37/H9</f>
        <v>0.15286695695110056</v>
      </c>
    </row>
    <row r="39" spans="1:8" ht="9" customHeight="1">
      <c r="A39" s="28"/>
      <c r="B39" s="28"/>
      <c r="C39" s="68"/>
      <c r="D39" s="206"/>
      <c r="E39" s="209"/>
      <c r="F39" s="206"/>
      <c r="G39" s="206"/>
      <c r="H39" s="206"/>
    </row>
    <row r="40" spans="1:8">
      <c r="A40" s="28" t="s">
        <v>31</v>
      </c>
      <c r="B40" s="27"/>
      <c r="C40" s="68"/>
      <c r="D40" s="202">
        <f>787953/1000</f>
        <v>787.95299999999997</v>
      </c>
      <c r="E40" s="216">
        <f>772005/1000</f>
        <v>772.005</v>
      </c>
      <c r="F40" s="202">
        <f>587103/1000</f>
        <v>587.10299999999995</v>
      </c>
      <c r="G40" s="237">
        <f>E40+F40-D40</f>
        <v>571.15499999999997</v>
      </c>
      <c r="H40" s="240">
        <f>H41*H37</f>
        <v>807.47403022470405</v>
      </c>
    </row>
    <row r="41" spans="1:8">
      <c r="B41" s="28" t="s">
        <v>202</v>
      </c>
      <c r="C41" s="31"/>
      <c r="D41" s="213">
        <f>D40/D37</f>
        <v>0.15081614969816792</v>
      </c>
      <c r="E41" s="213">
        <f>E40/E37</f>
        <v>0.14665946292208729</v>
      </c>
      <c r="F41" s="213">
        <f>F40/F37</f>
        <v>0.11609123921969522</v>
      </c>
      <c r="G41" s="213">
        <f>G40/G9</f>
        <v>1.7443828782294585E-2</v>
      </c>
      <c r="H41" s="238">
        <f>E41</f>
        <v>0.14665946292208729</v>
      </c>
    </row>
    <row r="42" spans="1:8" ht="6" customHeight="1">
      <c r="A42" s="139"/>
      <c r="B42" s="28"/>
      <c r="C42" s="31"/>
      <c r="D42" s="206"/>
      <c r="E42" s="209"/>
      <c r="F42" s="206"/>
      <c r="G42" s="206"/>
      <c r="H42" s="206"/>
    </row>
    <row r="43" spans="1:8">
      <c r="A43" s="139" t="s">
        <v>33</v>
      </c>
      <c r="B43" s="28"/>
      <c r="C43" s="28"/>
      <c r="D43" s="228">
        <f>D37-D40</f>
        <v>4436.6399999999976</v>
      </c>
      <c r="E43" s="203">
        <f>E37-E40</f>
        <v>4491.924</v>
      </c>
      <c r="F43" s="233">
        <f>F37-F40</f>
        <v>4470.1520000000019</v>
      </c>
      <c r="G43" s="233">
        <f>G37-G40</f>
        <v>4525.4360000000042</v>
      </c>
      <c r="H43" s="241">
        <f>H37-H40</f>
        <v>4698.3011453851641</v>
      </c>
    </row>
    <row r="44" spans="1:8" ht="9" customHeight="1">
      <c r="A44" s="28"/>
      <c r="B44" s="28"/>
      <c r="C44" s="68"/>
      <c r="D44" s="206"/>
      <c r="E44" s="209"/>
      <c r="F44" s="206"/>
      <c r="G44" s="206"/>
      <c r="H44" s="206"/>
    </row>
    <row r="45" spans="1:8">
      <c r="A45" s="28"/>
      <c r="B45" s="28" t="s">
        <v>203</v>
      </c>
      <c r="C45" s="68"/>
      <c r="D45" s="202">
        <v>0</v>
      </c>
      <c r="E45" s="202">
        <v>0</v>
      </c>
      <c r="F45" s="202">
        <v>0</v>
      </c>
      <c r="G45" s="202">
        <v>0</v>
      </c>
      <c r="H45" s="202">
        <v>0</v>
      </c>
    </row>
    <row r="46" spans="1:8">
      <c r="B46" s="28" t="s">
        <v>204</v>
      </c>
      <c r="C46" s="31"/>
      <c r="D46" s="202">
        <v>0</v>
      </c>
      <c r="E46" s="202">
        <v>0</v>
      </c>
      <c r="F46" s="202">
        <v>0</v>
      </c>
      <c r="G46" s="202">
        <v>0</v>
      </c>
      <c r="H46" s="202">
        <v>0</v>
      </c>
    </row>
    <row r="47" spans="1:8">
      <c r="A47" s="28"/>
      <c r="B47" s="28" t="s">
        <v>219</v>
      </c>
      <c r="C47" s="68"/>
      <c r="D47" s="202">
        <v>0</v>
      </c>
      <c r="E47" s="202">
        <v>0</v>
      </c>
      <c r="F47" s="202">
        <v>0</v>
      </c>
      <c r="G47" s="202">
        <v>0</v>
      </c>
      <c r="H47" s="202">
        <v>0</v>
      </c>
    </row>
    <row r="48" spans="1:8">
      <c r="A48" s="28"/>
      <c r="B48" s="28" t="s">
        <v>150</v>
      </c>
      <c r="C48" s="68"/>
      <c r="D48" s="202">
        <v>0</v>
      </c>
      <c r="E48" s="202">
        <v>0</v>
      </c>
      <c r="F48" s="202">
        <v>0</v>
      </c>
      <c r="G48" s="202">
        <v>0</v>
      </c>
      <c r="H48" s="202">
        <v>0</v>
      </c>
    </row>
    <row r="49" spans="1:11" ht="9.75" customHeight="1">
      <c r="B49" s="28"/>
      <c r="C49" s="31"/>
      <c r="D49" s="206"/>
      <c r="E49" s="206"/>
      <c r="F49" s="206"/>
      <c r="G49" s="206"/>
      <c r="H49" s="206"/>
    </row>
    <row r="50" spans="1:11" ht="15" thickBot="1">
      <c r="A50" s="139" t="s">
        <v>205</v>
      </c>
      <c r="B50" s="28"/>
      <c r="C50" s="31"/>
      <c r="D50" s="223">
        <f>D43-SUM(D45:D48)</f>
        <v>4436.6399999999976</v>
      </c>
      <c r="E50" s="223">
        <f>E43-SUM(E45:E48)</f>
        <v>4491.924</v>
      </c>
      <c r="F50" s="223">
        <f>F43-SUM(F45:F48)</f>
        <v>4470.1520000000019</v>
      </c>
      <c r="G50" s="223">
        <f>G43-SUM(G45:G48)</f>
        <v>4525.4360000000042</v>
      </c>
      <c r="H50" s="223">
        <f>H43-SUM(H45:H48)</f>
        <v>4698.3011453851641</v>
      </c>
    </row>
    <row r="51" spans="1:11" ht="9.75" customHeight="1">
      <c r="B51" s="28"/>
      <c r="C51" s="31"/>
      <c r="D51" s="206"/>
      <c r="E51" s="206"/>
      <c r="F51" s="206"/>
      <c r="G51" s="206"/>
      <c r="H51" s="206"/>
    </row>
    <row r="52" spans="1:11">
      <c r="A52" s="27" t="s">
        <v>206</v>
      </c>
      <c r="B52" s="28"/>
      <c r="C52" s="68"/>
      <c r="D52" s="206"/>
      <c r="E52" s="206"/>
      <c r="F52" s="206"/>
      <c r="G52" s="206"/>
      <c r="H52" s="206"/>
      <c r="K52" s="417"/>
    </row>
    <row r="53" spans="1:11">
      <c r="A53" s="27"/>
      <c r="B53" s="28" t="s">
        <v>43</v>
      </c>
      <c r="C53" s="68"/>
      <c r="D53" s="234">
        <f>D50/D61</f>
        <v>9.9805412020363065</v>
      </c>
      <c r="E53" s="234">
        <f>E50/E61</f>
        <v>10.101066341652087</v>
      </c>
      <c r="F53" s="234">
        <f>F50/F61</f>
        <v>10.078351445190968</v>
      </c>
      <c r="G53" s="234">
        <f>G50/G61</f>
        <v>10.202994092979221</v>
      </c>
      <c r="H53" s="234">
        <f>H50/H61</f>
        <v>10.569166793134226</v>
      </c>
    </row>
    <row r="54" spans="1:11">
      <c r="A54" s="27"/>
      <c r="B54" s="28" t="s">
        <v>44</v>
      </c>
      <c r="C54" s="68"/>
      <c r="D54" s="234">
        <f>D50/D62</f>
        <v>9.8336761472444802</v>
      </c>
      <c r="E54" s="234">
        <f>E50/E62</f>
        <v>9.9535199095925009</v>
      </c>
      <c r="F54" s="234">
        <f>F50/F62</f>
        <v>9.9046395121853976</v>
      </c>
      <c r="G54" s="234">
        <f>G50/G62</f>
        <v>10.027133801147313</v>
      </c>
      <c r="H54" s="234">
        <f>H50/H62</f>
        <v>10.41364003073171</v>
      </c>
    </row>
    <row r="55" spans="1:11" ht="7.5" customHeight="1">
      <c r="A55" s="27"/>
      <c r="B55" s="28"/>
      <c r="C55" s="68"/>
      <c r="D55" s="234"/>
      <c r="E55" s="234"/>
      <c r="F55" s="234"/>
      <c r="G55" s="234"/>
      <c r="H55" s="234"/>
    </row>
    <row r="56" spans="1:11">
      <c r="A56" s="27" t="s">
        <v>207</v>
      </c>
      <c r="B56" s="28"/>
      <c r="C56" s="68"/>
      <c r="D56" s="234"/>
      <c r="E56" s="234"/>
      <c r="F56" s="234"/>
      <c r="G56" s="234"/>
      <c r="H56" s="234"/>
    </row>
    <row r="57" spans="1:11">
      <c r="A57" s="27"/>
      <c r="B57" s="28" t="s">
        <v>43</v>
      </c>
      <c r="C57" s="68"/>
      <c r="D57" s="234">
        <f>D43/D61</f>
        <v>9.9805412020363065</v>
      </c>
      <c r="E57" s="234">
        <f>E43/E61</f>
        <v>10.101066341652087</v>
      </c>
      <c r="F57" s="234">
        <f>F43/F61</f>
        <v>10.078351445190968</v>
      </c>
      <c r="G57" s="234">
        <f>G43/G61</f>
        <v>10.202994092979221</v>
      </c>
      <c r="H57" s="234">
        <f>H43/H61</f>
        <v>10.569166793134226</v>
      </c>
    </row>
    <row r="58" spans="1:11">
      <c r="A58" s="27"/>
      <c r="B58" s="28" t="s">
        <v>44</v>
      </c>
      <c r="C58" s="68"/>
      <c r="D58" s="234">
        <f>D43/D62</f>
        <v>9.8336761472444802</v>
      </c>
      <c r="E58" s="234">
        <f>E43/E62</f>
        <v>9.9535199095925009</v>
      </c>
      <c r="F58" s="234">
        <f>F43/F62</f>
        <v>9.9046395121853976</v>
      </c>
      <c r="G58" s="234">
        <f>G43/G62</f>
        <v>10.027133801147313</v>
      </c>
      <c r="H58" s="234">
        <f>H43/H62</f>
        <v>10.41364003073171</v>
      </c>
    </row>
    <row r="59" spans="1:11" ht="7.5" customHeight="1">
      <c r="A59" s="27"/>
      <c r="B59" s="28"/>
      <c r="C59" s="68"/>
      <c r="D59" s="206"/>
      <c r="E59" s="206"/>
      <c r="F59" s="206"/>
      <c r="G59" s="206"/>
      <c r="H59" s="206"/>
    </row>
    <row r="60" spans="1:11">
      <c r="A60" s="27" t="s">
        <v>45</v>
      </c>
      <c r="B60" s="28"/>
      <c r="C60" s="68"/>
      <c r="D60" s="206"/>
      <c r="E60" s="206"/>
      <c r="F60" s="206"/>
      <c r="G60" s="206"/>
      <c r="H60" s="206"/>
    </row>
    <row r="61" spans="1:11">
      <c r="A61" s="27"/>
      <c r="B61" t="s">
        <v>43</v>
      </c>
      <c r="C61" s="200"/>
      <c r="D61" s="319">
        <f>444529/1000</f>
        <v>444.529</v>
      </c>
      <c r="E61" s="317">
        <f>444698/1000</f>
        <v>444.69799999999998</v>
      </c>
      <c r="F61" s="317">
        <f>443540/1000</f>
        <v>443.54</v>
      </c>
      <c r="G61" s="317">
        <f>F61</f>
        <v>443.54</v>
      </c>
      <c r="H61" s="317">
        <f>E66/1000000</f>
        <v>444.529</v>
      </c>
    </row>
    <row r="62" spans="1:11" s="4" customFormat="1" ht="15" thickBot="1">
      <c r="B62" s="4" t="s">
        <v>44</v>
      </c>
      <c r="D62" s="320">
        <f>451168/1000</f>
        <v>451.16800000000001</v>
      </c>
      <c r="E62" s="317">
        <f>451290/1000</f>
        <v>451.29</v>
      </c>
      <c r="F62" s="317">
        <f>451319/1000</f>
        <v>451.31900000000002</v>
      </c>
      <c r="G62" s="317">
        <f>F62</f>
        <v>451.31900000000002</v>
      </c>
      <c r="H62" s="318">
        <f>E67/1000000</f>
        <v>451.16800000000001</v>
      </c>
    </row>
    <row r="63" spans="1:11" ht="15" thickTop="1">
      <c r="D63" s="218"/>
      <c r="E63" s="218"/>
      <c r="F63" s="121"/>
      <c r="G63" s="121"/>
    </row>
    <row r="64" spans="1:11">
      <c r="A64" s="503" t="s">
        <v>218</v>
      </c>
      <c r="B64" s="504"/>
      <c r="C64" s="504"/>
      <c r="D64" s="504"/>
      <c r="E64" s="505"/>
    </row>
    <row r="65" spans="1:5">
      <c r="A65" s="199" t="s">
        <v>208</v>
      </c>
      <c r="B65" s="199"/>
      <c r="E65" s="244">
        <v>465.74</v>
      </c>
    </row>
    <row r="66" spans="1:5">
      <c r="A66" s="199" t="s">
        <v>209</v>
      </c>
      <c r="B66" s="199"/>
      <c r="E66" s="245">
        <v>444529000</v>
      </c>
    </row>
    <row r="67" spans="1:5">
      <c r="A67" s="373" t="s">
        <v>210</v>
      </c>
      <c r="B67" s="10"/>
      <c r="C67" s="10"/>
      <c r="D67" s="10"/>
      <c r="E67" s="245">
        <v>451168000</v>
      </c>
    </row>
    <row r="69" spans="1:5">
      <c r="A69" s="503" t="s">
        <v>217</v>
      </c>
      <c r="B69" s="504"/>
      <c r="C69" s="504"/>
      <c r="D69" s="504"/>
      <c r="E69" s="505"/>
    </row>
    <row r="70" spans="1:5">
      <c r="A70" s="199" t="s">
        <v>211</v>
      </c>
      <c r="E70" s="244">
        <f>(E65*E67)/1000000</f>
        <v>210126.98431999999</v>
      </c>
    </row>
    <row r="71" spans="1:5">
      <c r="A71" s="199" t="s">
        <v>145</v>
      </c>
      <c r="E71" s="321">
        <f>399614/1000</f>
        <v>399.61399999999998</v>
      </c>
    </row>
    <row r="72" spans="1:5">
      <c r="A72" s="199" t="s">
        <v>220</v>
      </c>
      <c r="E72" s="245">
        <f>13900754/1000</f>
        <v>13900.754000000001</v>
      </c>
    </row>
    <row r="73" spans="1:5">
      <c r="A73" s="199" t="s">
        <v>221</v>
      </c>
      <c r="E73" s="244">
        <v>0</v>
      </c>
    </row>
    <row r="74" spans="1:5">
      <c r="A74" s="199" t="s">
        <v>212</v>
      </c>
      <c r="E74" s="244">
        <v>0</v>
      </c>
    </row>
    <row r="75" spans="1:5">
      <c r="A75" s="199" t="s">
        <v>213</v>
      </c>
      <c r="E75" s="244">
        <v>0</v>
      </c>
    </row>
    <row r="76" spans="1:5">
      <c r="A76" s="199" t="s">
        <v>214</v>
      </c>
      <c r="E76" s="244">
        <v>0</v>
      </c>
    </row>
    <row r="77" spans="1:5">
      <c r="A77" s="322" t="s">
        <v>215</v>
      </c>
      <c r="E77" s="244">
        <f>-75353245/1000</f>
        <v>-75353.244999999995</v>
      </c>
    </row>
    <row r="78" spans="1:5">
      <c r="A78" s="197" t="s">
        <v>216</v>
      </c>
      <c r="B78" s="198"/>
      <c r="C78" s="198"/>
      <c r="D78" s="198"/>
      <c r="E78" s="313">
        <f>SUM(E70:E77)</f>
        <v>149074.10732000001</v>
      </c>
    </row>
  </sheetData>
  <mergeCells count="4">
    <mergeCell ref="C1:C2"/>
    <mergeCell ref="D6:G6"/>
    <mergeCell ref="A64:E64"/>
    <mergeCell ref="A69:E69"/>
  </mergeCells>
  <conditionalFormatting sqref="N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8B9A-07A4-4D58-9707-F56BCEBC1D3B}">
  <sheetPr>
    <tabColor rgb="FFF4D227"/>
  </sheetPr>
  <dimension ref="B1:N26"/>
  <sheetViews>
    <sheetView showGridLines="0" workbookViewId="0">
      <selection activeCell="G3" sqref="G3"/>
    </sheetView>
  </sheetViews>
  <sheetFormatPr defaultRowHeight="14.4"/>
  <cols>
    <col min="1" max="1" width="1" customWidth="1"/>
    <col min="2" max="2" width="2.109375" customWidth="1"/>
    <col min="3" max="3" width="2.44140625" customWidth="1"/>
    <col min="4" max="4" width="25.109375" customWidth="1"/>
    <col min="5" max="5" width="11.77734375" customWidth="1"/>
    <col min="6" max="6" width="13" customWidth="1"/>
    <col min="7" max="7" width="13.88671875" customWidth="1"/>
    <col min="8" max="8" width="13.44140625" customWidth="1"/>
    <col min="9" max="9" width="11.109375" customWidth="1"/>
    <col min="10" max="10" width="14.21875" bestFit="1" customWidth="1"/>
    <col min="11" max="11" width="11.109375" customWidth="1"/>
    <col min="12" max="12" width="10.109375" bestFit="1" customWidth="1"/>
    <col min="13" max="13" width="14.21875" bestFit="1" customWidth="1"/>
    <col min="14" max="14" width="9.33203125" bestFit="1" customWidth="1"/>
  </cols>
  <sheetData>
    <row r="1" spans="2:14" ht="15" thickBot="1">
      <c r="D1" s="480"/>
    </row>
    <row r="2" spans="2:14" ht="15" thickBot="1">
      <c r="D2" s="480"/>
      <c r="E2" s="1" t="s">
        <v>0</v>
      </c>
      <c r="F2" s="2"/>
    </row>
    <row r="3" spans="2:14" ht="15" thickBot="1">
      <c r="B3" s="246" t="s">
        <v>267</v>
      </c>
      <c r="D3" s="13"/>
      <c r="E3" s="1" t="s">
        <v>3</v>
      </c>
      <c r="F3" s="3"/>
    </row>
    <row r="4" spans="2:14" ht="15" thickBot="1">
      <c r="B4" s="14" t="s">
        <v>223</v>
      </c>
      <c r="D4" s="14"/>
      <c r="E4" s="1" t="s">
        <v>5</v>
      </c>
      <c r="F4" s="2"/>
    </row>
    <row r="5" spans="2:14" ht="15" thickBot="1">
      <c r="D5" s="13"/>
      <c r="E5" s="199"/>
    </row>
    <row r="6" spans="2:14" ht="14.25" customHeight="1" thickBot="1">
      <c r="B6" s="249"/>
      <c r="C6" s="250"/>
      <c r="D6" s="251"/>
      <c r="E6" s="506" t="s">
        <v>285</v>
      </c>
      <c r="F6" s="513" t="s">
        <v>269</v>
      </c>
      <c r="G6" s="509"/>
      <c r="H6" s="392" t="s">
        <v>272</v>
      </c>
      <c r="I6" s="509" t="s">
        <v>286</v>
      </c>
      <c r="J6" s="509"/>
      <c r="K6" s="510"/>
    </row>
    <row r="7" spans="2:14" ht="15.75" customHeight="1">
      <c r="B7" s="252"/>
      <c r="C7" s="11"/>
      <c r="D7" s="253"/>
      <c r="E7" s="507"/>
      <c r="F7" s="511" t="s">
        <v>226</v>
      </c>
      <c r="G7" s="514" t="s">
        <v>227</v>
      </c>
      <c r="H7" s="393" t="s">
        <v>273</v>
      </c>
      <c r="I7" s="394" t="s">
        <v>271</v>
      </c>
      <c r="J7" s="394" t="s">
        <v>23</v>
      </c>
      <c r="K7" s="394" t="s">
        <v>20</v>
      </c>
    </row>
    <row r="8" spans="2:14" ht="13.2" customHeight="1" thickBot="1">
      <c r="B8" s="252" t="s">
        <v>268</v>
      </c>
      <c r="C8" s="11"/>
      <c r="D8" s="253"/>
      <c r="E8" s="508"/>
      <c r="F8" s="512"/>
      <c r="G8" s="515"/>
      <c r="H8" s="391" t="s">
        <v>270</v>
      </c>
      <c r="I8" s="395" t="s">
        <v>270</v>
      </c>
      <c r="J8" s="395" t="s">
        <v>270</v>
      </c>
      <c r="K8" s="395" t="s">
        <v>270</v>
      </c>
      <c r="N8" s="420"/>
    </row>
    <row r="9" spans="2:14" ht="13.2" customHeight="1">
      <c r="B9" s="416" t="s">
        <v>282</v>
      </c>
      <c r="C9" s="258"/>
      <c r="D9" s="355"/>
      <c r="E9" s="409"/>
      <c r="F9" s="216"/>
      <c r="G9" s="216"/>
      <c r="H9" s="362"/>
      <c r="I9" s="362"/>
      <c r="J9" s="362"/>
      <c r="K9" s="365"/>
    </row>
    <row r="10" spans="2:14" ht="13.2" customHeight="1">
      <c r="B10" s="415" t="s">
        <v>283</v>
      </c>
      <c r="C10" s="28"/>
      <c r="D10" s="357"/>
      <c r="E10" s="410"/>
      <c r="F10" s="216"/>
      <c r="G10" s="216"/>
      <c r="H10" s="362"/>
      <c r="I10" s="362"/>
      <c r="J10" s="362"/>
      <c r="K10" s="365"/>
    </row>
    <row r="11" spans="2:14" ht="13.2" customHeight="1">
      <c r="B11" s="415" t="s">
        <v>284</v>
      </c>
      <c r="C11" s="28"/>
      <c r="D11" s="357"/>
      <c r="E11" s="410"/>
      <c r="F11" s="216"/>
      <c r="G11" s="216"/>
      <c r="H11" s="362"/>
      <c r="I11" s="362"/>
      <c r="J11" s="362"/>
      <c r="K11" s="365"/>
    </row>
    <row r="12" spans="2:14" ht="13.2" customHeight="1" thickBot="1">
      <c r="B12" s="415" t="s">
        <v>281</v>
      </c>
      <c r="C12" s="28"/>
      <c r="D12" s="357"/>
      <c r="E12" s="410"/>
      <c r="F12" s="216"/>
      <c r="G12" s="216"/>
      <c r="H12" s="421"/>
      <c r="I12" s="421"/>
      <c r="J12" s="421"/>
      <c r="K12" s="422"/>
    </row>
    <row r="13" spans="2:14">
      <c r="B13" s="275" t="s">
        <v>242</v>
      </c>
      <c r="C13" s="276"/>
      <c r="D13" s="281"/>
      <c r="E13" s="407"/>
      <c r="F13" s="408"/>
      <c r="G13" s="408"/>
      <c r="H13" s="388"/>
      <c r="I13" s="388"/>
      <c r="J13" s="388"/>
      <c r="K13" s="389"/>
    </row>
    <row r="14" spans="2:14">
      <c r="B14" s="277" t="s">
        <v>243</v>
      </c>
      <c r="C14" s="354"/>
      <c r="D14" s="282"/>
      <c r="E14" s="366"/>
      <c r="F14" s="346"/>
      <c r="G14" s="346"/>
      <c r="H14" s="368"/>
      <c r="I14" s="368"/>
      <c r="J14" s="368"/>
      <c r="K14" s="369"/>
    </row>
    <row r="15" spans="2:14" ht="13.2" customHeight="1" thickBot="1">
      <c r="B15" s="278" t="s">
        <v>244</v>
      </c>
      <c r="C15" s="279"/>
      <c r="D15" s="283"/>
      <c r="E15" s="367"/>
      <c r="F15" s="280"/>
      <c r="G15" s="280"/>
      <c r="H15" s="370"/>
      <c r="I15" s="370"/>
      <c r="J15" s="370"/>
      <c r="K15" s="371"/>
    </row>
    <row r="16" spans="2:14" ht="10.95" customHeight="1">
      <c r="B16" s="27"/>
      <c r="C16" s="28"/>
      <c r="F16" s="203"/>
      <c r="G16" s="203"/>
    </row>
    <row r="17" spans="2:14" ht="8.25" customHeight="1" thickBot="1">
      <c r="B17" s="28"/>
      <c r="C17" s="28"/>
    </row>
    <row r="18" spans="2:14" ht="12.75" customHeight="1" thickBot="1">
      <c r="B18" s="288" t="s">
        <v>280</v>
      </c>
      <c r="C18" s="289"/>
      <c r="D18" s="405"/>
      <c r="E18" s="494"/>
      <c r="F18" s="494"/>
      <c r="G18" s="494"/>
      <c r="H18" s="494"/>
      <c r="I18" s="494"/>
      <c r="J18" s="494"/>
      <c r="K18" s="494"/>
      <c r="L18" s="494"/>
      <c r="M18" s="494"/>
      <c r="N18" s="372"/>
    </row>
    <row r="19" spans="2:14" ht="25.2" thickBot="1">
      <c r="B19" s="297" t="s">
        <v>268</v>
      </c>
      <c r="C19" s="298"/>
      <c r="D19" s="406"/>
      <c r="E19" s="404" t="s">
        <v>274</v>
      </c>
      <c r="F19" s="401" t="s">
        <v>275</v>
      </c>
      <c r="G19" s="401" t="s">
        <v>276</v>
      </c>
      <c r="H19" s="402" t="s">
        <v>277</v>
      </c>
      <c r="I19" s="401" t="s">
        <v>150</v>
      </c>
      <c r="J19" s="401" t="s">
        <v>278</v>
      </c>
      <c r="K19" s="402" t="s">
        <v>279</v>
      </c>
      <c r="L19" s="401" t="s">
        <v>9</v>
      </c>
      <c r="M19" s="401" t="s">
        <v>23</v>
      </c>
      <c r="N19" s="403" t="s">
        <v>20</v>
      </c>
    </row>
    <row r="20" spans="2:14" ht="2.4" customHeight="1">
      <c r="B20" s="339"/>
      <c r="C20" s="9"/>
      <c r="D20" s="340"/>
      <c r="E20" s="398"/>
      <c r="F20" s="399"/>
      <c r="G20" s="399"/>
      <c r="H20" s="398"/>
      <c r="I20" s="399"/>
      <c r="J20" s="399"/>
      <c r="K20" s="398"/>
      <c r="L20" s="399"/>
      <c r="M20" s="399"/>
      <c r="N20" s="400"/>
    </row>
    <row r="21" spans="2:14">
      <c r="B21" s="415" t="s">
        <v>282</v>
      </c>
      <c r="C21" s="9"/>
      <c r="D21" s="340"/>
      <c r="E21" s="418"/>
      <c r="F21" s="418"/>
      <c r="G21" s="418"/>
      <c r="H21" s="418"/>
      <c r="I21" s="418"/>
      <c r="J21" s="411"/>
      <c r="K21" s="411"/>
      <c r="L21" s="411"/>
      <c r="M21" s="411"/>
      <c r="N21" s="413"/>
    </row>
    <row r="22" spans="2:14">
      <c r="B22" s="415" t="s">
        <v>283</v>
      </c>
      <c r="C22" s="28"/>
      <c r="D22" s="200"/>
      <c r="E22" s="419"/>
      <c r="F22" s="412"/>
      <c r="G22" s="419"/>
      <c r="H22" s="419"/>
      <c r="I22" s="419"/>
      <c r="J22" s="411"/>
      <c r="K22" s="412"/>
      <c r="L22" s="412"/>
      <c r="M22" s="412"/>
      <c r="N22" s="414"/>
    </row>
    <row r="23" spans="2:14" ht="13.95" customHeight="1">
      <c r="B23" s="415" t="s">
        <v>284</v>
      </c>
      <c r="C23" s="28"/>
      <c r="D23" s="28"/>
      <c r="E23" s="419"/>
      <c r="F23" s="412"/>
      <c r="G23" s="412"/>
      <c r="H23" s="412"/>
      <c r="I23" s="412"/>
      <c r="J23" s="411"/>
      <c r="K23" s="412"/>
      <c r="L23" s="412"/>
      <c r="M23" s="412"/>
      <c r="N23" s="414"/>
    </row>
    <row r="24" spans="2:14">
      <c r="B24" s="415" t="s">
        <v>281</v>
      </c>
      <c r="C24" s="28"/>
      <c r="D24" s="28"/>
      <c r="E24" s="419"/>
      <c r="F24" s="412"/>
      <c r="G24" s="412"/>
      <c r="H24" s="412"/>
      <c r="I24" s="412"/>
      <c r="J24" s="411"/>
      <c r="K24" s="412"/>
      <c r="L24" s="412"/>
      <c r="M24" s="412"/>
      <c r="N24" s="414"/>
    </row>
    <row r="25" spans="2:14" ht="4.5" customHeight="1" thickBot="1">
      <c r="B25" s="286"/>
      <c r="C25" s="270"/>
      <c r="D25" s="270"/>
      <c r="E25" s="396"/>
      <c r="F25" s="396"/>
      <c r="G25" s="396"/>
      <c r="H25" s="396"/>
      <c r="I25" s="396"/>
      <c r="J25" s="396"/>
      <c r="K25" s="396"/>
      <c r="L25" s="396"/>
      <c r="M25" s="396"/>
      <c r="N25" s="397"/>
    </row>
    <row r="26" spans="2:14" ht="6" customHeight="1">
      <c r="B26" s="139"/>
      <c r="C26" s="28"/>
      <c r="D26" s="28"/>
      <c r="E26" s="206"/>
      <c r="F26" s="209"/>
      <c r="G26" s="206"/>
    </row>
  </sheetData>
  <mergeCells count="9">
    <mergeCell ref="D1:D2"/>
    <mergeCell ref="E6:E8"/>
    <mergeCell ref="E18:G18"/>
    <mergeCell ref="H18:J18"/>
    <mergeCell ref="I6:K6"/>
    <mergeCell ref="K18:M18"/>
    <mergeCell ref="F7:F8"/>
    <mergeCell ref="F6:G6"/>
    <mergeCell ref="G7:G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F215-936D-4D6C-AB80-428233958965}">
  <sheetPr>
    <tabColor rgb="FF66FFF2"/>
  </sheetPr>
  <dimension ref="B1:Y28"/>
  <sheetViews>
    <sheetView showGridLines="0" zoomScale="70" zoomScaleNormal="70" workbookViewId="0">
      <selection activeCell="G3" sqref="G3"/>
    </sheetView>
  </sheetViews>
  <sheetFormatPr defaultRowHeight="14.4"/>
  <cols>
    <col min="1" max="1" width="1" customWidth="1"/>
    <col min="2" max="2" width="2.109375" customWidth="1"/>
    <col min="3" max="3" width="2.44140625" customWidth="1"/>
    <col min="4" max="4" width="14.6640625" customWidth="1"/>
    <col min="5" max="5" width="11.109375" customWidth="1"/>
    <col min="6" max="6" width="7.33203125" bestFit="1" customWidth="1"/>
    <col min="7" max="7" width="12.6640625" customWidth="1"/>
    <col min="8" max="8" width="12.88671875" customWidth="1"/>
    <col min="9" max="9" width="2.33203125" bestFit="1" customWidth="1"/>
    <col min="10" max="10" width="15.44140625" customWidth="1"/>
    <col min="11" max="11" width="13.33203125" customWidth="1"/>
    <col min="12" max="12" width="2.33203125" bestFit="1" customWidth="1"/>
    <col min="13" max="13" width="12.109375" customWidth="1"/>
    <col min="14" max="14" width="14.5546875" customWidth="1"/>
    <col min="15" max="15" width="2.33203125" bestFit="1" customWidth="1"/>
    <col min="16" max="16" width="16.6640625" customWidth="1"/>
    <col min="17" max="17" width="9.77734375" bestFit="1" customWidth="1"/>
    <col min="19" max="19" width="11.109375" bestFit="1" customWidth="1"/>
    <col min="20" max="20" width="10.77734375" bestFit="1" customWidth="1"/>
    <col min="22" max="23" width="10.77734375" bestFit="1" customWidth="1"/>
    <col min="25" max="25" width="10.77734375" bestFit="1" customWidth="1"/>
  </cols>
  <sheetData>
    <row r="1" spans="2:25" ht="15" thickBot="1">
      <c r="D1" s="523"/>
    </row>
    <row r="2" spans="2:25" ht="15" thickBot="1">
      <c r="D2" s="523"/>
      <c r="G2" s="1" t="s">
        <v>0</v>
      </c>
      <c r="H2" s="2"/>
    </row>
    <row r="3" spans="2:25" ht="15" thickBot="1">
      <c r="G3" s="1" t="s">
        <v>3</v>
      </c>
      <c r="H3" s="3"/>
    </row>
    <row r="4" spans="2:25" ht="15" thickBot="1">
      <c r="B4" s="246" t="s">
        <v>287</v>
      </c>
      <c r="D4" s="423"/>
      <c r="G4" s="1" t="s">
        <v>5</v>
      </c>
      <c r="H4" s="2"/>
    </row>
    <row r="5" spans="2:25" ht="15" thickBot="1"/>
    <row r="6" spans="2:25" ht="14.25" customHeight="1" thickBot="1">
      <c r="B6" s="249"/>
      <c r="C6" s="250"/>
      <c r="D6" s="250"/>
      <c r="E6" s="506" t="s">
        <v>296</v>
      </c>
      <c r="F6" s="514"/>
      <c r="G6" s="516"/>
      <c r="H6" s="506" t="s">
        <v>222</v>
      </c>
      <c r="I6" s="514"/>
      <c r="J6" s="514"/>
      <c r="K6" s="514"/>
      <c r="L6" s="514"/>
      <c r="M6" s="514"/>
      <c r="N6" s="514"/>
      <c r="O6" s="514"/>
      <c r="P6" s="516"/>
      <c r="Q6" s="514" t="s">
        <v>301</v>
      </c>
      <c r="R6" s="514"/>
      <c r="S6" s="516"/>
      <c r="T6" s="506" t="s">
        <v>302</v>
      </c>
      <c r="U6" s="514"/>
      <c r="V6" s="514"/>
      <c r="W6" s="514"/>
      <c r="X6" s="514"/>
      <c r="Y6" s="516"/>
    </row>
    <row r="7" spans="2:25" ht="15.75" customHeight="1" thickBot="1">
      <c r="B7" s="252"/>
      <c r="C7" s="11"/>
      <c r="D7" s="11"/>
      <c r="E7" s="517"/>
      <c r="F7" s="518"/>
      <c r="G7" s="519"/>
      <c r="H7" s="520" t="s">
        <v>299</v>
      </c>
      <c r="I7" s="521"/>
      <c r="J7" s="522"/>
      <c r="K7" s="520" t="s">
        <v>300</v>
      </c>
      <c r="L7" s="521"/>
      <c r="M7" s="522"/>
      <c r="N7" s="520" t="s">
        <v>308</v>
      </c>
      <c r="O7" s="521"/>
      <c r="P7" s="522"/>
      <c r="Q7" s="517"/>
      <c r="R7" s="518"/>
      <c r="S7" s="519"/>
      <c r="T7" s="520" t="s">
        <v>303</v>
      </c>
      <c r="U7" s="521"/>
      <c r="V7" s="522"/>
      <c r="W7" s="520" t="s">
        <v>304</v>
      </c>
      <c r="X7" s="521"/>
      <c r="Y7" s="522"/>
    </row>
    <row r="8" spans="2:25" ht="13.2" customHeight="1" thickBot="1">
      <c r="B8" s="430" t="s">
        <v>305</v>
      </c>
      <c r="C8" s="431"/>
      <c r="D8" s="431"/>
      <c r="E8" s="432" t="s">
        <v>244</v>
      </c>
      <c r="F8" s="433" t="s">
        <v>298</v>
      </c>
      <c r="G8" s="434" t="s">
        <v>243</v>
      </c>
      <c r="H8" s="432" t="s">
        <v>244</v>
      </c>
      <c r="I8" s="433" t="s">
        <v>298</v>
      </c>
      <c r="J8" s="434" t="s">
        <v>243</v>
      </c>
      <c r="K8" s="432" t="s">
        <v>244</v>
      </c>
      <c r="L8" s="433" t="s">
        <v>298</v>
      </c>
      <c r="M8" s="434" t="s">
        <v>243</v>
      </c>
      <c r="N8" s="432" t="s">
        <v>244</v>
      </c>
      <c r="O8" s="433" t="s">
        <v>298</v>
      </c>
      <c r="P8" s="434" t="s">
        <v>243</v>
      </c>
      <c r="Q8" s="432" t="s">
        <v>244</v>
      </c>
      <c r="R8" s="433" t="s">
        <v>298</v>
      </c>
      <c r="S8" s="434" t="s">
        <v>243</v>
      </c>
      <c r="T8" s="432" t="s">
        <v>244</v>
      </c>
      <c r="U8" s="433" t="s">
        <v>298</v>
      </c>
      <c r="V8" s="434" t="s">
        <v>243</v>
      </c>
      <c r="W8" s="432" t="s">
        <v>244</v>
      </c>
      <c r="X8" s="433" t="s">
        <v>298</v>
      </c>
      <c r="Y8" s="434" t="s">
        <v>243</v>
      </c>
    </row>
    <row r="9" spans="2:25" ht="13.2" customHeight="1">
      <c r="B9" s="453" t="s">
        <v>208</v>
      </c>
      <c r="C9" s="28"/>
      <c r="D9" s="28"/>
      <c r="E9" s="450"/>
      <c r="F9" s="451"/>
      <c r="G9" s="452"/>
      <c r="H9" s="458"/>
      <c r="I9" s="451"/>
      <c r="J9" s="459"/>
      <c r="K9" s="458"/>
      <c r="L9" s="451"/>
      <c r="M9" s="459"/>
      <c r="N9" s="458"/>
      <c r="O9" s="451"/>
      <c r="P9" s="459"/>
      <c r="Q9" s="458"/>
      <c r="R9" s="451"/>
      <c r="S9" s="459"/>
      <c r="T9" s="450"/>
      <c r="U9" s="451"/>
      <c r="V9" s="452"/>
      <c r="W9" s="450"/>
      <c r="X9" s="451"/>
      <c r="Y9" s="452"/>
    </row>
    <row r="10" spans="2:25" ht="13.2" customHeight="1">
      <c r="B10" s="415" t="s">
        <v>288</v>
      </c>
      <c r="C10" s="28"/>
      <c r="D10" s="28"/>
      <c r="E10" s="441"/>
      <c r="F10" s="442"/>
      <c r="G10" s="443"/>
      <c r="H10" s="456"/>
      <c r="I10" s="442"/>
      <c r="J10" s="457"/>
      <c r="K10" s="456"/>
      <c r="L10" s="442"/>
      <c r="M10" s="457"/>
      <c r="N10" s="456"/>
      <c r="O10" s="442"/>
      <c r="P10" s="457"/>
      <c r="Q10" s="456"/>
      <c r="R10" s="442"/>
      <c r="S10" s="457"/>
      <c r="T10" s="456"/>
      <c r="U10" s="442"/>
      <c r="V10" s="457"/>
      <c r="W10" s="456"/>
      <c r="X10" s="442"/>
      <c r="Y10" s="457"/>
    </row>
    <row r="11" spans="2:25" ht="13.2" customHeight="1">
      <c r="B11" s="453" t="s">
        <v>166</v>
      </c>
      <c r="C11" s="28"/>
      <c r="D11" s="28"/>
      <c r="E11" s="447"/>
      <c r="F11" s="448"/>
      <c r="G11" s="449"/>
      <c r="H11" s="458"/>
      <c r="I11" s="448"/>
      <c r="J11" s="459"/>
      <c r="K11" s="458"/>
      <c r="L11" s="448"/>
      <c r="M11" s="459"/>
      <c r="N11" s="458"/>
      <c r="O11" s="448"/>
      <c r="P11" s="459"/>
      <c r="Q11" s="458"/>
      <c r="R11" s="448"/>
      <c r="S11" s="459"/>
      <c r="T11" s="458"/>
      <c r="U11" s="448"/>
      <c r="V11" s="459"/>
      <c r="W11" s="458"/>
      <c r="X11" s="448"/>
      <c r="Y11" s="459"/>
    </row>
    <row r="12" spans="2:25" ht="13.2" customHeight="1">
      <c r="B12" s="415" t="s">
        <v>289</v>
      </c>
      <c r="C12" s="28"/>
      <c r="D12" s="28"/>
      <c r="E12" s="441"/>
      <c r="F12" s="442"/>
      <c r="G12" s="443"/>
      <c r="H12" s="456"/>
      <c r="I12" s="442"/>
      <c r="J12" s="457"/>
      <c r="K12" s="456"/>
      <c r="L12" s="442"/>
      <c r="M12" s="457"/>
      <c r="N12" s="456"/>
      <c r="O12" s="442"/>
      <c r="P12" s="457"/>
      <c r="Q12" s="456"/>
      <c r="R12" s="442"/>
      <c r="S12" s="457"/>
      <c r="T12" s="456"/>
      <c r="U12" s="442"/>
      <c r="V12" s="457"/>
      <c r="W12" s="456"/>
      <c r="X12" s="442"/>
      <c r="Y12" s="457"/>
    </row>
    <row r="13" spans="2:25" ht="13.2" customHeight="1">
      <c r="B13" s="453" t="s">
        <v>217</v>
      </c>
      <c r="C13" s="28"/>
      <c r="D13" s="28"/>
      <c r="E13" s="447"/>
      <c r="F13" s="448"/>
      <c r="G13" s="449"/>
      <c r="H13" s="458"/>
      <c r="I13" s="448"/>
      <c r="J13" s="459"/>
      <c r="K13" s="458"/>
      <c r="L13" s="448"/>
      <c r="M13" s="459"/>
      <c r="N13" s="458"/>
      <c r="O13" s="448"/>
      <c r="P13" s="459"/>
      <c r="Q13" s="458"/>
      <c r="R13" s="448"/>
      <c r="S13" s="459"/>
      <c r="T13" s="458"/>
      <c r="U13" s="448"/>
      <c r="V13" s="459"/>
      <c r="W13" s="458"/>
      <c r="X13" s="448"/>
      <c r="Y13" s="459"/>
    </row>
    <row r="14" spans="2:25" ht="13.2" customHeight="1">
      <c r="B14" s="415" t="s">
        <v>309</v>
      </c>
      <c r="C14" s="28"/>
      <c r="D14" s="28"/>
      <c r="E14" s="441"/>
      <c r="F14" s="442"/>
      <c r="G14" s="443"/>
      <c r="H14" s="456"/>
      <c r="I14" s="442"/>
      <c r="J14" s="457"/>
      <c r="K14" s="456"/>
      <c r="L14" s="442"/>
      <c r="M14" s="457"/>
      <c r="N14" s="456"/>
      <c r="O14" s="442"/>
      <c r="P14" s="457"/>
      <c r="Q14" s="456"/>
      <c r="R14" s="442"/>
      <c r="S14" s="457"/>
      <c r="T14" s="456"/>
      <c r="U14" s="442"/>
      <c r="V14" s="457"/>
      <c r="W14" s="456"/>
      <c r="X14" s="442"/>
      <c r="Y14" s="457"/>
    </row>
    <row r="15" spans="2:25" ht="13.2" customHeight="1" thickBot="1">
      <c r="B15" s="454" t="s">
        <v>174</v>
      </c>
      <c r="C15" s="270"/>
      <c r="D15" s="270"/>
      <c r="E15" s="444"/>
      <c r="F15" s="445"/>
      <c r="G15" s="446"/>
      <c r="H15" s="460"/>
      <c r="I15" s="445"/>
      <c r="J15" s="461"/>
      <c r="K15" s="460"/>
      <c r="L15" s="445"/>
      <c r="M15" s="461"/>
      <c r="N15" s="460"/>
      <c r="O15" s="445"/>
      <c r="P15" s="461"/>
      <c r="Q15" s="460"/>
      <c r="R15" s="445"/>
      <c r="S15" s="461"/>
      <c r="T15" s="462"/>
      <c r="U15" s="445"/>
      <c r="V15" s="463"/>
      <c r="W15" s="462"/>
      <c r="X15" s="445"/>
      <c r="Y15" s="463"/>
    </row>
    <row r="16" spans="2:25" ht="10.95" customHeight="1">
      <c r="B16" s="27"/>
      <c r="C16" s="28"/>
      <c r="F16" s="203"/>
      <c r="G16" s="203"/>
    </row>
    <row r="17" spans="2:22" ht="8.25" customHeight="1" thickBot="1">
      <c r="B17" s="28"/>
      <c r="C17" s="28"/>
    </row>
    <row r="18" spans="2:22" ht="12.75" customHeight="1" thickBot="1">
      <c r="B18" s="426" t="s">
        <v>307</v>
      </c>
      <c r="C18" s="427"/>
      <c r="D18" s="438"/>
      <c r="E18" s="435" t="s">
        <v>244</v>
      </c>
      <c r="F18" s="428" t="s">
        <v>297</v>
      </c>
      <c r="G18" s="429" t="s">
        <v>243</v>
      </c>
    </row>
    <row r="19" spans="2:22" ht="2.4" customHeight="1">
      <c r="B19" s="339"/>
      <c r="C19" s="9"/>
      <c r="D19" s="439"/>
      <c r="E19" s="436"/>
      <c r="F19" s="399"/>
      <c r="G19" s="425"/>
    </row>
    <row r="20" spans="2:22">
      <c r="B20" s="415" t="s">
        <v>290</v>
      </c>
      <c r="C20" s="9"/>
      <c r="D20" s="439"/>
      <c r="E20" s="464"/>
      <c r="F20" s="465"/>
      <c r="G20" s="466"/>
      <c r="V20" s="455"/>
    </row>
    <row r="21" spans="2:22">
      <c r="B21" s="415" t="s">
        <v>291</v>
      </c>
      <c r="C21" s="9"/>
      <c r="D21" s="439"/>
      <c r="E21" s="464"/>
      <c r="F21" s="465"/>
      <c r="G21" s="466"/>
      <c r="K21" s="455"/>
      <c r="R21" s="455"/>
      <c r="V21" s="455"/>
    </row>
    <row r="22" spans="2:22">
      <c r="B22" s="415" t="s">
        <v>292</v>
      </c>
      <c r="C22" s="9"/>
      <c r="D22" s="439"/>
      <c r="E22" s="464"/>
      <c r="F22" s="465"/>
      <c r="G22" s="466"/>
      <c r="K22" s="455"/>
      <c r="R22" s="455"/>
      <c r="U22" s="455"/>
    </row>
    <row r="23" spans="2:22">
      <c r="B23" s="415" t="s">
        <v>295</v>
      </c>
      <c r="C23" s="28"/>
      <c r="D23" s="440"/>
      <c r="E23" s="464"/>
      <c r="F23" s="465"/>
      <c r="G23" s="466"/>
      <c r="R23" s="455"/>
    </row>
    <row r="24" spans="2:22" ht="13.95" customHeight="1">
      <c r="B24" s="415" t="s">
        <v>294</v>
      </c>
      <c r="C24" s="28"/>
      <c r="D24" s="357"/>
      <c r="E24" s="464"/>
      <c r="F24" s="465"/>
      <c r="G24" s="466"/>
    </row>
    <row r="25" spans="2:22" ht="13.95" customHeight="1">
      <c r="B25" s="415" t="s">
        <v>293</v>
      </c>
      <c r="C25" s="28"/>
      <c r="D25" s="357"/>
      <c r="E25" s="464"/>
      <c r="F25" s="465"/>
      <c r="G25" s="466"/>
      <c r="N25" s="455"/>
    </row>
    <row r="26" spans="2:22">
      <c r="B26" s="415" t="s">
        <v>296</v>
      </c>
      <c r="C26" s="28"/>
      <c r="D26" s="357"/>
      <c r="E26" s="464"/>
      <c r="F26" s="465"/>
      <c r="G26" s="466"/>
      <c r="N26" s="455"/>
    </row>
    <row r="27" spans="2:22" ht="4.5" customHeight="1" thickBot="1">
      <c r="B27" s="286"/>
      <c r="C27" s="270"/>
      <c r="D27" s="424"/>
      <c r="E27" s="437"/>
      <c r="F27" s="396"/>
      <c r="G27" s="397"/>
    </row>
    <row r="28" spans="2:22" ht="6" customHeight="1">
      <c r="B28" s="139"/>
      <c r="C28" s="28"/>
      <c r="D28" s="28"/>
      <c r="E28" s="206"/>
      <c r="F28" s="209"/>
      <c r="G28" s="206"/>
    </row>
  </sheetData>
  <mergeCells count="12">
    <mergeCell ref="W7:Y7"/>
    <mergeCell ref="T6:Y6"/>
    <mergeCell ref="N7:P7"/>
    <mergeCell ref="H6:P6"/>
    <mergeCell ref="Q6:S6"/>
    <mergeCell ref="Q7:S7"/>
    <mergeCell ref="T7:V7"/>
    <mergeCell ref="E6:G6"/>
    <mergeCell ref="E7:G7"/>
    <mergeCell ref="H7:J7"/>
    <mergeCell ref="K7:M7"/>
    <mergeCell ref="D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172E-591C-493A-AA7A-F3BB30631BC2}">
  <dimension ref="A1:K50"/>
  <sheetViews>
    <sheetView showGridLines="0" zoomScaleNormal="90" workbookViewId="0">
      <pane xSplit="3" ySplit="7" topLeftCell="D8" activePane="bottomRight" state="frozen"/>
      <selection activeCell="A7" sqref="A7"/>
      <selection pane="topRight" activeCell="A7" sqref="A7"/>
      <selection pane="bottomLeft" activeCell="A7" sqref="A7"/>
      <selection pane="bottomRight" activeCell="G26" sqref="G26"/>
    </sheetView>
  </sheetViews>
  <sheetFormatPr defaultRowHeight="14.4"/>
  <cols>
    <col min="1" max="1" width="2.109375" customWidth="1"/>
    <col min="2" max="2" width="2.44140625" customWidth="1"/>
    <col min="3" max="3" width="47" customWidth="1"/>
    <col min="4" max="4" width="9.6640625" bestFit="1" customWidth="1"/>
    <col min="5" max="5" width="9.77734375" bestFit="1" customWidth="1"/>
    <col min="6" max="6" width="9.6640625" bestFit="1" customWidth="1"/>
    <col min="7" max="7" width="10.5546875" bestFit="1" customWidth="1"/>
    <col min="8" max="8" width="9.88671875" bestFit="1" customWidth="1"/>
    <col min="9" max="11" width="10.77734375" bestFit="1" customWidth="1"/>
    <col min="257" max="257" width="2.109375" customWidth="1"/>
    <col min="258" max="258" width="2.44140625" customWidth="1"/>
    <col min="259" max="259" width="40.88671875" customWidth="1"/>
    <col min="261" max="261" width="8.5546875" bestFit="1" customWidth="1"/>
    <col min="513" max="513" width="2.109375" customWidth="1"/>
    <col min="514" max="514" width="2.44140625" customWidth="1"/>
    <col min="515" max="515" width="40.88671875" customWidth="1"/>
    <col min="517" max="517" width="8.5546875" bestFit="1" customWidth="1"/>
    <col min="769" max="769" width="2.109375" customWidth="1"/>
    <col min="770" max="770" width="2.44140625" customWidth="1"/>
    <col min="771" max="771" width="40.88671875" customWidth="1"/>
    <col min="773" max="773" width="8.5546875" bestFit="1" customWidth="1"/>
    <col min="1025" max="1025" width="2.109375" customWidth="1"/>
    <col min="1026" max="1026" width="2.44140625" customWidth="1"/>
    <col min="1027" max="1027" width="40.88671875" customWidth="1"/>
    <col min="1029" max="1029" width="8.5546875" bestFit="1" customWidth="1"/>
    <col min="1281" max="1281" width="2.109375" customWidth="1"/>
    <col min="1282" max="1282" width="2.44140625" customWidth="1"/>
    <col min="1283" max="1283" width="40.88671875" customWidth="1"/>
    <col min="1285" max="1285" width="8.5546875" bestFit="1" customWidth="1"/>
    <col min="1537" max="1537" width="2.109375" customWidth="1"/>
    <col min="1538" max="1538" width="2.44140625" customWidth="1"/>
    <col min="1539" max="1539" width="40.88671875" customWidth="1"/>
    <col min="1541" max="1541" width="8.5546875" bestFit="1" customWidth="1"/>
    <col min="1793" max="1793" width="2.109375" customWidth="1"/>
    <col min="1794" max="1794" width="2.44140625" customWidth="1"/>
    <col min="1795" max="1795" width="40.88671875" customWidth="1"/>
    <col min="1797" max="1797" width="8.5546875" bestFit="1" customWidth="1"/>
    <col min="2049" max="2049" width="2.109375" customWidth="1"/>
    <col min="2050" max="2050" width="2.44140625" customWidth="1"/>
    <col min="2051" max="2051" width="40.88671875" customWidth="1"/>
    <col min="2053" max="2053" width="8.5546875" bestFit="1" customWidth="1"/>
    <col min="2305" max="2305" width="2.109375" customWidth="1"/>
    <col min="2306" max="2306" width="2.44140625" customWidth="1"/>
    <col min="2307" max="2307" width="40.88671875" customWidth="1"/>
    <col min="2309" max="2309" width="8.5546875" bestFit="1" customWidth="1"/>
    <col min="2561" max="2561" width="2.109375" customWidth="1"/>
    <col min="2562" max="2562" width="2.44140625" customWidth="1"/>
    <col min="2563" max="2563" width="40.88671875" customWidth="1"/>
    <col min="2565" max="2565" width="8.5546875" bestFit="1" customWidth="1"/>
    <col min="2817" max="2817" width="2.109375" customWidth="1"/>
    <col min="2818" max="2818" width="2.44140625" customWidth="1"/>
    <col min="2819" max="2819" width="40.88671875" customWidth="1"/>
    <col min="2821" max="2821" width="8.5546875" bestFit="1" customWidth="1"/>
    <col min="3073" max="3073" width="2.109375" customWidth="1"/>
    <col min="3074" max="3074" width="2.44140625" customWidth="1"/>
    <col min="3075" max="3075" width="40.88671875" customWidth="1"/>
    <col min="3077" max="3077" width="8.5546875" bestFit="1" customWidth="1"/>
    <col min="3329" max="3329" width="2.109375" customWidth="1"/>
    <col min="3330" max="3330" width="2.44140625" customWidth="1"/>
    <col min="3331" max="3331" width="40.88671875" customWidth="1"/>
    <col min="3333" max="3333" width="8.5546875" bestFit="1" customWidth="1"/>
    <col min="3585" max="3585" width="2.109375" customWidth="1"/>
    <col min="3586" max="3586" width="2.44140625" customWidth="1"/>
    <col min="3587" max="3587" width="40.88671875" customWidth="1"/>
    <col min="3589" max="3589" width="8.5546875" bestFit="1" customWidth="1"/>
    <col min="3841" max="3841" width="2.109375" customWidth="1"/>
    <col min="3842" max="3842" width="2.44140625" customWidth="1"/>
    <col min="3843" max="3843" width="40.88671875" customWidth="1"/>
    <col min="3845" max="3845" width="8.5546875" bestFit="1" customWidth="1"/>
    <col min="4097" max="4097" width="2.109375" customWidth="1"/>
    <col min="4098" max="4098" width="2.44140625" customWidth="1"/>
    <col min="4099" max="4099" width="40.88671875" customWidth="1"/>
    <col min="4101" max="4101" width="8.5546875" bestFit="1" customWidth="1"/>
    <col min="4353" max="4353" width="2.109375" customWidth="1"/>
    <col min="4354" max="4354" width="2.44140625" customWidth="1"/>
    <col min="4355" max="4355" width="40.88671875" customWidth="1"/>
    <col min="4357" max="4357" width="8.5546875" bestFit="1" customWidth="1"/>
    <col min="4609" max="4609" width="2.109375" customWidth="1"/>
    <col min="4610" max="4610" width="2.44140625" customWidth="1"/>
    <col min="4611" max="4611" width="40.88671875" customWidth="1"/>
    <col min="4613" max="4613" width="8.5546875" bestFit="1" customWidth="1"/>
    <col min="4865" max="4865" width="2.109375" customWidth="1"/>
    <col min="4866" max="4866" width="2.44140625" customWidth="1"/>
    <col min="4867" max="4867" width="40.88671875" customWidth="1"/>
    <col min="4869" max="4869" width="8.5546875" bestFit="1" customWidth="1"/>
    <col min="5121" max="5121" width="2.109375" customWidth="1"/>
    <col min="5122" max="5122" width="2.44140625" customWidth="1"/>
    <col min="5123" max="5123" width="40.88671875" customWidth="1"/>
    <col min="5125" max="5125" width="8.5546875" bestFit="1" customWidth="1"/>
    <col min="5377" max="5377" width="2.109375" customWidth="1"/>
    <col min="5378" max="5378" width="2.44140625" customWidth="1"/>
    <col min="5379" max="5379" width="40.88671875" customWidth="1"/>
    <col min="5381" max="5381" width="8.5546875" bestFit="1" customWidth="1"/>
    <col min="5633" max="5633" width="2.109375" customWidth="1"/>
    <col min="5634" max="5634" width="2.44140625" customWidth="1"/>
    <col min="5635" max="5635" width="40.88671875" customWidth="1"/>
    <col min="5637" max="5637" width="8.5546875" bestFit="1" customWidth="1"/>
    <col min="5889" max="5889" width="2.109375" customWidth="1"/>
    <col min="5890" max="5890" width="2.44140625" customWidth="1"/>
    <col min="5891" max="5891" width="40.88671875" customWidth="1"/>
    <col min="5893" max="5893" width="8.5546875" bestFit="1" customWidth="1"/>
    <col min="6145" max="6145" width="2.109375" customWidth="1"/>
    <col min="6146" max="6146" width="2.44140625" customWidth="1"/>
    <col min="6147" max="6147" width="40.88671875" customWidth="1"/>
    <col min="6149" max="6149" width="8.5546875" bestFit="1" customWidth="1"/>
    <col min="6401" max="6401" width="2.109375" customWidth="1"/>
    <col min="6402" max="6402" width="2.44140625" customWidth="1"/>
    <col min="6403" max="6403" width="40.88671875" customWidth="1"/>
    <col min="6405" max="6405" width="8.5546875" bestFit="1" customWidth="1"/>
    <col min="6657" max="6657" width="2.109375" customWidth="1"/>
    <col min="6658" max="6658" width="2.44140625" customWidth="1"/>
    <col min="6659" max="6659" width="40.88671875" customWidth="1"/>
    <col min="6661" max="6661" width="8.5546875" bestFit="1" customWidth="1"/>
    <col min="6913" max="6913" width="2.109375" customWidth="1"/>
    <col min="6914" max="6914" width="2.44140625" customWidth="1"/>
    <col min="6915" max="6915" width="40.88671875" customWidth="1"/>
    <col min="6917" max="6917" width="8.5546875" bestFit="1" customWidth="1"/>
    <col min="7169" max="7169" width="2.109375" customWidth="1"/>
    <col min="7170" max="7170" width="2.44140625" customWidth="1"/>
    <col min="7171" max="7171" width="40.88671875" customWidth="1"/>
    <col min="7173" max="7173" width="8.5546875" bestFit="1" customWidth="1"/>
    <col min="7425" max="7425" width="2.109375" customWidth="1"/>
    <col min="7426" max="7426" width="2.44140625" customWidth="1"/>
    <col min="7427" max="7427" width="40.88671875" customWidth="1"/>
    <col min="7429" max="7429" width="8.5546875" bestFit="1" customWidth="1"/>
    <col min="7681" max="7681" width="2.109375" customWidth="1"/>
    <col min="7682" max="7682" width="2.44140625" customWidth="1"/>
    <col min="7683" max="7683" width="40.88671875" customWidth="1"/>
    <col min="7685" max="7685" width="8.5546875" bestFit="1" customWidth="1"/>
    <col min="7937" max="7937" width="2.109375" customWidth="1"/>
    <col min="7938" max="7938" width="2.44140625" customWidth="1"/>
    <col min="7939" max="7939" width="40.88671875" customWidth="1"/>
    <col min="7941" max="7941" width="8.5546875" bestFit="1" customWidth="1"/>
    <col min="8193" max="8193" width="2.109375" customWidth="1"/>
    <col min="8194" max="8194" width="2.44140625" customWidth="1"/>
    <col min="8195" max="8195" width="40.88671875" customWidth="1"/>
    <col min="8197" max="8197" width="8.5546875" bestFit="1" customWidth="1"/>
    <col min="8449" max="8449" width="2.109375" customWidth="1"/>
    <col min="8450" max="8450" width="2.44140625" customWidth="1"/>
    <col min="8451" max="8451" width="40.88671875" customWidth="1"/>
    <col min="8453" max="8453" width="8.5546875" bestFit="1" customWidth="1"/>
    <col min="8705" max="8705" width="2.109375" customWidth="1"/>
    <col min="8706" max="8706" width="2.44140625" customWidth="1"/>
    <col min="8707" max="8707" width="40.88671875" customWidth="1"/>
    <col min="8709" max="8709" width="8.5546875" bestFit="1" customWidth="1"/>
    <col min="8961" max="8961" width="2.109375" customWidth="1"/>
    <col min="8962" max="8962" width="2.44140625" customWidth="1"/>
    <col min="8963" max="8963" width="40.88671875" customWidth="1"/>
    <col min="8965" max="8965" width="8.5546875" bestFit="1" customWidth="1"/>
    <col min="9217" max="9217" width="2.109375" customWidth="1"/>
    <col min="9218" max="9218" width="2.44140625" customWidth="1"/>
    <col min="9219" max="9219" width="40.88671875" customWidth="1"/>
    <col min="9221" max="9221" width="8.5546875" bestFit="1" customWidth="1"/>
    <col min="9473" max="9473" width="2.109375" customWidth="1"/>
    <col min="9474" max="9474" width="2.44140625" customWidth="1"/>
    <col min="9475" max="9475" width="40.88671875" customWidth="1"/>
    <col min="9477" max="9477" width="8.5546875" bestFit="1" customWidth="1"/>
    <col min="9729" max="9729" width="2.109375" customWidth="1"/>
    <col min="9730" max="9730" width="2.44140625" customWidth="1"/>
    <col min="9731" max="9731" width="40.88671875" customWidth="1"/>
    <col min="9733" max="9733" width="8.5546875" bestFit="1" customWidth="1"/>
    <col min="9985" max="9985" width="2.109375" customWidth="1"/>
    <col min="9986" max="9986" width="2.44140625" customWidth="1"/>
    <col min="9987" max="9987" width="40.88671875" customWidth="1"/>
    <col min="9989" max="9989" width="8.5546875" bestFit="1" customWidth="1"/>
    <col min="10241" max="10241" width="2.109375" customWidth="1"/>
    <col min="10242" max="10242" width="2.44140625" customWidth="1"/>
    <col min="10243" max="10243" width="40.88671875" customWidth="1"/>
    <col min="10245" max="10245" width="8.5546875" bestFit="1" customWidth="1"/>
    <col min="10497" max="10497" width="2.109375" customWidth="1"/>
    <col min="10498" max="10498" width="2.44140625" customWidth="1"/>
    <col min="10499" max="10499" width="40.88671875" customWidth="1"/>
    <col min="10501" max="10501" width="8.5546875" bestFit="1" customWidth="1"/>
    <col min="10753" max="10753" width="2.109375" customWidth="1"/>
    <col min="10754" max="10754" width="2.44140625" customWidth="1"/>
    <col min="10755" max="10755" width="40.88671875" customWidth="1"/>
    <col min="10757" max="10757" width="8.5546875" bestFit="1" customWidth="1"/>
    <col min="11009" max="11009" width="2.109375" customWidth="1"/>
    <col min="11010" max="11010" width="2.44140625" customWidth="1"/>
    <col min="11011" max="11011" width="40.88671875" customWidth="1"/>
    <col min="11013" max="11013" width="8.5546875" bestFit="1" customWidth="1"/>
    <col min="11265" max="11265" width="2.109375" customWidth="1"/>
    <col min="11266" max="11266" width="2.44140625" customWidth="1"/>
    <col min="11267" max="11267" width="40.88671875" customWidth="1"/>
    <col min="11269" max="11269" width="8.5546875" bestFit="1" customWidth="1"/>
    <col min="11521" max="11521" width="2.109375" customWidth="1"/>
    <col min="11522" max="11522" width="2.44140625" customWidth="1"/>
    <col min="11523" max="11523" width="40.88671875" customWidth="1"/>
    <col min="11525" max="11525" width="8.5546875" bestFit="1" customWidth="1"/>
    <col min="11777" max="11777" width="2.109375" customWidth="1"/>
    <col min="11778" max="11778" width="2.44140625" customWidth="1"/>
    <col min="11779" max="11779" width="40.88671875" customWidth="1"/>
    <col min="11781" max="11781" width="8.5546875" bestFit="1" customWidth="1"/>
    <col min="12033" max="12033" width="2.109375" customWidth="1"/>
    <col min="12034" max="12034" width="2.44140625" customWidth="1"/>
    <col min="12035" max="12035" width="40.88671875" customWidth="1"/>
    <col min="12037" max="12037" width="8.5546875" bestFit="1" customWidth="1"/>
    <col min="12289" max="12289" width="2.109375" customWidth="1"/>
    <col min="12290" max="12290" width="2.44140625" customWidth="1"/>
    <col min="12291" max="12291" width="40.88671875" customWidth="1"/>
    <col min="12293" max="12293" width="8.5546875" bestFit="1" customWidth="1"/>
    <col min="12545" max="12545" width="2.109375" customWidth="1"/>
    <col min="12546" max="12546" width="2.44140625" customWidth="1"/>
    <col min="12547" max="12547" width="40.88671875" customWidth="1"/>
    <col min="12549" max="12549" width="8.5546875" bestFit="1" customWidth="1"/>
    <col min="12801" max="12801" width="2.109375" customWidth="1"/>
    <col min="12802" max="12802" width="2.44140625" customWidth="1"/>
    <col min="12803" max="12803" width="40.88671875" customWidth="1"/>
    <col min="12805" max="12805" width="8.5546875" bestFit="1" customWidth="1"/>
    <col min="13057" max="13057" width="2.109375" customWidth="1"/>
    <col min="13058" max="13058" width="2.44140625" customWidth="1"/>
    <col min="13059" max="13059" width="40.88671875" customWidth="1"/>
    <col min="13061" max="13061" width="8.5546875" bestFit="1" customWidth="1"/>
    <col min="13313" max="13313" width="2.109375" customWidth="1"/>
    <col min="13314" max="13314" width="2.44140625" customWidth="1"/>
    <col min="13315" max="13315" width="40.88671875" customWidth="1"/>
    <col min="13317" max="13317" width="8.5546875" bestFit="1" customWidth="1"/>
    <col min="13569" max="13569" width="2.109375" customWidth="1"/>
    <col min="13570" max="13570" width="2.44140625" customWidth="1"/>
    <col min="13571" max="13571" width="40.88671875" customWidth="1"/>
    <col min="13573" max="13573" width="8.5546875" bestFit="1" customWidth="1"/>
    <col min="13825" max="13825" width="2.109375" customWidth="1"/>
    <col min="13826" max="13826" width="2.44140625" customWidth="1"/>
    <col min="13827" max="13827" width="40.88671875" customWidth="1"/>
    <col min="13829" max="13829" width="8.5546875" bestFit="1" customWidth="1"/>
    <col min="14081" max="14081" width="2.109375" customWidth="1"/>
    <col min="14082" max="14082" width="2.44140625" customWidth="1"/>
    <col min="14083" max="14083" width="40.88671875" customWidth="1"/>
    <col min="14085" max="14085" width="8.5546875" bestFit="1" customWidth="1"/>
    <col min="14337" max="14337" width="2.109375" customWidth="1"/>
    <col min="14338" max="14338" width="2.44140625" customWidth="1"/>
    <col min="14339" max="14339" width="40.88671875" customWidth="1"/>
    <col min="14341" max="14341" width="8.5546875" bestFit="1" customWidth="1"/>
    <col min="14593" max="14593" width="2.109375" customWidth="1"/>
    <col min="14594" max="14594" width="2.44140625" customWidth="1"/>
    <col min="14595" max="14595" width="40.88671875" customWidth="1"/>
    <col min="14597" max="14597" width="8.5546875" bestFit="1" customWidth="1"/>
    <col min="14849" max="14849" width="2.109375" customWidth="1"/>
    <col min="14850" max="14850" width="2.44140625" customWidth="1"/>
    <col min="14851" max="14851" width="40.88671875" customWidth="1"/>
    <col min="14853" max="14853" width="8.5546875" bestFit="1" customWidth="1"/>
    <col min="15105" max="15105" width="2.109375" customWidth="1"/>
    <col min="15106" max="15106" width="2.44140625" customWidth="1"/>
    <col min="15107" max="15107" width="40.88671875" customWidth="1"/>
    <col min="15109" max="15109" width="8.5546875" bestFit="1" customWidth="1"/>
    <col min="15361" max="15361" width="2.109375" customWidth="1"/>
    <col min="15362" max="15362" width="2.44140625" customWidth="1"/>
    <col min="15363" max="15363" width="40.88671875" customWidth="1"/>
    <col min="15365" max="15365" width="8.5546875" bestFit="1" customWidth="1"/>
    <col min="15617" max="15617" width="2.109375" customWidth="1"/>
    <col min="15618" max="15618" width="2.44140625" customWidth="1"/>
    <col min="15619" max="15619" width="40.88671875" customWidth="1"/>
    <col min="15621" max="15621" width="8.5546875" bestFit="1" customWidth="1"/>
    <col min="15873" max="15873" width="2.109375" customWidth="1"/>
    <col min="15874" max="15874" width="2.44140625" customWidth="1"/>
    <col min="15875" max="15875" width="40.88671875" customWidth="1"/>
    <col min="15877" max="15877" width="8.5546875" bestFit="1" customWidth="1"/>
    <col min="16129" max="16129" width="2.109375" customWidth="1"/>
    <col min="16130" max="16130" width="2.44140625" customWidth="1"/>
    <col min="16131" max="16131" width="40.88671875" customWidth="1"/>
    <col min="16133" max="16133" width="8.5546875" bestFit="1" customWidth="1"/>
  </cols>
  <sheetData>
    <row r="1" spans="1:11" ht="15" thickBot="1">
      <c r="C1" s="480"/>
    </row>
    <row r="2" spans="1:11" ht="15" thickBot="1">
      <c r="C2" s="480"/>
      <c r="D2" s="1" t="s">
        <v>0</v>
      </c>
      <c r="E2" s="467" t="s">
        <v>310</v>
      </c>
    </row>
    <row r="3" spans="1:11" ht="15" thickBot="1">
      <c r="A3" s="13" t="s">
        <v>70</v>
      </c>
      <c r="C3" s="13"/>
      <c r="D3" s="1" t="s">
        <v>3</v>
      </c>
      <c r="E3" s="468">
        <v>45809</v>
      </c>
    </row>
    <row r="4" spans="1:11" ht="15" thickBot="1">
      <c r="A4" s="14" t="s">
        <v>4</v>
      </c>
      <c r="C4" s="14"/>
      <c r="D4" s="1" t="s">
        <v>5</v>
      </c>
      <c r="E4" s="467" t="s">
        <v>6</v>
      </c>
    </row>
    <row r="5" spans="1:11" s="4" customFormat="1" ht="15" thickBot="1">
      <c r="C5" s="15"/>
    </row>
    <row r="6" spans="1:11" s="11" customFormat="1" ht="15" thickTop="1">
      <c r="C6" s="21"/>
      <c r="D6" s="482" t="s">
        <v>7</v>
      </c>
      <c r="E6" s="482"/>
      <c r="F6" s="483"/>
      <c r="G6" s="484" t="s">
        <v>8</v>
      </c>
      <c r="H6" s="485"/>
      <c r="I6" s="485"/>
      <c r="J6" s="485"/>
      <c r="K6" s="486"/>
    </row>
    <row r="7" spans="1:11" s="12" customFormat="1">
      <c r="A7" s="17" t="s">
        <v>147</v>
      </c>
      <c r="C7" s="22"/>
      <c r="D7" s="5">
        <v>2023</v>
      </c>
      <c r="E7" s="5">
        <f t="shared" ref="E7:K7" si="0">D7+1</f>
        <v>2024</v>
      </c>
      <c r="F7" s="24">
        <f t="shared" si="0"/>
        <v>2025</v>
      </c>
      <c r="G7" s="25">
        <f t="shared" si="0"/>
        <v>2026</v>
      </c>
      <c r="H7" s="6">
        <f t="shared" si="0"/>
        <v>2027</v>
      </c>
      <c r="I7" s="6">
        <f t="shared" si="0"/>
        <v>2028</v>
      </c>
      <c r="J7" s="6">
        <f t="shared" si="0"/>
        <v>2029</v>
      </c>
      <c r="K7" s="26">
        <f t="shared" si="0"/>
        <v>2030</v>
      </c>
    </row>
    <row r="8" spans="1:11" ht="10.199999999999999" customHeight="1">
      <c r="C8" s="18"/>
    </row>
    <row r="9" spans="1:11">
      <c r="A9" s="29" t="s">
        <v>47</v>
      </c>
      <c r="B9" s="27"/>
      <c r="C9" s="30"/>
    </row>
    <row r="10" spans="1:11">
      <c r="A10" s="28"/>
      <c r="B10" s="28" t="s">
        <v>48</v>
      </c>
      <c r="C10" s="31"/>
      <c r="D10" s="100">
        <f>'Income Statement'!D63</f>
        <v>11292</v>
      </c>
      <c r="E10" s="100">
        <f>'Income Statement'!E63</f>
        <v>16270</v>
      </c>
      <c r="F10" s="100">
        <f>'Income Statement'!F63</f>
        <v>20157</v>
      </c>
      <c r="G10" s="90">
        <f ca="1">'Income Statement'!G65</f>
        <v>28640.129479114577</v>
      </c>
      <c r="H10" s="90">
        <f ca="1">'Income Statement'!H65</f>
        <v>28062.921071303048</v>
      </c>
      <c r="I10" s="90">
        <f ca="1">'Income Statement'!I65</f>
        <v>30905.757515534209</v>
      </c>
      <c r="J10" s="90">
        <f ca="1">'Income Statement'!J65</f>
        <v>32976.208134843007</v>
      </c>
      <c r="K10" s="90">
        <f ca="1">'Income Statement'!K65</f>
        <v>31919.583300217448</v>
      </c>
    </row>
    <row r="11" spans="1:11">
      <c r="A11" s="28"/>
      <c r="B11" s="28" t="s">
        <v>22</v>
      </c>
      <c r="C11" s="31"/>
      <c r="D11" s="100">
        <v>10945</v>
      </c>
      <c r="E11" s="100">
        <v>11853</v>
      </c>
      <c r="F11" s="100">
        <v>12973</v>
      </c>
      <c r="G11" s="100">
        <f>'Income Statement'!G33</f>
        <v>7112.6696802674269</v>
      </c>
      <c r="H11" s="100">
        <f>'Income Statement'!H33</f>
        <v>8329.4909762227326</v>
      </c>
      <c r="I11" s="100">
        <f>'Income Statement'!I33</f>
        <v>9615.4927499997684</v>
      </c>
      <c r="J11" s="100">
        <f>'Income Statement'!J33</f>
        <v>10934.564443825066</v>
      </c>
      <c r="K11" s="100">
        <f>'Income Statement'!K33</f>
        <v>12330.199465084728</v>
      </c>
    </row>
    <row r="12" spans="1:11">
      <c r="A12" s="28"/>
      <c r="B12" s="28" t="s">
        <v>317</v>
      </c>
      <c r="C12" s="31"/>
      <c r="D12" s="74">
        <v>1683</v>
      </c>
      <c r="E12" s="74">
        <v>3193</v>
      </c>
      <c r="F12" s="74">
        <v>878</v>
      </c>
      <c r="G12" s="100">
        <f>F12</f>
        <v>878</v>
      </c>
      <c r="H12" s="100">
        <f t="shared" ref="H12:K12" si="1">G12</f>
        <v>878</v>
      </c>
      <c r="I12" s="100">
        <f t="shared" si="1"/>
        <v>878</v>
      </c>
      <c r="J12" s="100">
        <f t="shared" si="1"/>
        <v>878</v>
      </c>
      <c r="K12" s="100">
        <f t="shared" si="1"/>
        <v>878</v>
      </c>
    </row>
    <row r="13" spans="1:11">
      <c r="A13" s="28"/>
      <c r="B13" s="32" t="s">
        <v>318</v>
      </c>
      <c r="C13" s="31"/>
      <c r="D13" s="111"/>
      <c r="E13" s="111"/>
      <c r="F13" s="111"/>
      <c r="G13" s="111"/>
      <c r="H13" s="111"/>
      <c r="I13" s="111"/>
      <c r="J13" s="111"/>
      <c r="K13" s="111"/>
    </row>
    <row r="14" spans="1:11">
      <c r="A14" s="28"/>
      <c r="B14" s="28" t="s">
        <v>49</v>
      </c>
      <c r="C14" s="13"/>
      <c r="D14" s="74">
        <v>1919</v>
      </c>
      <c r="E14" s="74">
        <v>2642</v>
      </c>
      <c r="F14" s="74">
        <v>2889</v>
      </c>
      <c r="G14" s="112">
        <f>D14</f>
        <v>1919</v>
      </c>
      <c r="H14" s="112">
        <f t="shared" ref="H14:K14" si="2">E14</f>
        <v>2642</v>
      </c>
      <c r="I14" s="112">
        <f t="shared" si="2"/>
        <v>2889</v>
      </c>
      <c r="J14" s="112">
        <f t="shared" si="2"/>
        <v>1919</v>
      </c>
      <c r="K14" s="112">
        <f t="shared" si="2"/>
        <v>2642</v>
      </c>
    </row>
    <row r="15" spans="1:11">
      <c r="A15" s="28"/>
      <c r="B15" s="28" t="s">
        <v>50</v>
      </c>
      <c r="C15" s="31"/>
      <c r="D15" s="74">
        <v>449</v>
      </c>
      <c r="E15" s="74">
        <v>-175</v>
      </c>
      <c r="F15" s="74">
        <v>-635</v>
      </c>
      <c r="G15" s="112">
        <f>AVERAGE(D15:F15)</f>
        <v>-120.33333333333333</v>
      </c>
      <c r="H15" s="112">
        <f t="shared" ref="H15:K15" si="3">AVERAGE(E15:G15)</f>
        <v>-310.11111111111114</v>
      </c>
      <c r="I15" s="112">
        <f t="shared" si="3"/>
        <v>-355.14814814814821</v>
      </c>
      <c r="J15" s="112">
        <f t="shared" si="3"/>
        <v>-261.8641975308642</v>
      </c>
      <c r="K15" s="112">
        <f t="shared" si="3"/>
        <v>-309.0411522633745</v>
      </c>
    </row>
    <row r="16" spans="1:11">
      <c r="A16" s="28"/>
      <c r="B16" s="27" t="s">
        <v>51</v>
      </c>
      <c r="C16" s="31"/>
      <c r="E16" s="74"/>
      <c r="F16" s="74"/>
      <c r="G16" s="73"/>
      <c r="H16" s="73"/>
      <c r="I16" s="73"/>
      <c r="J16" s="73"/>
      <c r="K16" s="73"/>
    </row>
    <row r="17" spans="1:11">
      <c r="A17" s="28"/>
      <c r="B17" s="28"/>
      <c r="C17" s="31" t="s">
        <v>319</v>
      </c>
      <c r="D17" s="74">
        <v>240</v>
      </c>
      <c r="E17" s="74">
        <v>-797</v>
      </c>
      <c r="F17" s="74">
        <v>-1106</v>
      </c>
      <c r="G17" s="100">
        <f>-(OWC!G12-OWC!F12)</f>
        <v>214.07999999999993</v>
      </c>
      <c r="H17" s="100">
        <f>-(OWC!H12-OWC!G12)</f>
        <v>-491.16834369797471</v>
      </c>
      <c r="I17" s="100">
        <f>-(OWC!I12-OWC!H12)</f>
        <v>-481.91642608420443</v>
      </c>
      <c r="J17" s="100">
        <f>-(OWC!J12-OWC!I12)</f>
        <v>-491.35458427619233</v>
      </c>
      <c r="K17" s="100">
        <f>-(OWC!K12-OWC!J12)</f>
        <v>-535.45733243441646</v>
      </c>
    </row>
    <row r="18" spans="1:11">
      <c r="A18" s="28"/>
      <c r="B18" s="28"/>
      <c r="C18" s="31" t="s">
        <v>52</v>
      </c>
      <c r="D18" s="74">
        <v>-528</v>
      </c>
      <c r="E18" s="74">
        <v>2017</v>
      </c>
      <c r="F18" s="74">
        <v>-2755</v>
      </c>
      <c r="G18" s="100">
        <f>-(OWC!G10-OWC!F10)</f>
        <v>-955.1382553751464</v>
      </c>
      <c r="H18" s="100">
        <f>-(OWC!H10-OWC!G10)</f>
        <v>-2887.8649913625268</v>
      </c>
      <c r="I18" s="100">
        <f>-(OWC!I10-OWC!H10)</f>
        <v>-2833.4675748299196</v>
      </c>
      <c r="J18" s="100">
        <f>-(OWC!J10-OWC!I10)</f>
        <v>-2888.960008280279</v>
      </c>
      <c r="K18" s="100">
        <f>-(OWC!K10-OWC!J10)</f>
        <v>-3148.2657719011768</v>
      </c>
    </row>
    <row r="19" spans="1:11">
      <c r="A19" s="28"/>
      <c r="B19" s="28"/>
      <c r="C19" s="31" t="s">
        <v>53</v>
      </c>
      <c r="D19" s="74">
        <v>-1425</v>
      </c>
      <c r="E19" s="74">
        <v>2515</v>
      </c>
      <c r="F19" s="74">
        <v>3228</v>
      </c>
      <c r="G19" s="100">
        <f>OWC!G19-OWC!F19</f>
        <v>864.01864286482305</v>
      </c>
      <c r="H19" s="100">
        <f>OWC!H19-OWC!G19</f>
        <v>2995.5435201933142</v>
      </c>
      <c r="I19" s="100">
        <f>OWC!I19-OWC!H19</f>
        <v>2939.1178115480507</v>
      </c>
      <c r="J19" s="100">
        <f>OWC!J19-OWC!I19</f>
        <v>2996.6793665165751</v>
      </c>
      <c r="K19" s="100">
        <f>OWC!K19-OWC!J19</f>
        <v>3265.6537480359984</v>
      </c>
    </row>
    <row r="20" spans="1:11">
      <c r="A20" s="28"/>
      <c r="B20" s="28"/>
      <c r="C20" s="31" t="s">
        <v>320</v>
      </c>
      <c r="D20" s="74">
        <v>4393</v>
      </c>
      <c r="E20" s="74">
        <v>-1324</v>
      </c>
      <c r="F20" s="74">
        <v>379</v>
      </c>
      <c r="G20" s="100">
        <f>OWC!G21-OWC!F21</f>
        <v>1471.8691209388053</v>
      </c>
      <c r="H20" s="100">
        <f>OWC!H21-OWC!G21</f>
        <v>1550.7012212054578</v>
      </c>
      <c r="I20" s="100">
        <f>OWC!I21-OWC!H21</f>
        <v>1521.4913583829657</v>
      </c>
      <c r="J20" s="100">
        <f>OWC!J21-OWC!I21</f>
        <v>1551.2892140917829</v>
      </c>
      <c r="K20" s="100">
        <f>OWC!K21-OWC!J21</f>
        <v>1690.5290211863685</v>
      </c>
    </row>
    <row r="21" spans="1:11">
      <c r="A21" s="28"/>
      <c r="B21" s="28"/>
      <c r="C21" s="31"/>
      <c r="D21" s="74"/>
      <c r="E21" s="74"/>
      <c r="F21" s="74"/>
      <c r="G21" s="100"/>
      <c r="H21" s="100"/>
      <c r="I21" s="100"/>
      <c r="J21" s="100"/>
      <c r="K21" s="100"/>
    </row>
    <row r="22" spans="1:11">
      <c r="A22" s="28"/>
      <c r="B22" s="28"/>
      <c r="C22" s="27" t="s">
        <v>54</v>
      </c>
      <c r="D22" s="108">
        <f t="shared" ref="D22:K22" si="4">SUM(D17:D21)</f>
        <v>2680</v>
      </c>
      <c r="E22" s="108">
        <f t="shared" si="4"/>
        <v>2411</v>
      </c>
      <c r="F22" s="108">
        <f t="shared" si="4"/>
        <v>-254</v>
      </c>
      <c r="G22" s="108">
        <f t="shared" si="4"/>
        <v>1594.8295084284819</v>
      </c>
      <c r="H22" s="108">
        <f t="shared" si="4"/>
        <v>1167.2114063382705</v>
      </c>
      <c r="I22" s="108">
        <f t="shared" si="4"/>
        <v>1145.2251690168923</v>
      </c>
      <c r="J22" s="108">
        <f t="shared" si="4"/>
        <v>1167.6539880518867</v>
      </c>
      <c r="K22" s="108">
        <f t="shared" si="4"/>
        <v>1272.4596648867737</v>
      </c>
    </row>
    <row r="23" spans="1:11">
      <c r="A23" s="28"/>
      <c r="B23" s="27" t="s">
        <v>55</v>
      </c>
      <c r="C23" s="31"/>
      <c r="D23" s="107">
        <f t="shared" ref="D23:K23" si="5">D22+D10+D11+D12+D14+D15</f>
        <v>28968</v>
      </c>
      <c r="E23" s="107">
        <f t="shared" si="5"/>
        <v>36194</v>
      </c>
      <c r="F23" s="107">
        <f t="shared" si="5"/>
        <v>36008</v>
      </c>
      <c r="G23" s="107">
        <f t="shared" ca="1" si="5"/>
        <v>40024.295334477152</v>
      </c>
      <c r="H23" s="107">
        <f t="shared" ca="1" si="5"/>
        <v>40769.51234275294</v>
      </c>
      <c r="I23" s="107">
        <f t="shared" ca="1" si="5"/>
        <v>45078.327286402724</v>
      </c>
      <c r="J23" s="107">
        <f t="shared" ca="1" si="5"/>
        <v>47613.562369189094</v>
      </c>
      <c r="K23" s="107">
        <f t="shared" ca="1" si="5"/>
        <v>48733.201277925575</v>
      </c>
    </row>
    <row r="24" spans="1:11">
      <c r="A24" s="28"/>
      <c r="B24" s="27"/>
      <c r="C24" s="31"/>
      <c r="D24" s="73"/>
      <c r="E24" s="73"/>
      <c r="F24" s="73"/>
      <c r="G24" s="73"/>
      <c r="H24" s="73"/>
      <c r="I24" s="73"/>
      <c r="J24" s="73"/>
      <c r="K24" s="73"/>
    </row>
    <row r="25" spans="1:11">
      <c r="A25" s="29" t="s">
        <v>56</v>
      </c>
      <c r="B25" s="27"/>
      <c r="C25" s="30"/>
      <c r="D25" s="73"/>
      <c r="E25" s="73"/>
      <c r="F25" s="73"/>
      <c r="G25" s="73"/>
      <c r="H25" s="73"/>
      <c r="I25" s="73"/>
      <c r="J25" s="73"/>
      <c r="K25" s="73"/>
    </row>
    <row r="26" spans="1:11">
      <c r="A26" s="27"/>
      <c r="B26" s="28" t="s">
        <v>57</v>
      </c>
      <c r="C26" s="31"/>
      <c r="D26" s="74">
        <v>-16857</v>
      </c>
      <c r="E26" s="74">
        <v>-20606</v>
      </c>
      <c r="F26" s="74">
        <v>-23783</v>
      </c>
      <c r="G26" s="101">
        <f>-(G27*'Income Statement'!G14)</f>
        <v>-22260.393605348534</v>
      </c>
      <c r="H26" s="101">
        <f>-(H27*'Income Statement'!H14)</f>
        <v>-24336.425919106114</v>
      </c>
      <c r="I26" s="101">
        <f>-(I27*'Income Statement'!I14)</f>
        <v>-25720.035475540699</v>
      </c>
      <c r="J26" s="101">
        <f>-(J27*'Income Statement'!J14)</f>
        <v>-26381.433876505929</v>
      </c>
      <c r="K26" s="101">
        <f>-(K27*'Income Statement'!K14)</f>
        <v>-27912.700425193256</v>
      </c>
    </row>
    <row r="27" spans="1:11">
      <c r="A27" s="27"/>
      <c r="B27" s="32" t="s">
        <v>138</v>
      </c>
      <c r="C27" s="31"/>
      <c r="D27" s="98">
        <f>-D26/'Income Statement'!D14</f>
        <v>2.7576154650255445E-2</v>
      </c>
      <c r="E27" s="98">
        <f>-E26/'Income Statement'!E14</f>
        <v>3.1793249758919964E-2</v>
      </c>
      <c r="F27" s="98">
        <f>-F26/'Income Statement'!F14</f>
        <v>3.4924410963530765E-2</v>
      </c>
      <c r="G27" s="98">
        <f>AVERAGE(D27:F27)</f>
        <v>3.1431271790902056E-2</v>
      </c>
      <c r="H27" s="98">
        <f t="shared" ref="H27:K27" si="6">AVERAGE(E27:G27)</f>
        <v>3.2716310837784257E-2</v>
      </c>
      <c r="I27" s="98">
        <f t="shared" si="6"/>
        <v>3.3023997864072362E-2</v>
      </c>
      <c r="J27" s="98">
        <f t="shared" si="6"/>
        <v>3.2390526830919558E-2</v>
      </c>
      <c r="K27" s="98">
        <f t="shared" si="6"/>
        <v>3.2710278510925395E-2</v>
      </c>
    </row>
    <row r="28" spans="1:11">
      <c r="A28" s="27"/>
      <c r="B28" s="28" t="s">
        <v>58</v>
      </c>
      <c r="C28" s="31"/>
      <c r="D28" s="74">
        <v>170</v>
      </c>
      <c r="E28" s="74">
        <v>250</v>
      </c>
      <c r="F28" s="74">
        <v>432</v>
      </c>
      <c r="G28" s="113">
        <v>0</v>
      </c>
      <c r="H28" s="113">
        <v>0</v>
      </c>
      <c r="I28" s="113">
        <v>0</v>
      </c>
      <c r="J28" s="113">
        <v>0</v>
      </c>
      <c r="K28" s="113">
        <v>0</v>
      </c>
    </row>
    <row r="29" spans="1:11">
      <c r="A29" s="27"/>
      <c r="B29" s="28" t="s">
        <v>59</v>
      </c>
      <c r="C29" s="31"/>
      <c r="D29" s="74">
        <v>-740</v>
      </c>
      <c r="E29" s="74">
        <v>-9</v>
      </c>
      <c r="F29" s="74">
        <v>-1896</v>
      </c>
      <c r="G29" s="113">
        <v>0</v>
      </c>
      <c r="H29" s="113">
        <v>0</v>
      </c>
      <c r="I29" s="113">
        <v>0</v>
      </c>
      <c r="J29" s="113">
        <v>0</v>
      </c>
      <c r="K29" s="113">
        <v>0</v>
      </c>
    </row>
    <row r="30" spans="1:11">
      <c r="A30" s="27"/>
      <c r="B30" s="31" t="s">
        <v>321</v>
      </c>
      <c r="C30" s="31"/>
      <c r="D30" s="74">
        <v>0</v>
      </c>
      <c r="E30" s="74">
        <v>0</v>
      </c>
      <c r="F30" s="74">
        <v>4080</v>
      </c>
      <c r="G30" s="112">
        <f>D30</f>
        <v>0</v>
      </c>
      <c r="H30" s="112">
        <f t="shared" ref="H30:K30" si="7">E30</f>
        <v>0</v>
      </c>
      <c r="I30" s="112">
        <v>0</v>
      </c>
      <c r="J30" s="112">
        <f t="shared" si="7"/>
        <v>0</v>
      </c>
      <c r="K30" s="112">
        <f t="shared" si="7"/>
        <v>0</v>
      </c>
    </row>
    <row r="31" spans="1:11">
      <c r="A31" s="27"/>
      <c r="B31" s="28" t="s">
        <v>322</v>
      </c>
      <c r="C31" s="31"/>
      <c r="D31" s="74">
        <v>-295</v>
      </c>
      <c r="E31" s="74">
        <v>-922</v>
      </c>
      <c r="F31" s="74">
        <v>-212</v>
      </c>
      <c r="G31" s="112">
        <f>E31</f>
        <v>-922</v>
      </c>
      <c r="H31" s="112">
        <f>G31</f>
        <v>-922</v>
      </c>
      <c r="I31" s="112">
        <f t="shared" ref="I31:K31" si="8">H31</f>
        <v>-922</v>
      </c>
      <c r="J31" s="112">
        <f t="shared" si="8"/>
        <v>-922</v>
      </c>
      <c r="K31" s="112">
        <f t="shared" si="8"/>
        <v>-922</v>
      </c>
    </row>
    <row r="32" spans="1:11">
      <c r="A32" s="28"/>
      <c r="B32" s="27" t="s">
        <v>60</v>
      </c>
      <c r="C32" s="31"/>
      <c r="D32" s="105">
        <f>D26+D28+D29+D30+D31</f>
        <v>-17722</v>
      </c>
      <c r="E32" s="105">
        <f t="shared" ref="E32:K32" si="9">E26+E28+E29+E30+E31</f>
        <v>-21287</v>
      </c>
      <c r="F32" s="105">
        <f t="shared" si="9"/>
        <v>-21379</v>
      </c>
      <c r="G32" s="105">
        <f t="shared" si="9"/>
        <v>-23182.393605348534</v>
      </c>
      <c r="H32" s="105">
        <f t="shared" si="9"/>
        <v>-25258.425919106114</v>
      </c>
      <c r="I32" s="105">
        <f t="shared" si="9"/>
        <v>-26642.035475540699</v>
      </c>
      <c r="J32" s="105">
        <f t="shared" si="9"/>
        <v>-27303.433876505929</v>
      </c>
      <c r="K32" s="105">
        <f t="shared" si="9"/>
        <v>-28834.700425193256</v>
      </c>
    </row>
    <row r="33" spans="1:11">
      <c r="A33" s="28"/>
      <c r="B33" s="27"/>
      <c r="C33" s="31"/>
      <c r="D33" s="73"/>
      <c r="E33" s="73"/>
      <c r="F33" s="73"/>
      <c r="G33" s="73"/>
      <c r="H33" s="73"/>
      <c r="I33" s="73"/>
      <c r="J33" s="73"/>
      <c r="K33" s="73"/>
    </row>
    <row r="34" spans="1:11">
      <c r="A34" s="29" t="s">
        <v>61</v>
      </c>
      <c r="B34" s="27"/>
      <c r="C34" s="30"/>
      <c r="D34" s="73"/>
      <c r="E34" s="73"/>
      <c r="F34" s="73"/>
      <c r="G34" s="73"/>
      <c r="H34" s="73"/>
      <c r="I34" s="73"/>
      <c r="J34" s="73"/>
      <c r="K34" s="73"/>
    </row>
    <row r="35" spans="1:11">
      <c r="A35" s="29"/>
      <c r="B35" s="28" t="s">
        <v>323</v>
      </c>
      <c r="C35" s="30"/>
      <c r="D35" s="74">
        <v>-34</v>
      </c>
      <c r="E35" s="74">
        <v>512</v>
      </c>
      <c r="F35" s="74">
        <v>2212</v>
      </c>
      <c r="G35" s="113">
        <v>0</v>
      </c>
      <c r="H35" s="113">
        <v>0</v>
      </c>
      <c r="I35" s="113">
        <v>0</v>
      </c>
      <c r="J35" s="113">
        <v>0</v>
      </c>
      <c r="K35" s="113">
        <v>0</v>
      </c>
    </row>
    <row r="36" spans="1:11">
      <c r="A36" s="28"/>
      <c r="B36" s="470" t="s">
        <v>62</v>
      </c>
      <c r="C36" s="31"/>
      <c r="D36" s="74">
        <v>2352</v>
      </c>
      <c r="E36" s="74">
        <v>750</v>
      </c>
      <c r="F36" s="74">
        <v>-3468</v>
      </c>
      <c r="G36" s="113">
        <v>0</v>
      </c>
      <c r="H36" s="113">
        <v>0</v>
      </c>
      <c r="I36" s="113">
        <v>0</v>
      </c>
      <c r="J36" s="113">
        <v>0</v>
      </c>
      <c r="K36" s="113">
        <v>0</v>
      </c>
    </row>
    <row r="37" spans="1:11">
      <c r="A37" s="28"/>
      <c r="B37" s="28" t="s">
        <v>324</v>
      </c>
      <c r="C37" s="31"/>
      <c r="D37" s="74">
        <v>-6114</v>
      </c>
      <c r="E37" s="74">
        <v>-6140</v>
      </c>
      <c r="F37" s="74">
        <v>-6688</v>
      </c>
      <c r="G37" s="113">
        <v>0</v>
      </c>
      <c r="H37" s="113">
        <v>0</v>
      </c>
      <c r="I37" s="113">
        <v>0</v>
      </c>
      <c r="J37" s="113">
        <v>0</v>
      </c>
      <c r="K37" s="113">
        <v>0</v>
      </c>
    </row>
    <row r="38" spans="1:11">
      <c r="A38" s="28"/>
      <c r="B38" s="28" t="s">
        <v>325</v>
      </c>
      <c r="C38" s="31"/>
      <c r="D38" s="74">
        <v>-444</v>
      </c>
      <c r="E38" s="74">
        <v>-763</v>
      </c>
      <c r="F38" s="74">
        <v>-576</v>
      </c>
      <c r="G38" s="113">
        <v>0</v>
      </c>
      <c r="H38" s="113">
        <v>0</v>
      </c>
      <c r="I38" s="113">
        <v>0</v>
      </c>
      <c r="J38" s="113">
        <v>0</v>
      </c>
      <c r="K38" s="113">
        <v>0</v>
      </c>
    </row>
    <row r="39" spans="1:11">
      <c r="A39" s="28"/>
      <c r="B39" s="28" t="s">
        <v>329</v>
      </c>
      <c r="C39" s="31"/>
      <c r="D39" s="74">
        <v>-9920</v>
      </c>
      <c r="E39" s="74">
        <v>-2779</v>
      </c>
      <c r="F39" s="74">
        <v>-4494</v>
      </c>
      <c r="G39" s="113">
        <v>0</v>
      </c>
      <c r="H39" s="113">
        <v>0</v>
      </c>
      <c r="I39" s="113">
        <v>0</v>
      </c>
      <c r="J39" s="113">
        <v>0</v>
      </c>
      <c r="K39" s="113">
        <v>0</v>
      </c>
    </row>
    <row r="40" spans="1:11">
      <c r="A40" s="28"/>
      <c r="B40" s="28" t="s">
        <v>327</v>
      </c>
      <c r="C40" s="31"/>
      <c r="D40" s="74">
        <v>66</v>
      </c>
      <c r="E40" s="74">
        <v>716</v>
      </c>
      <c r="F40" s="74">
        <v>362</v>
      </c>
      <c r="G40" s="113">
        <v>0</v>
      </c>
      <c r="H40" s="113">
        <v>0</v>
      </c>
      <c r="I40" s="113">
        <v>0</v>
      </c>
      <c r="J40" s="113">
        <v>0</v>
      </c>
      <c r="K40" s="113">
        <v>0</v>
      </c>
    </row>
    <row r="41" spans="1:11">
      <c r="A41" s="28"/>
      <c r="B41" s="28" t="s">
        <v>326</v>
      </c>
      <c r="C41" s="31"/>
      <c r="D41" s="74">
        <v>-827</v>
      </c>
      <c r="E41" s="74">
        <v>-3462</v>
      </c>
      <c r="F41" s="74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</row>
    <row r="42" spans="1:11">
      <c r="B42" s="28" t="s">
        <v>328</v>
      </c>
      <c r="D42" s="74">
        <v>-2118</v>
      </c>
      <c r="E42" s="74">
        <v>-2248</v>
      </c>
      <c r="F42" s="74">
        <v>-2170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28"/>
      <c r="B43" s="27" t="s">
        <v>63</v>
      </c>
      <c r="C43" s="31"/>
      <c r="D43" s="105">
        <f>SUM(D35:D42)</f>
        <v>-17039</v>
      </c>
      <c r="E43" s="105">
        <f t="shared" ref="E43:K43" si="10">SUM(E35:E42)</f>
        <v>-13414</v>
      </c>
      <c r="F43" s="105">
        <f t="shared" si="10"/>
        <v>-14822</v>
      </c>
      <c r="G43" s="105">
        <f t="shared" si="10"/>
        <v>0</v>
      </c>
      <c r="H43" s="105">
        <f t="shared" si="10"/>
        <v>0</v>
      </c>
      <c r="I43" s="105">
        <f t="shared" si="10"/>
        <v>0</v>
      </c>
      <c r="J43" s="105">
        <f t="shared" si="10"/>
        <v>0</v>
      </c>
      <c r="K43" s="105">
        <f t="shared" si="10"/>
        <v>0</v>
      </c>
    </row>
    <row r="44" spans="1:11">
      <c r="A44" s="28" t="s">
        <v>64</v>
      </c>
      <c r="B44" s="27"/>
      <c r="C44" s="31"/>
      <c r="D44" s="74">
        <v>-73</v>
      </c>
      <c r="E44" s="74">
        <v>69</v>
      </c>
      <c r="F44" s="74">
        <v>-641</v>
      </c>
      <c r="G44" s="112">
        <f>D44</f>
        <v>-73</v>
      </c>
      <c r="H44" s="112">
        <f t="shared" ref="H44:K44" si="11">E44</f>
        <v>69</v>
      </c>
      <c r="I44" s="112">
        <f t="shared" si="11"/>
        <v>-641</v>
      </c>
      <c r="J44" s="112">
        <f t="shared" si="11"/>
        <v>-73</v>
      </c>
      <c r="K44" s="112">
        <f t="shared" si="11"/>
        <v>69</v>
      </c>
    </row>
    <row r="45" spans="1:11">
      <c r="A45" s="28"/>
      <c r="B45" s="27"/>
      <c r="C45" s="31"/>
      <c r="D45" s="73"/>
      <c r="E45" s="73"/>
      <c r="F45" s="73"/>
      <c r="G45" s="73"/>
      <c r="H45" s="73"/>
      <c r="I45" s="73"/>
      <c r="J45" s="73"/>
      <c r="K45" s="73"/>
    </row>
    <row r="46" spans="1:11">
      <c r="A46" s="29" t="s">
        <v>65</v>
      </c>
      <c r="B46" s="27"/>
      <c r="C46" s="31"/>
      <c r="D46" s="109">
        <f>D23+D32+D43+D44</f>
        <v>-5866</v>
      </c>
      <c r="E46" s="109">
        <f t="shared" ref="E46:K46" si="12">E23+E32+E43+E44</f>
        <v>1562</v>
      </c>
      <c r="F46" s="109">
        <f t="shared" si="12"/>
        <v>-834</v>
      </c>
      <c r="G46" s="109">
        <f t="shared" ca="1" si="12"/>
        <v>16768.901729128618</v>
      </c>
      <c r="H46" s="109">
        <f t="shared" ca="1" si="12"/>
        <v>15580.086423646826</v>
      </c>
      <c r="I46" s="109">
        <f t="shared" ca="1" si="12"/>
        <v>17795.291810862025</v>
      </c>
      <c r="J46" s="109">
        <f t="shared" ca="1" si="12"/>
        <v>20237.128492683165</v>
      </c>
      <c r="K46" s="109">
        <f t="shared" ca="1" si="12"/>
        <v>19967.500852732319</v>
      </c>
    </row>
    <row r="47" spans="1:11">
      <c r="C47" s="31"/>
      <c r="D47" s="73"/>
      <c r="E47" s="73"/>
      <c r="F47" s="73"/>
      <c r="G47" s="73"/>
      <c r="H47" s="73"/>
      <c r="I47" s="73"/>
      <c r="J47" s="73"/>
      <c r="K47" s="73"/>
    </row>
    <row r="48" spans="1:11">
      <c r="A48" t="s">
        <v>66</v>
      </c>
      <c r="C48" s="31"/>
      <c r="D48" s="73"/>
      <c r="E48" s="73"/>
      <c r="F48" s="73"/>
      <c r="G48" s="73"/>
      <c r="H48" s="73"/>
      <c r="I48" s="73"/>
      <c r="J48" s="73"/>
      <c r="K48" s="73"/>
    </row>
    <row r="49" spans="2:11" s="4" customFormat="1" ht="15" thickBot="1">
      <c r="B49" s="4" t="s">
        <v>67</v>
      </c>
      <c r="C49" s="15"/>
      <c r="D49" s="475">
        <f>D23+D32+D44</f>
        <v>11173</v>
      </c>
      <c r="E49" s="475">
        <f t="shared" ref="E49:K49" si="13">E23+E32+E44</f>
        <v>14976</v>
      </c>
      <c r="F49" s="475">
        <f t="shared" si="13"/>
        <v>13988</v>
      </c>
      <c r="G49" s="475">
        <f t="shared" ca="1" si="13"/>
        <v>16768.901729128618</v>
      </c>
      <c r="H49" s="475">
        <f t="shared" ca="1" si="13"/>
        <v>15580.086423646826</v>
      </c>
      <c r="I49" s="475">
        <f t="shared" ca="1" si="13"/>
        <v>17795.291810862025</v>
      </c>
      <c r="J49" s="475">
        <f t="shared" ca="1" si="13"/>
        <v>20237.128492683165</v>
      </c>
      <c r="K49" s="475">
        <f t="shared" ca="1" si="13"/>
        <v>19967.500852732319</v>
      </c>
    </row>
    <row r="50" spans="2:11" ht="15" thickTop="1"/>
  </sheetData>
  <mergeCells count="3">
    <mergeCell ref="C1:C2"/>
    <mergeCell ref="D6:F6"/>
    <mergeCell ref="G6:K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0FC-C904-4AE5-9E9E-ED3F3A0ABA2B}">
  <dimension ref="A1:S54"/>
  <sheetViews>
    <sheetView showGridLines="0" workbookViewId="0">
      <pane xSplit="3" ySplit="7" topLeftCell="D8" activePane="bottomRight" state="frozen"/>
      <selection activeCell="A7" sqref="A7"/>
      <selection pane="topRight" activeCell="A7" sqref="A7"/>
      <selection pane="bottomLeft" activeCell="A7" sqref="A7"/>
      <selection pane="bottomRight" activeCell="F38" sqref="F38"/>
    </sheetView>
  </sheetViews>
  <sheetFormatPr defaultRowHeight="13.8"/>
  <cols>
    <col min="1" max="1" width="2.109375" style="35" customWidth="1"/>
    <col min="2" max="2" width="2.44140625" style="35" customWidth="1"/>
    <col min="3" max="3" width="41.88671875" style="35" bestFit="1" customWidth="1"/>
    <col min="4" max="4" width="11.21875" style="35" bestFit="1" customWidth="1"/>
    <col min="5" max="5" width="9" style="35" bestFit="1" customWidth="1"/>
    <col min="6" max="7" width="8.88671875" style="35" bestFit="1" customWidth="1"/>
    <col min="8" max="9" width="11.21875" style="35" bestFit="1" customWidth="1"/>
    <col min="10" max="10" width="10.109375" style="35" bestFit="1" customWidth="1"/>
    <col min="11" max="11" width="9" style="35"/>
    <col min="12" max="13" width="4.109375" style="35" bestFit="1" customWidth="1"/>
    <col min="14" max="14" width="9" style="35"/>
    <col min="15" max="15" width="9" style="35" bestFit="1" customWidth="1"/>
    <col min="16" max="18" width="10.109375" style="35" bestFit="1" customWidth="1"/>
    <col min="19" max="19" width="4.109375" style="35" bestFit="1" customWidth="1"/>
    <col min="20" max="255" width="9" style="35"/>
    <col min="256" max="256" width="2.109375" style="35" customWidth="1"/>
    <col min="257" max="257" width="2.44140625" style="35" customWidth="1"/>
    <col min="258" max="258" width="40.88671875" style="35" customWidth="1"/>
    <col min="259" max="259" width="9" style="35"/>
    <col min="260" max="260" width="8.5546875" style="35" bestFit="1" customWidth="1"/>
    <col min="261" max="511" width="9" style="35"/>
    <col min="512" max="512" width="2.109375" style="35" customWidth="1"/>
    <col min="513" max="513" width="2.44140625" style="35" customWidth="1"/>
    <col min="514" max="514" width="40.88671875" style="35" customWidth="1"/>
    <col min="515" max="515" width="9" style="35"/>
    <col min="516" max="516" width="8.5546875" style="35" bestFit="1" customWidth="1"/>
    <col min="517" max="767" width="9" style="35"/>
    <col min="768" max="768" width="2.109375" style="35" customWidth="1"/>
    <col min="769" max="769" width="2.44140625" style="35" customWidth="1"/>
    <col min="770" max="770" width="40.88671875" style="35" customWidth="1"/>
    <col min="771" max="771" width="9" style="35"/>
    <col min="772" max="772" width="8.5546875" style="35" bestFit="1" customWidth="1"/>
    <col min="773" max="1023" width="9" style="35"/>
    <col min="1024" max="1024" width="2.109375" style="35" customWidth="1"/>
    <col min="1025" max="1025" width="2.44140625" style="35" customWidth="1"/>
    <col min="1026" max="1026" width="40.88671875" style="35" customWidth="1"/>
    <col min="1027" max="1027" width="9" style="35"/>
    <col min="1028" max="1028" width="8.5546875" style="35" bestFit="1" customWidth="1"/>
    <col min="1029" max="1279" width="9" style="35"/>
    <col min="1280" max="1280" width="2.109375" style="35" customWidth="1"/>
    <col min="1281" max="1281" width="2.44140625" style="35" customWidth="1"/>
    <col min="1282" max="1282" width="40.88671875" style="35" customWidth="1"/>
    <col min="1283" max="1283" width="9" style="35"/>
    <col min="1284" max="1284" width="8.5546875" style="35" bestFit="1" customWidth="1"/>
    <col min="1285" max="1535" width="9" style="35"/>
    <col min="1536" max="1536" width="2.109375" style="35" customWidth="1"/>
    <col min="1537" max="1537" width="2.44140625" style="35" customWidth="1"/>
    <col min="1538" max="1538" width="40.88671875" style="35" customWidth="1"/>
    <col min="1539" max="1539" width="9" style="35"/>
    <col min="1540" max="1540" width="8.5546875" style="35" bestFit="1" customWidth="1"/>
    <col min="1541" max="1791" width="9" style="35"/>
    <col min="1792" max="1792" width="2.109375" style="35" customWidth="1"/>
    <col min="1793" max="1793" width="2.44140625" style="35" customWidth="1"/>
    <col min="1794" max="1794" width="40.88671875" style="35" customWidth="1"/>
    <col min="1795" max="1795" width="9" style="35"/>
    <col min="1796" max="1796" width="8.5546875" style="35" bestFit="1" customWidth="1"/>
    <col min="1797" max="2047" width="9" style="35"/>
    <col min="2048" max="2048" width="2.109375" style="35" customWidth="1"/>
    <col min="2049" max="2049" width="2.44140625" style="35" customWidth="1"/>
    <col min="2050" max="2050" width="40.88671875" style="35" customWidth="1"/>
    <col min="2051" max="2051" width="9" style="35"/>
    <col min="2052" max="2052" width="8.5546875" style="35" bestFit="1" customWidth="1"/>
    <col min="2053" max="2303" width="9" style="35"/>
    <col min="2304" max="2304" width="2.109375" style="35" customWidth="1"/>
    <col min="2305" max="2305" width="2.44140625" style="35" customWidth="1"/>
    <col min="2306" max="2306" width="40.88671875" style="35" customWidth="1"/>
    <col min="2307" max="2307" width="9" style="35"/>
    <col min="2308" max="2308" width="8.5546875" style="35" bestFit="1" customWidth="1"/>
    <col min="2309" max="2559" width="9" style="35"/>
    <col min="2560" max="2560" width="2.109375" style="35" customWidth="1"/>
    <col min="2561" max="2561" width="2.44140625" style="35" customWidth="1"/>
    <col min="2562" max="2562" width="40.88671875" style="35" customWidth="1"/>
    <col min="2563" max="2563" width="9" style="35"/>
    <col min="2564" max="2564" width="8.5546875" style="35" bestFit="1" customWidth="1"/>
    <col min="2565" max="2815" width="9" style="35"/>
    <col min="2816" max="2816" width="2.109375" style="35" customWidth="1"/>
    <col min="2817" max="2817" width="2.44140625" style="35" customWidth="1"/>
    <col min="2818" max="2818" width="40.88671875" style="35" customWidth="1"/>
    <col min="2819" max="2819" width="9" style="35"/>
    <col min="2820" max="2820" width="8.5546875" style="35" bestFit="1" customWidth="1"/>
    <col min="2821" max="3071" width="9" style="35"/>
    <col min="3072" max="3072" width="2.109375" style="35" customWidth="1"/>
    <col min="3073" max="3073" width="2.44140625" style="35" customWidth="1"/>
    <col min="3074" max="3074" width="40.88671875" style="35" customWidth="1"/>
    <col min="3075" max="3075" width="9" style="35"/>
    <col min="3076" max="3076" width="8.5546875" style="35" bestFit="1" customWidth="1"/>
    <col min="3077" max="3327" width="9" style="35"/>
    <col min="3328" max="3328" width="2.109375" style="35" customWidth="1"/>
    <col min="3329" max="3329" width="2.44140625" style="35" customWidth="1"/>
    <col min="3330" max="3330" width="40.88671875" style="35" customWidth="1"/>
    <col min="3331" max="3331" width="9" style="35"/>
    <col min="3332" max="3332" width="8.5546875" style="35" bestFit="1" customWidth="1"/>
    <col min="3333" max="3583" width="9" style="35"/>
    <col min="3584" max="3584" width="2.109375" style="35" customWidth="1"/>
    <col min="3585" max="3585" width="2.44140625" style="35" customWidth="1"/>
    <col min="3586" max="3586" width="40.88671875" style="35" customWidth="1"/>
    <col min="3587" max="3587" width="9" style="35"/>
    <col min="3588" max="3588" width="8.5546875" style="35" bestFit="1" customWidth="1"/>
    <col min="3589" max="3839" width="9" style="35"/>
    <col min="3840" max="3840" width="2.109375" style="35" customWidth="1"/>
    <col min="3841" max="3841" width="2.44140625" style="35" customWidth="1"/>
    <col min="3842" max="3842" width="40.88671875" style="35" customWidth="1"/>
    <col min="3843" max="3843" width="9" style="35"/>
    <col min="3844" max="3844" width="8.5546875" style="35" bestFit="1" customWidth="1"/>
    <col min="3845" max="4095" width="9" style="35"/>
    <col min="4096" max="4096" width="2.109375" style="35" customWidth="1"/>
    <col min="4097" max="4097" width="2.44140625" style="35" customWidth="1"/>
    <col min="4098" max="4098" width="40.88671875" style="35" customWidth="1"/>
    <col min="4099" max="4099" width="9" style="35"/>
    <col min="4100" max="4100" width="8.5546875" style="35" bestFit="1" customWidth="1"/>
    <col min="4101" max="4351" width="9" style="35"/>
    <col min="4352" max="4352" width="2.109375" style="35" customWidth="1"/>
    <col min="4353" max="4353" width="2.44140625" style="35" customWidth="1"/>
    <col min="4354" max="4354" width="40.88671875" style="35" customWidth="1"/>
    <col min="4355" max="4355" width="9" style="35"/>
    <col min="4356" max="4356" width="8.5546875" style="35" bestFit="1" customWidth="1"/>
    <col min="4357" max="4607" width="9" style="35"/>
    <col min="4608" max="4608" width="2.109375" style="35" customWidth="1"/>
    <col min="4609" max="4609" width="2.44140625" style="35" customWidth="1"/>
    <col min="4610" max="4610" width="40.88671875" style="35" customWidth="1"/>
    <col min="4611" max="4611" width="9" style="35"/>
    <col min="4612" max="4612" width="8.5546875" style="35" bestFit="1" customWidth="1"/>
    <col min="4613" max="4863" width="9" style="35"/>
    <col min="4864" max="4864" width="2.109375" style="35" customWidth="1"/>
    <col min="4865" max="4865" width="2.44140625" style="35" customWidth="1"/>
    <col min="4866" max="4866" width="40.88671875" style="35" customWidth="1"/>
    <col min="4867" max="4867" width="9" style="35"/>
    <col min="4868" max="4868" width="8.5546875" style="35" bestFit="1" customWidth="1"/>
    <col min="4869" max="5119" width="9" style="35"/>
    <col min="5120" max="5120" width="2.109375" style="35" customWidth="1"/>
    <col min="5121" max="5121" width="2.44140625" style="35" customWidth="1"/>
    <col min="5122" max="5122" width="40.88671875" style="35" customWidth="1"/>
    <col min="5123" max="5123" width="9" style="35"/>
    <col min="5124" max="5124" width="8.5546875" style="35" bestFit="1" customWidth="1"/>
    <col min="5125" max="5375" width="9" style="35"/>
    <col min="5376" max="5376" width="2.109375" style="35" customWidth="1"/>
    <col min="5377" max="5377" width="2.44140625" style="35" customWidth="1"/>
    <col min="5378" max="5378" width="40.88671875" style="35" customWidth="1"/>
    <col min="5379" max="5379" width="9" style="35"/>
    <col min="5380" max="5380" width="8.5546875" style="35" bestFit="1" customWidth="1"/>
    <col min="5381" max="5631" width="9" style="35"/>
    <col min="5632" max="5632" width="2.109375" style="35" customWidth="1"/>
    <col min="5633" max="5633" width="2.44140625" style="35" customWidth="1"/>
    <col min="5634" max="5634" width="40.88671875" style="35" customWidth="1"/>
    <col min="5635" max="5635" width="9" style="35"/>
    <col min="5636" max="5636" width="8.5546875" style="35" bestFit="1" customWidth="1"/>
    <col min="5637" max="5887" width="9" style="35"/>
    <col min="5888" max="5888" width="2.109375" style="35" customWidth="1"/>
    <col min="5889" max="5889" width="2.44140625" style="35" customWidth="1"/>
    <col min="5890" max="5890" width="40.88671875" style="35" customWidth="1"/>
    <col min="5891" max="5891" width="9" style="35"/>
    <col min="5892" max="5892" width="8.5546875" style="35" bestFit="1" customWidth="1"/>
    <col min="5893" max="6143" width="9" style="35"/>
    <col min="6144" max="6144" width="2.109375" style="35" customWidth="1"/>
    <col min="6145" max="6145" width="2.44140625" style="35" customWidth="1"/>
    <col min="6146" max="6146" width="40.88671875" style="35" customWidth="1"/>
    <col min="6147" max="6147" width="9" style="35"/>
    <col min="6148" max="6148" width="8.5546875" style="35" bestFit="1" customWidth="1"/>
    <col min="6149" max="6399" width="9" style="35"/>
    <col min="6400" max="6400" width="2.109375" style="35" customWidth="1"/>
    <col min="6401" max="6401" width="2.44140625" style="35" customWidth="1"/>
    <col min="6402" max="6402" width="40.88671875" style="35" customWidth="1"/>
    <col min="6403" max="6403" width="9" style="35"/>
    <col min="6404" max="6404" width="8.5546875" style="35" bestFit="1" customWidth="1"/>
    <col min="6405" max="6655" width="9" style="35"/>
    <col min="6656" max="6656" width="2.109375" style="35" customWidth="1"/>
    <col min="6657" max="6657" width="2.44140625" style="35" customWidth="1"/>
    <col min="6658" max="6658" width="40.88671875" style="35" customWidth="1"/>
    <col min="6659" max="6659" width="9" style="35"/>
    <col min="6660" max="6660" width="8.5546875" style="35" bestFit="1" customWidth="1"/>
    <col min="6661" max="6911" width="9" style="35"/>
    <col min="6912" max="6912" width="2.109375" style="35" customWidth="1"/>
    <col min="6913" max="6913" width="2.44140625" style="35" customWidth="1"/>
    <col min="6914" max="6914" width="40.88671875" style="35" customWidth="1"/>
    <col min="6915" max="6915" width="9" style="35"/>
    <col min="6916" max="6916" width="8.5546875" style="35" bestFit="1" customWidth="1"/>
    <col min="6917" max="7167" width="9" style="35"/>
    <col min="7168" max="7168" width="2.109375" style="35" customWidth="1"/>
    <col min="7169" max="7169" width="2.44140625" style="35" customWidth="1"/>
    <col min="7170" max="7170" width="40.88671875" style="35" customWidth="1"/>
    <col min="7171" max="7171" width="9" style="35"/>
    <col min="7172" max="7172" width="8.5546875" style="35" bestFit="1" customWidth="1"/>
    <col min="7173" max="7423" width="9" style="35"/>
    <col min="7424" max="7424" width="2.109375" style="35" customWidth="1"/>
    <col min="7425" max="7425" width="2.44140625" style="35" customWidth="1"/>
    <col min="7426" max="7426" width="40.88671875" style="35" customWidth="1"/>
    <col min="7427" max="7427" width="9" style="35"/>
    <col min="7428" max="7428" width="8.5546875" style="35" bestFit="1" customWidth="1"/>
    <col min="7429" max="7679" width="9" style="35"/>
    <col min="7680" max="7680" width="2.109375" style="35" customWidth="1"/>
    <col min="7681" max="7681" width="2.44140625" style="35" customWidth="1"/>
    <col min="7682" max="7682" width="40.88671875" style="35" customWidth="1"/>
    <col min="7683" max="7683" width="9" style="35"/>
    <col min="7684" max="7684" width="8.5546875" style="35" bestFit="1" customWidth="1"/>
    <col min="7685" max="7935" width="9" style="35"/>
    <col min="7936" max="7936" width="2.109375" style="35" customWidth="1"/>
    <col min="7937" max="7937" width="2.44140625" style="35" customWidth="1"/>
    <col min="7938" max="7938" width="40.88671875" style="35" customWidth="1"/>
    <col min="7939" max="7939" width="9" style="35"/>
    <col min="7940" max="7940" width="8.5546875" style="35" bestFit="1" customWidth="1"/>
    <col min="7941" max="8191" width="9" style="35"/>
    <col min="8192" max="8192" width="2.109375" style="35" customWidth="1"/>
    <col min="8193" max="8193" width="2.44140625" style="35" customWidth="1"/>
    <col min="8194" max="8194" width="40.88671875" style="35" customWidth="1"/>
    <col min="8195" max="8195" width="9" style="35"/>
    <col min="8196" max="8196" width="8.5546875" style="35" bestFit="1" customWidth="1"/>
    <col min="8197" max="8447" width="9" style="35"/>
    <col min="8448" max="8448" width="2.109375" style="35" customWidth="1"/>
    <col min="8449" max="8449" width="2.44140625" style="35" customWidth="1"/>
    <col min="8450" max="8450" width="40.88671875" style="35" customWidth="1"/>
    <col min="8451" max="8451" width="9" style="35"/>
    <col min="8452" max="8452" width="8.5546875" style="35" bestFit="1" customWidth="1"/>
    <col min="8453" max="8703" width="9" style="35"/>
    <col min="8704" max="8704" width="2.109375" style="35" customWidth="1"/>
    <col min="8705" max="8705" width="2.44140625" style="35" customWidth="1"/>
    <col min="8706" max="8706" width="40.88671875" style="35" customWidth="1"/>
    <col min="8707" max="8707" width="9" style="35"/>
    <col min="8708" max="8708" width="8.5546875" style="35" bestFit="1" customWidth="1"/>
    <col min="8709" max="8959" width="9" style="35"/>
    <col min="8960" max="8960" width="2.109375" style="35" customWidth="1"/>
    <col min="8961" max="8961" width="2.44140625" style="35" customWidth="1"/>
    <col min="8962" max="8962" width="40.88671875" style="35" customWidth="1"/>
    <col min="8963" max="8963" width="9" style="35"/>
    <col min="8964" max="8964" width="8.5546875" style="35" bestFit="1" customWidth="1"/>
    <col min="8965" max="9215" width="9" style="35"/>
    <col min="9216" max="9216" width="2.109375" style="35" customWidth="1"/>
    <col min="9217" max="9217" width="2.44140625" style="35" customWidth="1"/>
    <col min="9218" max="9218" width="40.88671875" style="35" customWidth="1"/>
    <col min="9219" max="9219" width="9" style="35"/>
    <col min="9220" max="9220" width="8.5546875" style="35" bestFit="1" customWidth="1"/>
    <col min="9221" max="9471" width="9" style="35"/>
    <col min="9472" max="9472" width="2.109375" style="35" customWidth="1"/>
    <col min="9473" max="9473" width="2.44140625" style="35" customWidth="1"/>
    <col min="9474" max="9474" width="40.88671875" style="35" customWidth="1"/>
    <col min="9475" max="9475" width="9" style="35"/>
    <col min="9476" max="9476" width="8.5546875" style="35" bestFit="1" customWidth="1"/>
    <col min="9477" max="9727" width="9" style="35"/>
    <col min="9728" max="9728" width="2.109375" style="35" customWidth="1"/>
    <col min="9729" max="9729" width="2.44140625" style="35" customWidth="1"/>
    <col min="9730" max="9730" width="40.88671875" style="35" customWidth="1"/>
    <col min="9731" max="9731" width="9" style="35"/>
    <col min="9732" max="9732" width="8.5546875" style="35" bestFit="1" customWidth="1"/>
    <col min="9733" max="9983" width="9" style="35"/>
    <col min="9984" max="9984" width="2.109375" style="35" customWidth="1"/>
    <col min="9985" max="9985" width="2.44140625" style="35" customWidth="1"/>
    <col min="9986" max="9986" width="40.88671875" style="35" customWidth="1"/>
    <col min="9987" max="9987" width="9" style="35"/>
    <col min="9988" max="9988" width="8.5546875" style="35" bestFit="1" customWidth="1"/>
    <col min="9989" max="10239" width="9" style="35"/>
    <col min="10240" max="10240" width="2.109375" style="35" customWidth="1"/>
    <col min="10241" max="10241" width="2.44140625" style="35" customWidth="1"/>
    <col min="10242" max="10242" width="40.88671875" style="35" customWidth="1"/>
    <col min="10243" max="10243" width="9" style="35"/>
    <col min="10244" max="10244" width="8.5546875" style="35" bestFit="1" customWidth="1"/>
    <col min="10245" max="10495" width="9" style="35"/>
    <col min="10496" max="10496" width="2.109375" style="35" customWidth="1"/>
    <col min="10497" max="10497" width="2.44140625" style="35" customWidth="1"/>
    <col min="10498" max="10498" width="40.88671875" style="35" customWidth="1"/>
    <col min="10499" max="10499" width="9" style="35"/>
    <col min="10500" max="10500" width="8.5546875" style="35" bestFit="1" customWidth="1"/>
    <col min="10501" max="10751" width="9" style="35"/>
    <col min="10752" max="10752" width="2.109375" style="35" customWidth="1"/>
    <col min="10753" max="10753" width="2.44140625" style="35" customWidth="1"/>
    <col min="10754" max="10754" width="40.88671875" style="35" customWidth="1"/>
    <col min="10755" max="10755" width="9" style="35"/>
    <col min="10756" max="10756" width="8.5546875" style="35" bestFit="1" customWidth="1"/>
    <col min="10757" max="11007" width="9" style="35"/>
    <col min="11008" max="11008" width="2.109375" style="35" customWidth="1"/>
    <col min="11009" max="11009" width="2.44140625" style="35" customWidth="1"/>
    <col min="11010" max="11010" width="40.88671875" style="35" customWidth="1"/>
    <col min="11011" max="11011" width="9" style="35"/>
    <col min="11012" max="11012" width="8.5546875" style="35" bestFit="1" customWidth="1"/>
    <col min="11013" max="11263" width="9" style="35"/>
    <col min="11264" max="11264" width="2.109375" style="35" customWidth="1"/>
    <col min="11265" max="11265" width="2.44140625" style="35" customWidth="1"/>
    <col min="11266" max="11266" width="40.88671875" style="35" customWidth="1"/>
    <col min="11267" max="11267" width="9" style="35"/>
    <col min="11268" max="11268" width="8.5546875" style="35" bestFit="1" customWidth="1"/>
    <col min="11269" max="11519" width="9" style="35"/>
    <col min="11520" max="11520" width="2.109375" style="35" customWidth="1"/>
    <col min="11521" max="11521" width="2.44140625" style="35" customWidth="1"/>
    <col min="11522" max="11522" width="40.88671875" style="35" customWidth="1"/>
    <col min="11523" max="11523" width="9" style="35"/>
    <col min="11524" max="11524" width="8.5546875" style="35" bestFit="1" customWidth="1"/>
    <col min="11525" max="11775" width="9" style="35"/>
    <col min="11776" max="11776" width="2.109375" style="35" customWidth="1"/>
    <col min="11777" max="11777" width="2.44140625" style="35" customWidth="1"/>
    <col min="11778" max="11778" width="40.88671875" style="35" customWidth="1"/>
    <col min="11779" max="11779" width="9" style="35"/>
    <col min="11780" max="11780" width="8.5546875" style="35" bestFit="1" customWidth="1"/>
    <col min="11781" max="12031" width="9" style="35"/>
    <col min="12032" max="12032" width="2.109375" style="35" customWidth="1"/>
    <col min="12033" max="12033" width="2.44140625" style="35" customWidth="1"/>
    <col min="12034" max="12034" width="40.88671875" style="35" customWidth="1"/>
    <col min="12035" max="12035" width="9" style="35"/>
    <col min="12036" max="12036" width="8.5546875" style="35" bestFit="1" customWidth="1"/>
    <col min="12037" max="12287" width="9" style="35"/>
    <col min="12288" max="12288" width="2.109375" style="35" customWidth="1"/>
    <col min="12289" max="12289" width="2.44140625" style="35" customWidth="1"/>
    <col min="12290" max="12290" width="40.88671875" style="35" customWidth="1"/>
    <col min="12291" max="12291" width="9" style="35"/>
    <col min="12292" max="12292" width="8.5546875" style="35" bestFit="1" customWidth="1"/>
    <col min="12293" max="12543" width="9" style="35"/>
    <col min="12544" max="12544" width="2.109375" style="35" customWidth="1"/>
    <col min="12545" max="12545" width="2.44140625" style="35" customWidth="1"/>
    <col min="12546" max="12546" width="40.88671875" style="35" customWidth="1"/>
    <col min="12547" max="12547" width="9" style="35"/>
    <col min="12548" max="12548" width="8.5546875" style="35" bestFit="1" customWidth="1"/>
    <col min="12549" max="12799" width="9" style="35"/>
    <col min="12800" max="12800" width="2.109375" style="35" customWidth="1"/>
    <col min="12801" max="12801" width="2.44140625" style="35" customWidth="1"/>
    <col min="12802" max="12802" width="40.88671875" style="35" customWidth="1"/>
    <col min="12803" max="12803" width="9" style="35"/>
    <col min="12804" max="12804" width="8.5546875" style="35" bestFit="1" customWidth="1"/>
    <col min="12805" max="13055" width="9" style="35"/>
    <col min="13056" max="13056" width="2.109375" style="35" customWidth="1"/>
    <col min="13057" max="13057" width="2.44140625" style="35" customWidth="1"/>
    <col min="13058" max="13058" width="40.88671875" style="35" customWidth="1"/>
    <col min="13059" max="13059" width="9" style="35"/>
    <col min="13060" max="13060" width="8.5546875" style="35" bestFit="1" customWidth="1"/>
    <col min="13061" max="13311" width="9" style="35"/>
    <col min="13312" max="13312" width="2.109375" style="35" customWidth="1"/>
    <col min="13313" max="13313" width="2.44140625" style="35" customWidth="1"/>
    <col min="13314" max="13314" width="40.88671875" style="35" customWidth="1"/>
    <col min="13315" max="13315" width="9" style="35"/>
    <col min="13316" max="13316" width="8.5546875" style="35" bestFit="1" customWidth="1"/>
    <col min="13317" max="13567" width="9" style="35"/>
    <col min="13568" max="13568" width="2.109375" style="35" customWidth="1"/>
    <col min="13569" max="13569" width="2.44140625" style="35" customWidth="1"/>
    <col min="13570" max="13570" width="40.88671875" style="35" customWidth="1"/>
    <col min="13571" max="13571" width="9" style="35"/>
    <col min="13572" max="13572" width="8.5546875" style="35" bestFit="1" customWidth="1"/>
    <col min="13573" max="13823" width="9" style="35"/>
    <col min="13824" max="13824" width="2.109375" style="35" customWidth="1"/>
    <col min="13825" max="13825" width="2.44140625" style="35" customWidth="1"/>
    <col min="13826" max="13826" width="40.88671875" style="35" customWidth="1"/>
    <col min="13827" max="13827" width="9" style="35"/>
    <col min="13828" max="13828" width="8.5546875" style="35" bestFit="1" customWidth="1"/>
    <col min="13829" max="14079" width="9" style="35"/>
    <col min="14080" max="14080" width="2.109375" style="35" customWidth="1"/>
    <col min="14081" max="14081" width="2.44140625" style="35" customWidth="1"/>
    <col min="14082" max="14082" width="40.88671875" style="35" customWidth="1"/>
    <col min="14083" max="14083" width="9" style="35"/>
    <col min="14084" max="14084" width="8.5546875" style="35" bestFit="1" customWidth="1"/>
    <col min="14085" max="14335" width="9" style="35"/>
    <col min="14336" max="14336" width="2.109375" style="35" customWidth="1"/>
    <col min="14337" max="14337" width="2.44140625" style="35" customWidth="1"/>
    <col min="14338" max="14338" width="40.88671875" style="35" customWidth="1"/>
    <col min="14339" max="14339" width="9" style="35"/>
    <col min="14340" max="14340" width="8.5546875" style="35" bestFit="1" customWidth="1"/>
    <col min="14341" max="14591" width="9" style="35"/>
    <col min="14592" max="14592" width="2.109375" style="35" customWidth="1"/>
    <col min="14593" max="14593" width="2.44140625" style="35" customWidth="1"/>
    <col min="14594" max="14594" width="40.88671875" style="35" customWidth="1"/>
    <col min="14595" max="14595" width="9" style="35"/>
    <col min="14596" max="14596" width="8.5546875" style="35" bestFit="1" customWidth="1"/>
    <col min="14597" max="14847" width="9" style="35"/>
    <col min="14848" max="14848" width="2.109375" style="35" customWidth="1"/>
    <col min="14849" max="14849" width="2.44140625" style="35" customWidth="1"/>
    <col min="14850" max="14850" width="40.88671875" style="35" customWidth="1"/>
    <col min="14851" max="14851" width="9" style="35"/>
    <col min="14852" max="14852" width="8.5546875" style="35" bestFit="1" customWidth="1"/>
    <col min="14853" max="15103" width="9" style="35"/>
    <col min="15104" max="15104" width="2.109375" style="35" customWidth="1"/>
    <col min="15105" max="15105" width="2.44140625" style="35" customWidth="1"/>
    <col min="15106" max="15106" width="40.88671875" style="35" customWidth="1"/>
    <col min="15107" max="15107" width="9" style="35"/>
    <col min="15108" max="15108" width="8.5546875" style="35" bestFit="1" customWidth="1"/>
    <col min="15109" max="15359" width="9" style="35"/>
    <col min="15360" max="15360" width="2.109375" style="35" customWidth="1"/>
    <col min="15361" max="15361" width="2.44140625" style="35" customWidth="1"/>
    <col min="15362" max="15362" width="40.88671875" style="35" customWidth="1"/>
    <col min="15363" max="15363" width="9" style="35"/>
    <col min="15364" max="15364" width="8.5546875" style="35" bestFit="1" customWidth="1"/>
    <col min="15365" max="15615" width="9" style="35"/>
    <col min="15616" max="15616" width="2.109375" style="35" customWidth="1"/>
    <col min="15617" max="15617" width="2.44140625" style="35" customWidth="1"/>
    <col min="15618" max="15618" width="40.88671875" style="35" customWidth="1"/>
    <col min="15619" max="15619" width="9" style="35"/>
    <col min="15620" max="15620" width="8.5546875" style="35" bestFit="1" customWidth="1"/>
    <col min="15621" max="15871" width="9" style="35"/>
    <col min="15872" max="15872" width="2.109375" style="35" customWidth="1"/>
    <col min="15873" max="15873" width="2.44140625" style="35" customWidth="1"/>
    <col min="15874" max="15874" width="40.88671875" style="35" customWidth="1"/>
    <col min="15875" max="15875" width="9" style="35"/>
    <col min="15876" max="15876" width="8.5546875" style="35" bestFit="1" customWidth="1"/>
    <col min="15877" max="16127" width="9" style="35"/>
    <col min="16128" max="16128" width="2.109375" style="35" customWidth="1"/>
    <col min="16129" max="16129" width="2.44140625" style="35" customWidth="1"/>
    <col min="16130" max="16130" width="40.88671875" style="35" customWidth="1"/>
    <col min="16131" max="16131" width="9" style="35"/>
    <col min="16132" max="16132" width="8.5546875" style="35" bestFit="1" customWidth="1"/>
    <col min="16133" max="16384" width="9" style="35"/>
  </cols>
  <sheetData>
    <row r="1" spans="1:15" ht="14.4" thickBot="1">
      <c r="C1" s="480"/>
    </row>
    <row r="2" spans="1:15" ht="14.4" thickBot="1">
      <c r="C2" s="480"/>
      <c r="D2" s="1" t="s">
        <v>0</v>
      </c>
      <c r="E2" s="467" t="s">
        <v>310</v>
      </c>
    </row>
    <row r="3" spans="1:15" ht="14.4" thickBot="1">
      <c r="A3" s="36" t="s">
        <v>68</v>
      </c>
      <c r="C3" s="36"/>
      <c r="D3" s="1" t="s">
        <v>3</v>
      </c>
      <c r="E3" s="468">
        <v>45809</v>
      </c>
    </row>
    <row r="4" spans="1:15" ht="14.4" thickBot="1">
      <c r="A4" s="14" t="s">
        <v>4</v>
      </c>
      <c r="C4" s="14"/>
      <c r="D4" s="1" t="s">
        <v>5</v>
      </c>
      <c r="E4" s="467" t="s">
        <v>6</v>
      </c>
    </row>
    <row r="5" spans="1:15" s="37" customFormat="1" ht="14.4" thickBot="1">
      <c r="C5" s="38"/>
    </row>
    <row r="6" spans="1:15" s="39" customFormat="1" ht="14.4" thickTop="1">
      <c r="C6" s="40"/>
      <c r="D6" s="482"/>
      <c r="E6" s="483"/>
      <c r="F6" s="484" t="s">
        <v>8</v>
      </c>
      <c r="G6" s="485"/>
      <c r="H6" s="485"/>
      <c r="I6" s="485"/>
      <c r="J6" s="486"/>
    </row>
    <row r="7" spans="1:15" s="41" customFormat="1">
      <c r="A7" s="17" t="s">
        <v>311</v>
      </c>
      <c r="C7" s="42"/>
      <c r="D7" s="5">
        <v>2024</v>
      </c>
      <c r="E7" s="24">
        <f t="shared" ref="E7:J7" si="0">D7+1</f>
        <v>2025</v>
      </c>
      <c r="F7" s="25">
        <f t="shared" si="0"/>
        <v>2026</v>
      </c>
      <c r="G7" s="6">
        <f t="shared" si="0"/>
        <v>2027</v>
      </c>
      <c r="H7" s="6">
        <f t="shared" si="0"/>
        <v>2028</v>
      </c>
      <c r="I7" s="6">
        <f t="shared" si="0"/>
        <v>2029</v>
      </c>
      <c r="J7" s="26">
        <f t="shared" si="0"/>
        <v>2030</v>
      </c>
    </row>
    <row r="8" spans="1:15" ht="10.199999999999999" customHeight="1">
      <c r="C8" s="36"/>
    </row>
    <row r="9" spans="1:15">
      <c r="A9" s="43" t="s">
        <v>71</v>
      </c>
      <c r="C9" s="36"/>
    </row>
    <row r="10" spans="1:15">
      <c r="B10" s="35" t="s">
        <v>72</v>
      </c>
      <c r="C10" s="36"/>
    </row>
    <row r="11" spans="1:15">
      <c r="A11" s="28"/>
      <c r="B11" s="28"/>
      <c r="C11" s="31" t="s">
        <v>73</v>
      </c>
      <c r="D11" s="74">
        <v>9867</v>
      </c>
      <c r="E11" s="74">
        <v>9037</v>
      </c>
      <c r="F11" s="114">
        <f ca="1">E11+'Cashflow Statement'!G46</f>
        <v>25805.901729128618</v>
      </c>
      <c r="G11" s="114">
        <f ca="1">F11+'Cashflow Statement'!H46</f>
        <v>41385.988152775448</v>
      </c>
      <c r="H11" s="114">
        <f ca="1">G11+'Cashflow Statement'!I46</f>
        <v>59181.279963637586</v>
      </c>
      <c r="I11" s="114">
        <f ca="1">H11+'Cashflow Statement'!J46</f>
        <v>79418.408456321835</v>
      </c>
      <c r="J11" s="114">
        <f ca="1">I11+'Cashflow Statement'!K46</f>
        <v>99385.909309067982</v>
      </c>
      <c r="M11" s="110"/>
      <c r="N11" s="110"/>
      <c r="O11" s="110"/>
    </row>
    <row r="12" spans="1:15">
      <c r="A12" s="28"/>
      <c r="B12" s="28"/>
      <c r="C12" s="31" t="s">
        <v>330</v>
      </c>
      <c r="D12" s="74">
        <v>3322</v>
      </c>
      <c r="E12" s="74">
        <v>4011</v>
      </c>
      <c r="F12" s="114">
        <f>E12</f>
        <v>4011</v>
      </c>
      <c r="G12" s="114">
        <f t="shared" ref="G12:J12" si="1">F12</f>
        <v>4011</v>
      </c>
      <c r="H12" s="114">
        <f t="shared" si="1"/>
        <v>4011</v>
      </c>
      <c r="I12" s="114">
        <f t="shared" si="1"/>
        <v>4011</v>
      </c>
      <c r="J12" s="114">
        <f t="shared" si="1"/>
        <v>4011</v>
      </c>
      <c r="M12" s="104"/>
      <c r="N12" s="104"/>
      <c r="O12" s="104"/>
    </row>
    <row r="13" spans="1:15" ht="14.4">
      <c r="A13" s="28"/>
      <c r="B13" s="28"/>
      <c r="C13" s="31" t="s">
        <v>74</v>
      </c>
      <c r="D13" s="74">
        <v>54892</v>
      </c>
      <c r="E13" s="74">
        <v>56435</v>
      </c>
      <c r="F13" s="114">
        <f>E13-'Cashflow Statement'!G18</f>
        <v>57390.138255375146</v>
      </c>
      <c r="G13" s="114">
        <f>F13-'Cashflow Statement'!H18</f>
        <v>60278.003246737673</v>
      </c>
      <c r="H13" s="114">
        <f>G13-'Cashflow Statement'!I18</f>
        <v>63111.470821567593</v>
      </c>
      <c r="I13" s="114">
        <f>H13-'Cashflow Statement'!J18</f>
        <v>66000.430829847872</v>
      </c>
      <c r="J13" s="114">
        <f>I13-'Cashflow Statement'!K18</f>
        <v>69148.696601749049</v>
      </c>
      <c r="M13"/>
      <c r="N13"/>
      <c r="O13"/>
    </row>
    <row r="14" spans="1:15">
      <c r="A14" s="28"/>
      <c r="B14" s="28"/>
      <c r="C14" s="31" t="s">
        <v>75</v>
      </c>
      <c r="D14" s="74">
        <v>8796</v>
      </c>
      <c r="E14" s="74">
        <v>9975</v>
      </c>
      <c r="F14" s="114">
        <f>E14-'Cashflow Statement'!G17</f>
        <v>9760.92</v>
      </c>
      <c r="G14" s="114">
        <f>F14-'Cashflow Statement'!H17</f>
        <v>10252.088343697975</v>
      </c>
      <c r="H14" s="114">
        <f>G14-'Cashflow Statement'!I17</f>
        <v>10734.004769782179</v>
      </c>
      <c r="I14" s="114">
        <f>H14-'Cashflow Statement'!J17</f>
        <v>11225.359354058372</v>
      </c>
      <c r="J14" s="114">
        <f>I14-'Cashflow Statement'!K17</f>
        <v>11760.816686492788</v>
      </c>
      <c r="M14" s="104"/>
      <c r="N14" s="104"/>
      <c r="O14" s="104"/>
    </row>
    <row r="15" spans="1:15" ht="14.4">
      <c r="A15" s="28"/>
      <c r="B15" s="28"/>
      <c r="C15" s="30" t="s">
        <v>76</v>
      </c>
      <c r="D15" s="116">
        <f>SUM(D11:D14)</f>
        <v>76877</v>
      </c>
      <c r="E15" s="116">
        <f>SUM(E11:E14)</f>
        <v>79458</v>
      </c>
      <c r="F15" s="116">
        <f t="shared" ref="F15:J15" ca="1" si="2">SUM(F11:F14)</f>
        <v>96967.959984503759</v>
      </c>
      <c r="G15" s="116">
        <f t="shared" ca="1" si="2"/>
        <v>115927.0797432111</v>
      </c>
      <c r="H15" s="116">
        <f t="shared" ca="1" si="2"/>
        <v>137037.75555498735</v>
      </c>
      <c r="I15" s="116">
        <f t="shared" ca="1" si="2"/>
        <v>160655.19864022807</v>
      </c>
      <c r="J15" s="116">
        <f t="shared" ca="1" si="2"/>
        <v>184306.42259730984</v>
      </c>
      <c r="M15"/>
      <c r="N15"/>
      <c r="O15"/>
    </row>
    <row r="16" spans="1:15">
      <c r="A16" s="28"/>
      <c r="B16" s="28"/>
      <c r="C16" s="30"/>
      <c r="M16" s="110"/>
      <c r="N16" s="110"/>
      <c r="O16" s="110"/>
    </row>
    <row r="17" spans="1:19">
      <c r="A17" s="28"/>
      <c r="B17" s="27" t="s">
        <v>95</v>
      </c>
      <c r="C17" s="30"/>
      <c r="M17" s="110"/>
      <c r="N17" s="110"/>
      <c r="O17" s="110"/>
    </row>
    <row r="18" spans="1:19">
      <c r="A18" s="28"/>
      <c r="C18" s="31" t="s">
        <v>77</v>
      </c>
      <c r="D18" s="74">
        <v>110810</v>
      </c>
      <c r="E18" s="74">
        <v>119993</v>
      </c>
      <c r="F18" s="114">
        <f>E18-'Cashflow Statement'!G26-'Cashflow Statement'!G11-'Cashflow Statement'!G28</f>
        <v>135140.72392508111</v>
      </c>
      <c r="G18" s="114">
        <f>F18-'Cashflow Statement'!H26-'Cashflow Statement'!H11-'Cashflow Statement'!H28</f>
        <v>151147.65886796449</v>
      </c>
      <c r="H18" s="114">
        <f>G18-'Cashflow Statement'!I26-'Cashflow Statement'!I11-'Cashflow Statement'!I28</f>
        <v>167252.20159350542</v>
      </c>
      <c r="I18" s="114">
        <f>H18-'Cashflow Statement'!J26-'Cashflow Statement'!J11-'Cashflow Statement'!J28</f>
        <v>182699.07102618628</v>
      </c>
      <c r="J18" s="114">
        <f>I18-'Cashflow Statement'!K26-'Cashflow Statement'!K11-'Cashflow Statement'!K28</f>
        <v>198281.57198629482</v>
      </c>
      <c r="M18" s="110"/>
      <c r="N18" s="110"/>
      <c r="O18" s="110"/>
    </row>
    <row r="19" spans="1:19">
      <c r="A19" s="28"/>
      <c r="C19" s="31" t="s">
        <v>78</v>
      </c>
      <c r="D19" s="74">
        <v>13673</v>
      </c>
      <c r="E19" s="74">
        <v>13599</v>
      </c>
      <c r="F19" s="114">
        <f>E19</f>
        <v>13599</v>
      </c>
      <c r="G19" s="114">
        <f t="shared" ref="G19:J19" si="3">F19</f>
        <v>13599</v>
      </c>
      <c r="H19" s="114">
        <f t="shared" si="3"/>
        <v>13599</v>
      </c>
      <c r="I19" s="114">
        <f t="shared" si="3"/>
        <v>13599</v>
      </c>
      <c r="J19" s="114">
        <f t="shared" si="3"/>
        <v>13599</v>
      </c>
      <c r="M19" s="110"/>
      <c r="N19" s="110"/>
      <c r="O19" s="110"/>
    </row>
    <row r="20" spans="1:19">
      <c r="A20" s="28"/>
      <c r="C20" s="31" t="s">
        <v>331</v>
      </c>
      <c r="D20" s="74">
        <v>5855</v>
      </c>
      <c r="E20" s="74">
        <v>6112</v>
      </c>
      <c r="F20" s="114">
        <f>E20</f>
        <v>6112</v>
      </c>
      <c r="G20" s="114">
        <f t="shared" ref="G20:J20" si="4">F20</f>
        <v>6112</v>
      </c>
      <c r="H20" s="114">
        <f t="shared" si="4"/>
        <v>6112</v>
      </c>
      <c r="I20" s="114">
        <f t="shared" si="4"/>
        <v>6112</v>
      </c>
      <c r="J20" s="114">
        <f t="shared" si="4"/>
        <v>6112</v>
      </c>
      <c r="M20" s="110"/>
      <c r="N20" s="110"/>
      <c r="O20" s="110"/>
    </row>
    <row r="21" spans="1:19">
      <c r="A21" s="28"/>
      <c r="C21" s="31" t="s">
        <v>79</v>
      </c>
      <c r="D21" s="74">
        <v>28113</v>
      </c>
      <c r="E21" s="74">
        <v>28792</v>
      </c>
      <c r="F21" s="114">
        <f>E21</f>
        <v>28792</v>
      </c>
      <c r="G21" s="114">
        <f t="shared" ref="G21:J21" si="5">F21</f>
        <v>28792</v>
      </c>
      <c r="H21" s="114">
        <f t="shared" si="5"/>
        <v>28792</v>
      </c>
      <c r="I21" s="114">
        <f t="shared" si="5"/>
        <v>28792</v>
      </c>
      <c r="J21" s="114">
        <f t="shared" si="5"/>
        <v>28792</v>
      </c>
      <c r="M21" s="110"/>
      <c r="N21" s="110"/>
      <c r="O21" s="110"/>
    </row>
    <row r="22" spans="1:19">
      <c r="A22" s="28"/>
      <c r="C22" s="31" t="s">
        <v>80</v>
      </c>
      <c r="D22" s="74">
        <v>17071</v>
      </c>
      <c r="E22" s="74">
        <v>12869</v>
      </c>
      <c r="F22" s="114">
        <f>E22-'Cashflow Statement'!G31-'Cashflow Statement'!G14-'Cashflow Statement'!G12</f>
        <v>10994</v>
      </c>
      <c r="G22" s="114">
        <f>F22-'Cashflow Statement'!H31-'Cashflow Statement'!H14-'Cashflow Statement'!H12</f>
        <v>8396</v>
      </c>
      <c r="H22" s="114">
        <f>G22-'Cashflow Statement'!I31-'Cashflow Statement'!I14-'Cashflow Statement'!I12</f>
        <v>5551</v>
      </c>
      <c r="I22" s="114">
        <f>H22-'Cashflow Statement'!J31-'Cashflow Statement'!J14-'Cashflow Statement'!J12</f>
        <v>3676</v>
      </c>
      <c r="J22" s="114">
        <f>I22-'Cashflow Statement'!K31-'Cashflow Statement'!K14-'Cashflow Statement'!K12</f>
        <v>1078</v>
      </c>
      <c r="M22" s="110"/>
      <c r="N22" s="110"/>
      <c r="O22" s="110"/>
    </row>
    <row r="23" spans="1:19">
      <c r="A23" s="28"/>
      <c r="B23" s="27" t="s">
        <v>81</v>
      </c>
      <c r="C23" s="30"/>
      <c r="D23" s="116">
        <f>SUM(D18:D22)+D15</f>
        <v>252399</v>
      </c>
      <c r="E23" s="116">
        <f>SUM(E18:E22)+E15</f>
        <v>260823</v>
      </c>
      <c r="F23" s="116">
        <f t="shared" ref="F23:J23" ca="1" si="6">SUM(F18:F22)+F15</f>
        <v>291605.68390958488</v>
      </c>
      <c r="G23" s="116">
        <f t="shared" ca="1" si="6"/>
        <v>323973.73861117556</v>
      </c>
      <c r="H23" s="116">
        <f t="shared" ca="1" si="6"/>
        <v>358343.9571484928</v>
      </c>
      <c r="I23" s="116">
        <f t="shared" ca="1" si="6"/>
        <v>395533.26966641436</v>
      </c>
      <c r="J23" s="116">
        <f t="shared" ca="1" si="6"/>
        <v>432168.99458360462</v>
      </c>
      <c r="L23" s="471">
        <f>D23-D50</f>
        <v>0</v>
      </c>
      <c r="M23" s="471">
        <f t="shared" ref="M23:S23" si="7">E23-E50</f>
        <v>0</v>
      </c>
      <c r="N23" s="471">
        <f t="shared" ca="1" si="7"/>
        <v>0</v>
      </c>
      <c r="O23" s="471">
        <f t="shared" ca="1" si="7"/>
        <v>0</v>
      </c>
      <c r="P23" s="471">
        <f t="shared" ca="1" si="7"/>
        <v>0</v>
      </c>
      <c r="Q23" s="471">
        <f t="shared" ca="1" si="7"/>
        <v>-1.0128132998943329E-8</v>
      </c>
      <c r="R23" s="471">
        <f t="shared" ca="1" si="7"/>
        <v>-8.6962245404720306E-8</v>
      </c>
      <c r="S23" s="471">
        <f t="shared" si="7"/>
        <v>0</v>
      </c>
    </row>
    <row r="24" spans="1:19">
      <c r="A24" s="28"/>
      <c r="B24" s="27"/>
      <c r="C24" s="30"/>
      <c r="D24" s="93"/>
      <c r="M24" s="106"/>
      <c r="N24" s="106"/>
      <c r="O24" s="106"/>
    </row>
    <row r="25" spans="1:19">
      <c r="A25" s="29" t="s">
        <v>82</v>
      </c>
      <c r="B25" s="28"/>
      <c r="C25" s="30"/>
      <c r="M25" s="73"/>
      <c r="N25" s="73"/>
      <c r="O25" s="73"/>
    </row>
    <row r="26" spans="1:19">
      <c r="A26" s="28"/>
      <c r="B26" s="27" t="s">
        <v>83</v>
      </c>
      <c r="C26" s="31"/>
      <c r="M26" s="73"/>
      <c r="N26" s="73"/>
      <c r="O26" s="73"/>
    </row>
    <row r="27" spans="1:19">
      <c r="A27" s="28"/>
      <c r="B27" s="27"/>
      <c r="C27" s="31" t="s">
        <v>332</v>
      </c>
      <c r="D27" s="74">
        <v>878</v>
      </c>
      <c r="E27" s="74">
        <v>3068</v>
      </c>
      <c r="F27" s="74">
        <f>E27+'Cashflow Statement'!G35</f>
        <v>3068</v>
      </c>
      <c r="G27" s="74">
        <f>F27+'Cashflow Statement'!H35</f>
        <v>3068</v>
      </c>
      <c r="H27" s="74">
        <f>G27+'Cashflow Statement'!I35</f>
        <v>3068</v>
      </c>
      <c r="I27" s="74">
        <f>H27+'Cashflow Statement'!J35</f>
        <v>3068</v>
      </c>
      <c r="J27" s="74">
        <f>I27+'Cashflow Statement'!K35</f>
        <v>3068</v>
      </c>
      <c r="M27" s="73"/>
      <c r="N27" s="525">
        <f ca="1">O23-N23</f>
        <v>0</v>
      </c>
      <c r="O27" s="73"/>
    </row>
    <row r="28" spans="1:19">
      <c r="A28" s="28"/>
      <c r="B28" s="28"/>
      <c r="C28" s="31" t="s">
        <v>84</v>
      </c>
      <c r="D28" s="74">
        <v>56812</v>
      </c>
      <c r="E28" s="74">
        <v>58666</v>
      </c>
      <c r="F28" s="114">
        <f>E28+'Cashflow Statement'!G19</f>
        <v>59530.018642864823</v>
      </c>
      <c r="G28" s="114">
        <f>F28+'Cashflow Statement'!H19</f>
        <v>62525.562163058137</v>
      </c>
      <c r="H28" s="114">
        <f>G28+'Cashflow Statement'!I19</f>
        <v>65464.679974606188</v>
      </c>
      <c r="I28" s="114">
        <f>H28+'Cashflow Statement'!J19</f>
        <v>68461.359341122763</v>
      </c>
      <c r="J28" s="114">
        <f>I28+'Cashflow Statement'!K19</f>
        <v>71727.013089158761</v>
      </c>
      <c r="M28" s="132"/>
      <c r="N28" s="132"/>
      <c r="O28" s="132"/>
      <c r="P28" s="132"/>
      <c r="Q28" s="132"/>
    </row>
    <row r="29" spans="1:19">
      <c r="A29" s="28"/>
      <c r="B29" s="32"/>
      <c r="C29" s="31" t="s">
        <v>333</v>
      </c>
      <c r="D29" s="74">
        <v>28759</v>
      </c>
      <c r="E29" s="74">
        <v>29345</v>
      </c>
      <c r="F29" s="114">
        <f>E29+'Cashflow Statement'!G20</f>
        <v>30816.869120938805</v>
      </c>
      <c r="G29" s="114">
        <f>F29+'Cashflow Statement'!H20</f>
        <v>32367.570342144263</v>
      </c>
      <c r="H29" s="114">
        <f>G29+'Cashflow Statement'!I20</f>
        <v>33889.061700527229</v>
      </c>
      <c r="I29" s="114">
        <f>H29+'Cashflow Statement'!J20</f>
        <v>35440.350914619012</v>
      </c>
      <c r="J29" s="114">
        <f>I29+'Cashflow Statement'!K20</f>
        <v>37130.87993580538</v>
      </c>
      <c r="M29" s="110"/>
      <c r="N29" s="110"/>
      <c r="O29" s="110"/>
    </row>
    <row r="30" spans="1:19">
      <c r="A30" s="28"/>
      <c r="B30" s="28"/>
      <c r="C30" s="31" t="s">
        <v>334</v>
      </c>
      <c r="D30" s="74">
        <v>307</v>
      </c>
      <c r="E30" s="74">
        <v>608</v>
      </c>
      <c r="F30" s="114">
        <f>E30</f>
        <v>608</v>
      </c>
      <c r="G30" s="114">
        <f t="shared" ref="G30:J30" si="8">F30</f>
        <v>608</v>
      </c>
      <c r="H30" s="114">
        <f t="shared" si="8"/>
        <v>608</v>
      </c>
      <c r="I30" s="114">
        <f t="shared" si="8"/>
        <v>608</v>
      </c>
      <c r="J30" s="114">
        <f t="shared" si="8"/>
        <v>608</v>
      </c>
      <c r="M30" s="110"/>
      <c r="N30" s="110"/>
      <c r="O30" s="110"/>
    </row>
    <row r="31" spans="1:19">
      <c r="A31" s="28"/>
      <c r="B31" s="28"/>
      <c r="C31" s="31" t="s">
        <v>335</v>
      </c>
      <c r="D31" s="74">
        <v>5659</v>
      </c>
      <c r="E31" s="74">
        <v>4897</v>
      </c>
      <c r="F31" s="114">
        <f>E31</f>
        <v>4897</v>
      </c>
      <c r="G31" s="114">
        <f t="shared" ref="G31:J31" si="9">F31</f>
        <v>4897</v>
      </c>
      <c r="H31" s="114">
        <f t="shared" si="9"/>
        <v>4897</v>
      </c>
      <c r="I31" s="114">
        <f t="shared" si="9"/>
        <v>4897</v>
      </c>
      <c r="J31" s="114">
        <f t="shared" si="9"/>
        <v>4897</v>
      </c>
      <c r="M31" s="110"/>
      <c r="N31" s="110"/>
      <c r="O31" s="110"/>
    </row>
    <row r="32" spans="1:19">
      <c r="A32" s="28"/>
      <c r="B32" s="28"/>
      <c r="C32" s="30" t="s">
        <v>86</v>
      </c>
      <c r="D32" s="116">
        <f>SUM(D27:D31)</f>
        <v>92415</v>
      </c>
      <c r="E32" s="117">
        <f>SUM(E27:E31)</f>
        <v>96584</v>
      </c>
      <c r="F32" s="117">
        <f t="shared" ref="F32:J32" si="10">SUM(F27:F31)</f>
        <v>98919.887763803621</v>
      </c>
      <c r="G32" s="117">
        <f t="shared" si="10"/>
        <v>103466.1325052024</v>
      </c>
      <c r="H32" s="117">
        <f t="shared" si="10"/>
        <v>107926.74167513341</v>
      </c>
      <c r="I32" s="117">
        <f t="shared" si="10"/>
        <v>112474.71025574178</v>
      </c>
      <c r="J32" s="117">
        <f t="shared" si="10"/>
        <v>117430.89302496414</v>
      </c>
      <c r="M32" s="110"/>
      <c r="N32" s="110"/>
      <c r="O32" s="110"/>
    </row>
    <row r="33" spans="1:15">
      <c r="A33" s="28"/>
      <c r="B33" s="28"/>
      <c r="C33" s="30"/>
      <c r="M33" s="110"/>
      <c r="N33" s="110"/>
      <c r="O33" s="110"/>
    </row>
    <row r="34" spans="1:15">
      <c r="A34" s="28"/>
      <c r="B34" s="27" t="s">
        <v>96</v>
      </c>
      <c r="C34" s="30"/>
      <c r="M34" s="110"/>
      <c r="N34" s="110"/>
      <c r="O34" s="110"/>
    </row>
    <row r="35" spans="1:15">
      <c r="A35" s="28"/>
      <c r="C35" s="31" t="s">
        <v>336</v>
      </c>
      <c r="D35" s="74">
        <v>36132</v>
      </c>
      <c r="E35" s="74">
        <v>33401</v>
      </c>
      <c r="F35" s="114">
        <f>E35+'Cashflow Statement'!G36</f>
        <v>33401</v>
      </c>
      <c r="G35" s="114">
        <f>F35+'Cashflow Statement'!H36</f>
        <v>33401</v>
      </c>
      <c r="H35" s="114">
        <f>G35+'Cashflow Statement'!I36</f>
        <v>33401</v>
      </c>
      <c r="I35" s="114">
        <f>H35+'Cashflow Statement'!J36</f>
        <v>33401</v>
      </c>
      <c r="J35" s="114">
        <f>I35+'Cashflow Statement'!K36</f>
        <v>33401</v>
      </c>
      <c r="M35" s="106"/>
      <c r="N35" s="106"/>
      <c r="O35" s="106"/>
    </row>
    <row r="36" spans="1:15">
      <c r="A36" s="28"/>
      <c r="C36" s="31" t="s">
        <v>337</v>
      </c>
      <c r="D36" s="74">
        <v>12943</v>
      </c>
      <c r="E36" s="74">
        <v>12825</v>
      </c>
      <c r="F36" s="114">
        <f>E36</f>
        <v>12825</v>
      </c>
      <c r="G36" s="114">
        <f t="shared" ref="G36:J36" si="11">F36</f>
        <v>12825</v>
      </c>
      <c r="H36" s="114">
        <f t="shared" si="11"/>
        <v>12825</v>
      </c>
      <c r="I36" s="114">
        <f t="shared" si="11"/>
        <v>12825</v>
      </c>
      <c r="J36" s="114">
        <f t="shared" si="11"/>
        <v>12825</v>
      </c>
      <c r="M36" s="73"/>
      <c r="N36" s="73"/>
      <c r="O36" s="73"/>
    </row>
    <row r="37" spans="1:15">
      <c r="A37" s="28"/>
      <c r="C37" s="31" t="s">
        <v>338</v>
      </c>
      <c r="D37" s="74">
        <v>5709</v>
      </c>
      <c r="E37" s="74">
        <v>5923</v>
      </c>
      <c r="F37" s="114">
        <f>E37</f>
        <v>5923</v>
      </c>
      <c r="G37" s="114">
        <f t="shared" ref="G37:J37" si="12">F37</f>
        <v>5923</v>
      </c>
      <c r="H37" s="114">
        <f t="shared" si="12"/>
        <v>5923</v>
      </c>
      <c r="I37" s="114">
        <f t="shared" si="12"/>
        <v>5923</v>
      </c>
      <c r="J37" s="114">
        <f t="shared" si="12"/>
        <v>5923</v>
      </c>
      <c r="M37" s="73"/>
      <c r="N37" s="73"/>
      <c r="O37" s="73"/>
    </row>
    <row r="38" spans="1:15">
      <c r="A38" s="28"/>
      <c r="C38" s="31" t="s">
        <v>339</v>
      </c>
      <c r="D38" s="74">
        <v>14629</v>
      </c>
      <c r="E38" s="74">
        <v>14398</v>
      </c>
      <c r="F38" s="114">
        <f>E38+'Cashflow Statement'!G15</f>
        <v>14277.666666666666</v>
      </c>
      <c r="G38" s="114">
        <f>F38+'Cashflow Statement'!H15</f>
        <v>13967.555555555555</v>
      </c>
      <c r="H38" s="114">
        <f>G38+'Cashflow Statement'!I15</f>
        <v>13612.407407407407</v>
      </c>
      <c r="I38" s="114">
        <f>H38+'Cashflow Statement'!J15</f>
        <v>13350.543209876543</v>
      </c>
      <c r="J38" s="114">
        <f>I38+'Cashflow Statement'!K15</f>
        <v>13041.502057613168</v>
      </c>
      <c r="M38" s="73"/>
      <c r="N38" s="73"/>
      <c r="O38" s="73"/>
    </row>
    <row r="39" spans="1:15">
      <c r="A39" s="28"/>
      <c r="C39" s="31" t="s">
        <v>340</v>
      </c>
      <c r="D39" s="74">
        <v>222</v>
      </c>
      <c r="E39" s="74">
        <v>271</v>
      </c>
      <c r="F39" s="114">
        <f>E39+'Cashflow Statement'!G41</f>
        <v>271</v>
      </c>
      <c r="G39" s="114">
        <f>F39+'Cashflow Statement'!H41</f>
        <v>271</v>
      </c>
      <c r="H39" s="114">
        <f>G39+'Cashflow Statement'!I41</f>
        <v>271</v>
      </c>
      <c r="I39" s="114">
        <f>H39+'Cashflow Statement'!J41</f>
        <v>271</v>
      </c>
      <c r="J39" s="114">
        <f>I39+'Cashflow Statement'!K41</f>
        <v>271</v>
      </c>
      <c r="M39" s="73"/>
      <c r="N39" s="73"/>
      <c r="O39" s="73"/>
    </row>
    <row r="40" spans="1:15">
      <c r="A40" s="28"/>
      <c r="C40" s="30" t="s">
        <v>87</v>
      </c>
      <c r="D40" s="116">
        <f>SUM(D35:D39)+D32</f>
        <v>162050</v>
      </c>
      <c r="E40" s="116">
        <f>SUM(E35:E39)+E32</f>
        <v>163402</v>
      </c>
      <c r="F40" s="116">
        <f t="shared" ref="F40:J40" si="13">SUM(F35:F39)+F32</f>
        <v>165617.55443047028</v>
      </c>
      <c r="G40" s="116">
        <f t="shared" si="13"/>
        <v>169853.68806075797</v>
      </c>
      <c r="H40" s="116">
        <f t="shared" si="13"/>
        <v>173959.14908254083</v>
      </c>
      <c r="I40" s="116">
        <f t="shared" si="13"/>
        <v>178245.25346561833</v>
      </c>
      <c r="J40" s="116">
        <f t="shared" si="13"/>
        <v>182892.39508257731</v>
      </c>
      <c r="M40" s="110"/>
      <c r="N40" s="110"/>
      <c r="O40" s="110"/>
    </row>
    <row r="41" spans="1:15">
      <c r="A41" s="28"/>
      <c r="B41" s="27"/>
      <c r="C41" s="27"/>
      <c r="D41" s="118"/>
      <c r="M41" s="110"/>
      <c r="N41" s="110"/>
      <c r="O41" s="110"/>
    </row>
    <row r="42" spans="1:15">
      <c r="A42" s="27" t="s">
        <v>88</v>
      </c>
      <c r="B42" s="28"/>
      <c r="C42" s="27"/>
      <c r="D42" s="118"/>
      <c r="H42" s="471"/>
      <c r="I42" s="471"/>
      <c r="L42" s="471"/>
      <c r="M42" s="110"/>
      <c r="N42" s="110"/>
      <c r="O42" s="110"/>
    </row>
    <row r="43" spans="1:15">
      <c r="A43" s="28"/>
      <c r="B43" s="28"/>
      <c r="C43" s="31" t="s">
        <v>89</v>
      </c>
      <c r="D43" s="74">
        <v>0</v>
      </c>
      <c r="E43" s="74">
        <v>0</v>
      </c>
      <c r="F43" s="114">
        <f>E43</f>
        <v>0</v>
      </c>
      <c r="G43" s="114">
        <f t="shared" ref="G43:J43" si="14">F43</f>
        <v>0</v>
      </c>
      <c r="H43" s="114">
        <f t="shared" si="14"/>
        <v>0</v>
      </c>
      <c r="I43" s="114">
        <f t="shared" si="14"/>
        <v>0</v>
      </c>
      <c r="J43" s="114">
        <f t="shared" si="14"/>
        <v>0</v>
      </c>
      <c r="M43" s="110"/>
      <c r="N43" s="110"/>
      <c r="O43" s="110"/>
    </row>
    <row r="44" spans="1:15">
      <c r="A44" s="28"/>
      <c r="B44" s="28"/>
      <c r="C44" s="31" t="s">
        <v>341</v>
      </c>
      <c r="D44" s="74">
        <v>5349</v>
      </c>
      <c r="E44" s="74">
        <v>6305</v>
      </c>
      <c r="F44" s="114">
        <f>E44</f>
        <v>6305</v>
      </c>
      <c r="G44" s="114">
        <f t="shared" ref="G44:J44" si="15">F44</f>
        <v>6305</v>
      </c>
      <c r="H44" s="114">
        <f t="shared" si="15"/>
        <v>6305</v>
      </c>
      <c r="I44" s="114">
        <f t="shared" si="15"/>
        <v>6305</v>
      </c>
      <c r="J44" s="114">
        <f t="shared" si="15"/>
        <v>6305</v>
      </c>
      <c r="M44" s="106"/>
      <c r="N44" s="106"/>
      <c r="O44" s="106"/>
    </row>
    <row r="45" spans="1:15">
      <c r="A45" s="28"/>
      <c r="B45" s="28"/>
      <c r="C45" s="31" t="s">
        <v>90</v>
      </c>
      <c r="D45" s="74">
        <v>-11302</v>
      </c>
      <c r="E45" s="74">
        <v>-13605</v>
      </c>
      <c r="F45" s="114">
        <f>E45+'Cashflow Statement'!G44</f>
        <v>-13678</v>
      </c>
      <c r="G45" s="114">
        <f>F45+'Cashflow Statement'!H44</f>
        <v>-13609</v>
      </c>
      <c r="H45" s="114">
        <f>G45+'Cashflow Statement'!I44</f>
        <v>-14250</v>
      </c>
      <c r="I45" s="114">
        <f>H45+'Cashflow Statement'!J44</f>
        <v>-14323</v>
      </c>
      <c r="J45" s="114">
        <f>I45+'Cashflow Statement'!K44</f>
        <v>-14254</v>
      </c>
      <c r="M45" s="73"/>
      <c r="N45" s="73"/>
      <c r="O45" s="73"/>
    </row>
    <row r="46" spans="1:15">
      <c r="A46" s="28"/>
      <c r="B46" s="28"/>
      <c r="C46" s="31" t="s">
        <v>91</v>
      </c>
      <c r="D46" s="74">
        <v>89814</v>
      </c>
      <c r="E46" s="74">
        <v>98313</v>
      </c>
      <c r="F46" s="114">
        <f ca="1">E46+'Cashflow Statement'!G10</f>
        <v>126953.12947911458</v>
      </c>
      <c r="G46" s="114">
        <f ca="1">F46+'Cashflow Statement'!H10</f>
        <v>155016.05055041763</v>
      </c>
      <c r="H46" s="114">
        <f ca="1">G46+'Cashflow Statement'!I10</f>
        <v>185921.80806595195</v>
      </c>
      <c r="I46" s="114">
        <f ca="1">H46+'Cashflow Statement'!J10</f>
        <v>218898.01620079603</v>
      </c>
      <c r="J46" s="114">
        <f ca="1">I46+'Cashflow Statement'!K10</f>
        <v>250817.59950102732</v>
      </c>
      <c r="M46" s="73"/>
      <c r="N46" s="73"/>
      <c r="O46" s="73"/>
    </row>
    <row r="47" spans="1:15">
      <c r="A47" s="28"/>
      <c r="B47" s="28"/>
      <c r="C47" s="31" t="s">
        <v>342</v>
      </c>
      <c r="D47" s="74">
        <v>6488</v>
      </c>
      <c r="E47" s="74">
        <v>6408</v>
      </c>
      <c r="F47" s="114">
        <f>E47+'Cashflow Statement'!G40-'Cashflow Statement'!G41</f>
        <v>6408</v>
      </c>
      <c r="G47" s="114">
        <f>F47+'Cashflow Statement'!H40-'Cashflow Statement'!H41</f>
        <v>6408</v>
      </c>
      <c r="H47" s="114">
        <f>G47+'Cashflow Statement'!I40-'Cashflow Statement'!I41</f>
        <v>6408</v>
      </c>
      <c r="I47" s="114">
        <f>H47+'Cashflow Statement'!J40-'Cashflow Statement'!J41</f>
        <v>6408</v>
      </c>
      <c r="J47" s="114">
        <f>I47+'Cashflow Statement'!K40-'Cashflow Statement'!K41</f>
        <v>6408</v>
      </c>
      <c r="M47" s="73"/>
      <c r="N47" s="73"/>
      <c r="O47" s="73"/>
    </row>
    <row r="48" spans="1:15">
      <c r="A48" s="28"/>
      <c r="C48" s="30" t="s">
        <v>92</v>
      </c>
      <c r="D48" s="115">
        <f>SUM(D43:D47)</f>
        <v>90349</v>
      </c>
      <c r="E48" s="115">
        <f>SUM(E43:E47)</f>
        <v>97421</v>
      </c>
      <c r="F48" s="115">
        <f t="shared" ref="F48:J48" ca="1" si="16">SUM(F43:F47)</f>
        <v>125988.12947911458</v>
      </c>
      <c r="G48" s="115">
        <f t="shared" ca="1" si="16"/>
        <v>154120.05055041763</v>
      </c>
      <c r="H48" s="115">
        <f t="shared" ca="1" si="16"/>
        <v>184384.80806595195</v>
      </c>
      <c r="I48" s="115">
        <f t="shared" ca="1" si="16"/>
        <v>217288.01620079603</v>
      </c>
      <c r="J48" s="115">
        <f t="shared" ca="1" si="16"/>
        <v>249276.59950102732</v>
      </c>
      <c r="M48" s="73"/>
      <c r="N48" s="73"/>
      <c r="O48" s="73"/>
    </row>
    <row r="49" spans="1:15">
      <c r="A49" s="28"/>
      <c r="B49" s="27"/>
      <c r="C49" s="30"/>
      <c r="M49" s="73"/>
      <c r="N49" s="73"/>
      <c r="O49" s="73"/>
    </row>
    <row r="50" spans="1:15" ht="20.25" customHeight="1">
      <c r="A50" s="28"/>
      <c r="B50" s="27" t="s">
        <v>93</v>
      </c>
      <c r="C50" s="30"/>
      <c r="D50" s="115">
        <f>D48+D40</f>
        <v>252399</v>
      </c>
      <c r="E50" s="115">
        <f>E48+E40</f>
        <v>260823</v>
      </c>
      <c r="F50" s="115">
        <f t="shared" ref="F50:J50" ca="1" si="17">F48+F40</f>
        <v>291605.68390958488</v>
      </c>
      <c r="G50" s="115">
        <f t="shared" ca="1" si="17"/>
        <v>323973.73861117556</v>
      </c>
      <c r="H50" s="115">
        <f t="shared" ca="1" si="17"/>
        <v>358343.9571484928</v>
      </c>
      <c r="I50" s="115">
        <f t="shared" ca="1" si="17"/>
        <v>395533.26966641436</v>
      </c>
      <c r="J50" s="115">
        <f t="shared" ca="1" si="17"/>
        <v>432168.99458360462</v>
      </c>
      <c r="M50" s="73"/>
      <c r="N50" s="73"/>
      <c r="O50" s="73"/>
    </row>
    <row r="51" spans="1:15">
      <c r="A51" s="28"/>
      <c r="B51" s="27"/>
      <c r="C51" s="30"/>
    </row>
    <row r="52" spans="1:15">
      <c r="A52" s="29" t="s">
        <v>66</v>
      </c>
      <c r="B52" s="28"/>
      <c r="C52" s="30"/>
    </row>
    <row r="53" spans="1:15" s="37" customFormat="1" ht="14.4" thickBot="1">
      <c r="B53" s="45" t="s">
        <v>94</v>
      </c>
      <c r="C53" s="38"/>
      <c r="D53" s="46" t="str">
        <f t="shared" ref="D53:J53" si="18">IF(ROUND(D50-D23,1)=0,"Y","N")</f>
        <v>Y</v>
      </c>
      <c r="E53" s="46" t="str">
        <f t="shared" si="18"/>
        <v>Y</v>
      </c>
      <c r="F53" s="46" t="str">
        <f t="shared" ca="1" si="18"/>
        <v>Y</v>
      </c>
      <c r="G53" s="46" t="str">
        <f t="shared" ca="1" si="18"/>
        <v>Y</v>
      </c>
      <c r="H53" s="46" t="str">
        <f t="shared" ca="1" si="18"/>
        <v>Y</v>
      </c>
      <c r="I53" s="46" t="str">
        <f t="shared" ca="1" si="18"/>
        <v>Y</v>
      </c>
      <c r="J53" s="46" t="str">
        <f t="shared" ca="1" si="18"/>
        <v>Y</v>
      </c>
    </row>
    <row r="54" spans="1:15" ht="14.4" thickTop="1"/>
  </sheetData>
  <mergeCells count="3">
    <mergeCell ref="C1:C2"/>
    <mergeCell ref="D6:E6"/>
    <mergeCell ref="F6:J6"/>
  </mergeCells>
  <conditionalFormatting sqref="D53:J53">
    <cfRule type="containsText" dxfId="23" priority="2" operator="containsText" text="N">
      <formula>NOT(ISERROR(SEARCH("N",D53)))</formula>
    </cfRule>
    <cfRule type="containsText" dxfId="22" priority="3" operator="containsText" text="Y">
      <formula>NOT(ISERROR(SEARCH("Y",D53)))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9E13-D9A6-4BAB-A45F-73CA25EB9478}">
  <dimension ref="A1:K24"/>
  <sheetViews>
    <sheetView showGridLines="0" workbookViewId="0">
      <selection activeCell="J25" sqref="J25"/>
    </sheetView>
  </sheetViews>
  <sheetFormatPr defaultRowHeight="14.4"/>
  <cols>
    <col min="1" max="1" width="2.109375" customWidth="1"/>
    <col min="2" max="2" width="2.44140625" customWidth="1"/>
    <col min="3" max="3" width="33.5546875" customWidth="1"/>
    <col min="5" max="5" width="8.77734375" bestFit="1" customWidth="1"/>
    <col min="7" max="7" width="9.33203125" bestFit="1" customWidth="1"/>
    <col min="257" max="257" width="2.109375" customWidth="1"/>
    <col min="258" max="258" width="2.44140625" customWidth="1"/>
    <col min="259" max="259" width="40.88671875" customWidth="1"/>
    <col min="261" max="261" width="8.5546875" bestFit="1" customWidth="1"/>
    <col min="513" max="513" width="2.109375" customWidth="1"/>
    <col min="514" max="514" width="2.44140625" customWidth="1"/>
    <col min="515" max="515" width="40.88671875" customWidth="1"/>
    <col min="517" max="517" width="8.5546875" bestFit="1" customWidth="1"/>
    <col min="769" max="769" width="2.109375" customWidth="1"/>
    <col min="770" max="770" width="2.44140625" customWidth="1"/>
    <col min="771" max="771" width="40.88671875" customWidth="1"/>
    <col min="773" max="773" width="8.5546875" bestFit="1" customWidth="1"/>
    <col min="1025" max="1025" width="2.109375" customWidth="1"/>
    <col min="1026" max="1026" width="2.44140625" customWidth="1"/>
    <col min="1027" max="1027" width="40.88671875" customWidth="1"/>
    <col min="1029" max="1029" width="8.5546875" bestFit="1" customWidth="1"/>
    <col min="1281" max="1281" width="2.109375" customWidth="1"/>
    <col min="1282" max="1282" width="2.44140625" customWidth="1"/>
    <col min="1283" max="1283" width="40.88671875" customWidth="1"/>
    <col min="1285" max="1285" width="8.5546875" bestFit="1" customWidth="1"/>
    <col min="1537" max="1537" width="2.109375" customWidth="1"/>
    <col min="1538" max="1538" width="2.44140625" customWidth="1"/>
    <col min="1539" max="1539" width="40.88671875" customWidth="1"/>
    <col min="1541" max="1541" width="8.5546875" bestFit="1" customWidth="1"/>
    <col min="1793" max="1793" width="2.109375" customWidth="1"/>
    <col min="1794" max="1794" width="2.44140625" customWidth="1"/>
    <col min="1795" max="1795" width="40.88671875" customWidth="1"/>
    <col min="1797" max="1797" width="8.5546875" bestFit="1" customWidth="1"/>
    <col min="2049" max="2049" width="2.109375" customWidth="1"/>
    <col min="2050" max="2050" width="2.44140625" customWidth="1"/>
    <col min="2051" max="2051" width="40.88671875" customWidth="1"/>
    <col min="2053" max="2053" width="8.5546875" bestFit="1" customWidth="1"/>
    <col min="2305" max="2305" width="2.109375" customWidth="1"/>
    <col min="2306" max="2306" width="2.44140625" customWidth="1"/>
    <col min="2307" max="2307" width="40.88671875" customWidth="1"/>
    <col min="2309" max="2309" width="8.5546875" bestFit="1" customWidth="1"/>
    <col min="2561" max="2561" width="2.109375" customWidth="1"/>
    <col min="2562" max="2562" width="2.44140625" customWidth="1"/>
    <col min="2563" max="2563" width="40.88671875" customWidth="1"/>
    <col min="2565" max="2565" width="8.5546875" bestFit="1" customWidth="1"/>
    <col min="2817" max="2817" width="2.109375" customWidth="1"/>
    <col min="2818" max="2818" width="2.44140625" customWidth="1"/>
    <col min="2819" max="2819" width="40.88671875" customWidth="1"/>
    <col min="2821" max="2821" width="8.5546875" bestFit="1" customWidth="1"/>
    <col min="3073" max="3073" width="2.109375" customWidth="1"/>
    <col min="3074" max="3074" width="2.44140625" customWidth="1"/>
    <col min="3075" max="3075" width="40.88671875" customWidth="1"/>
    <col min="3077" max="3077" width="8.5546875" bestFit="1" customWidth="1"/>
    <col min="3329" max="3329" width="2.109375" customWidth="1"/>
    <col min="3330" max="3330" width="2.44140625" customWidth="1"/>
    <col min="3331" max="3331" width="40.88671875" customWidth="1"/>
    <col min="3333" max="3333" width="8.5546875" bestFit="1" customWidth="1"/>
    <col min="3585" max="3585" width="2.109375" customWidth="1"/>
    <col min="3586" max="3586" width="2.44140625" customWidth="1"/>
    <col min="3587" max="3587" width="40.88671875" customWidth="1"/>
    <col min="3589" max="3589" width="8.5546875" bestFit="1" customWidth="1"/>
    <col min="3841" max="3841" width="2.109375" customWidth="1"/>
    <col min="3842" max="3842" width="2.44140625" customWidth="1"/>
    <col min="3843" max="3843" width="40.88671875" customWidth="1"/>
    <col min="3845" max="3845" width="8.5546875" bestFit="1" customWidth="1"/>
    <col min="4097" max="4097" width="2.109375" customWidth="1"/>
    <col min="4098" max="4098" width="2.44140625" customWidth="1"/>
    <col min="4099" max="4099" width="40.88671875" customWidth="1"/>
    <col min="4101" max="4101" width="8.5546875" bestFit="1" customWidth="1"/>
    <col min="4353" max="4353" width="2.109375" customWidth="1"/>
    <col min="4354" max="4354" width="2.44140625" customWidth="1"/>
    <col min="4355" max="4355" width="40.88671875" customWidth="1"/>
    <col min="4357" max="4357" width="8.5546875" bestFit="1" customWidth="1"/>
    <col min="4609" max="4609" width="2.109375" customWidth="1"/>
    <col min="4610" max="4610" width="2.44140625" customWidth="1"/>
    <col min="4611" max="4611" width="40.88671875" customWidth="1"/>
    <col min="4613" max="4613" width="8.5546875" bestFit="1" customWidth="1"/>
    <col min="4865" max="4865" width="2.109375" customWidth="1"/>
    <col min="4866" max="4866" width="2.44140625" customWidth="1"/>
    <col min="4867" max="4867" width="40.88671875" customWidth="1"/>
    <col min="4869" max="4869" width="8.5546875" bestFit="1" customWidth="1"/>
    <col min="5121" max="5121" width="2.109375" customWidth="1"/>
    <col min="5122" max="5122" width="2.44140625" customWidth="1"/>
    <col min="5123" max="5123" width="40.88671875" customWidth="1"/>
    <col min="5125" max="5125" width="8.5546875" bestFit="1" customWidth="1"/>
    <col min="5377" max="5377" width="2.109375" customWidth="1"/>
    <col min="5378" max="5378" width="2.44140625" customWidth="1"/>
    <col min="5379" max="5379" width="40.88671875" customWidth="1"/>
    <col min="5381" max="5381" width="8.5546875" bestFit="1" customWidth="1"/>
    <col min="5633" max="5633" width="2.109375" customWidth="1"/>
    <col min="5634" max="5634" width="2.44140625" customWidth="1"/>
    <col min="5635" max="5635" width="40.88671875" customWidth="1"/>
    <col min="5637" max="5637" width="8.5546875" bestFit="1" customWidth="1"/>
    <col min="5889" max="5889" width="2.109375" customWidth="1"/>
    <col min="5890" max="5890" width="2.44140625" customWidth="1"/>
    <col min="5891" max="5891" width="40.88671875" customWidth="1"/>
    <col min="5893" max="5893" width="8.5546875" bestFit="1" customWidth="1"/>
    <col min="6145" max="6145" width="2.109375" customWidth="1"/>
    <col min="6146" max="6146" width="2.44140625" customWidth="1"/>
    <col min="6147" max="6147" width="40.88671875" customWidth="1"/>
    <col min="6149" max="6149" width="8.5546875" bestFit="1" customWidth="1"/>
    <col min="6401" max="6401" width="2.109375" customWidth="1"/>
    <col min="6402" max="6402" width="2.44140625" customWidth="1"/>
    <col min="6403" max="6403" width="40.88671875" customWidth="1"/>
    <col min="6405" max="6405" width="8.5546875" bestFit="1" customWidth="1"/>
    <col min="6657" max="6657" width="2.109375" customWidth="1"/>
    <col min="6658" max="6658" width="2.44140625" customWidth="1"/>
    <col min="6659" max="6659" width="40.88671875" customWidth="1"/>
    <col min="6661" max="6661" width="8.5546875" bestFit="1" customWidth="1"/>
    <col min="6913" max="6913" width="2.109375" customWidth="1"/>
    <col min="6914" max="6914" width="2.44140625" customWidth="1"/>
    <col min="6915" max="6915" width="40.88671875" customWidth="1"/>
    <col min="6917" max="6917" width="8.5546875" bestFit="1" customWidth="1"/>
    <col min="7169" max="7169" width="2.109375" customWidth="1"/>
    <col min="7170" max="7170" width="2.44140625" customWidth="1"/>
    <col min="7171" max="7171" width="40.88671875" customWidth="1"/>
    <col min="7173" max="7173" width="8.5546875" bestFit="1" customWidth="1"/>
    <col min="7425" max="7425" width="2.109375" customWidth="1"/>
    <col min="7426" max="7426" width="2.44140625" customWidth="1"/>
    <col min="7427" max="7427" width="40.88671875" customWidth="1"/>
    <col min="7429" max="7429" width="8.5546875" bestFit="1" customWidth="1"/>
    <col min="7681" max="7681" width="2.109375" customWidth="1"/>
    <col min="7682" max="7682" width="2.44140625" customWidth="1"/>
    <col min="7683" max="7683" width="40.88671875" customWidth="1"/>
    <col min="7685" max="7685" width="8.5546875" bestFit="1" customWidth="1"/>
    <col min="7937" max="7937" width="2.109375" customWidth="1"/>
    <col min="7938" max="7938" width="2.44140625" customWidth="1"/>
    <col min="7939" max="7939" width="40.88671875" customWidth="1"/>
    <col min="7941" max="7941" width="8.5546875" bestFit="1" customWidth="1"/>
    <col min="8193" max="8193" width="2.109375" customWidth="1"/>
    <col min="8194" max="8194" width="2.44140625" customWidth="1"/>
    <col min="8195" max="8195" width="40.88671875" customWidth="1"/>
    <col min="8197" max="8197" width="8.5546875" bestFit="1" customWidth="1"/>
    <col min="8449" max="8449" width="2.109375" customWidth="1"/>
    <col min="8450" max="8450" width="2.44140625" customWidth="1"/>
    <col min="8451" max="8451" width="40.88671875" customWidth="1"/>
    <col min="8453" max="8453" width="8.5546875" bestFit="1" customWidth="1"/>
    <col min="8705" max="8705" width="2.109375" customWidth="1"/>
    <col min="8706" max="8706" width="2.44140625" customWidth="1"/>
    <col min="8707" max="8707" width="40.88671875" customWidth="1"/>
    <col min="8709" max="8709" width="8.5546875" bestFit="1" customWidth="1"/>
    <col min="8961" max="8961" width="2.109375" customWidth="1"/>
    <col min="8962" max="8962" width="2.44140625" customWidth="1"/>
    <col min="8963" max="8963" width="40.88671875" customWidth="1"/>
    <col min="8965" max="8965" width="8.5546875" bestFit="1" customWidth="1"/>
    <col min="9217" max="9217" width="2.109375" customWidth="1"/>
    <col min="9218" max="9218" width="2.44140625" customWidth="1"/>
    <col min="9219" max="9219" width="40.88671875" customWidth="1"/>
    <col min="9221" max="9221" width="8.5546875" bestFit="1" customWidth="1"/>
    <col min="9473" max="9473" width="2.109375" customWidth="1"/>
    <col min="9474" max="9474" width="2.44140625" customWidth="1"/>
    <col min="9475" max="9475" width="40.88671875" customWidth="1"/>
    <col min="9477" max="9477" width="8.5546875" bestFit="1" customWidth="1"/>
    <col min="9729" max="9729" width="2.109375" customWidth="1"/>
    <col min="9730" max="9730" width="2.44140625" customWidth="1"/>
    <col min="9731" max="9731" width="40.88671875" customWidth="1"/>
    <col min="9733" max="9733" width="8.5546875" bestFit="1" customWidth="1"/>
    <col min="9985" max="9985" width="2.109375" customWidth="1"/>
    <col min="9986" max="9986" width="2.44140625" customWidth="1"/>
    <col min="9987" max="9987" width="40.88671875" customWidth="1"/>
    <col min="9989" max="9989" width="8.5546875" bestFit="1" customWidth="1"/>
    <col min="10241" max="10241" width="2.109375" customWidth="1"/>
    <col min="10242" max="10242" width="2.44140625" customWidth="1"/>
    <col min="10243" max="10243" width="40.88671875" customWidth="1"/>
    <col min="10245" max="10245" width="8.5546875" bestFit="1" customWidth="1"/>
    <col min="10497" max="10497" width="2.109375" customWidth="1"/>
    <col min="10498" max="10498" width="2.44140625" customWidth="1"/>
    <col min="10499" max="10499" width="40.88671875" customWidth="1"/>
    <col min="10501" max="10501" width="8.5546875" bestFit="1" customWidth="1"/>
    <col min="10753" max="10753" width="2.109375" customWidth="1"/>
    <col min="10754" max="10754" width="2.44140625" customWidth="1"/>
    <col min="10755" max="10755" width="40.88671875" customWidth="1"/>
    <col min="10757" max="10757" width="8.5546875" bestFit="1" customWidth="1"/>
    <col min="11009" max="11009" width="2.109375" customWidth="1"/>
    <col min="11010" max="11010" width="2.44140625" customWidth="1"/>
    <col min="11011" max="11011" width="40.88671875" customWidth="1"/>
    <col min="11013" max="11013" width="8.5546875" bestFit="1" customWidth="1"/>
    <col min="11265" max="11265" width="2.109375" customWidth="1"/>
    <col min="11266" max="11266" width="2.44140625" customWidth="1"/>
    <col min="11267" max="11267" width="40.88671875" customWidth="1"/>
    <col min="11269" max="11269" width="8.5546875" bestFit="1" customWidth="1"/>
    <col min="11521" max="11521" width="2.109375" customWidth="1"/>
    <col min="11522" max="11522" width="2.44140625" customWidth="1"/>
    <col min="11523" max="11523" width="40.88671875" customWidth="1"/>
    <col min="11525" max="11525" width="8.5546875" bestFit="1" customWidth="1"/>
    <col min="11777" max="11777" width="2.109375" customWidth="1"/>
    <col min="11778" max="11778" width="2.44140625" customWidth="1"/>
    <col min="11779" max="11779" width="40.88671875" customWidth="1"/>
    <col min="11781" max="11781" width="8.5546875" bestFit="1" customWidth="1"/>
    <col min="12033" max="12033" width="2.109375" customWidth="1"/>
    <col min="12034" max="12034" width="2.44140625" customWidth="1"/>
    <col min="12035" max="12035" width="40.88671875" customWidth="1"/>
    <col min="12037" max="12037" width="8.5546875" bestFit="1" customWidth="1"/>
    <col min="12289" max="12289" width="2.109375" customWidth="1"/>
    <col min="12290" max="12290" width="2.44140625" customWidth="1"/>
    <col min="12291" max="12291" width="40.88671875" customWidth="1"/>
    <col min="12293" max="12293" width="8.5546875" bestFit="1" customWidth="1"/>
    <col min="12545" max="12545" width="2.109375" customWidth="1"/>
    <col min="12546" max="12546" width="2.44140625" customWidth="1"/>
    <col min="12547" max="12547" width="40.88671875" customWidth="1"/>
    <col min="12549" max="12549" width="8.5546875" bestFit="1" customWidth="1"/>
    <col min="12801" max="12801" width="2.109375" customWidth="1"/>
    <col min="12802" max="12802" width="2.44140625" customWidth="1"/>
    <col min="12803" max="12803" width="40.88671875" customWidth="1"/>
    <col min="12805" max="12805" width="8.5546875" bestFit="1" customWidth="1"/>
    <col min="13057" max="13057" width="2.109375" customWidth="1"/>
    <col min="13058" max="13058" width="2.44140625" customWidth="1"/>
    <col min="13059" max="13059" width="40.88671875" customWidth="1"/>
    <col min="13061" max="13061" width="8.5546875" bestFit="1" customWidth="1"/>
    <col min="13313" max="13313" width="2.109375" customWidth="1"/>
    <col min="13314" max="13314" width="2.44140625" customWidth="1"/>
    <col min="13315" max="13315" width="40.88671875" customWidth="1"/>
    <col min="13317" max="13317" width="8.5546875" bestFit="1" customWidth="1"/>
    <col min="13569" max="13569" width="2.109375" customWidth="1"/>
    <col min="13570" max="13570" width="2.44140625" customWidth="1"/>
    <col min="13571" max="13571" width="40.88671875" customWidth="1"/>
    <col min="13573" max="13573" width="8.5546875" bestFit="1" customWidth="1"/>
    <col min="13825" max="13825" width="2.109375" customWidth="1"/>
    <col min="13826" max="13826" width="2.44140625" customWidth="1"/>
    <col min="13827" max="13827" width="40.88671875" customWidth="1"/>
    <col min="13829" max="13829" width="8.5546875" bestFit="1" customWidth="1"/>
    <col min="14081" max="14081" width="2.109375" customWidth="1"/>
    <col min="14082" max="14082" width="2.44140625" customWidth="1"/>
    <col min="14083" max="14083" width="40.88671875" customWidth="1"/>
    <col min="14085" max="14085" width="8.5546875" bestFit="1" customWidth="1"/>
    <col min="14337" max="14337" width="2.109375" customWidth="1"/>
    <col min="14338" max="14338" width="2.44140625" customWidth="1"/>
    <col min="14339" max="14339" width="40.88671875" customWidth="1"/>
    <col min="14341" max="14341" width="8.5546875" bestFit="1" customWidth="1"/>
    <col min="14593" max="14593" width="2.109375" customWidth="1"/>
    <col min="14594" max="14594" width="2.44140625" customWidth="1"/>
    <col min="14595" max="14595" width="40.88671875" customWidth="1"/>
    <col min="14597" max="14597" width="8.5546875" bestFit="1" customWidth="1"/>
    <col min="14849" max="14849" width="2.109375" customWidth="1"/>
    <col min="14850" max="14850" width="2.44140625" customWidth="1"/>
    <col min="14851" max="14851" width="40.88671875" customWidth="1"/>
    <col min="14853" max="14853" width="8.5546875" bestFit="1" customWidth="1"/>
    <col min="15105" max="15105" width="2.109375" customWidth="1"/>
    <col min="15106" max="15106" width="2.44140625" customWidth="1"/>
    <col min="15107" max="15107" width="40.88671875" customWidth="1"/>
    <col min="15109" max="15109" width="8.5546875" bestFit="1" customWidth="1"/>
    <col min="15361" max="15361" width="2.109375" customWidth="1"/>
    <col min="15362" max="15362" width="2.44140625" customWidth="1"/>
    <col min="15363" max="15363" width="40.88671875" customWidth="1"/>
    <col min="15365" max="15365" width="8.5546875" bestFit="1" customWidth="1"/>
    <col min="15617" max="15617" width="2.109375" customWidth="1"/>
    <col min="15618" max="15618" width="2.44140625" customWidth="1"/>
    <col min="15619" max="15619" width="40.88671875" customWidth="1"/>
    <col min="15621" max="15621" width="8.5546875" bestFit="1" customWidth="1"/>
    <col min="15873" max="15873" width="2.109375" customWidth="1"/>
    <col min="15874" max="15874" width="2.44140625" customWidth="1"/>
    <col min="15875" max="15875" width="40.88671875" customWidth="1"/>
    <col min="15877" max="15877" width="8.5546875" bestFit="1" customWidth="1"/>
    <col min="16129" max="16129" width="2.109375" customWidth="1"/>
    <col min="16130" max="16130" width="2.44140625" customWidth="1"/>
    <col min="16131" max="16131" width="40.88671875" customWidth="1"/>
    <col min="16133" max="16133" width="8.5546875" bestFit="1" customWidth="1"/>
  </cols>
  <sheetData>
    <row r="1" spans="1:11" ht="15" thickBot="1">
      <c r="C1" s="480"/>
    </row>
    <row r="2" spans="1:11" ht="15" thickBot="1">
      <c r="C2" s="480"/>
      <c r="D2" s="1" t="s">
        <v>0</v>
      </c>
      <c r="E2" s="467" t="s">
        <v>310</v>
      </c>
    </row>
    <row r="3" spans="1:11" ht="15" thickBot="1">
      <c r="A3" s="13" t="s">
        <v>104</v>
      </c>
      <c r="C3" s="13"/>
      <c r="D3" s="1" t="s">
        <v>3</v>
      </c>
      <c r="E3" s="468">
        <v>45809</v>
      </c>
    </row>
    <row r="4" spans="1:11" ht="15" thickBot="1">
      <c r="A4" s="14" t="s">
        <v>4</v>
      </c>
      <c r="C4" s="14"/>
      <c r="D4" s="1" t="s">
        <v>5</v>
      </c>
      <c r="E4" s="467" t="s">
        <v>6</v>
      </c>
    </row>
    <row r="5" spans="1:11" s="4" customFormat="1" ht="15" thickBot="1">
      <c r="C5" s="15"/>
    </row>
    <row r="6" spans="1:11" s="11" customFormat="1" ht="15" thickTop="1">
      <c r="C6" s="21"/>
      <c r="D6" s="481" t="s">
        <v>7</v>
      </c>
      <c r="E6" s="482"/>
      <c r="F6" s="483"/>
      <c r="G6" s="484" t="s">
        <v>8</v>
      </c>
      <c r="H6" s="485"/>
      <c r="I6" s="485"/>
      <c r="J6" s="485"/>
      <c r="K6" s="486"/>
    </row>
    <row r="7" spans="1:11" s="12" customFormat="1">
      <c r="A7" s="17" t="s">
        <v>147</v>
      </c>
      <c r="C7" s="22"/>
      <c r="D7" s="23">
        <v>2023</v>
      </c>
      <c r="E7" s="5">
        <f t="shared" ref="E7:K7" si="0">D7+1</f>
        <v>2024</v>
      </c>
      <c r="F7" s="24">
        <f t="shared" si="0"/>
        <v>2025</v>
      </c>
      <c r="G7" s="25">
        <f t="shared" si="0"/>
        <v>2026</v>
      </c>
      <c r="H7" s="6">
        <f t="shared" si="0"/>
        <v>2027</v>
      </c>
      <c r="I7" s="6">
        <f t="shared" si="0"/>
        <v>2028</v>
      </c>
      <c r="J7" s="6">
        <f t="shared" si="0"/>
        <v>2029</v>
      </c>
      <c r="K7" s="26">
        <f t="shared" si="0"/>
        <v>2030</v>
      </c>
    </row>
    <row r="8" spans="1:11">
      <c r="A8" s="27"/>
      <c r="B8" s="27" t="str">
        <f>"Property, plant &amp; equipment on Jan 1 "&amp;G7</f>
        <v>Property, plant &amp; equipment on Jan 1 2026</v>
      </c>
      <c r="C8" s="49"/>
      <c r="G8" s="109">
        <f>'Balance Sheet'!E18</f>
        <v>119993</v>
      </c>
    </row>
    <row r="9" spans="1:11">
      <c r="A9" s="27"/>
      <c r="B9" s="27" t="s">
        <v>97</v>
      </c>
      <c r="C9" s="30"/>
      <c r="G9" s="119">
        <f>'Cashflow Statement'!G26</f>
        <v>-22260.393605348534</v>
      </c>
      <c r="H9" s="119">
        <f>'Cashflow Statement'!H26</f>
        <v>-24336.425919106114</v>
      </c>
      <c r="I9" s="119">
        <f>'Cashflow Statement'!I26</f>
        <v>-25720.035475540699</v>
      </c>
      <c r="J9" s="119">
        <f>'Cashflow Statement'!J26</f>
        <v>-26381.433876505929</v>
      </c>
      <c r="K9" s="119">
        <f>'Cashflow Statement'!K26</f>
        <v>-27912.700425193256</v>
      </c>
    </row>
    <row r="10" spans="1:11">
      <c r="A10" s="27"/>
      <c r="B10" s="27"/>
      <c r="C10" s="30"/>
    </row>
    <row r="11" spans="1:11">
      <c r="A11" s="27" t="s">
        <v>103</v>
      </c>
      <c r="B11" s="28"/>
      <c r="C11" s="30"/>
    </row>
    <row r="12" spans="1:11">
      <c r="A12" s="27"/>
      <c r="B12" s="27" t="s">
        <v>98</v>
      </c>
      <c r="C12" s="30"/>
    </row>
    <row r="13" spans="1:11">
      <c r="A13" s="27"/>
      <c r="B13" s="27"/>
      <c r="C13" s="50" t="s">
        <v>99</v>
      </c>
      <c r="G13" s="120">
        <v>20</v>
      </c>
    </row>
    <row r="14" spans="1:11">
      <c r="A14" s="27"/>
      <c r="B14" s="27"/>
      <c r="C14" s="31" t="s">
        <v>100</v>
      </c>
      <c r="G14" s="120">
        <v>20</v>
      </c>
      <c r="H14" s="120"/>
      <c r="I14" s="120"/>
      <c r="J14" s="120"/>
      <c r="K14" s="120"/>
    </row>
    <row r="15" spans="1:11">
      <c r="A15" s="27"/>
      <c r="B15" s="27"/>
      <c r="C15" s="31"/>
    </row>
    <row r="16" spans="1:11">
      <c r="A16" s="27"/>
      <c r="B16" s="27" t="s">
        <v>101</v>
      </c>
      <c r="C16" s="30"/>
      <c r="G16" s="476"/>
    </row>
    <row r="17" spans="1:11">
      <c r="A17" s="27"/>
      <c r="B17" s="28"/>
      <c r="C17" s="50" t="s">
        <v>99</v>
      </c>
      <c r="G17" s="126">
        <f>$G$8/$G$13</f>
        <v>5999.65</v>
      </c>
      <c r="H17" s="126">
        <f t="shared" ref="H17:K17" si="1">$G$8/$G$13</f>
        <v>5999.65</v>
      </c>
      <c r="I17" s="126">
        <f t="shared" si="1"/>
        <v>5999.65</v>
      </c>
      <c r="J17" s="126">
        <f t="shared" si="1"/>
        <v>5999.65</v>
      </c>
      <c r="K17" s="126">
        <f t="shared" si="1"/>
        <v>5999.65</v>
      </c>
    </row>
    <row r="18" spans="1:11">
      <c r="A18" s="28"/>
      <c r="B18" s="28"/>
      <c r="C18" s="50" t="str">
        <f>G$7&amp;" CAPEX"</f>
        <v>2026 CAPEX</v>
      </c>
      <c r="G18" s="126">
        <f>-$G$9/$G$14</f>
        <v>1113.0196802674268</v>
      </c>
      <c r="H18" s="126">
        <f t="shared" ref="H18:K18" si="2">-$G$9/$G$14</f>
        <v>1113.0196802674268</v>
      </c>
      <c r="I18" s="126">
        <f t="shared" si="2"/>
        <v>1113.0196802674268</v>
      </c>
      <c r="J18" s="126">
        <f t="shared" si="2"/>
        <v>1113.0196802674268</v>
      </c>
      <c r="K18" s="126">
        <f t="shared" si="2"/>
        <v>1113.0196802674268</v>
      </c>
    </row>
    <row r="19" spans="1:11">
      <c r="A19" s="28"/>
      <c r="B19" s="28"/>
      <c r="C19" s="50" t="str">
        <f>H$7&amp;" CAPEX"</f>
        <v>2027 CAPEX</v>
      </c>
      <c r="G19" s="477"/>
      <c r="H19" s="477">
        <f t="shared" ref="H19:K19" si="3">-$H$9/$G$14</f>
        <v>1216.8212959553057</v>
      </c>
      <c r="I19" s="477">
        <f t="shared" si="3"/>
        <v>1216.8212959553057</v>
      </c>
      <c r="J19" s="477">
        <f t="shared" si="3"/>
        <v>1216.8212959553057</v>
      </c>
      <c r="K19" s="477">
        <f t="shared" si="3"/>
        <v>1216.8212959553057</v>
      </c>
    </row>
    <row r="20" spans="1:11">
      <c r="A20" s="27"/>
      <c r="B20" s="28"/>
      <c r="C20" s="50" t="str">
        <f>I$7&amp;" CAPEX"</f>
        <v>2028 CAPEX</v>
      </c>
      <c r="G20" s="9"/>
      <c r="H20" s="9"/>
      <c r="I20" s="9">
        <f t="shared" ref="I20:K20" si="4">-$I$9/$G$14</f>
        <v>1286.0017737770349</v>
      </c>
      <c r="J20" s="9">
        <f t="shared" si="4"/>
        <v>1286.0017737770349</v>
      </c>
      <c r="K20" s="9">
        <f t="shared" si="4"/>
        <v>1286.0017737770349</v>
      </c>
    </row>
    <row r="21" spans="1:11">
      <c r="A21" s="27"/>
      <c r="B21" s="28"/>
      <c r="C21" s="50" t="str">
        <f>J$7&amp;" CAPEX"</f>
        <v>2029 CAPEX</v>
      </c>
      <c r="G21" s="477"/>
      <c r="H21" s="477"/>
      <c r="I21" s="477"/>
      <c r="J21" s="477">
        <f t="shared" ref="J21:K21" si="5">-$J$9/$G$14</f>
        <v>1319.0716938252965</v>
      </c>
      <c r="K21" s="477">
        <f t="shared" si="5"/>
        <v>1319.0716938252965</v>
      </c>
    </row>
    <row r="22" spans="1:11">
      <c r="A22" s="27"/>
      <c r="B22" s="28"/>
      <c r="C22" s="50" t="str">
        <f>K$7&amp;" CAPEX"</f>
        <v>2030 CAPEX</v>
      </c>
      <c r="G22" s="478"/>
      <c r="H22" s="478"/>
      <c r="I22" s="478"/>
      <c r="J22" s="478"/>
      <c r="K22" s="478">
        <f t="shared" ref="K22" si="6">-$K$9/$G$14</f>
        <v>1395.6350212596628</v>
      </c>
    </row>
    <row r="23" spans="1:11" s="4" customFormat="1" ht="15" thickBot="1">
      <c r="B23" s="33" t="s">
        <v>102</v>
      </c>
      <c r="C23" s="15"/>
      <c r="D23" s="123"/>
      <c r="E23" s="122"/>
      <c r="F23" s="109"/>
      <c r="G23" s="109">
        <f>SUM(G17:G22)</f>
        <v>7112.6696802674269</v>
      </c>
      <c r="H23" s="109">
        <f t="shared" ref="H23:K23" si="7">SUM(H17:H22)</f>
        <v>8329.4909762227326</v>
      </c>
      <c r="I23" s="109">
        <f t="shared" si="7"/>
        <v>9615.4927499997684</v>
      </c>
      <c r="J23" s="109">
        <f t="shared" si="7"/>
        <v>10934.564443825066</v>
      </c>
      <c r="K23" s="109">
        <f t="shared" si="7"/>
        <v>12330.199465084728</v>
      </c>
    </row>
    <row r="24" spans="1:11" ht="15" thickTop="1">
      <c r="F24" s="121"/>
      <c r="G24" s="121"/>
      <c r="H24" s="121"/>
      <c r="I24" s="121"/>
      <c r="J24" s="121"/>
      <c r="K24" s="121"/>
    </row>
  </sheetData>
  <mergeCells count="3">
    <mergeCell ref="C1:C2"/>
    <mergeCell ref="D6:F6"/>
    <mergeCell ref="G6:K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96DD-B865-4F0B-AAA4-3B7569B6EE20}">
  <dimension ref="A1:M29"/>
  <sheetViews>
    <sheetView showGridLines="0" workbookViewId="0">
      <selection activeCell="E41" sqref="E41"/>
    </sheetView>
  </sheetViews>
  <sheetFormatPr defaultRowHeight="14.4"/>
  <cols>
    <col min="1" max="1" width="2.109375" customWidth="1"/>
    <col min="2" max="2" width="2.44140625" customWidth="1"/>
    <col min="3" max="3" width="32" customWidth="1"/>
    <col min="5" max="5" width="8.77734375" bestFit="1" customWidth="1"/>
    <col min="7" max="8" width="8.88671875" bestFit="1" customWidth="1"/>
    <col min="9" max="11" width="9.21875" bestFit="1" customWidth="1"/>
    <col min="13" max="13" width="9.33203125" bestFit="1" customWidth="1"/>
    <col min="257" max="257" width="2.109375" customWidth="1"/>
    <col min="258" max="258" width="2.44140625" customWidth="1"/>
    <col min="259" max="259" width="40.88671875" customWidth="1"/>
    <col min="261" max="261" width="8.5546875" bestFit="1" customWidth="1"/>
    <col min="513" max="513" width="2.109375" customWidth="1"/>
    <col min="514" max="514" width="2.44140625" customWidth="1"/>
    <col min="515" max="515" width="40.88671875" customWidth="1"/>
    <col min="517" max="517" width="8.5546875" bestFit="1" customWidth="1"/>
    <col min="769" max="769" width="2.109375" customWidth="1"/>
    <col min="770" max="770" width="2.44140625" customWidth="1"/>
    <col min="771" max="771" width="40.88671875" customWidth="1"/>
    <col min="773" max="773" width="8.5546875" bestFit="1" customWidth="1"/>
    <col min="1025" max="1025" width="2.109375" customWidth="1"/>
    <col min="1026" max="1026" width="2.44140625" customWidth="1"/>
    <col min="1027" max="1027" width="40.88671875" customWidth="1"/>
    <col min="1029" max="1029" width="8.5546875" bestFit="1" customWidth="1"/>
    <col min="1281" max="1281" width="2.109375" customWidth="1"/>
    <col min="1282" max="1282" width="2.44140625" customWidth="1"/>
    <col min="1283" max="1283" width="40.88671875" customWidth="1"/>
    <col min="1285" max="1285" width="8.5546875" bestFit="1" customWidth="1"/>
    <col min="1537" max="1537" width="2.109375" customWidth="1"/>
    <col min="1538" max="1538" width="2.44140625" customWidth="1"/>
    <col min="1539" max="1539" width="40.88671875" customWidth="1"/>
    <col min="1541" max="1541" width="8.5546875" bestFit="1" customWidth="1"/>
    <col min="1793" max="1793" width="2.109375" customWidth="1"/>
    <col min="1794" max="1794" width="2.44140625" customWidth="1"/>
    <col min="1795" max="1795" width="40.88671875" customWidth="1"/>
    <col min="1797" max="1797" width="8.5546875" bestFit="1" customWidth="1"/>
    <col min="2049" max="2049" width="2.109375" customWidth="1"/>
    <col min="2050" max="2050" width="2.44140625" customWidth="1"/>
    <col min="2051" max="2051" width="40.88671875" customWidth="1"/>
    <col min="2053" max="2053" width="8.5546875" bestFit="1" customWidth="1"/>
    <col min="2305" max="2305" width="2.109375" customWidth="1"/>
    <col min="2306" max="2306" width="2.44140625" customWidth="1"/>
    <col min="2307" max="2307" width="40.88671875" customWidth="1"/>
    <col min="2309" max="2309" width="8.5546875" bestFit="1" customWidth="1"/>
    <col min="2561" max="2561" width="2.109375" customWidth="1"/>
    <col min="2562" max="2562" width="2.44140625" customWidth="1"/>
    <col min="2563" max="2563" width="40.88671875" customWidth="1"/>
    <col min="2565" max="2565" width="8.5546875" bestFit="1" customWidth="1"/>
    <col min="2817" max="2817" width="2.109375" customWidth="1"/>
    <col min="2818" max="2818" width="2.44140625" customWidth="1"/>
    <col min="2819" max="2819" width="40.88671875" customWidth="1"/>
    <col min="2821" max="2821" width="8.5546875" bestFit="1" customWidth="1"/>
    <col min="3073" max="3073" width="2.109375" customWidth="1"/>
    <col min="3074" max="3074" width="2.44140625" customWidth="1"/>
    <col min="3075" max="3075" width="40.88671875" customWidth="1"/>
    <col min="3077" max="3077" width="8.5546875" bestFit="1" customWidth="1"/>
    <col min="3329" max="3329" width="2.109375" customWidth="1"/>
    <col min="3330" max="3330" width="2.44140625" customWidth="1"/>
    <col min="3331" max="3331" width="40.88671875" customWidth="1"/>
    <col min="3333" max="3333" width="8.5546875" bestFit="1" customWidth="1"/>
    <col min="3585" max="3585" width="2.109375" customWidth="1"/>
    <col min="3586" max="3586" width="2.44140625" customWidth="1"/>
    <col min="3587" max="3587" width="40.88671875" customWidth="1"/>
    <col min="3589" max="3589" width="8.5546875" bestFit="1" customWidth="1"/>
    <col min="3841" max="3841" width="2.109375" customWidth="1"/>
    <col min="3842" max="3842" width="2.44140625" customWidth="1"/>
    <col min="3843" max="3843" width="40.88671875" customWidth="1"/>
    <col min="3845" max="3845" width="8.5546875" bestFit="1" customWidth="1"/>
    <col min="4097" max="4097" width="2.109375" customWidth="1"/>
    <col min="4098" max="4098" width="2.44140625" customWidth="1"/>
    <col min="4099" max="4099" width="40.88671875" customWidth="1"/>
    <col min="4101" max="4101" width="8.5546875" bestFit="1" customWidth="1"/>
    <col min="4353" max="4353" width="2.109375" customWidth="1"/>
    <col min="4354" max="4354" width="2.44140625" customWidth="1"/>
    <col min="4355" max="4355" width="40.88671875" customWidth="1"/>
    <col min="4357" max="4357" width="8.5546875" bestFit="1" customWidth="1"/>
    <col min="4609" max="4609" width="2.109375" customWidth="1"/>
    <col min="4610" max="4610" width="2.44140625" customWidth="1"/>
    <col min="4611" max="4611" width="40.88671875" customWidth="1"/>
    <col min="4613" max="4613" width="8.5546875" bestFit="1" customWidth="1"/>
    <col min="4865" max="4865" width="2.109375" customWidth="1"/>
    <col min="4866" max="4866" width="2.44140625" customWidth="1"/>
    <col min="4867" max="4867" width="40.88671875" customWidth="1"/>
    <col min="4869" max="4869" width="8.5546875" bestFit="1" customWidth="1"/>
    <col min="5121" max="5121" width="2.109375" customWidth="1"/>
    <col min="5122" max="5122" width="2.44140625" customWidth="1"/>
    <col min="5123" max="5123" width="40.88671875" customWidth="1"/>
    <col min="5125" max="5125" width="8.5546875" bestFit="1" customWidth="1"/>
    <col min="5377" max="5377" width="2.109375" customWidth="1"/>
    <col min="5378" max="5378" width="2.44140625" customWidth="1"/>
    <col min="5379" max="5379" width="40.88671875" customWidth="1"/>
    <col min="5381" max="5381" width="8.5546875" bestFit="1" customWidth="1"/>
    <col min="5633" max="5633" width="2.109375" customWidth="1"/>
    <col min="5634" max="5634" width="2.44140625" customWidth="1"/>
    <col min="5635" max="5635" width="40.88671875" customWidth="1"/>
    <col min="5637" max="5637" width="8.5546875" bestFit="1" customWidth="1"/>
    <col min="5889" max="5889" width="2.109375" customWidth="1"/>
    <col min="5890" max="5890" width="2.44140625" customWidth="1"/>
    <col min="5891" max="5891" width="40.88671875" customWidth="1"/>
    <col min="5893" max="5893" width="8.5546875" bestFit="1" customWidth="1"/>
    <col min="6145" max="6145" width="2.109375" customWidth="1"/>
    <col min="6146" max="6146" width="2.44140625" customWidth="1"/>
    <col min="6147" max="6147" width="40.88671875" customWidth="1"/>
    <col min="6149" max="6149" width="8.5546875" bestFit="1" customWidth="1"/>
    <col min="6401" max="6401" width="2.109375" customWidth="1"/>
    <col min="6402" max="6402" width="2.44140625" customWidth="1"/>
    <col min="6403" max="6403" width="40.88671875" customWidth="1"/>
    <col min="6405" max="6405" width="8.5546875" bestFit="1" customWidth="1"/>
    <col min="6657" max="6657" width="2.109375" customWidth="1"/>
    <col min="6658" max="6658" width="2.44140625" customWidth="1"/>
    <col min="6659" max="6659" width="40.88671875" customWidth="1"/>
    <col min="6661" max="6661" width="8.5546875" bestFit="1" customWidth="1"/>
    <col min="6913" max="6913" width="2.109375" customWidth="1"/>
    <col min="6914" max="6914" width="2.44140625" customWidth="1"/>
    <col min="6915" max="6915" width="40.88671875" customWidth="1"/>
    <col min="6917" max="6917" width="8.5546875" bestFit="1" customWidth="1"/>
    <col min="7169" max="7169" width="2.109375" customWidth="1"/>
    <col min="7170" max="7170" width="2.44140625" customWidth="1"/>
    <col min="7171" max="7171" width="40.88671875" customWidth="1"/>
    <col min="7173" max="7173" width="8.5546875" bestFit="1" customWidth="1"/>
    <col min="7425" max="7425" width="2.109375" customWidth="1"/>
    <col min="7426" max="7426" width="2.44140625" customWidth="1"/>
    <col min="7427" max="7427" width="40.88671875" customWidth="1"/>
    <col min="7429" max="7429" width="8.5546875" bestFit="1" customWidth="1"/>
    <col min="7681" max="7681" width="2.109375" customWidth="1"/>
    <col min="7682" max="7682" width="2.44140625" customWidth="1"/>
    <col min="7683" max="7683" width="40.88671875" customWidth="1"/>
    <col min="7685" max="7685" width="8.5546875" bestFit="1" customWidth="1"/>
    <col min="7937" max="7937" width="2.109375" customWidth="1"/>
    <col min="7938" max="7938" width="2.44140625" customWidth="1"/>
    <col min="7939" max="7939" width="40.88671875" customWidth="1"/>
    <col min="7941" max="7941" width="8.5546875" bestFit="1" customWidth="1"/>
    <col min="8193" max="8193" width="2.109375" customWidth="1"/>
    <col min="8194" max="8194" width="2.44140625" customWidth="1"/>
    <col min="8195" max="8195" width="40.88671875" customWidth="1"/>
    <col min="8197" max="8197" width="8.5546875" bestFit="1" customWidth="1"/>
    <col min="8449" max="8449" width="2.109375" customWidth="1"/>
    <col min="8450" max="8450" width="2.44140625" customWidth="1"/>
    <col min="8451" max="8451" width="40.88671875" customWidth="1"/>
    <col min="8453" max="8453" width="8.5546875" bestFit="1" customWidth="1"/>
    <col min="8705" max="8705" width="2.109375" customWidth="1"/>
    <col min="8706" max="8706" width="2.44140625" customWidth="1"/>
    <col min="8707" max="8707" width="40.88671875" customWidth="1"/>
    <col min="8709" max="8709" width="8.5546875" bestFit="1" customWidth="1"/>
    <col min="8961" max="8961" width="2.109375" customWidth="1"/>
    <col min="8962" max="8962" width="2.44140625" customWidth="1"/>
    <col min="8963" max="8963" width="40.88671875" customWidth="1"/>
    <col min="8965" max="8965" width="8.5546875" bestFit="1" customWidth="1"/>
    <col min="9217" max="9217" width="2.109375" customWidth="1"/>
    <col min="9218" max="9218" width="2.44140625" customWidth="1"/>
    <col min="9219" max="9219" width="40.88671875" customWidth="1"/>
    <col min="9221" max="9221" width="8.5546875" bestFit="1" customWidth="1"/>
    <col min="9473" max="9473" width="2.109375" customWidth="1"/>
    <col min="9474" max="9474" width="2.44140625" customWidth="1"/>
    <col min="9475" max="9475" width="40.88671875" customWidth="1"/>
    <col min="9477" max="9477" width="8.5546875" bestFit="1" customWidth="1"/>
    <col min="9729" max="9729" width="2.109375" customWidth="1"/>
    <col min="9730" max="9730" width="2.44140625" customWidth="1"/>
    <col min="9731" max="9731" width="40.88671875" customWidth="1"/>
    <col min="9733" max="9733" width="8.5546875" bestFit="1" customWidth="1"/>
    <col min="9985" max="9985" width="2.109375" customWidth="1"/>
    <col min="9986" max="9986" width="2.44140625" customWidth="1"/>
    <col min="9987" max="9987" width="40.88671875" customWidth="1"/>
    <col min="9989" max="9989" width="8.5546875" bestFit="1" customWidth="1"/>
    <col min="10241" max="10241" width="2.109375" customWidth="1"/>
    <col min="10242" max="10242" width="2.44140625" customWidth="1"/>
    <col min="10243" max="10243" width="40.88671875" customWidth="1"/>
    <col min="10245" max="10245" width="8.5546875" bestFit="1" customWidth="1"/>
    <col min="10497" max="10497" width="2.109375" customWidth="1"/>
    <col min="10498" max="10498" width="2.44140625" customWidth="1"/>
    <col min="10499" max="10499" width="40.88671875" customWidth="1"/>
    <col min="10501" max="10501" width="8.5546875" bestFit="1" customWidth="1"/>
    <col min="10753" max="10753" width="2.109375" customWidth="1"/>
    <col min="10754" max="10754" width="2.44140625" customWidth="1"/>
    <col min="10755" max="10755" width="40.88671875" customWidth="1"/>
    <col min="10757" max="10757" width="8.5546875" bestFit="1" customWidth="1"/>
    <col min="11009" max="11009" width="2.109375" customWidth="1"/>
    <col min="11010" max="11010" width="2.44140625" customWidth="1"/>
    <col min="11011" max="11011" width="40.88671875" customWidth="1"/>
    <col min="11013" max="11013" width="8.5546875" bestFit="1" customWidth="1"/>
    <col min="11265" max="11265" width="2.109375" customWidth="1"/>
    <col min="11266" max="11266" width="2.44140625" customWidth="1"/>
    <col min="11267" max="11267" width="40.88671875" customWidth="1"/>
    <col min="11269" max="11269" width="8.5546875" bestFit="1" customWidth="1"/>
    <col min="11521" max="11521" width="2.109375" customWidth="1"/>
    <col min="11522" max="11522" width="2.44140625" customWidth="1"/>
    <col min="11523" max="11523" width="40.88671875" customWidth="1"/>
    <col min="11525" max="11525" width="8.5546875" bestFit="1" customWidth="1"/>
    <col min="11777" max="11777" width="2.109375" customWidth="1"/>
    <col min="11778" max="11778" width="2.44140625" customWidth="1"/>
    <col min="11779" max="11779" width="40.88671875" customWidth="1"/>
    <col min="11781" max="11781" width="8.5546875" bestFit="1" customWidth="1"/>
    <col min="12033" max="12033" width="2.109375" customWidth="1"/>
    <col min="12034" max="12034" width="2.44140625" customWidth="1"/>
    <col min="12035" max="12035" width="40.88671875" customWidth="1"/>
    <col min="12037" max="12037" width="8.5546875" bestFit="1" customWidth="1"/>
    <col min="12289" max="12289" width="2.109375" customWidth="1"/>
    <col min="12290" max="12290" width="2.44140625" customWidth="1"/>
    <col min="12291" max="12291" width="40.88671875" customWidth="1"/>
    <col min="12293" max="12293" width="8.5546875" bestFit="1" customWidth="1"/>
    <col min="12545" max="12545" width="2.109375" customWidth="1"/>
    <col min="12546" max="12546" width="2.44140625" customWidth="1"/>
    <col min="12547" max="12547" width="40.88671875" customWidth="1"/>
    <col min="12549" max="12549" width="8.5546875" bestFit="1" customWidth="1"/>
    <col min="12801" max="12801" width="2.109375" customWidth="1"/>
    <col min="12802" max="12802" width="2.44140625" customWidth="1"/>
    <col min="12803" max="12803" width="40.88671875" customWidth="1"/>
    <col min="12805" max="12805" width="8.5546875" bestFit="1" customWidth="1"/>
    <col min="13057" max="13057" width="2.109375" customWidth="1"/>
    <col min="13058" max="13058" width="2.44140625" customWidth="1"/>
    <col min="13059" max="13059" width="40.88671875" customWidth="1"/>
    <col min="13061" max="13061" width="8.5546875" bestFit="1" customWidth="1"/>
    <col min="13313" max="13313" width="2.109375" customWidth="1"/>
    <col min="13314" max="13314" width="2.44140625" customWidth="1"/>
    <col min="13315" max="13315" width="40.88671875" customWidth="1"/>
    <col min="13317" max="13317" width="8.5546875" bestFit="1" customWidth="1"/>
    <col min="13569" max="13569" width="2.109375" customWidth="1"/>
    <col min="13570" max="13570" width="2.44140625" customWidth="1"/>
    <col min="13571" max="13571" width="40.88671875" customWidth="1"/>
    <col min="13573" max="13573" width="8.5546875" bestFit="1" customWidth="1"/>
    <col min="13825" max="13825" width="2.109375" customWidth="1"/>
    <col min="13826" max="13826" width="2.44140625" customWidth="1"/>
    <col min="13827" max="13827" width="40.88671875" customWidth="1"/>
    <col min="13829" max="13829" width="8.5546875" bestFit="1" customWidth="1"/>
    <col min="14081" max="14081" width="2.109375" customWidth="1"/>
    <col min="14082" max="14082" width="2.44140625" customWidth="1"/>
    <col min="14083" max="14083" width="40.88671875" customWidth="1"/>
    <col min="14085" max="14085" width="8.5546875" bestFit="1" customWidth="1"/>
    <col min="14337" max="14337" width="2.109375" customWidth="1"/>
    <col min="14338" max="14338" width="2.44140625" customWidth="1"/>
    <col min="14339" max="14339" width="40.88671875" customWidth="1"/>
    <col min="14341" max="14341" width="8.5546875" bestFit="1" customWidth="1"/>
    <col min="14593" max="14593" width="2.109375" customWidth="1"/>
    <col min="14594" max="14594" width="2.44140625" customWidth="1"/>
    <col min="14595" max="14595" width="40.88671875" customWidth="1"/>
    <col min="14597" max="14597" width="8.5546875" bestFit="1" customWidth="1"/>
    <col min="14849" max="14849" width="2.109375" customWidth="1"/>
    <col min="14850" max="14850" width="2.44140625" customWidth="1"/>
    <col min="14851" max="14851" width="40.88671875" customWidth="1"/>
    <col min="14853" max="14853" width="8.5546875" bestFit="1" customWidth="1"/>
    <col min="15105" max="15105" width="2.109375" customWidth="1"/>
    <col min="15106" max="15106" width="2.44140625" customWidth="1"/>
    <col min="15107" max="15107" width="40.88671875" customWidth="1"/>
    <col min="15109" max="15109" width="8.5546875" bestFit="1" customWidth="1"/>
    <col min="15361" max="15361" width="2.109375" customWidth="1"/>
    <col min="15362" max="15362" width="2.44140625" customWidth="1"/>
    <col min="15363" max="15363" width="40.88671875" customWidth="1"/>
    <col min="15365" max="15365" width="8.5546875" bestFit="1" customWidth="1"/>
    <col min="15617" max="15617" width="2.109375" customWidth="1"/>
    <col min="15618" max="15618" width="2.44140625" customWidth="1"/>
    <col min="15619" max="15619" width="40.88671875" customWidth="1"/>
    <col min="15621" max="15621" width="8.5546875" bestFit="1" customWidth="1"/>
    <col min="15873" max="15873" width="2.109375" customWidth="1"/>
    <col min="15874" max="15874" width="2.44140625" customWidth="1"/>
    <col min="15875" max="15875" width="40.88671875" customWidth="1"/>
    <col min="15877" max="15877" width="8.5546875" bestFit="1" customWidth="1"/>
    <col min="16129" max="16129" width="2.109375" customWidth="1"/>
    <col min="16130" max="16130" width="2.44140625" customWidth="1"/>
    <col min="16131" max="16131" width="40.88671875" customWidth="1"/>
    <col min="16133" max="16133" width="8.5546875" bestFit="1" customWidth="1"/>
  </cols>
  <sheetData>
    <row r="1" spans="1:13" ht="15" thickBot="1">
      <c r="C1" s="480"/>
    </row>
    <row r="2" spans="1:13" ht="15" thickBot="1">
      <c r="C2" s="480"/>
      <c r="D2" s="1" t="s">
        <v>0</v>
      </c>
      <c r="E2" s="467" t="s">
        <v>310</v>
      </c>
    </row>
    <row r="3" spans="1:13" ht="15" thickBot="1">
      <c r="A3" s="13" t="s">
        <v>2</v>
      </c>
      <c r="C3" s="13"/>
      <c r="D3" s="1" t="s">
        <v>3</v>
      </c>
      <c r="E3" s="468">
        <v>45809</v>
      </c>
    </row>
    <row r="4" spans="1:13" ht="15" thickBot="1">
      <c r="A4" s="14" t="s">
        <v>4</v>
      </c>
      <c r="C4" s="14"/>
      <c r="D4" s="1" t="s">
        <v>5</v>
      </c>
      <c r="E4" s="467" t="s">
        <v>6</v>
      </c>
    </row>
    <row r="5" spans="1:13" s="4" customFormat="1" ht="15" thickBot="1">
      <c r="C5" s="15"/>
    </row>
    <row r="6" spans="1:13" s="11" customFormat="1" ht="15" thickTop="1">
      <c r="C6" s="21"/>
      <c r="D6" s="482" t="s">
        <v>7</v>
      </c>
      <c r="E6" s="482"/>
      <c r="F6" s="483"/>
      <c r="G6" s="484" t="s">
        <v>8</v>
      </c>
      <c r="H6" s="485"/>
      <c r="I6" s="485"/>
      <c r="J6" s="485"/>
      <c r="K6" s="486"/>
    </row>
    <row r="7" spans="1:13" s="12" customFormat="1">
      <c r="A7" s="17" t="s">
        <v>147</v>
      </c>
      <c r="C7" s="22"/>
      <c r="D7" s="5">
        <v>2023</v>
      </c>
      <c r="E7" s="5">
        <f t="shared" ref="E7:K7" si="0">D7+1</f>
        <v>2024</v>
      </c>
      <c r="F7" s="24">
        <f t="shared" si="0"/>
        <v>2025</v>
      </c>
      <c r="G7" s="25">
        <f t="shared" si="0"/>
        <v>2026</v>
      </c>
      <c r="H7" s="6">
        <f t="shared" si="0"/>
        <v>2027</v>
      </c>
      <c r="I7" s="6">
        <f t="shared" si="0"/>
        <v>2028</v>
      </c>
      <c r="J7" s="6">
        <f t="shared" si="0"/>
        <v>2029</v>
      </c>
      <c r="K7" s="26">
        <f t="shared" si="0"/>
        <v>2030</v>
      </c>
    </row>
    <row r="8" spans="1:13" s="11" customFormat="1">
      <c r="A8" s="57"/>
      <c r="C8" s="16"/>
      <c r="D8" s="58"/>
      <c r="E8" s="58"/>
      <c r="F8" s="58"/>
      <c r="G8" s="59"/>
      <c r="H8" s="59"/>
      <c r="I8" s="59"/>
      <c r="J8" s="59"/>
      <c r="K8" s="59"/>
    </row>
    <row r="9" spans="1:13" ht="10.199999999999999" customHeight="1">
      <c r="A9" s="27" t="s">
        <v>105</v>
      </c>
      <c r="B9" s="27"/>
      <c r="C9" s="30"/>
      <c r="D9" s="47"/>
      <c r="E9" s="47"/>
      <c r="F9" s="47"/>
      <c r="G9" s="47"/>
      <c r="H9" s="47"/>
      <c r="I9" s="47"/>
      <c r="J9" s="47"/>
      <c r="K9" s="47"/>
    </row>
    <row r="10" spans="1:13">
      <c r="A10" s="27"/>
      <c r="B10" s="28" t="s">
        <v>74</v>
      </c>
      <c r="C10" s="31"/>
      <c r="D10" s="74"/>
      <c r="E10" s="74">
        <f>'Balance Sheet'!D13</f>
        <v>54892</v>
      </c>
      <c r="F10" s="74">
        <f>'Balance Sheet'!E13</f>
        <v>56435</v>
      </c>
      <c r="G10" s="74">
        <f>(OWC!G11*'Income Statement'!G18)/360</f>
        <v>57390.138255375146</v>
      </c>
      <c r="H10" s="74">
        <f>(OWC!H11*'Income Statement'!H18)/360</f>
        <v>60278.003246737673</v>
      </c>
      <c r="I10" s="74">
        <f>(OWC!I11*'Income Statement'!I18)/360</f>
        <v>63111.470821567593</v>
      </c>
      <c r="J10" s="74">
        <f>(OWC!J11*'Income Statement'!J18)/360</f>
        <v>66000.430829847872</v>
      </c>
      <c r="K10" s="74">
        <f>(OWC!K11*'Income Statement'!K18)/360</f>
        <v>69148.696601749049</v>
      </c>
    </row>
    <row r="11" spans="1:13">
      <c r="A11" s="27"/>
      <c r="B11" s="28"/>
      <c r="C11" s="65" t="s">
        <v>106</v>
      </c>
      <c r="D11" s="130"/>
      <c r="E11" s="130"/>
      <c r="F11" s="472">
        <f>AVERAGE(E10:F10)/'Income Statement'!F18*360</f>
        <v>39.157288770168421</v>
      </c>
      <c r="G11" s="473">
        <f>F11</f>
        <v>39.157288770168421</v>
      </c>
      <c r="H11" s="473">
        <f t="shared" ref="H11:K11" si="1">G11</f>
        <v>39.157288770168421</v>
      </c>
      <c r="I11" s="473">
        <f t="shared" si="1"/>
        <v>39.157288770168421</v>
      </c>
      <c r="J11" s="473">
        <f t="shared" si="1"/>
        <v>39.157288770168421</v>
      </c>
      <c r="K11" s="473">
        <f t="shared" si="1"/>
        <v>39.157288770168421</v>
      </c>
    </row>
    <row r="12" spans="1:13">
      <c r="A12" s="27"/>
      <c r="B12" s="28" t="s">
        <v>75</v>
      </c>
      <c r="C12" s="31"/>
      <c r="D12" s="74"/>
      <c r="E12" s="74">
        <f>'Balance Sheet'!D14</f>
        <v>8796</v>
      </c>
      <c r="F12" s="74">
        <f>'Balance Sheet'!E14</f>
        <v>9975</v>
      </c>
      <c r="G12" s="101">
        <f>(G13*'Income Statement'!G14)/360</f>
        <v>9760.92</v>
      </c>
      <c r="H12" s="101">
        <f>(H13*'Income Statement'!H14)/360</f>
        <v>10252.088343697975</v>
      </c>
      <c r="I12" s="101">
        <f>(I13*'Income Statement'!I14)/360</f>
        <v>10734.004769782179</v>
      </c>
      <c r="J12" s="101">
        <f>(J13*'Income Statement'!J14)/360</f>
        <v>11225.359354058372</v>
      </c>
      <c r="K12" s="101">
        <f>(K13*'Income Statement'!K14)/360</f>
        <v>11760.816686492788</v>
      </c>
    </row>
    <row r="13" spans="1:13">
      <c r="A13" s="27"/>
      <c r="B13" s="28"/>
      <c r="C13" s="65" t="s">
        <v>107</v>
      </c>
      <c r="D13" s="130"/>
      <c r="E13" s="130"/>
      <c r="F13" s="472">
        <f>AVERAGE(E12:F12)/'Income Statement'!F14*360</f>
        <v>4.9616070838564728</v>
      </c>
      <c r="G13" s="473">
        <f>F13</f>
        <v>4.9616070838564728</v>
      </c>
      <c r="H13" s="473">
        <f t="shared" ref="H13:K13" si="2">G13</f>
        <v>4.9616070838564728</v>
      </c>
      <c r="I13" s="473">
        <f t="shared" si="2"/>
        <v>4.9616070838564728</v>
      </c>
      <c r="J13" s="473">
        <f t="shared" si="2"/>
        <v>4.9616070838564728</v>
      </c>
      <c r="K13" s="473">
        <f t="shared" si="2"/>
        <v>4.9616070838564728</v>
      </c>
      <c r="M13" s="474"/>
    </row>
    <row r="14" spans="1:13" hidden="1">
      <c r="A14" s="27"/>
      <c r="B14" s="28" t="s">
        <v>330</v>
      </c>
      <c r="C14" s="65"/>
      <c r="D14" s="130"/>
      <c r="E14" s="74">
        <f>'Balance Sheet'!D12</f>
        <v>3322</v>
      </c>
      <c r="F14" s="74">
        <f>'Balance Sheet'!E12</f>
        <v>4011</v>
      </c>
      <c r="G14" s="74">
        <f>G15*'Income Statement'!G28/360</f>
        <v>3889.2348420735966</v>
      </c>
      <c r="H14" s="74">
        <f>H15*'Income Statement'!H28/360</f>
        <v>4084.9406808299577</v>
      </c>
      <c r="I14" s="74">
        <f>I15*'Income Statement'!I28/360</f>
        <v>4276.9600965504296</v>
      </c>
      <c r="J14" s="74">
        <f>J15*'Income Statement'!J28/360</f>
        <v>4472.7401427939758</v>
      </c>
      <c r="K14" s="74">
        <f>K15*'Income Statement'!K28/360</f>
        <v>4686.0929121792105</v>
      </c>
      <c r="M14" s="474"/>
    </row>
    <row r="15" spans="1:13" hidden="1">
      <c r="A15" s="27"/>
      <c r="B15" s="28"/>
      <c r="C15" s="65" t="s">
        <v>107</v>
      </c>
      <c r="D15" s="130"/>
      <c r="E15" s="130"/>
      <c r="F15" s="472">
        <f>AVERAGE(E14:F14)/'Income Statement'!F28*360</f>
        <v>10.400516897668444</v>
      </c>
      <c r="G15" s="473">
        <f>F15</f>
        <v>10.400516897668444</v>
      </c>
      <c r="H15" s="473">
        <f t="shared" ref="H15:K15" si="3">G15</f>
        <v>10.400516897668444</v>
      </c>
      <c r="I15" s="473">
        <f t="shared" si="3"/>
        <v>10.400516897668444</v>
      </c>
      <c r="J15" s="473">
        <f t="shared" si="3"/>
        <v>10.400516897668444</v>
      </c>
      <c r="K15" s="473">
        <f t="shared" si="3"/>
        <v>10.400516897668444</v>
      </c>
      <c r="M15" s="474"/>
    </row>
    <row r="16" spans="1:13">
      <c r="A16" s="27"/>
      <c r="B16" s="53" t="s">
        <v>76</v>
      </c>
      <c r="C16" s="61"/>
      <c r="D16" s="128"/>
      <c r="E16" s="86">
        <f t="shared" ref="E16:K16" si="4">E10+E12</f>
        <v>63688</v>
      </c>
      <c r="F16" s="86">
        <f t="shared" si="4"/>
        <v>66410</v>
      </c>
      <c r="G16" s="86">
        <f t="shared" si="4"/>
        <v>67151.058255375145</v>
      </c>
      <c r="H16" s="86">
        <f t="shared" si="4"/>
        <v>70530.091590435652</v>
      </c>
      <c r="I16" s="86">
        <f t="shared" si="4"/>
        <v>73845.475591349765</v>
      </c>
      <c r="J16" s="86">
        <f t="shared" si="4"/>
        <v>77225.79018390624</v>
      </c>
      <c r="K16" s="86">
        <f t="shared" si="4"/>
        <v>80909.51328824184</v>
      </c>
    </row>
    <row r="17" spans="1:12">
      <c r="A17" s="27"/>
      <c r="B17" s="53"/>
      <c r="C17" s="61"/>
      <c r="D17" s="54"/>
      <c r="E17" s="54"/>
      <c r="F17" s="54"/>
      <c r="G17" s="54"/>
      <c r="H17" s="54"/>
      <c r="I17" s="54"/>
      <c r="J17" s="54"/>
      <c r="K17" s="54"/>
    </row>
    <row r="18" spans="1:12">
      <c r="A18" s="27" t="s">
        <v>108</v>
      </c>
      <c r="B18" s="55"/>
      <c r="C18" s="62"/>
      <c r="D18" s="56"/>
      <c r="E18" s="56"/>
      <c r="F18" s="56"/>
      <c r="G18" s="56"/>
      <c r="H18" s="56"/>
      <c r="I18" s="56"/>
      <c r="J18" s="56"/>
      <c r="K18" s="56"/>
    </row>
    <row r="19" spans="1:12">
      <c r="A19" s="27"/>
      <c r="B19" s="48" t="s">
        <v>84</v>
      </c>
      <c r="C19" s="50"/>
      <c r="D19" s="74"/>
      <c r="E19" s="74">
        <f>'Balance Sheet'!D28</f>
        <v>56812</v>
      </c>
      <c r="F19" s="74">
        <f>'Balance Sheet'!E28</f>
        <v>58666</v>
      </c>
      <c r="G19" s="101">
        <f>G20*'Income Statement'!G18/360</f>
        <v>59530.018642864823</v>
      </c>
      <c r="H19" s="101">
        <f>H20*'Income Statement'!H18/360</f>
        <v>62525.562163058137</v>
      </c>
      <c r="I19" s="101">
        <f>I20*'Income Statement'!I18/360</f>
        <v>65464.679974606188</v>
      </c>
      <c r="J19" s="101">
        <f>J20*'Income Statement'!J18/360</f>
        <v>68461.359341122763</v>
      </c>
      <c r="K19" s="101">
        <f>K20*'Income Statement'!K18/360</f>
        <v>71727.013089158761</v>
      </c>
    </row>
    <row r="20" spans="1:12">
      <c r="A20" s="27"/>
      <c r="B20" s="28"/>
      <c r="C20" s="65" t="s">
        <v>109</v>
      </c>
      <c r="D20" s="130"/>
      <c r="E20" s="130"/>
      <c r="F20" s="472">
        <f>AVERAGE(E19:F19)/'Income Statement'!F18*360</f>
        <v>40.617329063044089</v>
      </c>
      <c r="G20" s="473">
        <f>F20</f>
        <v>40.617329063044089</v>
      </c>
      <c r="H20" s="473">
        <f t="shared" ref="H20:K20" si="5">G20</f>
        <v>40.617329063044089</v>
      </c>
      <c r="I20" s="473">
        <f t="shared" si="5"/>
        <v>40.617329063044089</v>
      </c>
      <c r="J20" s="473">
        <f t="shared" si="5"/>
        <v>40.617329063044089</v>
      </c>
      <c r="K20" s="473">
        <f t="shared" si="5"/>
        <v>40.617329063044089</v>
      </c>
    </row>
    <row r="21" spans="1:12">
      <c r="A21" s="27"/>
      <c r="B21" s="28" t="s">
        <v>85</v>
      </c>
      <c r="C21" s="61"/>
      <c r="D21" s="74"/>
      <c r="E21" s="74">
        <f>'Balance Sheet'!D29</f>
        <v>28759</v>
      </c>
      <c r="F21" s="74">
        <f>'Balance Sheet'!E29</f>
        <v>29345</v>
      </c>
      <c r="G21" s="101">
        <f>G22*'Income Statement'!G28/360</f>
        <v>30816.869120938805</v>
      </c>
      <c r="H21" s="101">
        <f>H22*'Income Statement'!H28/360</f>
        <v>32367.570342144263</v>
      </c>
      <c r="I21" s="101">
        <f>I22*'Income Statement'!I28/360</f>
        <v>33889.061700527229</v>
      </c>
      <c r="J21" s="101">
        <f>J22*'Income Statement'!J28/360</f>
        <v>35440.350914619012</v>
      </c>
      <c r="K21" s="101">
        <f>K22*'Income Statement'!K28/360</f>
        <v>37130.87993580538</v>
      </c>
    </row>
    <row r="22" spans="1:12">
      <c r="A22" s="27"/>
      <c r="B22" s="28"/>
      <c r="C22" s="65" t="s">
        <v>109</v>
      </c>
      <c r="D22" s="130"/>
      <c r="E22" s="130"/>
      <c r="F22" s="472">
        <f>AVERAGE(E21:F21)/'Income Statement'!F28*360</f>
        <v>82.409877788371375</v>
      </c>
      <c r="G22" s="131">
        <f>F22</f>
        <v>82.409877788371375</v>
      </c>
      <c r="H22" s="131">
        <f t="shared" ref="H22:K22" si="6">G22</f>
        <v>82.409877788371375</v>
      </c>
      <c r="I22" s="131">
        <f t="shared" si="6"/>
        <v>82.409877788371375</v>
      </c>
      <c r="J22" s="131">
        <f t="shared" si="6"/>
        <v>82.409877788371375</v>
      </c>
      <c r="K22" s="131">
        <f t="shared" si="6"/>
        <v>82.409877788371375</v>
      </c>
    </row>
    <row r="23" spans="1:12">
      <c r="A23" s="27"/>
      <c r="B23" s="28"/>
      <c r="C23" s="60"/>
      <c r="D23" s="51"/>
      <c r="E23" s="51"/>
      <c r="F23" s="51"/>
      <c r="G23" s="52"/>
      <c r="H23" s="52"/>
      <c r="I23" s="52"/>
      <c r="J23" s="52"/>
      <c r="K23" s="52"/>
    </row>
    <row r="24" spans="1:12">
      <c r="A24" s="28"/>
      <c r="B24" s="53" t="s">
        <v>86</v>
      </c>
      <c r="C24" s="48"/>
      <c r="D24" s="128"/>
      <c r="E24" s="86">
        <f>E19+E21</f>
        <v>85571</v>
      </c>
      <c r="F24" s="86">
        <f t="shared" ref="F24:K24" si="7">F19+F21</f>
        <v>88011</v>
      </c>
      <c r="G24" s="86">
        <f t="shared" si="7"/>
        <v>90346.887763803621</v>
      </c>
      <c r="H24" s="86">
        <f t="shared" si="7"/>
        <v>94893.132505202404</v>
      </c>
      <c r="I24" s="86">
        <f t="shared" si="7"/>
        <v>99353.741675133409</v>
      </c>
      <c r="J24" s="86">
        <f t="shared" si="7"/>
        <v>103901.71025574178</v>
      </c>
      <c r="K24" s="86">
        <f t="shared" si="7"/>
        <v>108857.89302496414</v>
      </c>
    </row>
    <row r="25" spans="1:12">
      <c r="A25" s="28"/>
      <c r="B25" s="53"/>
      <c r="C25" s="50"/>
      <c r="D25" s="54"/>
      <c r="E25" s="54"/>
      <c r="F25" s="54"/>
      <c r="G25" s="54"/>
      <c r="H25" s="54"/>
      <c r="I25" s="54"/>
      <c r="J25" s="54"/>
      <c r="K25" s="54"/>
    </row>
    <row r="26" spans="1:12">
      <c r="A26" s="28"/>
      <c r="B26" s="27" t="s">
        <v>110</v>
      </c>
      <c r="C26" s="55"/>
      <c r="D26" s="129"/>
      <c r="E26" s="127">
        <f>E16-E24</f>
        <v>-21883</v>
      </c>
      <c r="F26" s="127">
        <f t="shared" ref="F26:K26" si="8">F16-F24</f>
        <v>-21601</v>
      </c>
      <c r="G26" s="127">
        <f t="shared" si="8"/>
        <v>-23195.829508428476</v>
      </c>
      <c r="H26" s="127">
        <f t="shared" si="8"/>
        <v>-24363.040914766752</v>
      </c>
      <c r="I26" s="127">
        <f t="shared" si="8"/>
        <v>-25508.266083783645</v>
      </c>
      <c r="J26" s="127">
        <f t="shared" si="8"/>
        <v>-26675.920071835542</v>
      </c>
      <c r="K26" s="127">
        <f t="shared" si="8"/>
        <v>-27948.379736722301</v>
      </c>
    </row>
    <row r="27" spans="1:12">
      <c r="A27" s="28"/>
      <c r="B27" s="28" t="s">
        <v>111</v>
      </c>
      <c r="C27" s="63"/>
      <c r="D27" s="74"/>
      <c r="E27" s="74"/>
      <c r="F27" s="74">
        <f>F26-E26</f>
        <v>282</v>
      </c>
      <c r="G27" s="74">
        <f t="shared" ref="G27:K27" si="9">G26-F26</f>
        <v>-1594.8295084284764</v>
      </c>
      <c r="H27" s="74">
        <f t="shared" si="9"/>
        <v>-1167.211406338276</v>
      </c>
      <c r="I27" s="74">
        <f t="shared" si="9"/>
        <v>-1145.2251690168923</v>
      </c>
      <c r="J27" s="74">
        <f t="shared" si="9"/>
        <v>-1167.6539880518976</v>
      </c>
      <c r="K27" s="74">
        <f t="shared" si="9"/>
        <v>-1272.4596648867591</v>
      </c>
    </row>
    <row r="28" spans="1:12" s="4" customFormat="1" ht="15" thickBot="1">
      <c r="B28" s="33" t="s">
        <v>112</v>
      </c>
      <c r="C28" s="15"/>
      <c r="G28" s="46"/>
      <c r="H28" s="46"/>
      <c r="I28" s="46"/>
      <c r="J28" s="46"/>
      <c r="K28" s="46"/>
      <c r="L28" s="34"/>
    </row>
    <row r="29" spans="1:12" ht="15" thickTop="1"/>
  </sheetData>
  <mergeCells count="3">
    <mergeCell ref="C1:C2"/>
    <mergeCell ref="D6:F6"/>
    <mergeCell ref="G6:K6"/>
  </mergeCells>
  <conditionalFormatting sqref="G28:K28">
    <cfRule type="containsText" dxfId="21" priority="1" operator="containsText" text="N">
      <formula>NOT(ISERROR(SEARCH("N",G28)))</formula>
    </cfRule>
    <cfRule type="containsText" dxfId="20" priority="2" operator="containsText" text="Y">
      <formula>NOT(ISERROR(SEARCH("Y",G28)))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1DD2-E1F2-4043-9196-0A1600E60B89}">
  <dimension ref="A1:K75"/>
  <sheetViews>
    <sheetView showGridLines="0" workbookViewId="0">
      <pane xSplit="3" ySplit="8" topLeftCell="D58" activePane="bottomRight" state="frozen"/>
      <selection activeCell="A7" sqref="A7"/>
      <selection pane="topRight" activeCell="A7" sqref="A7"/>
      <selection pane="bottomLeft" activeCell="A7" sqref="A7"/>
      <selection pane="bottomRight" activeCell="G60" sqref="G60:K60"/>
    </sheetView>
  </sheetViews>
  <sheetFormatPr defaultRowHeight="14.4"/>
  <cols>
    <col min="1" max="1" width="2.109375" customWidth="1"/>
    <col min="2" max="2" width="2.44140625" customWidth="1"/>
    <col min="3" max="3" width="32" customWidth="1"/>
    <col min="5" max="5" width="8.77734375" bestFit="1" customWidth="1"/>
    <col min="10" max="11" width="9.21875" bestFit="1" customWidth="1"/>
    <col min="257" max="257" width="2.109375" customWidth="1"/>
    <col min="258" max="258" width="2.44140625" customWidth="1"/>
    <col min="259" max="259" width="40.88671875" customWidth="1"/>
    <col min="261" max="261" width="8.5546875" bestFit="1" customWidth="1"/>
    <col min="513" max="513" width="2.109375" customWidth="1"/>
    <col min="514" max="514" width="2.44140625" customWidth="1"/>
    <col min="515" max="515" width="40.88671875" customWidth="1"/>
    <col min="517" max="517" width="8.5546875" bestFit="1" customWidth="1"/>
    <col min="769" max="769" width="2.109375" customWidth="1"/>
    <col min="770" max="770" width="2.44140625" customWidth="1"/>
    <col min="771" max="771" width="40.88671875" customWidth="1"/>
    <col min="773" max="773" width="8.5546875" bestFit="1" customWidth="1"/>
    <col min="1025" max="1025" width="2.109375" customWidth="1"/>
    <col min="1026" max="1026" width="2.44140625" customWidth="1"/>
    <col min="1027" max="1027" width="40.88671875" customWidth="1"/>
    <col min="1029" max="1029" width="8.5546875" bestFit="1" customWidth="1"/>
    <col min="1281" max="1281" width="2.109375" customWidth="1"/>
    <col min="1282" max="1282" width="2.44140625" customWidth="1"/>
    <col min="1283" max="1283" width="40.88671875" customWidth="1"/>
    <col min="1285" max="1285" width="8.5546875" bestFit="1" customWidth="1"/>
    <col min="1537" max="1537" width="2.109375" customWidth="1"/>
    <col min="1538" max="1538" width="2.44140625" customWidth="1"/>
    <col min="1539" max="1539" width="40.88671875" customWidth="1"/>
    <col min="1541" max="1541" width="8.5546875" bestFit="1" customWidth="1"/>
    <col min="1793" max="1793" width="2.109375" customWidth="1"/>
    <col min="1794" max="1794" width="2.44140625" customWidth="1"/>
    <col min="1795" max="1795" width="40.88671875" customWidth="1"/>
    <col min="1797" max="1797" width="8.5546875" bestFit="1" customWidth="1"/>
    <col min="2049" max="2049" width="2.109375" customWidth="1"/>
    <col min="2050" max="2050" width="2.44140625" customWidth="1"/>
    <col min="2051" max="2051" width="40.88671875" customWidth="1"/>
    <col min="2053" max="2053" width="8.5546875" bestFit="1" customWidth="1"/>
    <col min="2305" max="2305" width="2.109375" customWidth="1"/>
    <col min="2306" max="2306" width="2.44140625" customWidth="1"/>
    <col min="2307" max="2307" width="40.88671875" customWidth="1"/>
    <col min="2309" max="2309" width="8.5546875" bestFit="1" customWidth="1"/>
    <col min="2561" max="2561" width="2.109375" customWidth="1"/>
    <col min="2562" max="2562" width="2.44140625" customWidth="1"/>
    <col min="2563" max="2563" width="40.88671875" customWidth="1"/>
    <col min="2565" max="2565" width="8.5546875" bestFit="1" customWidth="1"/>
    <col min="2817" max="2817" width="2.109375" customWidth="1"/>
    <col min="2818" max="2818" width="2.44140625" customWidth="1"/>
    <col min="2819" max="2819" width="40.88671875" customWidth="1"/>
    <col min="2821" max="2821" width="8.5546875" bestFit="1" customWidth="1"/>
    <col min="3073" max="3073" width="2.109375" customWidth="1"/>
    <col min="3074" max="3074" width="2.44140625" customWidth="1"/>
    <col min="3075" max="3075" width="40.88671875" customWidth="1"/>
    <col min="3077" max="3077" width="8.5546875" bestFit="1" customWidth="1"/>
    <col min="3329" max="3329" width="2.109375" customWidth="1"/>
    <col min="3330" max="3330" width="2.44140625" customWidth="1"/>
    <col min="3331" max="3331" width="40.88671875" customWidth="1"/>
    <col min="3333" max="3333" width="8.5546875" bestFit="1" customWidth="1"/>
    <col min="3585" max="3585" width="2.109375" customWidth="1"/>
    <col min="3586" max="3586" width="2.44140625" customWidth="1"/>
    <col min="3587" max="3587" width="40.88671875" customWidth="1"/>
    <col min="3589" max="3589" width="8.5546875" bestFit="1" customWidth="1"/>
    <col min="3841" max="3841" width="2.109375" customWidth="1"/>
    <col min="3842" max="3842" width="2.44140625" customWidth="1"/>
    <col min="3843" max="3843" width="40.88671875" customWidth="1"/>
    <col min="3845" max="3845" width="8.5546875" bestFit="1" customWidth="1"/>
    <col min="4097" max="4097" width="2.109375" customWidth="1"/>
    <col min="4098" max="4098" width="2.44140625" customWidth="1"/>
    <col min="4099" max="4099" width="40.88671875" customWidth="1"/>
    <col min="4101" max="4101" width="8.5546875" bestFit="1" customWidth="1"/>
    <col min="4353" max="4353" width="2.109375" customWidth="1"/>
    <col min="4354" max="4354" width="2.44140625" customWidth="1"/>
    <col min="4355" max="4355" width="40.88671875" customWidth="1"/>
    <col min="4357" max="4357" width="8.5546875" bestFit="1" customWidth="1"/>
    <col min="4609" max="4609" width="2.109375" customWidth="1"/>
    <col min="4610" max="4610" width="2.44140625" customWidth="1"/>
    <col min="4611" max="4611" width="40.88671875" customWidth="1"/>
    <col min="4613" max="4613" width="8.5546875" bestFit="1" customWidth="1"/>
    <col min="4865" max="4865" width="2.109375" customWidth="1"/>
    <col min="4866" max="4866" width="2.44140625" customWidth="1"/>
    <col min="4867" max="4867" width="40.88671875" customWidth="1"/>
    <col min="4869" max="4869" width="8.5546875" bestFit="1" customWidth="1"/>
    <col min="5121" max="5121" width="2.109375" customWidth="1"/>
    <col min="5122" max="5122" width="2.44140625" customWidth="1"/>
    <col min="5123" max="5123" width="40.88671875" customWidth="1"/>
    <col min="5125" max="5125" width="8.5546875" bestFit="1" customWidth="1"/>
    <col min="5377" max="5377" width="2.109375" customWidth="1"/>
    <col min="5378" max="5378" width="2.44140625" customWidth="1"/>
    <col min="5379" max="5379" width="40.88671875" customWidth="1"/>
    <col min="5381" max="5381" width="8.5546875" bestFit="1" customWidth="1"/>
    <col min="5633" max="5633" width="2.109375" customWidth="1"/>
    <col min="5634" max="5634" width="2.44140625" customWidth="1"/>
    <col min="5635" max="5635" width="40.88671875" customWidth="1"/>
    <col min="5637" max="5637" width="8.5546875" bestFit="1" customWidth="1"/>
    <col min="5889" max="5889" width="2.109375" customWidth="1"/>
    <col min="5890" max="5890" width="2.44140625" customWidth="1"/>
    <col min="5891" max="5891" width="40.88671875" customWidth="1"/>
    <col min="5893" max="5893" width="8.5546875" bestFit="1" customWidth="1"/>
    <col min="6145" max="6145" width="2.109375" customWidth="1"/>
    <col min="6146" max="6146" width="2.44140625" customWidth="1"/>
    <col min="6147" max="6147" width="40.88671875" customWidth="1"/>
    <col min="6149" max="6149" width="8.5546875" bestFit="1" customWidth="1"/>
    <col min="6401" max="6401" width="2.109375" customWidth="1"/>
    <col min="6402" max="6402" width="2.44140625" customWidth="1"/>
    <col min="6403" max="6403" width="40.88671875" customWidth="1"/>
    <col min="6405" max="6405" width="8.5546875" bestFit="1" customWidth="1"/>
    <col min="6657" max="6657" width="2.109375" customWidth="1"/>
    <col min="6658" max="6658" width="2.44140625" customWidth="1"/>
    <col min="6659" max="6659" width="40.88671875" customWidth="1"/>
    <col min="6661" max="6661" width="8.5546875" bestFit="1" customWidth="1"/>
    <col min="6913" max="6913" width="2.109375" customWidth="1"/>
    <col min="6914" max="6914" width="2.44140625" customWidth="1"/>
    <col min="6915" max="6915" width="40.88671875" customWidth="1"/>
    <col min="6917" max="6917" width="8.5546875" bestFit="1" customWidth="1"/>
    <col min="7169" max="7169" width="2.109375" customWidth="1"/>
    <col min="7170" max="7170" width="2.44140625" customWidth="1"/>
    <col min="7171" max="7171" width="40.88671875" customWidth="1"/>
    <col min="7173" max="7173" width="8.5546875" bestFit="1" customWidth="1"/>
    <col min="7425" max="7425" width="2.109375" customWidth="1"/>
    <col min="7426" max="7426" width="2.44140625" customWidth="1"/>
    <col min="7427" max="7427" width="40.88671875" customWidth="1"/>
    <col min="7429" max="7429" width="8.5546875" bestFit="1" customWidth="1"/>
    <col min="7681" max="7681" width="2.109375" customWidth="1"/>
    <col min="7682" max="7682" width="2.44140625" customWidth="1"/>
    <col min="7683" max="7683" width="40.88671875" customWidth="1"/>
    <col min="7685" max="7685" width="8.5546875" bestFit="1" customWidth="1"/>
    <col min="7937" max="7937" width="2.109375" customWidth="1"/>
    <col min="7938" max="7938" width="2.44140625" customWidth="1"/>
    <col min="7939" max="7939" width="40.88671875" customWidth="1"/>
    <col min="7941" max="7941" width="8.5546875" bestFit="1" customWidth="1"/>
    <col min="8193" max="8193" width="2.109375" customWidth="1"/>
    <col min="8194" max="8194" width="2.44140625" customWidth="1"/>
    <col min="8195" max="8195" width="40.88671875" customWidth="1"/>
    <col min="8197" max="8197" width="8.5546875" bestFit="1" customWidth="1"/>
    <col min="8449" max="8449" width="2.109375" customWidth="1"/>
    <col min="8450" max="8450" width="2.44140625" customWidth="1"/>
    <col min="8451" max="8451" width="40.88671875" customWidth="1"/>
    <col min="8453" max="8453" width="8.5546875" bestFit="1" customWidth="1"/>
    <col min="8705" max="8705" width="2.109375" customWidth="1"/>
    <col min="8706" max="8706" width="2.44140625" customWidth="1"/>
    <col min="8707" max="8707" width="40.88671875" customWidth="1"/>
    <col min="8709" max="8709" width="8.5546875" bestFit="1" customWidth="1"/>
    <col min="8961" max="8961" width="2.109375" customWidth="1"/>
    <col min="8962" max="8962" width="2.44140625" customWidth="1"/>
    <col min="8963" max="8963" width="40.88671875" customWidth="1"/>
    <col min="8965" max="8965" width="8.5546875" bestFit="1" customWidth="1"/>
    <col min="9217" max="9217" width="2.109375" customWidth="1"/>
    <col min="9218" max="9218" width="2.44140625" customWidth="1"/>
    <col min="9219" max="9219" width="40.88671875" customWidth="1"/>
    <col min="9221" max="9221" width="8.5546875" bestFit="1" customWidth="1"/>
    <col min="9473" max="9473" width="2.109375" customWidth="1"/>
    <col min="9474" max="9474" width="2.44140625" customWidth="1"/>
    <col min="9475" max="9475" width="40.88671875" customWidth="1"/>
    <col min="9477" max="9477" width="8.5546875" bestFit="1" customWidth="1"/>
    <col min="9729" max="9729" width="2.109375" customWidth="1"/>
    <col min="9730" max="9730" width="2.44140625" customWidth="1"/>
    <col min="9731" max="9731" width="40.88671875" customWidth="1"/>
    <col min="9733" max="9733" width="8.5546875" bestFit="1" customWidth="1"/>
    <col min="9985" max="9985" width="2.109375" customWidth="1"/>
    <col min="9986" max="9986" width="2.44140625" customWidth="1"/>
    <col min="9987" max="9987" width="40.88671875" customWidth="1"/>
    <col min="9989" max="9989" width="8.5546875" bestFit="1" customWidth="1"/>
    <col min="10241" max="10241" width="2.109375" customWidth="1"/>
    <col min="10242" max="10242" width="2.44140625" customWidth="1"/>
    <col min="10243" max="10243" width="40.88671875" customWidth="1"/>
    <col min="10245" max="10245" width="8.5546875" bestFit="1" customWidth="1"/>
    <col min="10497" max="10497" width="2.109375" customWidth="1"/>
    <col min="10498" max="10498" width="2.44140625" customWidth="1"/>
    <col min="10499" max="10499" width="40.88671875" customWidth="1"/>
    <col min="10501" max="10501" width="8.5546875" bestFit="1" customWidth="1"/>
    <col min="10753" max="10753" width="2.109375" customWidth="1"/>
    <col min="10754" max="10754" width="2.44140625" customWidth="1"/>
    <col min="10755" max="10755" width="40.88671875" customWidth="1"/>
    <col min="10757" max="10757" width="8.5546875" bestFit="1" customWidth="1"/>
    <col min="11009" max="11009" width="2.109375" customWidth="1"/>
    <col min="11010" max="11010" width="2.44140625" customWidth="1"/>
    <col min="11011" max="11011" width="40.88671875" customWidth="1"/>
    <col min="11013" max="11013" width="8.5546875" bestFit="1" customWidth="1"/>
    <col min="11265" max="11265" width="2.109375" customWidth="1"/>
    <col min="11266" max="11266" width="2.44140625" customWidth="1"/>
    <col min="11267" max="11267" width="40.88671875" customWidth="1"/>
    <col min="11269" max="11269" width="8.5546875" bestFit="1" customWidth="1"/>
    <col min="11521" max="11521" width="2.109375" customWidth="1"/>
    <col min="11522" max="11522" width="2.44140625" customWidth="1"/>
    <col min="11523" max="11523" width="40.88671875" customWidth="1"/>
    <col min="11525" max="11525" width="8.5546875" bestFit="1" customWidth="1"/>
    <col min="11777" max="11777" width="2.109375" customWidth="1"/>
    <col min="11778" max="11778" width="2.44140625" customWidth="1"/>
    <col min="11779" max="11779" width="40.88671875" customWidth="1"/>
    <col min="11781" max="11781" width="8.5546875" bestFit="1" customWidth="1"/>
    <col min="12033" max="12033" width="2.109375" customWidth="1"/>
    <col min="12034" max="12034" width="2.44140625" customWidth="1"/>
    <col min="12035" max="12035" width="40.88671875" customWidth="1"/>
    <col min="12037" max="12037" width="8.5546875" bestFit="1" customWidth="1"/>
    <col min="12289" max="12289" width="2.109375" customWidth="1"/>
    <col min="12290" max="12290" width="2.44140625" customWidth="1"/>
    <col min="12291" max="12291" width="40.88671875" customWidth="1"/>
    <col min="12293" max="12293" width="8.5546875" bestFit="1" customWidth="1"/>
    <col min="12545" max="12545" width="2.109375" customWidth="1"/>
    <col min="12546" max="12546" width="2.44140625" customWidth="1"/>
    <col min="12547" max="12547" width="40.88671875" customWidth="1"/>
    <col min="12549" max="12549" width="8.5546875" bestFit="1" customWidth="1"/>
    <col min="12801" max="12801" width="2.109375" customWidth="1"/>
    <col min="12802" max="12802" width="2.44140625" customWidth="1"/>
    <col min="12803" max="12803" width="40.88671875" customWidth="1"/>
    <col min="12805" max="12805" width="8.5546875" bestFit="1" customWidth="1"/>
    <col min="13057" max="13057" width="2.109375" customWidth="1"/>
    <col min="13058" max="13058" width="2.44140625" customWidth="1"/>
    <col min="13059" max="13059" width="40.88671875" customWidth="1"/>
    <col min="13061" max="13061" width="8.5546875" bestFit="1" customWidth="1"/>
    <col min="13313" max="13313" width="2.109375" customWidth="1"/>
    <col min="13314" max="13314" width="2.44140625" customWidth="1"/>
    <col min="13315" max="13315" width="40.88671875" customWidth="1"/>
    <col min="13317" max="13317" width="8.5546875" bestFit="1" customWidth="1"/>
    <col min="13569" max="13569" width="2.109375" customWidth="1"/>
    <col min="13570" max="13570" width="2.44140625" customWidth="1"/>
    <col min="13571" max="13571" width="40.88671875" customWidth="1"/>
    <col min="13573" max="13573" width="8.5546875" bestFit="1" customWidth="1"/>
    <col min="13825" max="13825" width="2.109375" customWidth="1"/>
    <col min="13826" max="13826" width="2.44140625" customWidth="1"/>
    <col min="13827" max="13827" width="40.88671875" customWidth="1"/>
    <col min="13829" max="13829" width="8.5546875" bestFit="1" customWidth="1"/>
    <col min="14081" max="14081" width="2.109375" customWidth="1"/>
    <col min="14082" max="14082" width="2.44140625" customWidth="1"/>
    <col min="14083" max="14083" width="40.88671875" customWidth="1"/>
    <col min="14085" max="14085" width="8.5546875" bestFit="1" customWidth="1"/>
    <col min="14337" max="14337" width="2.109375" customWidth="1"/>
    <col min="14338" max="14338" width="2.44140625" customWidth="1"/>
    <col min="14339" max="14339" width="40.88671875" customWidth="1"/>
    <col min="14341" max="14341" width="8.5546875" bestFit="1" customWidth="1"/>
    <col min="14593" max="14593" width="2.109375" customWidth="1"/>
    <col min="14594" max="14594" width="2.44140625" customWidth="1"/>
    <col min="14595" max="14595" width="40.88671875" customWidth="1"/>
    <col min="14597" max="14597" width="8.5546875" bestFit="1" customWidth="1"/>
    <col min="14849" max="14849" width="2.109375" customWidth="1"/>
    <col min="14850" max="14850" width="2.44140625" customWidth="1"/>
    <col min="14851" max="14851" width="40.88671875" customWidth="1"/>
    <col min="14853" max="14853" width="8.5546875" bestFit="1" customWidth="1"/>
    <col min="15105" max="15105" width="2.109375" customWidth="1"/>
    <col min="15106" max="15106" width="2.44140625" customWidth="1"/>
    <col min="15107" max="15107" width="40.88671875" customWidth="1"/>
    <col min="15109" max="15109" width="8.5546875" bestFit="1" customWidth="1"/>
    <col min="15361" max="15361" width="2.109375" customWidth="1"/>
    <col min="15362" max="15362" width="2.44140625" customWidth="1"/>
    <col min="15363" max="15363" width="40.88671875" customWidth="1"/>
    <col min="15365" max="15365" width="8.5546875" bestFit="1" customWidth="1"/>
    <col min="15617" max="15617" width="2.109375" customWidth="1"/>
    <col min="15618" max="15618" width="2.44140625" customWidth="1"/>
    <col min="15619" max="15619" width="40.88671875" customWidth="1"/>
    <col min="15621" max="15621" width="8.5546875" bestFit="1" customWidth="1"/>
    <col min="15873" max="15873" width="2.109375" customWidth="1"/>
    <col min="15874" max="15874" width="2.44140625" customWidth="1"/>
    <col min="15875" max="15875" width="40.88671875" customWidth="1"/>
    <col min="15877" max="15877" width="8.5546875" bestFit="1" customWidth="1"/>
    <col min="16129" max="16129" width="2.109375" customWidth="1"/>
    <col min="16130" max="16130" width="2.44140625" customWidth="1"/>
    <col min="16131" max="16131" width="40.88671875" customWidth="1"/>
    <col min="16133" max="16133" width="8.5546875" bestFit="1" customWidth="1"/>
  </cols>
  <sheetData>
    <row r="1" spans="1:11" ht="15" thickBot="1">
      <c r="C1" s="480"/>
    </row>
    <row r="2" spans="1:11" ht="15" thickBot="1">
      <c r="C2" s="480"/>
      <c r="D2" s="1" t="s">
        <v>0</v>
      </c>
      <c r="E2" s="467" t="s">
        <v>310</v>
      </c>
    </row>
    <row r="3" spans="1:11" ht="15" thickBot="1">
      <c r="A3" s="13" t="s">
        <v>2</v>
      </c>
      <c r="C3" s="13"/>
      <c r="D3" s="1" t="s">
        <v>3</v>
      </c>
      <c r="E3" s="468">
        <v>45809</v>
      </c>
    </row>
    <row r="4" spans="1:11" ht="15" thickBot="1">
      <c r="A4" s="14" t="s">
        <v>4</v>
      </c>
      <c r="C4" s="14"/>
      <c r="D4" s="1" t="s">
        <v>5</v>
      </c>
      <c r="E4" s="467" t="s">
        <v>6</v>
      </c>
    </row>
    <row r="5" spans="1:11" s="4" customFormat="1" ht="15" thickBot="1">
      <c r="C5" s="15"/>
    </row>
    <row r="6" spans="1:11" s="11" customFormat="1" ht="15" thickTop="1">
      <c r="C6" s="21"/>
      <c r="D6" s="482" t="s">
        <v>7</v>
      </c>
      <c r="E6" s="482"/>
      <c r="F6" s="483"/>
      <c r="G6" s="484" t="s">
        <v>8</v>
      </c>
      <c r="H6" s="485"/>
      <c r="I6" s="485"/>
      <c r="J6" s="485"/>
      <c r="K6" s="486"/>
    </row>
    <row r="7" spans="1:11" s="12" customFormat="1">
      <c r="A7" s="17" t="s">
        <v>147</v>
      </c>
      <c r="C7" s="22"/>
      <c r="D7" s="5">
        <v>2023</v>
      </c>
      <c r="E7" s="5">
        <f t="shared" ref="E7:K7" si="0">D7+1</f>
        <v>2024</v>
      </c>
      <c r="F7" s="24">
        <f t="shared" si="0"/>
        <v>2025</v>
      </c>
      <c r="G7" s="25">
        <f t="shared" si="0"/>
        <v>2026</v>
      </c>
      <c r="H7" s="6">
        <f t="shared" si="0"/>
        <v>2027</v>
      </c>
      <c r="I7" s="6">
        <f t="shared" si="0"/>
        <v>2028</v>
      </c>
      <c r="J7" s="6">
        <f t="shared" si="0"/>
        <v>2029</v>
      </c>
      <c r="K7" s="26">
        <f t="shared" si="0"/>
        <v>2030</v>
      </c>
    </row>
    <row r="8" spans="1:11" s="11" customFormat="1">
      <c r="A8" s="57"/>
      <c r="C8" s="16"/>
      <c r="D8" s="58"/>
      <c r="E8" s="58"/>
      <c r="F8" s="58"/>
      <c r="G8" s="59"/>
      <c r="H8" s="59"/>
      <c r="I8" s="59"/>
      <c r="J8" s="59"/>
      <c r="K8" s="59"/>
    </row>
    <row r="9" spans="1:11" ht="10.199999999999999" customHeight="1">
      <c r="A9" s="27" t="s">
        <v>113</v>
      </c>
      <c r="B9" s="64"/>
      <c r="C9" s="66"/>
    </row>
    <row r="10" spans="1:11">
      <c r="A10" s="28"/>
      <c r="B10" s="28" t="s">
        <v>114</v>
      </c>
      <c r="C10" s="31"/>
      <c r="G10" s="114">
        <f>F58</f>
        <v>9037</v>
      </c>
      <c r="H10" s="114">
        <f t="shared" ref="H10:K10" ca="1" si="1">G58</f>
        <v>25805.901729128618</v>
      </c>
      <c r="I10" s="114">
        <f t="shared" ca="1" si="1"/>
        <v>41385.988152775477</v>
      </c>
      <c r="J10" s="114">
        <f t="shared" ca="1" si="1"/>
        <v>59181.27996363792</v>
      </c>
      <c r="K10" s="114">
        <f t="shared" ca="1" si="1"/>
        <v>79418.408456331992</v>
      </c>
    </row>
    <row r="11" spans="1:11">
      <c r="A11" s="28"/>
      <c r="B11" s="28" t="s">
        <v>67</v>
      </c>
      <c r="C11" s="31"/>
      <c r="G11" s="114">
        <f ca="1">'Cashflow Statement'!G49</f>
        <v>16768.901729128618</v>
      </c>
      <c r="H11" s="114">
        <f ca="1">'Cashflow Statement'!H49</f>
        <v>15580.086423646826</v>
      </c>
      <c r="I11" s="114">
        <f ca="1">'Cashflow Statement'!I49</f>
        <v>17795.291810862025</v>
      </c>
      <c r="J11" s="114">
        <f ca="1">'Cashflow Statement'!J49</f>
        <v>20237.128492683165</v>
      </c>
      <c r="K11" s="114">
        <f ca="1">'Cashflow Statement'!K49</f>
        <v>19967.500852732319</v>
      </c>
    </row>
    <row r="12" spans="1:11">
      <c r="A12" s="28"/>
      <c r="B12" s="28" t="s">
        <v>115</v>
      </c>
      <c r="C12" s="31"/>
      <c r="G12" s="74">
        <v>-3000</v>
      </c>
      <c r="H12" s="74">
        <v>-3000</v>
      </c>
      <c r="I12" s="74">
        <v>-3000</v>
      </c>
      <c r="J12" s="74">
        <v>-3000</v>
      </c>
      <c r="K12" s="74">
        <v>-3000</v>
      </c>
    </row>
    <row r="13" spans="1:11">
      <c r="A13" s="28"/>
      <c r="B13" s="27" t="s">
        <v>116</v>
      </c>
      <c r="C13" s="30"/>
      <c r="E13" s="8"/>
      <c r="F13" s="8"/>
      <c r="G13" s="117">
        <f ca="1">SUM(G10:G12)</f>
        <v>22805.901729128618</v>
      </c>
      <c r="H13" s="117">
        <f t="shared" ref="H13:K13" ca="1" si="2">SUM(H10:H12)</f>
        <v>38385.988152775448</v>
      </c>
      <c r="I13" s="117">
        <f t="shared" ca="1" si="2"/>
        <v>56181.279963637498</v>
      </c>
      <c r="J13" s="117">
        <f t="shared" ca="1" si="2"/>
        <v>76418.408456321078</v>
      </c>
      <c r="K13" s="117">
        <f t="shared" ca="1" si="2"/>
        <v>96385.909309064315</v>
      </c>
    </row>
    <row r="14" spans="1:11">
      <c r="A14" s="28"/>
      <c r="B14" s="27"/>
      <c r="C14" s="30"/>
    </row>
    <row r="15" spans="1:11">
      <c r="A15" s="28" t="s">
        <v>343</v>
      </c>
      <c r="B15" s="31"/>
      <c r="F15" s="114"/>
      <c r="G15" s="114">
        <f>'Balance Sheet'!E27</f>
        <v>3068</v>
      </c>
      <c r="H15" s="114">
        <f>'Balance Sheet'!F27</f>
        <v>3068</v>
      </c>
      <c r="I15" s="114">
        <f>'Balance Sheet'!G27</f>
        <v>3068</v>
      </c>
      <c r="J15" s="114">
        <f>'Balance Sheet'!H27</f>
        <v>3068</v>
      </c>
      <c r="K15" s="114">
        <f>'Balance Sheet'!I27</f>
        <v>3068</v>
      </c>
    </row>
    <row r="16" spans="1:11">
      <c r="A16" s="28" t="s">
        <v>119</v>
      </c>
      <c r="B16" s="31"/>
      <c r="F16" s="74"/>
      <c r="G16" s="74">
        <v>0</v>
      </c>
      <c r="H16" s="74">
        <v>0</v>
      </c>
      <c r="I16" s="74">
        <v>0</v>
      </c>
      <c r="J16" s="74">
        <v>0</v>
      </c>
      <c r="K16" s="74">
        <v>0</v>
      </c>
    </row>
    <row r="17" spans="1:11">
      <c r="A17" s="28" t="s">
        <v>120</v>
      </c>
      <c r="B17" s="31"/>
      <c r="E17" s="74"/>
      <c r="F17" s="74"/>
      <c r="G17" s="74">
        <v>0</v>
      </c>
      <c r="H17" s="74">
        <v>0</v>
      </c>
      <c r="I17" s="74">
        <v>0</v>
      </c>
      <c r="J17" s="74">
        <v>0</v>
      </c>
      <c r="K17" s="74">
        <v>0</v>
      </c>
    </row>
    <row r="18" spans="1:11">
      <c r="A18" s="27" t="s">
        <v>344</v>
      </c>
      <c r="B18" s="67"/>
      <c r="E18" s="117"/>
      <c r="F18" s="117"/>
      <c r="G18" s="117">
        <f>SUM(G15:G17)</f>
        <v>3068</v>
      </c>
      <c r="H18" s="117">
        <f t="shared" ref="H18:K18" si="3">SUM(H15:H17)</f>
        <v>3068</v>
      </c>
      <c r="I18" s="117">
        <f t="shared" si="3"/>
        <v>3068</v>
      </c>
      <c r="J18" s="117">
        <f t="shared" si="3"/>
        <v>3068</v>
      </c>
      <c r="K18" s="117">
        <f t="shared" si="3"/>
        <v>3068</v>
      </c>
    </row>
    <row r="19" spans="1:11">
      <c r="A19" s="28" t="s">
        <v>122</v>
      </c>
      <c r="B19" s="68"/>
      <c r="F19" s="100"/>
      <c r="G19" s="100">
        <f>G20*G18</f>
        <v>162.60399999999998</v>
      </c>
      <c r="H19" s="100">
        <f t="shared" ref="H19:K19" si="4">H20*H18</f>
        <v>162.60399999999998</v>
      </c>
      <c r="I19" s="100">
        <f t="shared" si="4"/>
        <v>162.60399999999998</v>
      </c>
      <c r="J19" s="100">
        <f t="shared" si="4"/>
        <v>162.60399999999998</v>
      </c>
      <c r="K19" s="100">
        <f t="shared" si="4"/>
        <v>162.60399999999998</v>
      </c>
    </row>
    <row r="20" spans="1:11">
      <c r="A20" s="28"/>
      <c r="B20" s="69" t="s">
        <v>123</v>
      </c>
      <c r="F20" s="137"/>
      <c r="G20" s="98">
        <v>5.2999999999999999E-2</v>
      </c>
      <c r="H20" s="98">
        <v>5.2999999999999999E-2</v>
      </c>
      <c r="I20" s="98">
        <v>5.2999999999999999E-2</v>
      </c>
      <c r="J20" s="98">
        <v>5.2999999999999999E-2</v>
      </c>
      <c r="K20" s="98">
        <v>5.2999999999999999E-2</v>
      </c>
    </row>
    <row r="21" spans="1:11">
      <c r="A21" s="28"/>
      <c r="B21" s="141"/>
      <c r="F21" s="137"/>
      <c r="G21" s="137"/>
      <c r="H21" s="137"/>
      <c r="I21" s="137"/>
      <c r="J21" s="137"/>
    </row>
    <row r="22" spans="1:11">
      <c r="A22" s="27" t="s">
        <v>117</v>
      </c>
      <c r="B22" s="28"/>
      <c r="C22" s="31"/>
    </row>
    <row r="23" spans="1:11">
      <c r="A23" s="27"/>
      <c r="B23" s="28" t="s">
        <v>118</v>
      </c>
      <c r="C23" s="31"/>
      <c r="G23" s="114">
        <f>'Balance Sheet'!E31</f>
        <v>4897</v>
      </c>
      <c r="H23" s="114">
        <f>'Balance Sheet'!F31</f>
        <v>4897</v>
      </c>
      <c r="I23" s="114">
        <f>'Balance Sheet'!G31</f>
        <v>4897</v>
      </c>
      <c r="J23" s="114">
        <f>'Balance Sheet'!H31</f>
        <v>4897</v>
      </c>
      <c r="K23" s="114">
        <f>'Balance Sheet'!I31</f>
        <v>4897</v>
      </c>
    </row>
    <row r="24" spans="1:11">
      <c r="A24" s="27"/>
      <c r="B24" s="28" t="s">
        <v>119</v>
      </c>
      <c r="C24" s="31"/>
      <c r="G24" s="74">
        <v>0</v>
      </c>
      <c r="H24" s="74">
        <v>0</v>
      </c>
      <c r="I24" s="74">
        <v>0</v>
      </c>
      <c r="J24" s="74">
        <v>0</v>
      </c>
      <c r="K24" s="74">
        <v>0</v>
      </c>
    </row>
    <row r="25" spans="1:11">
      <c r="A25" s="27"/>
      <c r="B25" s="28" t="s">
        <v>120</v>
      </c>
      <c r="C25" s="31"/>
      <c r="F25" s="74"/>
      <c r="G25" s="74">
        <v>0</v>
      </c>
      <c r="H25" s="74">
        <v>0</v>
      </c>
      <c r="I25" s="74">
        <v>0</v>
      </c>
      <c r="J25" s="74">
        <v>0</v>
      </c>
      <c r="K25" s="74">
        <v>0</v>
      </c>
    </row>
    <row r="26" spans="1:11">
      <c r="A26" s="28"/>
      <c r="B26" s="27" t="s">
        <v>121</v>
      </c>
      <c r="C26" s="67"/>
      <c r="E26" s="8"/>
      <c r="F26" s="117"/>
      <c r="G26" s="117">
        <f>SUM(G23:G25)</f>
        <v>4897</v>
      </c>
      <c r="H26" s="117">
        <f t="shared" ref="H26:K26" si="5">SUM(H23:H25)</f>
        <v>4897</v>
      </c>
      <c r="I26" s="117">
        <f t="shared" si="5"/>
        <v>4897</v>
      </c>
      <c r="J26" s="117">
        <f t="shared" si="5"/>
        <v>4897</v>
      </c>
      <c r="K26" s="117">
        <f t="shared" si="5"/>
        <v>4897</v>
      </c>
    </row>
    <row r="27" spans="1:11">
      <c r="A27" s="27"/>
      <c r="B27" s="28" t="s">
        <v>122</v>
      </c>
      <c r="C27" s="68"/>
      <c r="G27" s="100">
        <f>G26*G28</f>
        <v>269.33499999999998</v>
      </c>
      <c r="H27" s="100">
        <f t="shared" ref="H27:K27" si="6">H26*H28</f>
        <v>269.33499999999998</v>
      </c>
      <c r="I27" s="100">
        <f t="shared" si="6"/>
        <v>269.33499999999998</v>
      </c>
      <c r="J27" s="100">
        <f t="shared" si="6"/>
        <v>269.33499999999998</v>
      </c>
      <c r="K27" s="100">
        <f t="shared" si="6"/>
        <v>269.33499999999998</v>
      </c>
    </row>
    <row r="28" spans="1:11">
      <c r="A28" s="27"/>
      <c r="B28" s="28"/>
      <c r="C28" s="69" t="s">
        <v>123</v>
      </c>
      <c r="G28" s="98">
        <v>5.5E-2</v>
      </c>
      <c r="H28" s="98">
        <v>5.5E-2</v>
      </c>
      <c r="I28" s="98">
        <v>5.5E-2</v>
      </c>
      <c r="J28" s="98">
        <v>5.5E-2</v>
      </c>
      <c r="K28" s="98">
        <v>5.5E-2</v>
      </c>
    </row>
    <row r="29" spans="1:11">
      <c r="A29" s="27"/>
      <c r="B29" s="28"/>
      <c r="C29" s="69"/>
    </row>
    <row r="30" spans="1:11">
      <c r="A30" s="27" t="s">
        <v>124</v>
      </c>
      <c r="B30" s="28"/>
      <c r="C30" s="31"/>
    </row>
    <row r="31" spans="1:11">
      <c r="A31" s="27"/>
      <c r="B31" s="28" t="s">
        <v>125</v>
      </c>
      <c r="C31" s="31"/>
      <c r="G31" s="114">
        <f>'Balance Sheet'!E35</f>
        <v>33401</v>
      </c>
      <c r="H31" s="114">
        <f>'Balance Sheet'!F35</f>
        <v>33401</v>
      </c>
      <c r="I31" s="114">
        <f>'Balance Sheet'!G35</f>
        <v>33401</v>
      </c>
      <c r="J31" s="114">
        <f>'Balance Sheet'!H35</f>
        <v>33401</v>
      </c>
      <c r="K31" s="114">
        <f>'Balance Sheet'!I35</f>
        <v>33401</v>
      </c>
    </row>
    <row r="32" spans="1:11">
      <c r="A32" s="27"/>
      <c r="B32" s="28" t="s">
        <v>119</v>
      </c>
      <c r="C32" s="31"/>
      <c r="G32" s="74">
        <v>0</v>
      </c>
      <c r="H32" s="74">
        <v>0</v>
      </c>
      <c r="I32" s="74">
        <v>0</v>
      </c>
      <c r="J32" s="74">
        <v>0</v>
      </c>
      <c r="K32" s="74">
        <v>0</v>
      </c>
    </row>
    <row r="33" spans="1:11">
      <c r="A33" s="27"/>
      <c r="B33" s="28" t="s">
        <v>120</v>
      </c>
      <c r="C33" s="31"/>
      <c r="F33" s="74"/>
      <c r="G33" s="74">
        <v>0</v>
      </c>
      <c r="H33" s="74">
        <v>0</v>
      </c>
      <c r="I33" s="74">
        <v>0</v>
      </c>
      <c r="J33" s="74">
        <v>0</v>
      </c>
      <c r="K33" s="74">
        <v>0</v>
      </c>
    </row>
    <row r="34" spans="1:11">
      <c r="A34" s="28"/>
      <c r="B34" s="27" t="s">
        <v>126</v>
      </c>
      <c r="C34" s="67"/>
      <c r="E34" s="8"/>
      <c r="F34" s="117"/>
      <c r="G34" s="117">
        <f>SUM(G31:G33)</f>
        <v>33401</v>
      </c>
      <c r="H34" s="117">
        <f t="shared" ref="H34:K34" si="7">SUM(H31:H33)</f>
        <v>33401</v>
      </c>
      <c r="I34" s="117">
        <f t="shared" si="7"/>
        <v>33401</v>
      </c>
      <c r="J34" s="117">
        <f t="shared" si="7"/>
        <v>33401</v>
      </c>
      <c r="K34" s="117">
        <f t="shared" si="7"/>
        <v>33401</v>
      </c>
    </row>
    <row r="35" spans="1:11">
      <c r="A35" s="27"/>
      <c r="B35" s="28" t="s">
        <v>127</v>
      </c>
      <c r="C35" s="68"/>
      <c r="G35" s="100">
        <f>G34*G36</f>
        <v>1269.2380000000001</v>
      </c>
      <c r="H35" s="100">
        <f t="shared" ref="H35:K35" si="8">H34*H36</f>
        <v>835.02500000000009</v>
      </c>
      <c r="I35" s="100">
        <f t="shared" si="8"/>
        <v>1202.4359999999999</v>
      </c>
      <c r="J35" s="100">
        <f t="shared" si="8"/>
        <v>1035.431</v>
      </c>
      <c r="K35" s="100">
        <f t="shared" si="8"/>
        <v>1402.8420000000001</v>
      </c>
    </row>
    <row r="36" spans="1:11">
      <c r="A36" s="27"/>
      <c r="B36" s="28"/>
      <c r="C36" s="69" t="s">
        <v>128</v>
      </c>
      <c r="G36" s="137">
        <v>3.7999999999999999E-2</v>
      </c>
      <c r="H36" s="137">
        <v>2.5000000000000001E-2</v>
      </c>
      <c r="I36" s="137">
        <v>3.5999999999999997E-2</v>
      </c>
      <c r="J36" s="137">
        <v>3.1E-2</v>
      </c>
      <c r="K36" s="137">
        <v>4.2000000000000003E-2</v>
      </c>
    </row>
    <row r="37" spans="1:11">
      <c r="A37" s="27"/>
      <c r="B37" s="28"/>
      <c r="C37" s="69"/>
    </row>
    <row r="38" spans="1:11">
      <c r="A38" s="27" t="s">
        <v>129</v>
      </c>
      <c r="B38" s="28"/>
      <c r="C38" s="31"/>
    </row>
    <row r="39" spans="1:11">
      <c r="A39" s="27"/>
      <c r="B39" s="28" t="s">
        <v>130</v>
      </c>
      <c r="C39" s="31"/>
      <c r="G39" s="114">
        <f>'Balance Sheet'!E36</f>
        <v>12825</v>
      </c>
      <c r="H39" s="114">
        <f>'Balance Sheet'!F36</f>
        <v>12825</v>
      </c>
      <c r="I39" s="114">
        <f>'Balance Sheet'!G36</f>
        <v>12825</v>
      </c>
      <c r="J39" s="114">
        <f>'Balance Sheet'!H36</f>
        <v>12825</v>
      </c>
      <c r="K39" s="114">
        <f>'Balance Sheet'!I36</f>
        <v>12825</v>
      </c>
    </row>
    <row r="40" spans="1:11">
      <c r="A40" s="27"/>
      <c r="B40" s="28" t="s">
        <v>119</v>
      </c>
      <c r="C40" s="31"/>
      <c r="G40" s="74">
        <v>0</v>
      </c>
      <c r="H40" s="74">
        <v>0</v>
      </c>
      <c r="I40" s="74">
        <v>0</v>
      </c>
      <c r="J40" s="74">
        <v>0</v>
      </c>
      <c r="K40" s="74">
        <v>0</v>
      </c>
    </row>
    <row r="41" spans="1:11">
      <c r="A41" s="27"/>
      <c r="B41" s="28" t="s">
        <v>120</v>
      </c>
      <c r="C41" s="31"/>
      <c r="F41" s="74"/>
      <c r="G41" s="74">
        <v>0</v>
      </c>
      <c r="H41" s="74">
        <v>0</v>
      </c>
      <c r="I41" s="74">
        <v>0</v>
      </c>
      <c r="J41" s="74">
        <v>0</v>
      </c>
      <c r="K41" s="74">
        <v>0</v>
      </c>
    </row>
    <row r="42" spans="1:11">
      <c r="A42" s="28"/>
      <c r="B42" s="27" t="s">
        <v>131</v>
      </c>
      <c r="C42" s="67"/>
      <c r="E42" s="8"/>
      <c r="F42" s="117"/>
      <c r="G42" s="117">
        <f>SUM(G39:G41)</f>
        <v>12825</v>
      </c>
      <c r="H42" s="117">
        <f t="shared" ref="H42:K42" si="9">SUM(H39:H41)</f>
        <v>12825</v>
      </c>
      <c r="I42" s="117">
        <f t="shared" si="9"/>
        <v>12825</v>
      </c>
      <c r="J42" s="117">
        <f t="shared" si="9"/>
        <v>12825</v>
      </c>
      <c r="K42" s="117">
        <f t="shared" si="9"/>
        <v>12825</v>
      </c>
    </row>
    <row r="43" spans="1:11">
      <c r="A43" s="27"/>
      <c r="B43" s="28" t="s">
        <v>132</v>
      </c>
      <c r="C43" s="68"/>
      <c r="G43" s="100">
        <f>G42*G44</f>
        <v>525.82500000000005</v>
      </c>
      <c r="H43" s="100">
        <f t="shared" ref="H43:K43" si="10">H42*H44</f>
        <v>525.82500000000005</v>
      </c>
      <c r="I43" s="100">
        <f t="shared" si="10"/>
        <v>525.82500000000005</v>
      </c>
      <c r="J43" s="100">
        <f t="shared" si="10"/>
        <v>525.82500000000005</v>
      </c>
      <c r="K43" s="100">
        <f t="shared" si="10"/>
        <v>525.82500000000005</v>
      </c>
    </row>
    <row r="44" spans="1:11">
      <c r="A44" s="27"/>
      <c r="B44" s="28"/>
      <c r="C44" s="69" t="s">
        <v>133</v>
      </c>
      <c r="G44" s="137">
        <v>4.1000000000000002E-2</v>
      </c>
      <c r="H44" s="137">
        <v>4.1000000000000002E-2</v>
      </c>
      <c r="I44" s="137">
        <v>4.1000000000000002E-2</v>
      </c>
      <c r="J44" s="137">
        <v>4.1000000000000002E-2</v>
      </c>
      <c r="K44" s="137">
        <v>4.1000000000000002E-2</v>
      </c>
    </row>
    <row r="45" spans="1:11">
      <c r="A45" s="27"/>
      <c r="B45" s="28"/>
      <c r="C45" s="69"/>
    </row>
    <row r="46" spans="1:11">
      <c r="A46" s="27" t="s">
        <v>139</v>
      </c>
      <c r="B46" s="28"/>
      <c r="C46" s="70"/>
    </row>
    <row r="47" spans="1:11">
      <c r="A47" s="27"/>
      <c r="B47" s="28" t="s">
        <v>140</v>
      </c>
      <c r="C47" s="70"/>
      <c r="G47" s="74">
        <f>'Balance Sheet'!E37</f>
        <v>5923</v>
      </c>
      <c r="H47" s="74">
        <f>'Balance Sheet'!F37</f>
        <v>5923</v>
      </c>
      <c r="I47" s="74">
        <f>'Balance Sheet'!G37</f>
        <v>5923</v>
      </c>
      <c r="J47" s="74">
        <f>'Balance Sheet'!H37</f>
        <v>5923</v>
      </c>
      <c r="K47" s="74">
        <f>'Balance Sheet'!I37</f>
        <v>5923</v>
      </c>
    </row>
    <row r="48" spans="1:11">
      <c r="A48" s="27"/>
      <c r="B48" s="28" t="s">
        <v>141</v>
      </c>
      <c r="C48" s="70"/>
      <c r="G48" s="74">
        <v>0</v>
      </c>
      <c r="H48" s="74">
        <v>0</v>
      </c>
      <c r="I48" s="74">
        <v>0</v>
      </c>
      <c r="J48" s="74">
        <v>0</v>
      </c>
      <c r="K48" s="74">
        <v>0</v>
      </c>
    </row>
    <row r="49" spans="1:11">
      <c r="A49" s="27"/>
      <c r="B49" s="28" t="s">
        <v>142</v>
      </c>
      <c r="C49" s="70"/>
      <c r="G49" s="74">
        <v>0</v>
      </c>
      <c r="H49" s="74">
        <v>0</v>
      </c>
      <c r="I49" s="74">
        <v>0</v>
      </c>
      <c r="J49" s="74">
        <v>0</v>
      </c>
      <c r="K49" s="74">
        <v>0</v>
      </c>
    </row>
    <row r="50" spans="1:11">
      <c r="A50" s="27"/>
      <c r="B50" s="27" t="s">
        <v>143</v>
      </c>
      <c r="C50" s="70"/>
      <c r="E50" s="8"/>
      <c r="F50" s="138"/>
      <c r="G50" s="117">
        <f>SUM(G47:G49)</f>
        <v>5923</v>
      </c>
      <c r="H50" s="117">
        <f t="shared" ref="H50:K50" si="11">SUM(H47:H49)</f>
        <v>5923</v>
      </c>
      <c r="I50" s="117">
        <f t="shared" si="11"/>
        <v>5923</v>
      </c>
      <c r="J50" s="117">
        <f t="shared" si="11"/>
        <v>5923</v>
      </c>
      <c r="K50" s="117">
        <f t="shared" si="11"/>
        <v>5923</v>
      </c>
    </row>
    <row r="51" spans="1:11">
      <c r="A51" s="27"/>
      <c r="B51" s="28" t="s">
        <v>144</v>
      </c>
      <c r="C51" s="70"/>
      <c r="F51" s="135"/>
      <c r="G51" s="135">
        <f>G50*G52</f>
        <v>230.99699999999999</v>
      </c>
      <c r="H51" s="135">
        <f t="shared" ref="H51:K51" si="12">H50*H52</f>
        <v>230.99699999999999</v>
      </c>
      <c r="I51" s="135">
        <f t="shared" si="12"/>
        <v>230.99699999999999</v>
      </c>
      <c r="J51" s="135">
        <f t="shared" si="12"/>
        <v>230.99699999999999</v>
      </c>
      <c r="K51" s="135">
        <f t="shared" si="12"/>
        <v>230.99699999999999</v>
      </c>
    </row>
    <row r="52" spans="1:11">
      <c r="A52" s="27"/>
      <c r="B52" s="27"/>
      <c r="C52" s="70" t="s">
        <v>146</v>
      </c>
      <c r="G52" s="137">
        <v>3.9E-2</v>
      </c>
      <c r="H52" s="137">
        <v>3.9E-2</v>
      </c>
      <c r="I52" s="137">
        <v>3.9E-2</v>
      </c>
      <c r="J52" s="137">
        <v>3.9E-2</v>
      </c>
      <c r="K52" s="137">
        <v>3.9E-2</v>
      </c>
    </row>
    <row r="53" spans="1:11">
      <c r="A53" s="27"/>
      <c r="B53" s="27"/>
      <c r="C53" s="70"/>
    </row>
    <row r="54" spans="1:11">
      <c r="A54" s="28"/>
      <c r="B54" s="27" t="s">
        <v>134</v>
      </c>
      <c r="C54" s="31"/>
      <c r="E54" s="10"/>
      <c r="F54" s="134"/>
      <c r="G54" s="134"/>
      <c r="H54" s="134"/>
      <c r="I54" s="134"/>
      <c r="J54" s="134"/>
      <c r="K54" s="134"/>
    </row>
    <row r="55" spans="1:11">
      <c r="A55" s="28"/>
      <c r="B55" s="27"/>
      <c r="C55" s="31"/>
    </row>
    <row r="56" spans="1:11">
      <c r="A56" s="28"/>
      <c r="B56" s="27" t="s">
        <v>135</v>
      </c>
      <c r="C56" s="31"/>
      <c r="E56" s="10"/>
      <c r="G56" s="524">
        <f>G51+G43+G35+G27</f>
        <v>2295.395</v>
      </c>
      <c r="H56" s="524">
        <f t="shared" ref="H56:K56" si="13">H51+H43+H35+H27</f>
        <v>1861.1820000000002</v>
      </c>
      <c r="I56" s="524">
        <f t="shared" si="13"/>
        <v>2228.5929999999998</v>
      </c>
      <c r="J56" s="524">
        <f t="shared" si="13"/>
        <v>2061.5880000000002</v>
      </c>
      <c r="K56" s="524">
        <f t="shared" si="13"/>
        <v>2428.9990000000003</v>
      </c>
    </row>
    <row r="57" spans="1:11">
      <c r="A57" s="28"/>
      <c r="B57" s="27"/>
      <c r="C57" s="31"/>
      <c r="F57" s="8"/>
    </row>
    <row r="58" spans="1:11">
      <c r="A58" s="28"/>
      <c r="B58" s="27" t="s">
        <v>136</v>
      </c>
      <c r="C58" s="31"/>
      <c r="F58" s="133">
        <f>'Balance Sheet'!E11</f>
        <v>9037</v>
      </c>
      <c r="G58" s="133">
        <f ca="1">'Balance Sheet'!F11</f>
        <v>25805.901729128618</v>
      </c>
      <c r="H58" s="133">
        <f ca="1">'Balance Sheet'!G11</f>
        <v>41385.988152775448</v>
      </c>
      <c r="I58" s="133">
        <f ca="1">'Balance Sheet'!H11</f>
        <v>59181.279963637586</v>
      </c>
      <c r="J58" s="133">
        <f ca="1">'Balance Sheet'!I11</f>
        <v>79418.408456321835</v>
      </c>
      <c r="K58" s="133">
        <f ca="1">'Balance Sheet'!J11</f>
        <v>99385.909309067982</v>
      </c>
    </row>
    <row r="59" spans="1:11">
      <c r="A59" s="28"/>
      <c r="B59" s="28" t="s">
        <v>27</v>
      </c>
      <c r="C59" s="71"/>
      <c r="G59" s="114">
        <f ca="1">G60*AVERAGE(G58,G10)</f>
        <v>731.70093631170096</v>
      </c>
      <c r="H59" s="114">
        <f t="shared" ref="H59:K59" ca="1" si="14">H60*AVERAGE(H58,H10)</f>
        <v>1411.0296875199854</v>
      </c>
      <c r="I59" s="114">
        <f t="shared" ca="1" si="14"/>
        <v>2111.9126304446745</v>
      </c>
      <c r="J59" s="114">
        <f t="shared" ca="1" si="14"/>
        <v>2910.5934568191547</v>
      </c>
      <c r="K59" s="114">
        <f t="shared" ca="1" si="14"/>
        <v>3754.8906730734002</v>
      </c>
    </row>
    <row r="60" spans="1:11">
      <c r="A60" s="28"/>
      <c r="B60" s="28"/>
      <c r="C60" s="72" t="s">
        <v>137</v>
      </c>
      <c r="G60" s="137">
        <v>4.2000000000000003E-2</v>
      </c>
      <c r="H60" s="137">
        <v>4.2000000000000003E-2</v>
      </c>
      <c r="I60" s="137">
        <v>4.2000000000000003E-2</v>
      </c>
      <c r="J60" s="137">
        <v>4.2000000000000003E-2</v>
      </c>
      <c r="K60" s="137">
        <v>4.2000000000000003E-2</v>
      </c>
    </row>
    <row r="61" spans="1:11" s="4" customFormat="1" ht="15" thickBot="1">
      <c r="B61" s="33" t="s">
        <v>112</v>
      </c>
      <c r="C61" s="15"/>
      <c r="G61" s="46" t="str">
        <f ca="1">IF(ROUND(G58-'Balance Sheet'!F11,1)=0, "Y", "N")</f>
        <v>Y</v>
      </c>
      <c r="H61" s="46" t="str">
        <f ca="1">IF(ROUND(H58-'Balance Sheet'!G11,1)=0, "Y", "N")</f>
        <v>Y</v>
      </c>
      <c r="I61" s="46" t="str">
        <f ca="1">IF(ROUND(I58-'Balance Sheet'!H11,1)=0, "Y", "N")</f>
        <v>Y</v>
      </c>
      <c r="J61" s="46" t="str">
        <f ca="1">IF(ROUND(J58-'Balance Sheet'!I11,1)=0, "Y", "N")</f>
        <v>Y</v>
      </c>
      <c r="K61" s="46" t="str">
        <f ca="1">IF(ROUND(K58-'Balance Sheet'!J11,1)=0, "Y", "N")</f>
        <v>Y</v>
      </c>
    </row>
    <row r="62" spans="1:11" ht="15" thickTop="1"/>
    <row r="67" spans="7:10">
      <c r="G67" s="136"/>
    </row>
    <row r="68" spans="7:10">
      <c r="G68" s="136"/>
    </row>
    <row r="69" spans="7:10">
      <c r="G69" s="136"/>
    </row>
    <row r="70" spans="7:10">
      <c r="G70" s="136"/>
    </row>
    <row r="71" spans="7:10">
      <c r="G71" s="136"/>
    </row>
    <row r="72" spans="7:10">
      <c r="G72" s="136"/>
    </row>
    <row r="73" spans="7:10">
      <c r="J73" s="139"/>
    </row>
    <row r="75" spans="7:10">
      <c r="J75" s="140"/>
    </row>
  </sheetData>
  <mergeCells count="3">
    <mergeCell ref="C1:C2"/>
    <mergeCell ref="D6:F6"/>
    <mergeCell ref="G6:K6"/>
  </mergeCells>
  <conditionalFormatting sqref="G61:K61">
    <cfRule type="containsText" dxfId="19" priority="1" operator="containsText" text="N">
      <formula>NOT(ISERROR(SEARCH("N",G61)))</formula>
    </cfRule>
    <cfRule type="containsText" dxfId="18" priority="2" operator="containsText" text="Y">
      <formula>NOT(ISERROR(SEARCH("Y",G61)))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7740-0218-4344-B37F-D8107DAFC400}">
  <sheetPr>
    <tabColor theme="1" tint="4.9989318521683403E-2"/>
  </sheetPr>
  <dimension ref="A1:E7"/>
  <sheetViews>
    <sheetView showGridLines="0" workbookViewId="0">
      <selection activeCell="E3" sqref="E3:E4"/>
    </sheetView>
  </sheetViews>
  <sheetFormatPr defaultRowHeight="14.4"/>
  <cols>
    <col min="5" max="5" width="8.77734375" bestFit="1" customWidth="1"/>
  </cols>
  <sheetData>
    <row r="1" spans="1:5">
      <c r="A1" s="139" t="s">
        <v>306</v>
      </c>
    </row>
    <row r="3" spans="1:5">
      <c r="E3" s="530"/>
    </row>
    <row r="4" spans="1:5">
      <c r="E4" s="531"/>
    </row>
    <row r="7" spans="1:5">
      <c r="A7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120A-44FB-4E79-AAFD-2E18C9095006}">
  <sheetPr>
    <tabColor rgb="FF4242F0"/>
  </sheetPr>
  <dimension ref="A1:N63"/>
  <sheetViews>
    <sheetView showGridLines="0" tabSelected="1" zoomScaleNormal="100" workbookViewId="0">
      <pane xSplit="3" ySplit="8" topLeftCell="D9" activePane="bottomRight" state="frozen"/>
      <selection activeCell="A7" sqref="A7"/>
      <selection pane="topRight" activeCell="A7" sqref="A7"/>
      <selection pane="bottomLeft" activeCell="A7" sqref="A7"/>
      <selection pane="bottomRight" activeCell="O49" sqref="O49"/>
    </sheetView>
  </sheetViews>
  <sheetFormatPr defaultRowHeight="14.4"/>
  <cols>
    <col min="1" max="1" width="2.109375" customWidth="1"/>
    <col min="2" max="2" width="2.44140625" customWidth="1"/>
    <col min="3" max="3" width="32" customWidth="1"/>
    <col min="5" max="5" width="8.77734375" bestFit="1" customWidth="1"/>
    <col min="7" max="7" width="9.88671875" customWidth="1"/>
    <col min="8" max="8" width="10" bestFit="1" customWidth="1"/>
    <col min="9" max="9" width="12.44140625" bestFit="1" customWidth="1"/>
    <col min="10" max="10" width="10" bestFit="1" customWidth="1"/>
    <col min="11" max="11" width="11.109375" customWidth="1"/>
    <col min="12" max="12" width="10.44140625" bestFit="1" customWidth="1"/>
    <col min="13" max="13" width="3.88671875" customWidth="1"/>
    <col min="257" max="257" width="2.109375" customWidth="1"/>
    <col min="258" max="258" width="2.44140625" customWidth="1"/>
    <col min="259" max="259" width="40.88671875" customWidth="1"/>
    <col min="261" max="261" width="8.5546875" bestFit="1" customWidth="1"/>
    <col min="513" max="513" width="2.109375" customWidth="1"/>
    <col min="514" max="514" width="2.44140625" customWidth="1"/>
    <col min="515" max="515" width="40.88671875" customWidth="1"/>
    <col min="517" max="517" width="8.5546875" bestFit="1" customWidth="1"/>
    <col min="769" max="769" width="2.109375" customWidth="1"/>
    <col min="770" max="770" width="2.44140625" customWidth="1"/>
    <col min="771" max="771" width="40.88671875" customWidth="1"/>
    <col min="773" max="773" width="8.5546875" bestFit="1" customWidth="1"/>
    <col min="1025" max="1025" width="2.109375" customWidth="1"/>
    <col min="1026" max="1026" width="2.44140625" customWidth="1"/>
    <col min="1027" max="1027" width="40.88671875" customWidth="1"/>
    <col min="1029" max="1029" width="8.5546875" bestFit="1" customWidth="1"/>
    <col min="1281" max="1281" width="2.109375" customWidth="1"/>
    <col min="1282" max="1282" width="2.44140625" customWidth="1"/>
    <col min="1283" max="1283" width="40.88671875" customWidth="1"/>
    <col min="1285" max="1285" width="8.5546875" bestFit="1" customWidth="1"/>
    <col min="1537" max="1537" width="2.109375" customWidth="1"/>
    <col min="1538" max="1538" width="2.44140625" customWidth="1"/>
    <col min="1539" max="1539" width="40.88671875" customWidth="1"/>
    <col min="1541" max="1541" width="8.5546875" bestFit="1" customWidth="1"/>
    <col min="1793" max="1793" width="2.109375" customWidth="1"/>
    <col min="1794" max="1794" width="2.44140625" customWidth="1"/>
    <col min="1795" max="1795" width="40.88671875" customWidth="1"/>
    <col min="1797" max="1797" width="8.5546875" bestFit="1" customWidth="1"/>
    <col min="2049" max="2049" width="2.109375" customWidth="1"/>
    <col min="2050" max="2050" width="2.44140625" customWidth="1"/>
    <col min="2051" max="2051" width="40.88671875" customWidth="1"/>
    <col min="2053" max="2053" width="8.5546875" bestFit="1" customWidth="1"/>
    <col min="2305" max="2305" width="2.109375" customWidth="1"/>
    <col min="2306" max="2306" width="2.44140625" customWidth="1"/>
    <col min="2307" max="2307" width="40.88671875" customWidth="1"/>
    <col min="2309" max="2309" width="8.5546875" bestFit="1" customWidth="1"/>
    <col min="2561" max="2561" width="2.109375" customWidth="1"/>
    <col min="2562" max="2562" width="2.44140625" customWidth="1"/>
    <col min="2563" max="2563" width="40.88671875" customWidth="1"/>
    <col min="2565" max="2565" width="8.5546875" bestFit="1" customWidth="1"/>
    <col min="2817" max="2817" width="2.109375" customWidth="1"/>
    <col min="2818" max="2818" width="2.44140625" customWidth="1"/>
    <col min="2819" max="2819" width="40.88671875" customWidth="1"/>
    <col min="2821" max="2821" width="8.5546875" bestFit="1" customWidth="1"/>
    <col min="3073" max="3073" width="2.109375" customWidth="1"/>
    <col min="3074" max="3074" width="2.44140625" customWidth="1"/>
    <col min="3075" max="3075" width="40.88671875" customWidth="1"/>
    <col min="3077" max="3077" width="8.5546875" bestFit="1" customWidth="1"/>
    <col min="3329" max="3329" width="2.109375" customWidth="1"/>
    <col min="3330" max="3330" width="2.44140625" customWidth="1"/>
    <col min="3331" max="3331" width="40.88671875" customWidth="1"/>
    <col min="3333" max="3333" width="8.5546875" bestFit="1" customWidth="1"/>
    <col min="3585" max="3585" width="2.109375" customWidth="1"/>
    <col min="3586" max="3586" width="2.44140625" customWidth="1"/>
    <col min="3587" max="3587" width="40.88671875" customWidth="1"/>
    <col min="3589" max="3589" width="8.5546875" bestFit="1" customWidth="1"/>
    <col min="3841" max="3841" width="2.109375" customWidth="1"/>
    <col min="3842" max="3842" width="2.44140625" customWidth="1"/>
    <col min="3843" max="3843" width="40.88671875" customWidth="1"/>
    <col min="3845" max="3845" width="8.5546875" bestFit="1" customWidth="1"/>
    <col min="4097" max="4097" width="2.109375" customWidth="1"/>
    <col min="4098" max="4098" width="2.44140625" customWidth="1"/>
    <col min="4099" max="4099" width="40.88671875" customWidth="1"/>
    <col min="4101" max="4101" width="8.5546875" bestFit="1" customWidth="1"/>
    <col min="4353" max="4353" width="2.109375" customWidth="1"/>
    <col min="4354" max="4354" width="2.44140625" customWidth="1"/>
    <col min="4355" max="4355" width="40.88671875" customWidth="1"/>
    <col min="4357" max="4357" width="8.5546875" bestFit="1" customWidth="1"/>
    <col min="4609" max="4609" width="2.109375" customWidth="1"/>
    <col min="4610" max="4610" width="2.44140625" customWidth="1"/>
    <col min="4611" max="4611" width="40.88671875" customWidth="1"/>
    <col min="4613" max="4613" width="8.5546875" bestFit="1" customWidth="1"/>
    <col min="4865" max="4865" width="2.109375" customWidth="1"/>
    <col min="4866" max="4866" width="2.44140625" customWidth="1"/>
    <col min="4867" max="4867" width="40.88671875" customWidth="1"/>
    <col min="4869" max="4869" width="8.5546875" bestFit="1" customWidth="1"/>
    <col min="5121" max="5121" width="2.109375" customWidth="1"/>
    <col min="5122" max="5122" width="2.44140625" customWidth="1"/>
    <col min="5123" max="5123" width="40.88671875" customWidth="1"/>
    <col min="5125" max="5125" width="8.5546875" bestFit="1" customWidth="1"/>
    <col min="5377" max="5377" width="2.109375" customWidth="1"/>
    <col min="5378" max="5378" width="2.44140625" customWidth="1"/>
    <col min="5379" max="5379" width="40.88671875" customWidth="1"/>
    <col min="5381" max="5381" width="8.5546875" bestFit="1" customWidth="1"/>
    <col min="5633" max="5633" width="2.109375" customWidth="1"/>
    <col min="5634" max="5634" width="2.44140625" customWidth="1"/>
    <col min="5635" max="5635" width="40.88671875" customWidth="1"/>
    <col min="5637" max="5637" width="8.5546875" bestFit="1" customWidth="1"/>
    <col min="5889" max="5889" width="2.109375" customWidth="1"/>
    <col min="5890" max="5890" width="2.44140625" customWidth="1"/>
    <col min="5891" max="5891" width="40.88671875" customWidth="1"/>
    <col min="5893" max="5893" width="8.5546875" bestFit="1" customWidth="1"/>
    <col min="6145" max="6145" width="2.109375" customWidth="1"/>
    <col min="6146" max="6146" width="2.44140625" customWidth="1"/>
    <col min="6147" max="6147" width="40.88671875" customWidth="1"/>
    <col min="6149" max="6149" width="8.5546875" bestFit="1" customWidth="1"/>
    <col min="6401" max="6401" width="2.109375" customWidth="1"/>
    <col min="6402" max="6402" width="2.44140625" customWidth="1"/>
    <col min="6403" max="6403" width="40.88671875" customWidth="1"/>
    <col min="6405" max="6405" width="8.5546875" bestFit="1" customWidth="1"/>
    <col min="6657" max="6657" width="2.109375" customWidth="1"/>
    <col min="6658" max="6658" width="2.44140625" customWidth="1"/>
    <col min="6659" max="6659" width="40.88671875" customWidth="1"/>
    <col min="6661" max="6661" width="8.5546875" bestFit="1" customWidth="1"/>
    <col min="6913" max="6913" width="2.109375" customWidth="1"/>
    <col min="6914" max="6914" width="2.44140625" customWidth="1"/>
    <col min="6915" max="6915" width="40.88671875" customWidth="1"/>
    <col min="6917" max="6917" width="8.5546875" bestFit="1" customWidth="1"/>
    <col min="7169" max="7169" width="2.109375" customWidth="1"/>
    <col min="7170" max="7170" width="2.44140625" customWidth="1"/>
    <col min="7171" max="7171" width="40.88671875" customWidth="1"/>
    <col min="7173" max="7173" width="8.5546875" bestFit="1" customWidth="1"/>
    <col min="7425" max="7425" width="2.109375" customWidth="1"/>
    <col min="7426" max="7426" width="2.44140625" customWidth="1"/>
    <col min="7427" max="7427" width="40.88671875" customWidth="1"/>
    <col min="7429" max="7429" width="8.5546875" bestFit="1" customWidth="1"/>
    <col min="7681" max="7681" width="2.109375" customWidth="1"/>
    <col min="7682" max="7682" width="2.44140625" customWidth="1"/>
    <col min="7683" max="7683" width="40.88671875" customWidth="1"/>
    <col min="7685" max="7685" width="8.5546875" bestFit="1" customWidth="1"/>
    <col min="7937" max="7937" width="2.109375" customWidth="1"/>
    <col min="7938" max="7938" width="2.44140625" customWidth="1"/>
    <col min="7939" max="7939" width="40.88671875" customWidth="1"/>
    <col min="7941" max="7941" width="8.5546875" bestFit="1" customWidth="1"/>
    <col min="8193" max="8193" width="2.109375" customWidth="1"/>
    <col min="8194" max="8194" width="2.44140625" customWidth="1"/>
    <col min="8195" max="8195" width="40.88671875" customWidth="1"/>
    <col min="8197" max="8197" width="8.5546875" bestFit="1" customWidth="1"/>
    <col min="8449" max="8449" width="2.109375" customWidth="1"/>
    <col min="8450" max="8450" width="2.44140625" customWidth="1"/>
    <col min="8451" max="8451" width="40.88671875" customWidth="1"/>
    <col min="8453" max="8453" width="8.5546875" bestFit="1" customWidth="1"/>
    <col min="8705" max="8705" width="2.109375" customWidth="1"/>
    <col min="8706" max="8706" width="2.44140625" customWidth="1"/>
    <col min="8707" max="8707" width="40.88671875" customWidth="1"/>
    <col min="8709" max="8709" width="8.5546875" bestFit="1" customWidth="1"/>
    <col min="8961" max="8961" width="2.109375" customWidth="1"/>
    <col min="8962" max="8962" width="2.44140625" customWidth="1"/>
    <col min="8963" max="8963" width="40.88671875" customWidth="1"/>
    <col min="8965" max="8965" width="8.5546875" bestFit="1" customWidth="1"/>
    <col min="9217" max="9217" width="2.109375" customWidth="1"/>
    <col min="9218" max="9218" width="2.44140625" customWidth="1"/>
    <col min="9219" max="9219" width="40.88671875" customWidth="1"/>
    <col min="9221" max="9221" width="8.5546875" bestFit="1" customWidth="1"/>
    <col min="9473" max="9473" width="2.109375" customWidth="1"/>
    <col min="9474" max="9474" width="2.44140625" customWidth="1"/>
    <col min="9475" max="9475" width="40.88671875" customWidth="1"/>
    <col min="9477" max="9477" width="8.5546875" bestFit="1" customWidth="1"/>
    <col min="9729" max="9729" width="2.109375" customWidth="1"/>
    <col min="9730" max="9730" width="2.44140625" customWidth="1"/>
    <col min="9731" max="9731" width="40.88671875" customWidth="1"/>
    <col min="9733" max="9733" width="8.5546875" bestFit="1" customWidth="1"/>
    <col min="9985" max="9985" width="2.109375" customWidth="1"/>
    <col min="9986" max="9986" width="2.44140625" customWidth="1"/>
    <col min="9987" max="9987" width="40.88671875" customWidth="1"/>
    <col min="9989" max="9989" width="8.5546875" bestFit="1" customWidth="1"/>
    <col min="10241" max="10241" width="2.109375" customWidth="1"/>
    <col min="10242" max="10242" width="2.44140625" customWidth="1"/>
    <col min="10243" max="10243" width="40.88671875" customWidth="1"/>
    <col min="10245" max="10245" width="8.5546875" bestFit="1" customWidth="1"/>
    <col min="10497" max="10497" width="2.109375" customWidth="1"/>
    <col min="10498" max="10498" width="2.44140625" customWidth="1"/>
    <col min="10499" max="10499" width="40.88671875" customWidth="1"/>
    <col min="10501" max="10501" width="8.5546875" bestFit="1" customWidth="1"/>
    <col min="10753" max="10753" width="2.109375" customWidth="1"/>
    <col min="10754" max="10754" width="2.44140625" customWidth="1"/>
    <col min="10755" max="10755" width="40.88671875" customWidth="1"/>
    <col min="10757" max="10757" width="8.5546875" bestFit="1" customWidth="1"/>
    <col min="11009" max="11009" width="2.109375" customWidth="1"/>
    <col min="11010" max="11010" width="2.44140625" customWidth="1"/>
    <col min="11011" max="11011" width="40.88671875" customWidth="1"/>
    <col min="11013" max="11013" width="8.5546875" bestFit="1" customWidth="1"/>
    <col min="11265" max="11265" width="2.109375" customWidth="1"/>
    <col min="11266" max="11266" width="2.44140625" customWidth="1"/>
    <col min="11267" max="11267" width="40.88671875" customWidth="1"/>
    <col min="11269" max="11269" width="8.5546875" bestFit="1" customWidth="1"/>
    <col min="11521" max="11521" width="2.109375" customWidth="1"/>
    <col min="11522" max="11522" width="2.44140625" customWidth="1"/>
    <col min="11523" max="11523" width="40.88671875" customWidth="1"/>
    <col min="11525" max="11525" width="8.5546875" bestFit="1" customWidth="1"/>
    <col min="11777" max="11777" width="2.109375" customWidth="1"/>
    <col min="11778" max="11778" width="2.44140625" customWidth="1"/>
    <col min="11779" max="11779" width="40.88671875" customWidth="1"/>
    <col min="11781" max="11781" width="8.5546875" bestFit="1" customWidth="1"/>
    <col min="12033" max="12033" width="2.109375" customWidth="1"/>
    <col min="12034" max="12034" width="2.44140625" customWidth="1"/>
    <col min="12035" max="12035" width="40.88671875" customWidth="1"/>
    <col min="12037" max="12037" width="8.5546875" bestFit="1" customWidth="1"/>
    <col min="12289" max="12289" width="2.109375" customWidth="1"/>
    <col min="12290" max="12290" width="2.44140625" customWidth="1"/>
    <col min="12291" max="12291" width="40.88671875" customWidth="1"/>
    <col min="12293" max="12293" width="8.5546875" bestFit="1" customWidth="1"/>
    <col min="12545" max="12545" width="2.109375" customWidth="1"/>
    <col min="12546" max="12546" width="2.44140625" customWidth="1"/>
    <col min="12547" max="12547" width="40.88671875" customWidth="1"/>
    <col min="12549" max="12549" width="8.5546875" bestFit="1" customWidth="1"/>
    <col min="12801" max="12801" width="2.109375" customWidth="1"/>
    <col min="12802" max="12802" width="2.44140625" customWidth="1"/>
    <col min="12803" max="12803" width="40.88671875" customWidth="1"/>
    <col min="12805" max="12805" width="8.5546875" bestFit="1" customWidth="1"/>
    <col min="13057" max="13057" width="2.109375" customWidth="1"/>
    <col min="13058" max="13058" width="2.44140625" customWidth="1"/>
    <col min="13059" max="13059" width="40.88671875" customWidth="1"/>
    <col min="13061" max="13061" width="8.5546875" bestFit="1" customWidth="1"/>
    <col min="13313" max="13313" width="2.109375" customWidth="1"/>
    <col min="13314" max="13314" width="2.44140625" customWidth="1"/>
    <col min="13315" max="13315" width="40.88671875" customWidth="1"/>
    <col min="13317" max="13317" width="8.5546875" bestFit="1" customWidth="1"/>
    <col min="13569" max="13569" width="2.109375" customWidth="1"/>
    <col min="13570" max="13570" width="2.44140625" customWidth="1"/>
    <col min="13571" max="13571" width="40.88671875" customWidth="1"/>
    <col min="13573" max="13573" width="8.5546875" bestFit="1" customWidth="1"/>
    <col min="13825" max="13825" width="2.109375" customWidth="1"/>
    <col min="13826" max="13826" width="2.44140625" customWidth="1"/>
    <col min="13827" max="13827" width="40.88671875" customWidth="1"/>
    <col min="13829" max="13829" width="8.5546875" bestFit="1" customWidth="1"/>
    <col min="14081" max="14081" width="2.109375" customWidth="1"/>
    <col min="14082" max="14082" width="2.44140625" customWidth="1"/>
    <col min="14083" max="14083" width="40.88671875" customWidth="1"/>
    <col min="14085" max="14085" width="8.5546875" bestFit="1" customWidth="1"/>
    <col min="14337" max="14337" width="2.109375" customWidth="1"/>
    <col min="14338" max="14338" width="2.44140625" customWidth="1"/>
    <col min="14339" max="14339" width="40.88671875" customWidth="1"/>
    <col min="14341" max="14341" width="8.5546875" bestFit="1" customWidth="1"/>
    <col min="14593" max="14593" width="2.109375" customWidth="1"/>
    <col min="14594" max="14594" width="2.44140625" customWidth="1"/>
    <col min="14595" max="14595" width="40.88671875" customWidth="1"/>
    <col min="14597" max="14597" width="8.5546875" bestFit="1" customWidth="1"/>
    <col min="14849" max="14849" width="2.109375" customWidth="1"/>
    <col min="14850" max="14850" width="2.44140625" customWidth="1"/>
    <col min="14851" max="14851" width="40.88671875" customWidth="1"/>
    <col min="14853" max="14853" width="8.5546875" bestFit="1" customWidth="1"/>
    <col min="15105" max="15105" width="2.109375" customWidth="1"/>
    <col min="15106" max="15106" width="2.44140625" customWidth="1"/>
    <col min="15107" max="15107" width="40.88671875" customWidth="1"/>
    <col min="15109" max="15109" width="8.5546875" bestFit="1" customWidth="1"/>
    <col min="15361" max="15361" width="2.109375" customWidth="1"/>
    <col min="15362" max="15362" width="2.44140625" customWidth="1"/>
    <col min="15363" max="15363" width="40.88671875" customWidth="1"/>
    <col min="15365" max="15365" width="8.5546875" bestFit="1" customWidth="1"/>
    <col min="15617" max="15617" width="2.109375" customWidth="1"/>
    <col min="15618" max="15618" width="2.44140625" customWidth="1"/>
    <col min="15619" max="15619" width="40.88671875" customWidth="1"/>
    <col min="15621" max="15621" width="8.5546875" bestFit="1" customWidth="1"/>
    <col min="15873" max="15873" width="2.109375" customWidth="1"/>
    <col min="15874" max="15874" width="2.44140625" customWidth="1"/>
    <col min="15875" max="15875" width="40.88671875" customWidth="1"/>
    <col min="15877" max="15877" width="8.5546875" bestFit="1" customWidth="1"/>
    <col min="16129" max="16129" width="2.109375" customWidth="1"/>
    <col min="16130" max="16130" width="2.44140625" customWidth="1"/>
    <col min="16131" max="16131" width="40.88671875" customWidth="1"/>
    <col min="16133" max="16133" width="8.5546875" bestFit="1" customWidth="1"/>
  </cols>
  <sheetData>
    <row r="1" spans="1:14" ht="15" thickBot="1">
      <c r="C1" s="480"/>
      <c r="I1" s="172"/>
    </row>
    <row r="2" spans="1:14" ht="15" thickBot="1">
      <c r="C2" s="480"/>
      <c r="D2" s="1" t="s">
        <v>0</v>
      </c>
      <c r="E2" s="467" t="s">
        <v>310</v>
      </c>
      <c r="G2" s="1" t="s">
        <v>183</v>
      </c>
      <c r="I2" s="189">
        <f>I28</f>
        <v>94.83</v>
      </c>
      <c r="J2" s="173"/>
      <c r="K2" s="1" t="s">
        <v>185</v>
      </c>
      <c r="N2" s="174">
        <f ca="1">I4/I2-1</f>
        <v>3.2687259193362461E-2</v>
      </c>
    </row>
    <row r="3" spans="1:14" ht="15" thickBot="1">
      <c r="A3" s="13" t="s">
        <v>2</v>
      </c>
      <c r="C3" s="13"/>
      <c r="D3" s="1" t="s">
        <v>3</v>
      </c>
      <c r="E3" s="468">
        <v>45809</v>
      </c>
      <c r="I3" s="171"/>
    </row>
    <row r="4" spans="1:14" ht="15" thickBot="1">
      <c r="A4" s="14" t="s">
        <v>4</v>
      </c>
      <c r="C4" s="14"/>
      <c r="D4" s="1" t="s">
        <v>5</v>
      </c>
      <c r="E4" s="467" t="s">
        <v>6</v>
      </c>
      <c r="G4" s="1" t="s">
        <v>184</v>
      </c>
      <c r="I4" s="189">
        <f ca="1">K53</f>
        <v>97.929732789251659</v>
      </c>
    </row>
    <row r="5" spans="1:14" s="4" customFormat="1" ht="15" thickBot="1">
      <c r="C5" s="15"/>
    </row>
    <row r="6" spans="1:14" s="11" customFormat="1" ht="15" thickTop="1">
      <c r="C6" s="21"/>
      <c r="D6" s="482" t="s">
        <v>7</v>
      </c>
      <c r="E6" s="482"/>
      <c r="F6" s="483"/>
      <c r="G6" s="484" t="s">
        <v>8</v>
      </c>
      <c r="H6" s="485"/>
      <c r="I6" s="485"/>
      <c r="J6" s="485"/>
      <c r="K6" s="486"/>
    </row>
    <row r="7" spans="1:14" s="12" customFormat="1">
      <c r="A7" s="17" t="s">
        <v>147</v>
      </c>
      <c r="B7" s="41"/>
      <c r="C7" s="42"/>
      <c r="D7" s="5">
        <v>2023</v>
      </c>
      <c r="E7" s="5">
        <f t="shared" ref="E7:K7" si="0">D7+1</f>
        <v>2024</v>
      </c>
      <c r="F7" s="24">
        <f t="shared" si="0"/>
        <v>2025</v>
      </c>
      <c r="G7" s="25">
        <f t="shared" si="0"/>
        <v>2026</v>
      </c>
      <c r="H7" s="6">
        <f t="shared" si="0"/>
        <v>2027</v>
      </c>
      <c r="I7" s="6">
        <f t="shared" si="0"/>
        <v>2028</v>
      </c>
      <c r="J7" s="6">
        <f t="shared" si="0"/>
        <v>2029</v>
      </c>
      <c r="K7" s="26">
        <f t="shared" si="0"/>
        <v>2030</v>
      </c>
    </row>
    <row r="8" spans="1:14" s="11" customFormat="1">
      <c r="A8" s="57"/>
      <c r="B8" s="39"/>
      <c r="C8" s="143"/>
      <c r="D8" s="58"/>
      <c r="E8" s="58"/>
      <c r="F8" s="58"/>
      <c r="G8" s="59"/>
      <c r="H8" s="59"/>
      <c r="I8" s="59"/>
      <c r="J8" s="59"/>
      <c r="K8" s="59"/>
    </row>
    <row r="9" spans="1:14" ht="10.199999999999999" customHeight="1">
      <c r="A9" s="27" t="s">
        <v>148</v>
      </c>
      <c r="B9" s="64"/>
      <c r="C9" s="66"/>
    </row>
    <row r="10" spans="1:14">
      <c r="A10" s="28"/>
      <c r="B10" s="28" t="s">
        <v>23</v>
      </c>
      <c r="C10" s="31"/>
      <c r="G10" s="114">
        <f>'Income Statement'!G36</f>
        <v>38863.883277757384</v>
      </c>
      <c r="H10" s="114">
        <f>'Income Statement'!H36</f>
        <v>39960.596706534503</v>
      </c>
      <c r="I10" s="114">
        <f>'Income Statement'!I36</f>
        <v>40944.55064238343</v>
      </c>
      <c r="J10" s="114">
        <f>'Income Statement'!J36</f>
        <v>41939.890916399519</v>
      </c>
      <c r="K10" s="114">
        <f>'Income Statement'!K36</f>
        <v>43066.403643654696</v>
      </c>
    </row>
    <row r="11" spans="1:14">
      <c r="A11" s="28"/>
      <c r="B11" s="28" t="s">
        <v>149</v>
      </c>
      <c r="C11" s="31"/>
      <c r="G11" s="114">
        <f>'Income Statement'!G33</f>
        <v>7112.6696802674269</v>
      </c>
      <c r="H11" s="114">
        <f>'Income Statement'!H33</f>
        <v>8329.4909762227326</v>
      </c>
      <c r="I11" s="114">
        <f>'Income Statement'!I33</f>
        <v>9615.4927499997684</v>
      </c>
      <c r="J11" s="114">
        <f>'Income Statement'!J33</f>
        <v>10934.564443825066</v>
      </c>
      <c r="K11" s="114">
        <f>'Income Statement'!K33</f>
        <v>12330.199465084728</v>
      </c>
    </row>
    <row r="12" spans="1:14">
      <c r="A12" s="28"/>
      <c r="B12" s="28" t="s">
        <v>187</v>
      </c>
      <c r="C12" s="31"/>
      <c r="G12" s="114">
        <f>'Cashflow Statement'!G15</f>
        <v>-120.33333333333333</v>
      </c>
      <c r="H12" s="114">
        <f>'Cashflow Statement'!H15</f>
        <v>-310.11111111111114</v>
      </c>
      <c r="I12" s="114">
        <f>'Cashflow Statement'!I15</f>
        <v>-355.14814814814821</v>
      </c>
      <c r="J12" s="114">
        <f>'Cashflow Statement'!J15</f>
        <v>-261.8641975308642</v>
      </c>
      <c r="K12" s="114">
        <f>'Cashflow Statement'!K15</f>
        <v>-309.0411522633745</v>
      </c>
    </row>
    <row r="13" spans="1:14">
      <c r="A13" s="28"/>
      <c r="B13" s="28" t="s">
        <v>150</v>
      </c>
      <c r="C13" s="31"/>
      <c r="G13" s="114">
        <v>0</v>
      </c>
      <c r="H13" s="114">
        <v>0</v>
      </c>
      <c r="I13" s="114">
        <v>0</v>
      </c>
      <c r="J13" s="114">
        <v>0</v>
      </c>
      <c r="K13" s="114">
        <v>0</v>
      </c>
    </row>
    <row r="14" spans="1:14">
      <c r="A14" s="28"/>
      <c r="B14" s="28" t="s">
        <v>151</v>
      </c>
      <c r="C14" s="31"/>
      <c r="G14" s="114">
        <f>OWC!G27</f>
        <v>-1594.8295084284764</v>
      </c>
      <c r="H14" s="114">
        <f>OWC!H27</f>
        <v>-1167.211406338276</v>
      </c>
      <c r="I14" s="114">
        <f>OWC!I27</f>
        <v>-1145.2251690168923</v>
      </c>
      <c r="J14" s="114">
        <f>OWC!J27</f>
        <v>-1167.6539880518976</v>
      </c>
      <c r="K14" s="114">
        <f>OWC!K27</f>
        <v>-1272.4596648867591</v>
      </c>
    </row>
    <row r="15" spans="1:14">
      <c r="A15" s="28"/>
      <c r="B15" s="28" t="s">
        <v>152</v>
      </c>
      <c r="C15" s="31"/>
      <c r="G15" s="114">
        <f>'Cashflow Statement'!G26+'Cashflow Statement'!G31</f>
        <v>-23182.393605348534</v>
      </c>
      <c r="H15" s="114">
        <f>'Cashflow Statement'!H26+'Cashflow Statement'!H31</f>
        <v>-25258.425919106114</v>
      </c>
      <c r="I15" s="114">
        <f>'Cashflow Statement'!I26+'Cashflow Statement'!I31</f>
        <v>-26642.035475540699</v>
      </c>
      <c r="J15" s="114">
        <f>'Cashflow Statement'!J26+'Cashflow Statement'!J31</f>
        <v>-27303.433876505929</v>
      </c>
      <c r="K15" s="114">
        <f>'Cashflow Statement'!K26+'Cashflow Statement'!K31</f>
        <v>-28834.700425193256</v>
      </c>
    </row>
    <row r="16" spans="1:14">
      <c r="A16" s="28"/>
      <c r="B16" s="28" t="s">
        <v>153</v>
      </c>
      <c r="C16" s="31"/>
      <c r="G16" s="114">
        <f ca="1">'Income Statement'!G51</f>
        <v>7510.0597349545069</v>
      </c>
      <c r="H16" s="114">
        <f ca="1">'Income Statement'!H51</f>
        <v>7661.5233227514418</v>
      </c>
      <c r="I16" s="114">
        <f ca="1">'Income Statement'!I51</f>
        <v>8407.112757293904</v>
      </c>
      <c r="J16" s="114">
        <f ca="1">'Income Statement'!J51</f>
        <v>8662.6882383759894</v>
      </c>
      <c r="K16" s="114">
        <f ca="1">'Income Statement'!K51</f>
        <v>8686.7120165134984</v>
      </c>
    </row>
    <row r="17" spans="1:12">
      <c r="A17" s="27" t="s">
        <v>154</v>
      </c>
      <c r="B17" s="35"/>
      <c r="C17" s="30"/>
      <c r="E17" s="8"/>
      <c r="F17" s="8"/>
      <c r="G17" s="117">
        <f ca="1">SUM(G10:G16)</f>
        <v>28589.056245868971</v>
      </c>
      <c r="H17" s="117">
        <f t="shared" ref="H17:K17" ca="1" si="1">SUM(H10:H16)</f>
        <v>29215.862568953176</v>
      </c>
      <c r="I17" s="117">
        <f t="shared" ca="1" si="1"/>
        <v>30824.747356971369</v>
      </c>
      <c r="J17" s="117">
        <f t="shared" ca="1" si="1"/>
        <v>32804.191536511884</v>
      </c>
      <c r="K17" s="117">
        <f t="shared" ca="1" si="1"/>
        <v>33667.113882909529</v>
      </c>
      <c r="L17" s="528">
        <f ca="1">SUM(G17:K17)</f>
        <v>155100.97159121491</v>
      </c>
    </row>
    <row r="18" spans="1:12">
      <c r="A18" s="28"/>
      <c r="B18" s="27"/>
      <c r="C18" s="30"/>
    </row>
    <row r="19" spans="1:12">
      <c r="A19" s="27" t="s">
        <v>155</v>
      </c>
      <c r="B19" s="28"/>
      <c r="C19" s="31"/>
      <c r="G19" s="117">
        <f ca="1">G17*G21</f>
        <v>26588.30691919415</v>
      </c>
      <c r="H19" s="117">
        <f t="shared" ref="H19:K19" ca="1" si="2">H17*H21</f>
        <v>25269.720682263825</v>
      </c>
      <c r="I19" s="117">
        <f t="shared" ca="1" si="2"/>
        <v>24795.457084826499</v>
      </c>
      <c r="J19" s="117">
        <f t="shared" ca="1" si="2"/>
        <v>24541.030550192583</v>
      </c>
      <c r="K19" s="117">
        <f t="shared" ca="1" si="2"/>
        <v>23423.954156464715</v>
      </c>
    </row>
    <row r="20" spans="1:12" ht="15" thickBot="1">
      <c r="A20" s="27"/>
      <c r="B20" s="28" t="s">
        <v>156</v>
      </c>
      <c r="C20" s="31"/>
      <c r="G20" s="74">
        <v>1</v>
      </c>
      <c r="H20" s="74">
        <f>G20+1</f>
        <v>2</v>
      </c>
      <c r="I20" s="74">
        <f t="shared" ref="I20:K20" si="3">H20+1</f>
        <v>3</v>
      </c>
      <c r="J20" s="74">
        <f t="shared" si="3"/>
        <v>4</v>
      </c>
      <c r="K20" s="74">
        <f t="shared" si="3"/>
        <v>5</v>
      </c>
    </row>
    <row r="21" spans="1:12" ht="15" thickBot="1">
      <c r="A21" s="27"/>
      <c r="B21" s="28" t="s">
        <v>157</v>
      </c>
      <c r="C21" s="31"/>
      <c r="F21" s="182">
        <f>F33</f>
        <v>7.5249218867353931E-2</v>
      </c>
      <c r="G21" s="527">
        <f>(1+$F$21)^-G20</f>
        <v>0.93001695091058056</v>
      </c>
      <c r="H21" s="527">
        <f t="shared" ref="H21:K21" si="4">(1+$F$21)^-H20</f>
        <v>0.86493152898101322</v>
      </c>
      <c r="I21" s="527">
        <f t="shared" si="4"/>
        <v>0.80440098332934828</v>
      </c>
      <c r="J21" s="527">
        <f t="shared" si="4"/>
        <v>0.74810654982543323</v>
      </c>
      <c r="K21" s="527">
        <f t="shared" si="4"/>
        <v>0.69575177242488373</v>
      </c>
    </row>
    <row r="22" spans="1:12">
      <c r="A22" s="28"/>
      <c r="B22" s="27" t="s">
        <v>158</v>
      </c>
      <c r="C22" s="67"/>
      <c r="E22" s="8"/>
      <c r="F22" s="133"/>
      <c r="G22" s="117"/>
      <c r="H22" s="117"/>
      <c r="I22" s="117"/>
      <c r="J22" s="117"/>
      <c r="K22" s="117"/>
    </row>
    <row r="23" spans="1:12">
      <c r="A23" s="27"/>
      <c r="B23" s="28"/>
      <c r="C23" s="69"/>
    </row>
    <row r="24" spans="1:12">
      <c r="A24" s="27"/>
      <c r="B24" s="28"/>
      <c r="C24" s="69"/>
    </row>
    <row r="25" spans="1:12" ht="15" thickBot="1">
      <c r="A25" s="27"/>
      <c r="B25" s="28"/>
      <c r="C25" s="69"/>
    </row>
    <row r="26" spans="1:12" ht="15" thickBot="1">
      <c r="A26" s="27"/>
      <c r="B26" s="28"/>
      <c r="C26" s="141"/>
      <c r="D26" s="144" t="s">
        <v>159</v>
      </c>
      <c r="E26" s="145"/>
      <c r="F26" s="146"/>
      <c r="G26" s="145"/>
      <c r="H26" s="145"/>
      <c r="I26" s="147"/>
      <c r="J26" s="73"/>
      <c r="K26" s="73"/>
    </row>
    <row r="27" spans="1:12">
      <c r="A27" s="27"/>
      <c r="B27" s="28"/>
      <c r="C27" s="141"/>
      <c r="D27" s="148" t="s">
        <v>160</v>
      </c>
      <c r="E27" s="73"/>
      <c r="F27" s="176">
        <v>4.8399999999999999E-2</v>
      </c>
      <c r="G27" s="150" t="s">
        <v>345</v>
      </c>
      <c r="H27" s="73"/>
      <c r="I27" s="179">
        <f>'Balance Sheet'!E27+'Balance Sheet'!E31+'Balance Sheet'!E35+'Balance Sheet'!E36+'Balance Sheet'!E37</f>
        <v>60114</v>
      </c>
      <c r="J27" s="73"/>
      <c r="K27" s="73"/>
    </row>
    <row r="28" spans="1:12">
      <c r="A28" s="27"/>
      <c r="B28" s="28"/>
      <c r="C28" s="141"/>
      <c r="D28" s="148" t="s">
        <v>181</v>
      </c>
      <c r="E28" s="73"/>
      <c r="F28" s="176">
        <v>4.3299999999999998E-2</v>
      </c>
      <c r="G28" s="73" t="s">
        <v>164</v>
      </c>
      <c r="H28" s="73"/>
      <c r="I28" s="177">
        <v>94.83</v>
      </c>
      <c r="J28" s="73"/>
      <c r="K28" s="73"/>
    </row>
    <row r="29" spans="1:12">
      <c r="A29" s="27"/>
      <c r="B29" s="28"/>
      <c r="C29" s="141"/>
      <c r="D29" s="148" t="s">
        <v>161</v>
      </c>
      <c r="E29" s="73"/>
      <c r="F29" s="177">
        <v>0.69</v>
      </c>
      <c r="G29" s="73" t="s">
        <v>165</v>
      </c>
      <c r="H29" s="73"/>
      <c r="I29" s="179">
        <f>'Income Statement'!G73</f>
        <v>8055</v>
      </c>
      <c r="J29" s="73"/>
      <c r="K29" s="73"/>
    </row>
    <row r="30" spans="1:12">
      <c r="A30" s="27"/>
      <c r="B30" s="28"/>
      <c r="C30" s="141"/>
      <c r="D30" s="151" t="s">
        <v>186</v>
      </c>
      <c r="E30" s="73"/>
      <c r="F30" s="178">
        <f>F27+(F29*(F28))</f>
        <v>7.8276999999999999E-2</v>
      </c>
      <c r="G30" s="150" t="s">
        <v>166</v>
      </c>
      <c r="H30" s="73"/>
      <c r="I30" s="180">
        <f>I28*I29</f>
        <v>763855.65</v>
      </c>
      <c r="J30" s="73"/>
      <c r="K30" s="73"/>
    </row>
    <row r="31" spans="1:12">
      <c r="A31" s="27"/>
      <c r="B31" s="28"/>
      <c r="C31" s="141"/>
      <c r="D31" s="151" t="s">
        <v>162</v>
      </c>
      <c r="E31" s="73"/>
      <c r="F31" s="175">
        <v>4.8000000000000001E-2</v>
      </c>
      <c r="G31" s="73"/>
      <c r="H31" s="73"/>
      <c r="I31" s="149"/>
      <c r="J31" s="73"/>
      <c r="K31" s="73"/>
    </row>
    <row r="32" spans="1:12">
      <c r="A32" s="27"/>
      <c r="B32" s="28"/>
      <c r="C32" s="141"/>
      <c r="D32" s="148"/>
      <c r="E32" s="73"/>
      <c r="F32" s="526"/>
      <c r="G32" s="73"/>
      <c r="H32" s="73"/>
      <c r="I32" s="149"/>
      <c r="J32" s="73"/>
      <c r="K32" s="73"/>
    </row>
    <row r="33" spans="1:12" ht="15" thickBot="1">
      <c r="A33" s="27"/>
      <c r="B33" s="28"/>
      <c r="C33" s="141"/>
      <c r="D33" s="152" t="s">
        <v>163</v>
      </c>
      <c r="E33" s="153"/>
      <c r="F33" s="181">
        <f>F31*(1-'Income Statement'!F52)*'DCF Analysis'!I27/('DCF Analysis'!I30+'DCF Analysis'!I27)+'DCF Analysis'!F30*'DCF Analysis'!I30/('DCF Analysis'!I27+'DCF Analysis'!I30)</f>
        <v>7.5249218867353931E-2</v>
      </c>
      <c r="G33" s="153"/>
      <c r="H33" s="153"/>
      <c r="I33" s="154"/>
      <c r="J33" s="73"/>
      <c r="K33" s="73"/>
    </row>
    <row r="34" spans="1:12" ht="15" thickBot="1">
      <c r="A34" s="27"/>
      <c r="B34" s="28"/>
      <c r="C34" s="69"/>
      <c r="D34" s="150"/>
      <c r="E34" s="73"/>
      <c r="F34" s="73"/>
      <c r="G34" s="73"/>
      <c r="H34" s="73"/>
      <c r="I34" s="73"/>
      <c r="J34" s="73"/>
      <c r="K34" s="73"/>
    </row>
    <row r="35" spans="1:12" ht="15" thickBot="1">
      <c r="A35" s="27"/>
      <c r="B35" s="28"/>
      <c r="C35" s="141"/>
      <c r="D35" s="144" t="s">
        <v>167</v>
      </c>
      <c r="E35" s="145"/>
      <c r="F35" s="145"/>
      <c r="G35" s="145"/>
      <c r="H35" s="155"/>
      <c r="I35" s="156"/>
      <c r="J35" s="73"/>
      <c r="K35" s="73"/>
    </row>
    <row r="36" spans="1:12" ht="15" thickBot="1">
      <c r="A36" s="27"/>
      <c r="B36" s="28"/>
      <c r="C36" s="141"/>
      <c r="D36" s="148" t="s">
        <v>173</v>
      </c>
      <c r="E36" s="73"/>
      <c r="F36" s="73"/>
      <c r="G36" s="73"/>
      <c r="H36" s="148"/>
      <c r="I36" s="183">
        <f>'Income Statement'!K30</f>
        <v>55396.603108739422</v>
      </c>
      <c r="J36" s="73"/>
      <c r="K36" s="73"/>
    </row>
    <row r="37" spans="1:12" ht="15" thickBot="1">
      <c r="A37" s="27"/>
      <c r="B37" s="28"/>
      <c r="C37" s="141"/>
      <c r="D37" s="148" t="s">
        <v>174</v>
      </c>
      <c r="E37" s="73"/>
      <c r="F37" s="73"/>
      <c r="G37" s="73"/>
      <c r="H37" s="148"/>
      <c r="I37" s="184">
        <f>('DCF Analysis'!I30+'DCF Analysis'!I27+'Balance Sheet'!E47+'Balance Sheet'!E43-'Balance Sheet'!E11)/'Income Statement'!F30</f>
        <v>19.407401762718273</v>
      </c>
      <c r="J37" s="73"/>
      <c r="K37" s="73"/>
      <c r="L37" s="455"/>
    </row>
    <row r="38" spans="1:12">
      <c r="A38" s="27"/>
      <c r="B38" s="28"/>
      <c r="C38" s="141"/>
      <c r="D38" s="148" t="s">
        <v>171</v>
      </c>
      <c r="E38" s="73"/>
      <c r="F38" s="73"/>
      <c r="G38" s="73"/>
      <c r="H38" s="148"/>
      <c r="I38" s="183">
        <f>I36*I37</f>
        <v>1075104.1328211541</v>
      </c>
      <c r="J38" s="73"/>
      <c r="K38" s="73"/>
      <c r="L38" s="455"/>
    </row>
    <row r="39" spans="1:12" ht="15" thickBot="1">
      <c r="A39" s="27"/>
      <c r="B39" s="28"/>
      <c r="C39" s="141"/>
      <c r="D39" s="152" t="s">
        <v>175</v>
      </c>
      <c r="E39" s="73"/>
      <c r="F39" s="73"/>
      <c r="G39" s="73"/>
      <c r="H39" s="148"/>
      <c r="I39" s="185">
        <f>I38*K21</f>
        <v>748005.60595163552</v>
      </c>
      <c r="J39" s="73"/>
      <c r="K39" s="73"/>
    </row>
    <row r="40" spans="1:12" ht="15" thickBot="1">
      <c r="A40" s="27"/>
      <c r="B40" s="28"/>
      <c r="C40" s="141"/>
      <c r="D40" s="144" t="s">
        <v>168</v>
      </c>
      <c r="E40" s="145"/>
      <c r="F40" s="145"/>
      <c r="G40" s="145"/>
      <c r="H40" s="155"/>
      <c r="I40" s="156"/>
      <c r="J40" s="73"/>
      <c r="K40" s="73"/>
    </row>
    <row r="41" spans="1:12" ht="15" thickBot="1">
      <c r="A41" s="27"/>
      <c r="B41" s="28"/>
      <c r="C41" s="141"/>
      <c r="D41" s="148" t="s">
        <v>169</v>
      </c>
      <c r="E41" s="73"/>
      <c r="F41" s="73"/>
      <c r="G41" s="73"/>
      <c r="H41" s="148"/>
      <c r="I41" s="186">
        <f ca="1">K17</f>
        <v>33667.113882909529</v>
      </c>
      <c r="J41" s="73"/>
      <c r="K41" s="73"/>
    </row>
    <row r="42" spans="1:12" ht="15" thickBot="1">
      <c r="A42" s="27"/>
      <c r="B42" s="28"/>
      <c r="C42" s="141"/>
      <c r="D42" s="148" t="s">
        <v>170</v>
      </c>
      <c r="E42" s="73"/>
      <c r="F42" s="73"/>
      <c r="G42" s="73"/>
      <c r="H42" s="148"/>
      <c r="I42" s="187">
        <v>0.04</v>
      </c>
      <c r="J42" s="73"/>
      <c r="K42" s="73"/>
    </row>
    <row r="43" spans="1:12">
      <c r="A43" s="27"/>
      <c r="B43" s="28"/>
      <c r="C43" s="141"/>
      <c r="D43" s="148" t="s">
        <v>171</v>
      </c>
      <c r="E43" s="73"/>
      <c r="F43" s="73"/>
      <c r="G43" s="73"/>
      <c r="H43" s="148"/>
      <c r="I43" s="183">
        <f ca="1">I41*(1+I42)/(F33-I42)</f>
        <v>993321.25826634828</v>
      </c>
      <c r="J43" s="73"/>
      <c r="K43" s="73"/>
    </row>
    <row r="44" spans="1:12" ht="15" thickBot="1">
      <c r="A44" s="27"/>
      <c r="B44" s="28"/>
      <c r="C44" s="141"/>
      <c r="D44" s="152" t="s">
        <v>172</v>
      </c>
      <c r="E44" s="153"/>
      <c r="F44" s="153"/>
      <c r="G44" s="153"/>
      <c r="H44" s="157"/>
      <c r="I44" s="188">
        <f ca="1">I43*K21</f>
        <v>691105.02602612751</v>
      </c>
      <c r="J44" s="73"/>
      <c r="K44" s="73"/>
    </row>
    <row r="45" spans="1:12" ht="15" thickBot="1">
      <c r="A45" s="27"/>
      <c r="B45" s="28"/>
      <c r="C45" s="69"/>
      <c r="D45" s="150"/>
      <c r="E45" s="73"/>
      <c r="F45" s="73"/>
      <c r="G45" s="73"/>
      <c r="H45" s="73"/>
      <c r="I45" s="73"/>
      <c r="J45" s="73"/>
      <c r="K45" s="73"/>
    </row>
    <row r="46" spans="1:12" ht="15" thickBot="1">
      <c r="A46" s="27"/>
      <c r="B46" s="28"/>
      <c r="C46" s="141"/>
      <c r="D46" s="144"/>
      <c r="E46" s="145"/>
      <c r="F46" s="145"/>
      <c r="G46" s="145"/>
      <c r="H46" s="487" t="s">
        <v>167</v>
      </c>
      <c r="I46" s="488"/>
      <c r="J46" s="489" t="s">
        <v>168</v>
      </c>
      <c r="K46" s="488"/>
    </row>
    <row r="47" spans="1:12">
      <c r="A47" s="27"/>
      <c r="B47" s="28"/>
      <c r="C47" s="141"/>
      <c r="D47" s="158" t="s">
        <v>176</v>
      </c>
      <c r="E47" s="159"/>
      <c r="F47" s="73"/>
      <c r="G47" s="73"/>
      <c r="H47" s="165"/>
      <c r="I47" s="160">
        <f ca="1">L17</f>
        <v>155100.97159121491</v>
      </c>
      <c r="K47" s="135">
        <f ca="1">L17</f>
        <v>155100.97159121491</v>
      </c>
    </row>
    <row r="48" spans="1:12">
      <c r="A48" s="27"/>
      <c r="B48" s="28"/>
      <c r="C48" s="141"/>
      <c r="D48" s="158" t="s">
        <v>177</v>
      </c>
      <c r="E48" s="159"/>
      <c r="F48" s="73"/>
      <c r="G48" s="73"/>
      <c r="H48" s="165"/>
      <c r="I48" s="160">
        <f>I39</f>
        <v>748005.60595163552</v>
      </c>
      <c r="J48" s="135"/>
      <c r="K48" s="160">
        <f ca="1">I44</f>
        <v>691105.02602612751</v>
      </c>
    </row>
    <row r="49" spans="1:11">
      <c r="A49" s="27"/>
      <c r="B49" s="28"/>
      <c r="C49" s="141"/>
      <c r="D49" s="161" t="s">
        <v>178</v>
      </c>
      <c r="E49" s="159"/>
      <c r="F49" s="73"/>
      <c r="G49" s="73"/>
      <c r="H49" s="166"/>
      <c r="I49" s="167">
        <f ca="1">SUM(I47:I48)</f>
        <v>903106.5775428504</v>
      </c>
      <c r="J49" s="133"/>
      <c r="K49" s="167">
        <f ca="1">SUM(K47:K48)</f>
        <v>846205.99761734239</v>
      </c>
    </row>
    <row r="50" spans="1:11">
      <c r="A50" s="27"/>
      <c r="B50" s="28"/>
      <c r="C50" s="141"/>
      <c r="D50" s="158" t="s">
        <v>182</v>
      </c>
      <c r="E50" s="159"/>
      <c r="F50" s="73"/>
      <c r="G50" s="73"/>
      <c r="H50" s="165"/>
      <c r="I50" s="160">
        <f>'Balance Sheet'!E27+'Balance Sheet'!E31+'Balance Sheet'!E35+'Balance Sheet'!E36+'Balance Sheet'!E37+'Balance Sheet'!E44-'Balance Sheet'!E11</f>
        <v>57382</v>
      </c>
      <c r="J50" s="135"/>
      <c r="K50" s="160">
        <f>I50</f>
        <v>57382</v>
      </c>
    </row>
    <row r="51" spans="1:11">
      <c r="A51" s="27"/>
      <c r="B51" s="28"/>
      <c r="C51" s="141"/>
      <c r="D51" s="161" t="s">
        <v>166</v>
      </c>
      <c r="E51" s="162"/>
      <c r="F51" s="73"/>
      <c r="G51" s="73"/>
      <c r="H51" s="166"/>
      <c r="I51" s="167">
        <f ca="1">I49-I50</f>
        <v>845724.5775428504</v>
      </c>
      <c r="J51" s="133"/>
      <c r="K51" s="167">
        <f ca="1">K49-K50</f>
        <v>788823.99761734239</v>
      </c>
    </row>
    <row r="52" spans="1:11">
      <c r="A52" s="27"/>
      <c r="B52" s="28"/>
      <c r="C52" s="141"/>
      <c r="D52" s="158" t="s">
        <v>179</v>
      </c>
      <c r="E52" s="159"/>
      <c r="F52" s="73"/>
      <c r="G52" s="73"/>
      <c r="H52" s="165"/>
      <c r="I52" s="160">
        <f>'Income Statement'!G73</f>
        <v>8055</v>
      </c>
      <c r="J52" s="135"/>
      <c r="K52" s="160">
        <v>8055</v>
      </c>
    </row>
    <row r="53" spans="1:11" ht="15" thickBot="1">
      <c r="A53" s="27"/>
      <c r="B53" s="28"/>
      <c r="C53" s="141"/>
      <c r="D53" s="163" t="s">
        <v>180</v>
      </c>
      <c r="E53" s="164"/>
      <c r="F53" s="153"/>
      <c r="G53" s="153"/>
      <c r="H53" s="168"/>
      <c r="I53" s="169">
        <f ca="1">I51/I52</f>
        <v>104.99374022878341</v>
      </c>
      <c r="J53" s="170"/>
      <c r="K53" s="169">
        <f ca="1">K51/K52</f>
        <v>97.929732789241768</v>
      </c>
    </row>
    <row r="54" spans="1:11">
      <c r="C54" s="13"/>
    </row>
    <row r="55" spans="1:11">
      <c r="C55" s="13"/>
    </row>
    <row r="56" spans="1:11">
      <c r="C56" s="13"/>
    </row>
    <row r="57" spans="1:11">
      <c r="C57" s="13"/>
    </row>
    <row r="58" spans="1:11">
      <c r="C58" s="13"/>
    </row>
    <row r="59" spans="1:11">
      <c r="C59" s="13"/>
    </row>
    <row r="60" spans="1:11">
      <c r="C60" s="13"/>
    </row>
    <row r="61" spans="1:11">
      <c r="C61" s="13"/>
    </row>
    <row r="62" spans="1:11" s="4" customFormat="1" ht="15" thickBot="1">
      <c r="A62" s="142"/>
      <c r="C62" s="15"/>
    </row>
    <row r="63" spans="1:11" ht="15" thickTop="1"/>
  </sheetData>
  <mergeCells count="5">
    <mergeCell ref="C1:C2"/>
    <mergeCell ref="D6:F6"/>
    <mergeCell ref="G6:K6"/>
    <mergeCell ref="H46:I46"/>
    <mergeCell ref="J46:K46"/>
  </mergeCells>
  <conditionalFormatting sqref="N2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F61E-47A2-4D83-B6B1-065420D2E33B}">
  <sheetPr>
    <tabColor rgb="FFFF1A79"/>
  </sheetPr>
  <dimension ref="B1:U45"/>
  <sheetViews>
    <sheetView showGridLines="0" topLeftCell="A6" zoomScale="90" zoomScaleNormal="90" workbookViewId="0">
      <selection activeCell="G3" sqref="G3"/>
    </sheetView>
  </sheetViews>
  <sheetFormatPr defaultRowHeight="14.4"/>
  <cols>
    <col min="1" max="1" width="1" customWidth="1"/>
    <col min="2" max="2" width="2.109375" customWidth="1"/>
    <col min="3" max="3" width="2.44140625" customWidth="1"/>
    <col min="4" max="4" width="25.109375" customWidth="1"/>
    <col min="5" max="5" width="11.77734375" customWidth="1"/>
    <col min="6" max="6" width="11.109375" customWidth="1"/>
    <col min="7" max="7" width="11.33203125" customWidth="1"/>
  </cols>
  <sheetData>
    <row r="1" spans="2:19" ht="15" thickBot="1">
      <c r="D1" s="480"/>
    </row>
    <row r="2" spans="2:19" ht="15" thickBot="1">
      <c r="D2" s="480"/>
      <c r="E2" s="1" t="s">
        <v>0</v>
      </c>
      <c r="F2" s="2"/>
      <c r="H2" s="1"/>
      <c r="J2" s="1"/>
      <c r="K2" s="1"/>
      <c r="L2" s="1"/>
      <c r="O2" s="174"/>
    </row>
    <row r="3" spans="2:19" ht="15" thickBot="1">
      <c r="B3" s="246" t="s">
        <v>222</v>
      </c>
      <c r="D3" s="13"/>
      <c r="E3" s="1" t="s">
        <v>3</v>
      </c>
      <c r="F3" s="3"/>
    </row>
    <row r="4" spans="2:19" ht="15" thickBot="1">
      <c r="B4" s="14" t="s">
        <v>223</v>
      </c>
      <c r="D4" s="14"/>
      <c r="E4" s="1" t="s">
        <v>5</v>
      </c>
      <c r="F4" s="2"/>
      <c r="H4" s="1"/>
      <c r="J4" s="1"/>
    </row>
    <row r="5" spans="2:19" ht="15" thickBot="1">
      <c r="D5" s="13"/>
      <c r="E5" s="199"/>
    </row>
    <row r="6" spans="2:19">
      <c r="B6" s="249"/>
      <c r="C6" s="250"/>
      <c r="D6" s="251"/>
      <c r="E6" s="496" t="s">
        <v>225</v>
      </c>
      <c r="F6" s="498" t="s">
        <v>226</v>
      </c>
      <c r="G6" s="498" t="s">
        <v>227</v>
      </c>
      <c r="H6" s="347"/>
      <c r="I6" s="348" t="s">
        <v>233</v>
      </c>
      <c r="J6" s="349"/>
      <c r="K6" s="347"/>
      <c r="L6" s="348" t="s">
        <v>232</v>
      </c>
      <c r="M6" s="349"/>
      <c r="N6" s="347"/>
      <c r="O6" s="348" t="s">
        <v>266</v>
      </c>
      <c r="P6" s="349"/>
      <c r="Q6" s="347"/>
      <c r="R6" s="348" t="s">
        <v>234</v>
      </c>
      <c r="S6" s="350"/>
    </row>
    <row r="7" spans="2:19" ht="15.75" customHeight="1">
      <c r="B7" s="252"/>
      <c r="C7" s="11"/>
      <c r="D7" s="253"/>
      <c r="E7" s="497"/>
      <c r="F7" s="499"/>
      <c r="G7" s="499"/>
      <c r="H7" s="192" t="s">
        <v>228</v>
      </c>
      <c r="I7" s="247" t="s">
        <v>229</v>
      </c>
      <c r="J7" s="247" t="s">
        <v>230</v>
      </c>
      <c r="K7" s="192" t="s">
        <v>228</v>
      </c>
      <c r="L7" s="247" t="s">
        <v>229</v>
      </c>
      <c r="M7" s="247" t="s">
        <v>230</v>
      </c>
      <c r="N7" s="192" t="s">
        <v>228</v>
      </c>
      <c r="O7" s="247" t="s">
        <v>229</v>
      </c>
      <c r="P7" s="247" t="s">
        <v>230</v>
      </c>
      <c r="Q7" s="192" t="s">
        <v>228</v>
      </c>
      <c r="R7" s="247" t="s">
        <v>229</v>
      </c>
      <c r="S7" s="293" t="s">
        <v>230</v>
      </c>
    </row>
    <row r="8" spans="2:19" ht="13.2" customHeight="1" thickBot="1">
      <c r="B8" s="252" t="s">
        <v>224</v>
      </c>
      <c r="C8" s="11"/>
      <c r="D8" s="253"/>
      <c r="E8" s="497"/>
      <c r="F8" s="499"/>
      <c r="G8" s="499"/>
      <c r="H8" s="256" t="s">
        <v>231</v>
      </c>
      <c r="I8" s="256" t="s">
        <v>231</v>
      </c>
      <c r="J8" s="256" t="s">
        <v>231</v>
      </c>
      <c r="K8" s="256" t="s">
        <v>231</v>
      </c>
      <c r="L8" s="256" t="s">
        <v>231</v>
      </c>
      <c r="M8" s="256" t="s">
        <v>231</v>
      </c>
      <c r="N8" s="256" t="s">
        <v>231</v>
      </c>
      <c r="O8" s="256" t="s">
        <v>231</v>
      </c>
      <c r="P8" s="256" t="s">
        <v>231</v>
      </c>
      <c r="Q8" s="256" t="s">
        <v>231</v>
      </c>
      <c r="R8" s="256" t="s">
        <v>231</v>
      </c>
      <c r="S8" s="351" t="s">
        <v>231</v>
      </c>
    </row>
    <row r="9" spans="2:19" ht="13.2" customHeight="1">
      <c r="B9" s="257"/>
      <c r="C9" s="258"/>
      <c r="D9" s="355"/>
      <c r="E9" s="304"/>
      <c r="F9" s="259"/>
      <c r="G9" s="259"/>
      <c r="H9" s="376"/>
      <c r="I9" s="260"/>
      <c r="J9" s="260"/>
      <c r="K9" s="261"/>
      <c r="L9" s="261"/>
      <c r="M9" s="261"/>
      <c r="N9" s="261"/>
      <c r="O9" s="261"/>
      <c r="P9" s="261"/>
      <c r="Q9" s="261"/>
      <c r="R9" s="261"/>
      <c r="S9" s="262"/>
    </row>
    <row r="10" spans="2:19" ht="13.2" customHeight="1">
      <c r="B10" s="263" t="s">
        <v>235</v>
      </c>
      <c r="C10" s="248"/>
      <c r="D10" s="356"/>
      <c r="E10" s="326"/>
      <c r="F10" s="327"/>
      <c r="G10" s="327"/>
      <c r="H10" s="375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4"/>
    </row>
    <row r="11" spans="2:19" ht="6.45" customHeight="1">
      <c r="B11" s="264"/>
      <c r="C11" s="28"/>
      <c r="D11" s="357"/>
      <c r="E11" s="295"/>
      <c r="F11" s="216"/>
      <c r="G11" s="216"/>
      <c r="H11" s="377"/>
      <c r="I11" s="216"/>
      <c r="S11" s="265"/>
    </row>
    <row r="12" spans="2:19" ht="15" customHeight="1">
      <c r="B12" s="266" t="s">
        <v>249</v>
      </c>
      <c r="C12" s="352"/>
      <c r="D12" s="358"/>
      <c r="E12" s="305"/>
      <c r="F12" s="254"/>
      <c r="G12" s="254"/>
      <c r="H12" s="378"/>
      <c r="I12" s="254"/>
      <c r="J12" s="353"/>
      <c r="K12" s="353"/>
      <c r="L12" s="353"/>
      <c r="M12" s="353"/>
      <c r="N12" s="353"/>
      <c r="O12" s="353"/>
      <c r="P12" s="353"/>
      <c r="Q12" s="353"/>
      <c r="R12" s="353"/>
      <c r="S12" s="267"/>
    </row>
    <row r="13" spans="2:19" ht="6.45" customHeight="1">
      <c r="B13" s="268"/>
      <c r="C13" s="9"/>
      <c r="D13" s="359"/>
      <c r="E13" s="306"/>
      <c r="F13" s="255"/>
      <c r="G13" s="255"/>
      <c r="H13" s="379"/>
      <c r="I13" s="255"/>
      <c r="S13" s="265"/>
    </row>
    <row r="14" spans="2:19" ht="14.7" customHeight="1">
      <c r="B14" s="269" t="s">
        <v>236</v>
      </c>
      <c r="C14" s="28"/>
      <c r="D14" s="357"/>
      <c r="E14" s="295"/>
      <c r="F14" s="216"/>
      <c r="G14" s="216"/>
      <c r="H14" s="380"/>
      <c r="I14" s="362"/>
      <c r="J14" s="362"/>
      <c r="K14" s="362"/>
      <c r="L14" s="362"/>
      <c r="M14" s="362"/>
      <c r="N14" s="362"/>
      <c r="O14" s="362"/>
      <c r="P14" s="362"/>
      <c r="Q14" s="362"/>
      <c r="R14" s="362"/>
      <c r="S14" s="365"/>
    </row>
    <row r="15" spans="2:19" ht="15.75" customHeight="1">
      <c r="B15" s="269" t="s">
        <v>237</v>
      </c>
      <c r="C15" s="28"/>
      <c r="D15" s="357"/>
      <c r="E15" s="295"/>
      <c r="F15" s="216"/>
      <c r="G15" s="216"/>
      <c r="H15" s="380"/>
      <c r="I15" s="362"/>
      <c r="J15" s="362"/>
      <c r="K15" s="362"/>
      <c r="L15" s="362"/>
      <c r="M15" s="362"/>
      <c r="N15" s="362"/>
      <c r="O15" s="362"/>
      <c r="P15" s="362"/>
      <c r="Q15" s="362"/>
      <c r="R15" s="362"/>
      <c r="S15" s="365"/>
    </row>
    <row r="16" spans="2:19" ht="6.45" customHeight="1">
      <c r="B16" s="269"/>
      <c r="C16" s="28"/>
      <c r="D16" s="357"/>
      <c r="E16" s="307"/>
      <c r="F16" s="212"/>
      <c r="G16" s="206"/>
      <c r="H16" s="381"/>
      <c r="I16" s="238"/>
      <c r="K16" s="386"/>
      <c r="L16" s="386"/>
      <c r="M16" s="386"/>
      <c r="S16" s="265"/>
    </row>
    <row r="17" spans="2:21" ht="13.5" customHeight="1">
      <c r="B17" s="266" t="s">
        <v>250</v>
      </c>
      <c r="C17" s="352"/>
      <c r="D17" s="358"/>
      <c r="E17" s="305"/>
      <c r="F17" s="254"/>
      <c r="G17" s="254"/>
      <c r="H17" s="378"/>
      <c r="I17" s="254"/>
      <c r="J17" s="353"/>
      <c r="K17" s="387"/>
      <c r="L17" s="387"/>
      <c r="M17" s="387"/>
      <c r="N17" s="353"/>
      <c r="O17" s="353"/>
      <c r="P17" s="353"/>
      <c r="Q17" s="353"/>
      <c r="R17" s="353"/>
      <c r="S17" s="267"/>
    </row>
    <row r="18" spans="2:21" ht="5.25" customHeight="1">
      <c r="B18" s="269"/>
      <c r="C18" s="28"/>
      <c r="D18" s="357"/>
      <c r="E18" s="308"/>
      <c r="F18" s="204"/>
      <c r="G18" s="204"/>
      <c r="H18" s="382"/>
      <c r="I18" s="204"/>
      <c r="K18" s="386"/>
      <c r="L18" s="386"/>
      <c r="M18" s="386"/>
      <c r="S18" s="265"/>
    </row>
    <row r="19" spans="2:21">
      <c r="B19" s="269" t="s">
        <v>238</v>
      </c>
      <c r="C19" s="28"/>
      <c r="D19" s="360"/>
      <c r="E19" s="295"/>
      <c r="F19" s="216"/>
      <c r="G19" s="216"/>
      <c r="H19" s="380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5"/>
    </row>
    <row r="20" spans="2:21" ht="15" customHeight="1">
      <c r="B20" s="269" t="s">
        <v>239</v>
      </c>
      <c r="C20" s="28"/>
      <c r="D20" s="361"/>
      <c r="E20" s="295"/>
      <c r="F20" s="216"/>
      <c r="G20" s="216"/>
      <c r="H20" s="380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5"/>
    </row>
    <row r="21" spans="2:21" ht="6.75" customHeight="1">
      <c r="B21" s="269"/>
      <c r="C21" s="28"/>
      <c r="D21" s="357"/>
      <c r="E21" s="308"/>
      <c r="F21" s="204"/>
      <c r="G21" s="204"/>
      <c r="H21" s="382"/>
      <c r="I21" s="204"/>
      <c r="K21" s="386"/>
      <c r="L21" s="386"/>
      <c r="M21" s="386"/>
      <c r="S21" s="265"/>
    </row>
    <row r="22" spans="2:21" ht="12.75" customHeight="1">
      <c r="B22" s="266" t="s">
        <v>251</v>
      </c>
      <c r="C22" s="352"/>
      <c r="D22" s="358"/>
      <c r="E22" s="305"/>
      <c r="F22" s="254"/>
      <c r="G22" s="254"/>
      <c r="H22" s="378"/>
      <c r="I22" s="254"/>
      <c r="J22" s="353"/>
      <c r="K22" s="387"/>
      <c r="L22" s="387"/>
      <c r="M22" s="387"/>
      <c r="N22" s="353"/>
      <c r="O22" s="353"/>
      <c r="P22" s="353"/>
      <c r="Q22" s="353"/>
      <c r="R22" s="353"/>
      <c r="S22" s="267"/>
    </row>
    <row r="23" spans="2:21" ht="2.7" customHeight="1">
      <c r="B23" s="269"/>
      <c r="C23" s="28"/>
      <c r="D23" s="357"/>
      <c r="E23" s="294"/>
      <c r="F23" s="209"/>
      <c r="G23" s="206"/>
      <c r="H23" s="383"/>
      <c r="I23" s="206"/>
      <c r="K23" s="386"/>
      <c r="L23" s="386"/>
      <c r="M23" s="386"/>
      <c r="S23" s="265"/>
    </row>
    <row r="24" spans="2:21">
      <c r="B24" s="269" t="s">
        <v>240</v>
      </c>
      <c r="C24" s="28"/>
      <c r="D24" s="357"/>
      <c r="E24" s="295"/>
      <c r="F24" s="216"/>
      <c r="G24" s="216"/>
      <c r="H24" s="380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5"/>
    </row>
    <row r="25" spans="2:21">
      <c r="B25" s="269" t="s">
        <v>241</v>
      </c>
      <c r="C25" s="28"/>
      <c r="D25" s="360"/>
      <c r="E25" s="295"/>
      <c r="F25" s="216"/>
      <c r="G25" s="216"/>
      <c r="H25" s="380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5"/>
    </row>
    <row r="26" spans="2:21" ht="5.7" customHeight="1" thickBot="1">
      <c r="B26" s="269"/>
      <c r="C26" s="28"/>
      <c r="D26" s="361"/>
      <c r="E26" s="309"/>
      <c r="F26" s="271"/>
      <c r="G26" s="272"/>
      <c r="H26" s="383"/>
      <c r="I26" s="206"/>
      <c r="S26" s="265"/>
    </row>
    <row r="27" spans="2:21">
      <c r="B27" s="275"/>
      <c r="C27" s="276" t="s">
        <v>242</v>
      </c>
      <c r="D27" s="281"/>
      <c r="E27" s="366"/>
      <c r="F27" s="346"/>
      <c r="G27" s="346"/>
      <c r="H27" s="390"/>
      <c r="I27" s="388"/>
      <c r="J27" s="388"/>
      <c r="K27" s="388"/>
      <c r="L27" s="388"/>
      <c r="M27" s="388"/>
      <c r="N27" s="388"/>
      <c r="O27" s="388"/>
      <c r="P27" s="388"/>
      <c r="Q27" s="388"/>
      <c r="R27" s="388"/>
      <c r="S27" s="389"/>
      <c r="U27" s="362"/>
    </row>
    <row r="28" spans="2:21">
      <c r="B28" s="277"/>
      <c r="C28" s="354" t="s">
        <v>243</v>
      </c>
      <c r="D28" s="282"/>
      <c r="E28" s="366"/>
      <c r="F28" s="346"/>
      <c r="G28" s="346"/>
      <c r="H28" s="384"/>
      <c r="I28" s="368"/>
      <c r="J28" s="368"/>
      <c r="K28" s="368"/>
      <c r="L28" s="368"/>
      <c r="M28" s="368"/>
      <c r="N28" s="368"/>
      <c r="O28" s="368"/>
      <c r="P28" s="368"/>
      <c r="Q28" s="368"/>
      <c r="R28" s="368"/>
      <c r="S28" s="369"/>
    </row>
    <row r="29" spans="2:21" ht="13.2" customHeight="1" thickBot="1">
      <c r="B29" s="278"/>
      <c r="C29" s="279" t="s">
        <v>244</v>
      </c>
      <c r="D29" s="283"/>
      <c r="E29" s="367"/>
      <c r="F29" s="280"/>
      <c r="G29" s="280"/>
      <c r="H29" s="385"/>
      <c r="I29" s="370"/>
      <c r="J29" s="370"/>
      <c r="K29" s="370"/>
      <c r="L29" s="370"/>
      <c r="M29" s="370"/>
      <c r="N29" s="370"/>
      <c r="O29" s="370"/>
      <c r="P29" s="370"/>
      <c r="Q29" s="370"/>
      <c r="R29" s="370"/>
      <c r="S29" s="371"/>
    </row>
    <row r="30" spans="2:21" ht="10.95" customHeight="1">
      <c r="B30" s="27"/>
      <c r="C30" s="28"/>
      <c r="F30" s="203"/>
      <c r="G30" s="203"/>
      <c r="H30" s="204"/>
      <c r="I30" s="241"/>
    </row>
    <row r="31" spans="2:21">
      <c r="B31" s="28"/>
      <c r="C31" s="28"/>
    </row>
    <row r="32" spans="2:21" ht="8.25" customHeight="1" thickBot="1">
      <c r="B32" s="28"/>
      <c r="C32" s="28"/>
    </row>
    <row r="33" spans="2:16" ht="12.75" customHeight="1">
      <c r="B33" s="288" t="s">
        <v>245</v>
      </c>
      <c r="C33" s="289"/>
      <c r="D33" s="323"/>
      <c r="E33" s="493" t="s">
        <v>246</v>
      </c>
      <c r="F33" s="494"/>
      <c r="G33" s="495"/>
      <c r="H33" s="490" t="s">
        <v>23</v>
      </c>
      <c r="I33" s="491"/>
      <c r="J33" s="492"/>
      <c r="K33" s="493" t="s">
        <v>20</v>
      </c>
      <c r="L33" s="494"/>
      <c r="M33" s="495"/>
      <c r="N33" s="493" t="s">
        <v>248</v>
      </c>
      <c r="O33" s="494"/>
      <c r="P33" s="495"/>
    </row>
    <row r="34" spans="2:16" ht="12.75" customHeight="1">
      <c r="B34" s="290"/>
      <c r="C34" s="291"/>
      <c r="D34" s="324"/>
      <c r="E34" s="292" t="s">
        <v>228</v>
      </c>
      <c r="F34" s="247" t="s">
        <v>229</v>
      </c>
      <c r="G34" s="293" t="s">
        <v>230</v>
      </c>
      <c r="H34" s="292" t="s">
        <v>228</v>
      </c>
      <c r="I34" s="247" t="s">
        <v>229</v>
      </c>
      <c r="J34" s="293" t="s">
        <v>230</v>
      </c>
      <c r="K34" s="292" t="s">
        <v>228</v>
      </c>
      <c r="L34" s="247" t="s">
        <v>229</v>
      </c>
      <c r="M34" s="293" t="s">
        <v>230</v>
      </c>
      <c r="N34" s="292" t="s">
        <v>228</v>
      </c>
      <c r="O34" s="247" t="s">
        <v>229</v>
      </c>
      <c r="P34" s="293" t="s">
        <v>230</v>
      </c>
    </row>
    <row r="35" spans="2:16" ht="15" thickBot="1">
      <c r="B35" s="297" t="s">
        <v>224</v>
      </c>
      <c r="C35" s="298"/>
      <c r="D35" s="325"/>
      <c r="E35" s="299" t="s">
        <v>247</v>
      </c>
      <c r="F35" s="300" t="s">
        <v>247</v>
      </c>
      <c r="G35" s="301" t="s">
        <v>247</v>
      </c>
      <c r="H35" s="299" t="s">
        <v>247</v>
      </c>
      <c r="I35" s="300" t="s">
        <v>247</v>
      </c>
      <c r="J35" s="301" t="s">
        <v>247</v>
      </c>
      <c r="K35" s="299" t="s">
        <v>247</v>
      </c>
      <c r="L35" s="300" t="s">
        <v>247</v>
      </c>
      <c r="M35" s="301" t="s">
        <v>247</v>
      </c>
      <c r="N35" s="299" t="s">
        <v>264</v>
      </c>
      <c r="O35" s="299" t="s">
        <v>264</v>
      </c>
      <c r="P35" s="333" t="s">
        <v>264</v>
      </c>
    </row>
    <row r="36" spans="2:16" ht="3" customHeight="1">
      <c r="B36" s="339"/>
      <c r="C36" s="9"/>
      <c r="D36" s="340"/>
      <c r="E36" s="341"/>
      <c r="F36" s="342"/>
      <c r="G36" s="343"/>
      <c r="H36" s="341"/>
      <c r="I36" s="342"/>
      <c r="J36" s="343"/>
      <c r="K36" s="341"/>
      <c r="L36" s="342"/>
      <c r="M36" s="342"/>
      <c r="N36" s="341"/>
      <c r="O36" s="344"/>
      <c r="P36" s="345"/>
    </row>
    <row r="37" spans="2:16">
      <c r="B37" s="302"/>
      <c r="C37" s="248" t="s">
        <v>235</v>
      </c>
      <c r="D37" s="303"/>
      <c r="E37" s="326"/>
      <c r="F37" s="327"/>
      <c r="G37" s="328"/>
      <c r="H37" s="326"/>
      <c r="I37" s="327"/>
      <c r="J37" s="328"/>
      <c r="K37" s="326"/>
      <c r="L37" s="327"/>
      <c r="M37" s="327"/>
      <c r="N37" s="336"/>
      <c r="O37" s="337"/>
      <c r="P37" s="338"/>
    </row>
    <row r="38" spans="2:16">
      <c r="B38" s="264"/>
      <c r="C38" s="28" t="s">
        <v>236</v>
      </c>
      <c r="D38" s="200"/>
      <c r="E38" s="295"/>
      <c r="F38" s="216"/>
      <c r="G38" s="329"/>
      <c r="H38" s="295"/>
      <c r="I38" s="216"/>
      <c r="J38" s="329"/>
      <c r="K38" s="295"/>
      <c r="L38" s="216"/>
      <c r="M38" s="216"/>
      <c r="N38" s="334"/>
      <c r="O38" s="317"/>
      <c r="P38" s="335"/>
    </row>
    <row r="39" spans="2:16" ht="11.25" customHeight="1">
      <c r="B39" s="284"/>
      <c r="C39" s="28" t="s">
        <v>237</v>
      </c>
      <c r="D39" s="28"/>
      <c r="E39" s="295"/>
      <c r="F39" s="216"/>
      <c r="G39" s="329"/>
      <c r="H39" s="295"/>
      <c r="I39" s="216"/>
      <c r="J39" s="329"/>
      <c r="K39" s="295"/>
      <c r="L39" s="216"/>
      <c r="M39" s="216"/>
      <c r="N39" s="334"/>
      <c r="O39" s="317"/>
      <c r="P39" s="335"/>
    </row>
    <row r="40" spans="2:16">
      <c r="B40" s="285"/>
      <c r="C40" s="28" t="s">
        <v>238</v>
      </c>
      <c r="D40" s="28"/>
      <c r="E40" s="295"/>
      <c r="F40" s="216"/>
      <c r="G40" s="329"/>
      <c r="H40" s="295"/>
      <c r="I40" s="216"/>
      <c r="J40" s="216"/>
      <c r="K40" s="295"/>
      <c r="L40" s="216"/>
      <c r="M40" s="329"/>
      <c r="N40" s="334"/>
      <c r="O40" s="317"/>
      <c r="P40" s="335"/>
    </row>
    <row r="41" spans="2:16">
      <c r="B41" s="284"/>
      <c r="C41" s="28" t="s">
        <v>239</v>
      </c>
      <c r="D41" s="28"/>
      <c r="E41" s="295"/>
      <c r="F41" s="216"/>
      <c r="G41" s="329"/>
      <c r="H41" s="295"/>
      <c r="I41" s="216"/>
      <c r="J41" s="329"/>
      <c r="K41" s="295"/>
      <c r="L41" s="216"/>
      <c r="M41" s="329"/>
      <c r="N41" s="334"/>
      <c r="O41" s="317"/>
      <c r="P41" s="335"/>
    </row>
    <row r="42" spans="2:16" ht="14.7" customHeight="1">
      <c r="B42" s="264"/>
      <c r="C42" s="28" t="s">
        <v>240</v>
      </c>
      <c r="D42" s="200"/>
      <c r="E42" s="295"/>
      <c r="F42" s="216"/>
      <c r="G42" s="329"/>
      <c r="H42" s="295"/>
      <c r="I42" s="216"/>
      <c r="J42" s="216"/>
      <c r="K42" s="295"/>
      <c r="L42" s="216"/>
      <c r="M42" s="329"/>
      <c r="N42" s="334"/>
      <c r="O42" s="317"/>
      <c r="P42" s="335"/>
    </row>
    <row r="43" spans="2:16">
      <c r="B43" s="264"/>
      <c r="C43" s="28" t="s">
        <v>241</v>
      </c>
      <c r="D43" s="200"/>
      <c r="E43" s="295"/>
      <c r="F43" s="216"/>
      <c r="G43" s="329"/>
      <c r="H43" s="295"/>
      <c r="I43" s="216"/>
      <c r="J43" s="329"/>
      <c r="K43" s="295"/>
      <c r="L43" s="216"/>
      <c r="M43" s="329"/>
      <c r="N43" s="334"/>
      <c r="O43" s="317"/>
      <c r="P43" s="335"/>
    </row>
    <row r="44" spans="2:16" ht="4.5" customHeight="1" thickBot="1">
      <c r="B44" s="286"/>
      <c r="C44" s="270"/>
      <c r="D44" s="270"/>
      <c r="E44" s="330"/>
      <c r="F44" s="331"/>
      <c r="G44" s="332"/>
      <c r="H44" s="296"/>
      <c r="I44" s="287"/>
      <c r="J44" s="274"/>
      <c r="K44" s="286"/>
      <c r="L44" s="273"/>
      <c r="M44" s="274"/>
      <c r="N44" s="286"/>
      <c r="O44" s="273"/>
      <c r="P44" s="274"/>
    </row>
    <row r="45" spans="2:16" ht="6" customHeight="1">
      <c r="B45" s="139"/>
      <c r="C45" s="28"/>
      <c r="D45" s="28"/>
      <c r="E45" s="206"/>
      <c r="F45" s="209"/>
      <c r="G45" s="206"/>
      <c r="H45" s="206"/>
      <c r="I45" s="206"/>
    </row>
  </sheetData>
  <mergeCells count="8">
    <mergeCell ref="H33:J33"/>
    <mergeCell ref="K33:M33"/>
    <mergeCell ref="N33:P33"/>
    <mergeCell ref="D1:D2"/>
    <mergeCell ref="E6:E8"/>
    <mergeCell ref="F6:F8"/>
    <mergeCell ref="G6:G8"/>
    <mergeCell ref="E33:G33"/>
  </mergeCells>
  <conditionalFormatting sqref="O2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Income Statement</vt:lpstr>
      <vt:lpstr>Cashflow Statement</vt:lpstr>
      <vt:lpstr>Balance Sheet</vt:lpstr>
      <vt:lpstr>Depr' Schedule</vt:lpstr>
      <vt:lpstr>OWC</vt:lpstr>
      <vt:lpstr>Debt Schedule</vt:lpstr>
      <vt:lpstr>---&gt; Valuation</vt:lpstr>
      <vt:lpstr>DCF Analysis</vt:lpstr>
      <vt:lpstr>Comparable Companies Analysis</vt:lpstr>
      <vt:lpstr>Amazon</vt:lpstr>
      <vt:lpstr>EBAY</vt:lpstr>
      <vt:lpstr>ETSY</vt:lpstr>
      <vt:lpstr>Walmart </vt:lpstr>
      <vt:lpstr>Target</vt:lpstr>
      <vt:lpstr>Google</vt:lpstr>
      <vt:lpstr>Netflix</vt:lpstr>
      <vt:lpstr>Precendent Transaction Analysis</vt:lpstr>
      <vt:lpstr>Football Field (Summary)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Godbold</dc:creator>
  <cp:lastModifiedBy>ibrahim handu</cp:lastModifiedBy>
  <dcterms:created xsi:type="dcterms:W3CDTF">2023-10-21T11:26:21Z</dcterms:created>
  <dcterms:modified xsi:type="dcterms:W3CDTF">2025-06-13T17:50:58Z</dcterms:modified>
</cp:coreProperties>
</file>